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IEVIEŠANAS UZRAUDZĪBA\ZIŅOJUMI_MAKSĀJUMU PROGNOZES EK\VI_regularie_zinojumi_MK_ES_fondi\1 - MK\2017.gads\Ikmēneša informatīvie ziņojumi\10_novembris_iesn_MK_lidz_30.11.2017\"/>
    </mc:Choice>
  </mc:AlternateContent>
  <bookViews>
    <workbookView xWindow="0" yWindow="0" windowWidth="24075" windowHeight="9015" tabRatio="592" firstSheet="1" activeTab="1"/>
  </bookViews>
  <sheets>
    <sheet name="Maksājumu_pieprasījumu_iesn." sheetId="1" state="hidden" r:id="rId1"/>
    <sheet name="IPIA_MP_kavējumi" sheetId="2" r:id="rId2"/>
    <sheet name="Neizpildes_SAM" sheetId="3" state="hidden" r:id="rId3"/>
    <sheet name="oktobrī pievienoti" sheetId="4" state="hidden" r:id="rId4"/>
    <sheet name="2016" sheetId="5" state="hidden" r:id="rId5"/>
    <sheet name="2017" sheetId="6" state="hidden" r:id="rId6"/>
    <sheet name="IPIA" sheetId="7" state="hidden" r:id="rId7"/>
    <sheet name="kumul" sheetId="8" state="hidden" r:id="rId8"/>
    <sheet name="10" sheetId="9" state="hidden" r:id="rId9"/>
  </sheets>
  <definedNames>
    <definedName name="_xlnm._FilterDatabase" localSheetId="8" hidden="1">'10'!$A$1:$D$170</definedName>
    <definedName name="_xlnm._FilterDatabase" localSheetId="5" hidden="1">'2017'!$A$1:$F$392</definedName>
    <definedName name="_xlnm._FilterDatabase" localSheetId="6" hidden="1">IPIA!$A$11:$BO$1662</definedName>
    <definedName name="_xlnm._FilterDatabase" localSheetId="1" hidden="1">IPIA_MP_kavējumi!$A$9:$BM$91</definedName>
    <definedName name="_xlnm._FilterDatabase" localSheetId="7" hidden="1">kumul!$A$1:$E$386</definedName>
    <definedName name="_xlnm._FilterDatabase" localSheetId="0" hidden="1">Maksājumu_pieprasījumu_iesn.!$A$11:$BL$441</definedName>
    <definedName name="_xlnm._FilterDatabase" localSheetId="2" hidden="1">Neizpildes_SAM!$A$2:$G$2</definedName>
    <definedName name="_xlnm.Print_Area" localSheetId="1">IPIA_MP_kavējumi!$H$1:$BL$103</definedName>
    <definedName name="_xlnm.Print_Titles" localSheetId="0">Maksājumu_pieprasījumu_iesn.!$6:$11</definedName>
    <definedName name="_xlnm.Print_Titles" localSheetId="2">Neizpildes_SAM!$2:$3</definedName>
    <definedName name="Z_13979D17_0007_4815_89F8_F269A36AD9CF_.wvu.FilterData" localSheetId="1" hidden="1">IPIA_MP_kavējumi!$A$9:$DJ$91</definedName>
    <definedName name="Z_1CE1816D_2CE4_45E4_84A5_7ECDB5D0D0D3_.wvu.Cols" localSheetId="1" hidden="1">IPIA_MP_kavējumi!$AW:$AX</definedName>
    <definedName name="Z_1CE1816D_2CE4_45E4_84A5_7ECDB5D0D0D3_.wvu.Cols" localSheetId="0" hidden="1">Maksājumu_pieprasījumu_iesn.!$A:$G,Maksājumu_pieprasījumu_iesn.!$L:$AO,Maksājumu_pieprasījumu_iesn.!$AW:$AX,Maksājumu_pieprasījumu_iesn.!$BB:$BH,Maksājumu_pieprasījumu_iesn.!$BJ:$BK</definedName>
    <definedName name="Z_1CE1816D_2CE4_45E4_84A5_7ECDB5D0D0D3_.wvu.FilterData" localSheetId="8" hidden="1">'10'!$A$1:$D$170</definedName>
    <definedName name="Z_1CE1816D_2CE4_45E4_84A5_7ECDB5D0D0D3_.wvu.FilterData" localSheetId="5" hidden="1">'2017'!$A$1:$F$392</definedName>
    <definedName name="Z_1CE1816D_2CE4_45E4_84A5_7ECDB5D0D0D3_.wvu.FilterData" localSheetId="6" hidden="1">IPIA!$A$11:$BO$1662</definedName>
    <definedName name="Z_1CE1816D_2CE4_45E4_84A5_7ECDB5D0D0D3_.wvu.FilterData" localSheetId="1" hidden="1">IPIA_MP_kavējumi!$A$9:$DJ$91</definedName>
    <definedName name="Z_1CE1816D_2CE4_45E4_84A5_7ECDB5D0D0D3_.wvu.FilterData" localSheetId="7" hidden="1">kumul!$A$1:$E$386</definedName>
    <definedName name="Z_1CE1816D_2CE4_45E4_84A5_7ECDB5D0D0D3_.wvu.FilterData" localSheetId="0" hidden="1">Maksājumu_pieprasījumu_iesn.!$A$11:$BL$441</definedName>
    <definedName name="Z_1CE1816D_2CE4_45E4_84A5_7ECDB5D0D0D3_.wvu.FilterData" localSheetId="2" hidden="1">Neizpildes_SAM!$A$2:$G$2</definedName>
    <definedName name="Z_1CE1816D_2CE4_45E4_84A5_7ECDB5D0D0D3_.wvu.PrintArea" localSheetId="1" hidden="1">IPIA_MP_kavējumi!$H$1:$BL$103</definedName>
    <definedName name="Z_1CE1816D_2CE4_45E4_84A5_7ECDB5D0D0D3_.wvu.PrintTitles" localSheetId="0" hidden="1">Maksājumu_pieprasījumu_iesn.!$6:$11</definedName>
    <definedName name="Z_1CE1816D_2CE4_45E4_84A5_7ECDB5D0D0D3_.wvu.PrintTitles" localSheetId="2" hidden="1">Neizpildes_SAM!$2:$3</definedName>
    <definedName name="Z_2A472904_BEBC_4EBC_AEA0_D0DB332CBEDC_.wvu.FilterData" localSheetId="1" hidden="1">IPIA_MP_kavējumi!$A$9:$DJ$91</definedName>
    <definedName name="Z_31BFF91F_CC67_47B5_A533_CBCA2A3DFD88_.wvu.Cols" localSheetId="1" hidden="1">IPIA_MP_kavējumi!$A:$G,IPIA_MP_kavējumi!$L:$AR,IPIA_MP_kavējumi!$AW:$AX,IPIA_MP_kavējumi!$BB:$BH,IPIA_MP_kavējumi!$BJ:$BK</definedName>
    <definedName name="Z_31BFF91F_CC67_47B5_A533_CBCA2A3DFD88_.wvu.Cols" localSheetId="0" hidden="1">Maksājumu_pieprasījumu_iesn.!$A:$G,Maksājumu_pieprasījumu_iesn.!$L:$AO,Maksājumu_pieprasījumu_iesn.!$AW:$AX,Maksājumu_pieprasījumu_iesn.!$BJ:$BK</definedName>
    <definedName name="Z_31BFF91F_CC67_47B5_A533_CBCA2A3DFD88_.wvu.FilterData" localSheetId="8" hidden="1">'10'!$A$1:$D$170</definedName>
    <definedName name="Z_31BFF91F_CC67_47B5_A533_CBCA2A3DFD88_.wvu.FilterData" localSheetId="5" hidden="1">'2017'!$A$1:$F$392</definedName>
    <definedName name="Z_31BFF91F_CC67_47B5_A533_CBCA2A3DFD88_.wvu.FilterData" localSheetId="6" hidden="1">IPIA!$A$11:$BO$1662</definedName>
    <definedName name="Z_31BFF91F_CC67_47B5_A533_CBCA2A3DFD88_.wvu.FilterData" localSheetId="1" hidden="1">IPIA_MP_kavējumi!$A$9:$BM$91</definedName>
    <definedName name="Z_31BFF91F_CC67_47B5_A533_CBCA2A3DFD88_.wvu.FilterData" localSheetId="7" hidden="1">kumul!$A$1:$E$386</definedName>
    <definedName name="Z_31BFF91F_CC67_47B5_A533_CBCA2A3DFD88_.wvu.FilterData" localSheetId="0" hidden="1">Maksājumu_pieprasījumu_iesn.!$A$11:$BL$441</definedName>
    <definedName name="Z_31BFF91F_CC67_47B5_A533_CBCA2A3DFD88_.wvu.FilterData" localSheetId="2" hidden="1">Neizpildes_SAM!$A$2:$G$2</definedName>
    <definedName name="Z_31BFF91F_CC67_47B5_A533_CBCA2A3DFD88_.wvu.PrintArea" localSheetId="1" hidden="1">IPIA_MP_kavējumi!$H$1:$BL$103</definedName>
    <definedName name="Z_31BFF91F_CC67_47B5_A533_CBCA2A3DFD88_.wvu.PrintTitles" localSheetId="0" hidden="1">Maksājumu_pieprasījumu_iesn.!$6:$11</definedName>
    <definedName name="Z_31BFF91F_CC67_47B5_A533_CBCA2A3DFD88_.wvu.PrintTitles" localSheetId="2" hidden="1">Neizpildes_SAM!$2:$3</definedName>
    <definedName name="Z_567438E4_623C_475F_9324_E83800BAB855_.wvu.FilterData" localSheetId="1" hidden="1">IPIA_MP_kavējumi!$A$9:$DJ$91</definedName>
    <definedName name="Z_6C8BBF75_622D_43B3_8581_07D7C7EAFBB5_.wvu.FilterData" localSheetId="1" hidden="1">IPIA_MP_kavējumi!$A$9:$DJ$91</definedName>
    <definedName name="Z_6DBFB7C3_0C77_4B1E_99AB_901735F7C876_.wvu.FilterData" localSheetId="1" hidden="1">IPIA_MP_kavējumi!$A$9:$DJ$91</definedName>
    <definedName name="Z_78E41E07_F0F6_4915_BE72_C0935112BE47_.wvu.FilterData" localSheetId="1" hidden="1">IPIA_MP_kavējumi!$A$9:$DJ$91</definedName>
    <definedName name="Z_7A1AE084_E3E9_483E_8331_3D2129EC860E_.wvu.FilterData" localSheetId="1" hidden="1">IPIA_MP_kavējumi!$A$9:$DJ$91</definedName>
    <definedName name="Z_82CEB737_59EA_4622_BA06_E68B13702059_.wvu.FilterData" localSheetId="1" hidden="1">IPIA_MP_kavējumi!$A$9:$DJ$91</definedName>
    <definedName name="Z_831C8804_8E54_4F7C_8FC3_36AB07B9A8E7_.wvu.FilterData" localSheetId="1" hidden="1">IPIA_MP_kavējumi!$A$9:$DJ$91</definedName>
    <definedName name="Z_92FE2FC1_250A_4F56_9355_507BFDD32B30_.wvu.FilterData" localSheetId="1" hidden="1">IPIA_MP_kavējumi!$A$9:$DJ$91</definedName>
    <definedName name="Z_97C769C0_48F0_41FB_AFC0_AEAA4D539C0C_.wvu.FilterData" localSheetId="1" hidden="1">IPIA_MP_kavējumi!$A$9:$DJ$91</definedName>
    <definedName name="Z_99FF5B6E_93EA_4128_A404_FF3D47261B1D_.wvu.FilterData" localSheetId="1" hidden="1">IPIA_MP_kavējumi!$A$9:$DJ$91</definedName>
    <definedName name="Z_B64D91B7_B1A0_43CB_B8CE_A652A70B9135_.wvu.FilterData" localSheetId="1" hidden="1">IPIA_MP_kavējumi!$A$9:$DJ$91</definedName>
    <definedName name="Z_C7376C49_7C70_4EE7_9CF7_79151FBD2399_.wvu.Cols" localSheetId="1" hidden="1">IPIA_MP_kavējumi!$L:$AR,IPIA_MP_kavējumi!$BB:$BH</definedName>
    <definedName name="Z_C7376C49_7C70_4EE7_9CF7_79151FBD2399_.wvu.Cols" localSheetId="0" hidden="1">Maksājumu_pieprasījumu_iesn.!$A:$G,Maksājumu_pieprasījumu_iesn.!$L:$AO,Maksājumu_pieprasījumu_iesn.!$AW:$AX,Maksājumu_pieprasījumu_iesn.!$BJ:$BK</definedName>
    <definedName name="Z_C7376C49_7C70_4EE7_9CF7_79151FBD2399_.wvu.FilterData" localSheetId="8" hidden="1">'10'!$A$1:$D$170</definedName>
    <definedName name="Z_C7376C49_7C70_4EE7_9CF7_79151FBD2399_.wvu.FilterData" localSheetId="5" hidden="1">'2017'!$A$1:$F$392</definedName>
    <definedName name="Z_C7376C49_7C70_4EE7_9CF7_79151FBD2399_.wvu.FilterData" localSheetId="6" hidden="1">IPIA!$A$11:$BO$1662</definedName>
    <definedName name="Z_C7376C49_7C70_4EE7_9CF7_79151FBD2399_.wvu.FilterData" localSheetId="1" hidden="1">IPIA_MP_kavējumi!$A$9:$BM$91</definedName>
    <definedName name="Z_C7376C49_7C70_4EE7_9CF7_79151FBD2399_.wvu.FilterData" localSheetId="7" hidden="1">kumul!$A$1:$E$386</definedName>
    <definedName name="Z_C7376C49_7C70_4EE7_9CF7_79151FBD2399_.wvu.FilterData" localSheetId="0" hidden="1">Maksājumu_pieprasījumu_iesn.!$A$11:$BL$441</definedName>
    <definedName name="Z_C7376C49_7C70_4EE7_9CF7_79151FBD2399_.wvu.FilterData" localSheetId="2" hidden="1">Neizpildes_SAM!$A$2:$G$2</definedName>
    <definedName name="Z_C7376C49_7C70_4EE7_9CF7_79151FBD2399_.wvu.PrintArea" localSheetId="1" hidden="1">IPIA_MP_kavējumi!$H$1:$BL$103</definedName>
    <definedName name="Z_C7376C49_7C70_4EE7_9CF7_79151FBD2399_.wvu.PrintTitles" localSheetId="0" hidden="1">Maksājumu_pieprasījumu_iesn.!$6:$11</definedName>
    <definedName name="Z_C7376C49_7C70_4EE7_9CF7_79151FBD2399_.wvu.PrintTitles" localSheetId="2" hidden="1">Neizpildes_SAM!$2:$3</definedName>
    <definedName name="Z_C7439760_A4F9_4C2C_9FA6_BFAA38BD8979_.wvu.FilterData" localSheetId="1" hidden="1">IPIA_MP_kavējumi!$A$9:$DJ$91</definedName>
    <definedName name="Z_CB89A2BD_BFAD_43E6_A4BD_D88272A925D6_.wvu.FilterData" localSheetId="1" hidden="1">IPIA_MP_kavējumi!$A$9:$DJ$91</definedName>
    <definedName name="Z_DCA6C299_30BD_48C8_A7AE_F5D952678A5A_.wvu.FilterData" localSheetId="1" hidden="1">IPIA_MP_kavējumi!$A$9:$DJ$91</definedName>
    <definedName name="Z_E859D208_E8C3_410D_981A_540FA371E516_.wvu.FilterData" localSheetId="1" hidden="1">IPIA_MP_kavējumi!$A$9:$DJ$91</definedName>
  </definedNames>
  <calcPr calcId="162913"/>
  <customWorkbookViews>
    <customWorkbookView name="Ints Pelnis - Personal View" guid="{31BFF91F-CC67-47B5-A533-CBCA2A3DFD88}" mergeInterval="0" personalView="1" maximized="1" xWindow="-8" yWindow="-8" windowWidth="1936" windowHeight="1056" tabRatio="592" activeSheetId="2"/>
    <customWorkbookView name="Ilze Daukste - Personal View" guid="{1CE1816D-2CE4-45E4-84A5-7ECDB5D0D0D3}" mergeInterval="0" personalView="1" maximized="1" xWindow="-8" yWindow="-8" windowWidth="1936" windowHeight="1056" tabRatio="592" activeSheetId="2"/>
    <customWorkbookView name="Regīna Vigula - Personal View" guid="{C7376C49-7C70-4EE7-9CF7-79151FBD2399}" mergeInterval="0" personalView="1" maximized="1" xWindow="-8" yWindow="-8" windowWidth="1936" windowHeight="1056" tabRatio="592"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6" l="1"/>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G300" i="6"/>
  <c r="G301" i="6"/>
  <c r="G302" i="6"/>
  <c r="G303" i="6"/>
  <c r="G304" i="6"/>
  <c r="G305" i="6"/>
  <c r="G306" i="6"/>
  <c r="G307" i="6"/>
  <c r="G308" i="6"/>
  <c r="G309" i="6"/>
  <c r="G310" i="6"/>
  <c r="G311" i="6"/>
  <c r="G312" i="6"/>
  <c r="G313" i="6"/>
  <c r="G314" i="6"/>
  <c r="G315" i="6"/>
  <c r="G316" i="6"/>
  <c r="G317" i="6"/>
  <c r="G318" i="6"/>
  <c r="G319" i="6"/>
  <c r="G320" i="6"/>
  <c r="G321" i="6"/>
  <c r="G322" i="6"/>
  <c r="G323" i="6"/>
  <c r="G324" i="6"/>
  <c r="G325" i="6"/>
  <c r="G326" i="6"/>
  <c r="G327" i="6"/>
  <c r="G328" i="6"/>
  <c r="G329" i="6"/>
  <c r="G330" i="6"/>
  <c r="G331" i="6"/>
  <c r="G332" i="6"/>
  <c r="G333" i="6"/>
  <c r="G334" i="6"/>
  <c r="G335" i="6"/>
  <c r="G336" i="6"/>
  <c r="G337" i="6"/>
  <c r="G338" i="6"/>
  <c r="G339" i="6"/>
  <c r="G340" i="6"/>
  <c r="G341" i="6"/>
  <c r="G342" i="6"/>
  <c r="G343" i="6"/>
  <c r="G344" i="6"/>
  <c r="G345" i="6"/>
  <c r="G346" i="6"/>
  <c r="G347" i="6"/>
  <c r="G348" i="6"/>
  <c r="G349" i="6"/>
  <c r="G350" i="6"/>
  <c r="G351" i="6"/>
  <c r="G352" i="6"/>
  <c r="G353" i="6"/>
  <c r="G354" i="6"/>
  <c r="G355" i="6"/>
  <c r="G356" i="6"/>
  <c r="G357" i="6"/>
  <c r="G358" i="6"/>
  <c r="G359" i="6"/>
  <c r="G360" i="6"/>
  <c r="G361" i="6"/>
  <c r="G362" i="6"/>
  <c r="G363" i="6"/>
  <c r="G364" i="6"/>
  <c r="G365" i="6"/>
  <c r="G366" i="6"/>
  <c r="G367" i="6"/>
  <c r="G368" i="6"/>
  <c r="G369" i="6"/>
  <c r="G370" i="6"/>
  <c r="G371" i="6"/>
  <c r="G372" i="6"/>
  <c r="G373" i="6"/>
  <c r="G374" i="6"/>
  <c r="G375" i="6"/>
  <c r="G376" i="6"/>
  <c r="G377" i="6"/>
  <c r="G378" i="6"/>
  <c r="G379" i="6"/>
  <c r="G380" i="6"/>
  <c r="G381" i="6"/>
  <c r="G382" i="6"/>
  <c r="G383" i="6"/>
  <c r="G384" i="6"/>
  <c r="G385" i="6"/>
  <c r="G386" i="6"/>
  <c r="G387" i="6"/>
  <c r="G388" i="6"/>
  <c r="G389" i="6"/>
  <c r="G390" i="6"/>
  <c r="G391" i="6"/>
  <c r="G392" i="6"/>
  <c r="G393" i="6"/>
  <c r="G394" i="6"/>
  <c r="G395" i="6"/>
  <c r="G396" i="6"/>
  <c r="G397" i="6"/>
  <c r="G398" i="6"/>
  <c r="G399" i="6"/>
  <c r="G400" i="6"/>
  <c r="G401" i="6"/>
  <c r="G402" i="6"/>
  <c r="G403" i="6"/>
  <c r="G404" i="6"/>
  <c r="G405" i="6"/>
  <c r="G406" i="6"/>
  <c r="G407" i="6"/>
  <c r="G408" i="6"/>
  <c r="G409" i="6"/>
  <c r="G410" i="6"/>
  <c r="G411" i="6"/>
  <c r="G412" i="6"/>
  <c r="G413" i="6"/>
  <c r="G414" i="6"/>
  <c r="G415" i="6"/>
  <c r="G416" i="6"/>
  <c r="G417" i="6"/>
  <c r="G418" i="6"/>
  <c r="G419" i="6"/>
  <c r="G420" i="6"/>
  <c r="G421" i="6"/>
  <c r="G422" i="6"/>
  <c r="G423" i="6"/>
  <c r="G424" i="6"/>
  <c r="G425" i="6"/>
  <c r="G426" i="6"/>
  <c r="G2" i="6"/>
  <c r="C138" i="4" l="1"/>
  <c r="B23" i="3" l="1"/>
  <c r="B29" i="3"/>
  <c r="B33" i="3"/>
  <c r="B63" i="3"/>
  <c r="E63" i="3"/>
  <c r="D63" i="3"/>
  <c r="E33" i="3"/>
  <c r="D33" i="3"/>
  <c r="E29" i="3"/>
  <c r="D29" i="3"/>
  <c r="E23" i="3"/>
  <c r="D23" i="3"/>
  <c r="C63" i="3"/>
  <c r="C33" i="3"/>
  <c r="C29" i="3"/>
  <c r="C23" i="3"/>
  <c r="F33" i="3" l="1"/>
  <c r="G63" i="3"/>
  <c r="G33" i="3"/>
  <c r="F23" i="3"/>
  <c r="G23" i="3"/>
  <c r="F63" i="3"/>
  <c r="F29" i="3"/>
  <c r="G29" i="3"/>
  <c r="AQ35" i="1" l="1"/>
  <c r="AV7" i="2"/>
  <c r="AY91" i="2"/>
  <c r="AS91" i="2"/>
  <c r="AR91" i="2"/>
  <c r="AU91" i="2" s="1"/>
  <c r="AR90" i="2"/>
  <c r="AU90" i="2" s="1"/>
  <c r="O90" i="2"/>
  <c r="AY90" i="2" s="1"/>
  <c r="BA90" i="2" s="1"/>
  <c r="AY89" i="2"/>
  <c r="AS89" i="2"/>
  <c r="AO89" i="2"/>
  <c r="AL89" i="2"/>
  <c r="AI89" i="2"/>
  <c r="AF89" i="2"/>
  <c r="AC89" i="2"/>
  <c r="Z89" i="2"/>
  <c r="W89" i="2"/>
  <c r="T89" i="2"/>
  <c r="Q89" i="2"/>
  <c r="AY88" i="2"/>
  <c r="AS88" i="2"/>
  <c r="AR88" i="2"/>
  <c r="AO88" i="2"/>
  <c r="AL88" i="2"/>
  <c r="AI88" i="2"/>
  <c r="AF88" i="2"/>
  <c r="AC88" i="2"/>
  <c r="Z88" i="2"/>
  <c r="W88" i="2"/>
  <c r="T88" i="2"/>
  <c r="Q88" i="2"/>
  <c r="AY87" i="2"/>
  <c r="AS87" i="2"/>
  <c r="AR87" i="2"/>
  <c r="AO87" i="2"/>
  <c r="AL87" i="2"/>
  <c r="AI87" i="2"/>
  <c r="AF87" i="2"/>
  <c r="AC87" i="2"/>
  <c r="Z87" i="2"/>
  <c r="W87" i="2"/>
  <c r="T87" i="2"/>
  <c r="Q87" i="2"/>
  <c r="AY86" i="2"/>
  <c r="BA86" i="2" s="1"/>
  <c r="AS86" i="2"/>
  <c r="AT86" i="2"/>
  <c r="AO86" i="2"/>
  <c r="AL86" i="2"/>
  <c r="AI86" i="2"/>
  <c r="AF86" i="2"/>
  <c r="AC86" i="2"/>
  <c r="Z86" i="2"/>
  <c r="W86" i="2"/>
  <c r="T86" i="2"/>
  <c r="Q86" i="2"/>
  <c r="AY85" i="2"/>
  <c r="AS85" i="2"/>
  <c r="AO85" i="2"/>
  <c r="AL85" i="2"/>
  <c r="AI85" i="2"/>
  <c r="AF85" i="2"/>
  <c r="AC85" i="2"/>
  <c r="Z85" i="2"/>
  <c r="W85" i="2"/>
  <c r="T85" i="2"/>
  <c r="Q85" i="2"/>
  <c r="AY84" i="2"/>
  <c r="BA84" i="2" s="1"/>
  <c r="AS84" i="2"/>
  <c r="AT84" i="2"/>
  <c r="AO84" i="2"/>
  <c r="AL84" i="2"/>
  <c r="AI84" i="2"/>
  <c r="AF84" i="2"/>
  <c r="AC84" i="2"/>
  <c r="Z84" i="2"/>
  <c r="W84" i="2"/>
  <c r="T84" i="2"/>
  <c r="Q84" i="2"/>
  <c r="AY83" i="2"/>
  <c r="AS83" i="2"/>
  <c r="AR83" i="2"/>
  <c r="AT83" i="2"/>
  <c r="AO83" i="2"/>
  <c r="AY82" i="2"/>
  <c r="AS82" i="2"/>
  <c r="AO82" i="2"/>
  <c r="AL82" i="2"/>
  <c r="AI82" i="2"/>
  <c r="AF82" i="2"/>
  <c r="AC82" i="2"/>
  <c r="Z82" i="2"/>
  <c r="W82" i="2"/>
  <c r="T82" i="2"/>
  <c r="Q82" i="2"/>
  <c r="AR81" i="2"/>
  <c r="O81" i="2"/>
  <c r="P81" i="2" s="1"/>
  <c r="Q81" i="2" s="1"/>
  <c r="R81" i="2" s="1"/>
  <c r="S81" i="2" s="1"/>
  <c r="T81" i="2" s="1"/>
  <c r="U81" i="2" s="1"/>
  <c r="V81" i="2" s="1"/>
  <c r="W81" i="2" s="1"/>
  <c r="X81" i="2" s="1"/>
  <c r="Y81" i="2" s="1"/>
  <c r="Z81" i="2" s="1"/>
  <c r="AA81" i="2" s="1"/>
  <c r="AB81" i="2" s="1"/>
  <c r="AC81" i="2" s="1"/>
  <c r="AD81" i="2" s="1"/>
  <c r="AE81" i="2" s="1"/>
  <c r="AF81" i="2" s="1"/>
  <c r="AG81" i="2" s="1"/>
  <c r="AH81" i="2" s="1"/>
  <c r="AI81" i="2" s="1"/>
  <c r="AJ81" i="2" s="1"/>
  <c r="AK81" i="2" s="1"/>
  <c r="AY80" i="2"/>
  <c r="AS80" i="2"/>
  <c r="AT80" i="2"/>
  <c r="AY79" i="2"/>
  <c r="AS79" i="2"/>
  <c r="AR79" i="2"/>
  <c r="AU79" i="2" s="1"/>
  <c r="AY78" i="2"/>
  <c r="AS78" i="2"/>
  <c r="AO78" i="2"/>
  <c r="AL78" i="2"/>
  <c r="AI78" i="2"/>
  <c r="AF78" i="2"/>
  <c r="AC78" i="2"/>
  <c r="Z78" i="2"/>
  <c r="W78" i="2"/>
  <c r="T78" i="2"/>
  <c r="Q78" i="2"/>
  <c r="AY77" i="2"/>
  <c r="AT77" i="2"/>
  <c r="AS77" i="2"/>
  <c r="AR77" i="2"/>
  <c r="AO77" i="2"/>
  <c r="AL77" i="2"/>
  <c r="AI77" i="2"/>
  <c r="AF77" i="2"/>
  <c r="AC77" i="2"/>
  <c r="Z77" i="2"/>
  <c r="W77" i="2"/>
  <c r="T77" i="2"/>
  <c r="Q77" i="2"/>
  <c r="AY76" i="2"/>
  <c r="AS76" i="2"/>
  <c r="AR76" i="2"/>
  <c r="AO76" i="2"/>
  <c r="AL76" i="2"/>
  <c r="AI76" i="2"/>
  <c r="AF76" i="2"/>
  <c r="AC76" i="2"/>
  <c r="Z76" i="2"/>
  <c r="W76" i="2"/>
  <c r="T76" i="2"/>
  <c r="Q76" i="2"/>
  <c r="AY75" i="2"/>
  <c r="BA75" i="2" s="1"/>
  <c r="AS75" i="2"/>
  <c r="AR75" i="2"/>
  <c r="AO75" i="2"/>
  <c r="AL75" i="2"/>
  <c r="AI75" i="2"/>
  <c r="AF75" i="2"/>
  <c r="AC75" i="2"/>
  <c r="Z75" i="2"/>
  <c r="W75" i="2"/>
  <c r="T75" i="2"/>
  <c r="Q75" i="2"/>
  <c r="AY74" i="2"/>
  <c r="AS74" i="2"/>
  <c r="AO74" i="2"/>
  <c r="AL74" i="2"/>
  <c r="AI74" i="2"/>
  <c r="AF74" i="2"/>
  <c r="AC74" i="2"/>
  <c r="Z74" i="2"/>
  <c r="W74" i="2"/>
  <c r="T74" i="2"/>
  <c r="Q74" i="2"/>
  <c r="AY73" i="2"/>
  <c r="BA73" i="2" s="1"/>
  <c r="AS73" i="2"/>
  <c r="AR73" i="2"/>
  <c r="AO73" i="2"/>
  <c r="AL73" i="2"/>
  <c r="AI73" i="2"/>
  <c r="AF73" i="2"/>
  <c r="AC73" i="2"/>
  <c r="Z73" i="2"/>
  <c r="W73" i="2"/>
  <c r="T73" i="2"/>
  <c r="Q73" i="2"/>
  <c r="AY72" i="2"/>
  <c r="AS72" i="2"/>
  <c r="AR72" i="2"/>
  <c r="AO72" i="2"/>
  <c r="AL72" i="2"/>
  <c r="AI72" i="2"/>
  <c r="AF72" i="2"/>
  <c r="AC72" i="2"/>
  <c r="Z72" i="2"/>
  <c r="W72" i="2"/>
  <c r="T72" i="2"/>
  <c r="Q72" i="2"/>
  <c r="AY71" i="2"/>
  <c r="BA71" i="2" s="1"/>
  <c r="AS71" i="2"/>
  <c r="AT71" i="2"/>
  <c r="AO71" i="2"/>
  <c r="AL71" i="2"/>
  <c r="AI71" i="2"/>
  <c r="AF71" i="2"/>
  <c r="AC71" i="2"/>
  <c r="Z71" i="2"/>
  <c r="W71" i="2"/>
  <c r="T71" i="2"/>
  <c r="Q71" i="2"/>
  <c r="AY70" i="2"/>
  <c r="BA70" i="2" s="1"/>
  <c r="AS70" i="2"/>
  <c r="AR70" i="2"/>
  <c r="AO70" i="2"/>
  <c r="AL70" i="2"/>
  <c r="AI70" i="2"/>
  <c r="AF70" i="2"/>
  <c r="AC70" i="2"/>
  <c r="Z70" i="2"/>
  <c r="W70" i="2"/>
  <c r="T70" i="2"/>
  <c r="Q70" i="2"/>
  <c r="AY69" i="2"/>
  <c r="BA69" i="2" s="1"/>
  <c r="AS69" i="2"/>
  <c r="AR69" i="2"/>
  <c r="AO69" i="2"/>
  <c r="AL69" i="2"/>
  <c r="AI69" i="2"/>
  <c r="AF69" i="2"/>
  <c r="AC69" i="2"/>
  <c r="Z69" i="2"/>
  <c r="W69" i="2"/>
  <c r="T69" i="2"/>
  <c r="Q69" i="2"/>
  <c r="AY68" i="2"/>
  <c r="BA68" i="2" s="1"/>
  <c r="AS68" i="2"/>
  <c r="AT68" i="2"/>
  <c r="AO68" i="2"/>
  <c r="AL68" i="2"/>
  <c r="AI68" i="2"/>
  <c r="AF68" i="2"/>
  <c r="AC68" i="2"/>
  <c r="Z68" i="2"/>
  <c r="W68" i="2"/>
  <c r="T68" i="2"/>
  <c r="Q68" i="2"/>
  <c r="AY67" i="2"/>
  <c r="AS67" i="2"/>
  <c r="AR67" i="2"/>
  <c r="AT67" i="2"/>
  <c r="AO67" i="2"/>
  <c r="AL67" i="2"/>
  <c r="AI67" i="2"/>
  <c r="AF67" i="2"/>
  <c r="AC67" i="2"/>
  <c r="Z67" i="2"/>
  <c r="W67" i="2"/>
  <c r="T67" i="2"/>
  <c r="Q67" i="2"/>
  <c r="AY66" i="2"/>
  <c r="AS66" i="2"/>
  <c r="AR66" i="2"/>
  <c r="AO66" i="2"/>
  <c r="AL66" i="2"/>
  <c r="AI66" i="2"/>
  <c r="AF66" i="2"/>
  <c r="AC66" i="2"/>
  <c r="Z66" i="2"/>
  <c r="W66" i="2"/>
  <c r="T66" i="2"/>
  <c r="Q66" i="2"/>
  <c r="AY65" i="2"/>
  <c r="AS65" i="2"/>
  <c r="AR65" i="2"/>
  <c r="AO65" i="2"/>
  <c r="AL65" i="2"/>
  <c r="AI65" i="2"/>
  <c r="AF65" i="2"/>
  <c r="AC65" i="2"/>
  <c r="Z65" i="2"/>
  <c r="W65" i="2"/>
  <c r="T65" i="2"/>
  <c r="Q65" i="2"/>
  <c r="AY64" i="2"/>
  <c r="BA64" i="2" s="1"/>
  <c r="AS64" i="2"/>
  <c r="AT64" i="2"/>
  <c r="AO64" i="2"/>
  <c r="AL64" i="2"/>
  <c r="AI64" i="2"/>
  <c r="AF64" i="2"/>
  <c r="AC64" i="2"/>
  <c r="Z64" i="2"/>
  <c r="W64" i="2"/>
  <c r="T64" i="2"/>
  <c r="Q64" i="2"/>
  <c r="AY63" i="2"/>
  <c r="AS63" i="2"/>
  <c r="AT63" i="2"/>
  <c r="AO63" i="2"/>
  <c r="AL63" i="2"/>
  <c r="AI63" i="2"/>
  <c r="AF63" i="2"/>
  <c r="AC63" i="2"/>
  <c r="Z63" i="2"/>
  <c r="W63" i="2"/>
  <c r="T63" i="2"/>
  <c r="Q63" i="2"/>
  <c r="AY62" i="2"/>
  <c r="AS62" i="2"/>
  <c r="AO62" i="2"/>
  <c r="AL62" i="2"/>
  <c r="AI62" i="2"/>
  <c r="AF62" i="2"/>
  <c r="AC62" i="2"/>
  <c r="Z62" i="2"/>
  <c r="W62" i="2"/>
  <c r="T62" i="2"/>
  <c r="Q62" i="2"/>
  <c r="AR61" i="2"/>
  <c r="O61" i="2"/>
  <c r="P61" i="2" s="1"/>
  <c r="Q61" i="2" s="1"/>
  <c r="R61" i="2" s="1"/>
  <c r="S61" i="2" s="1"/>
  <c r="T61" i="2" s="1"/>
  <c r="U61" i="2" s="1"/>
  <c r="V61" i="2" s="1"/>
  <c r="W61" i="2" s="1"/>
  <c r="X61" i="2" s="1"/>
  <c r="Y61" i="2" s="1"/>
  <c r="Z61" i="2" s="1"/>
  <c r="AA61" i="2" s="1"/>
  <c r="AB61" i="2" s="1"/>
  <c r="AC61" i="2" s="1"/>
  <c r="AD61" i="2" s="1"/>
  <c r="AE61" i="2" s="1"/>
  <c r="AF61" i="2" s="1"/>
  <c r="AG61" i="2" s="1"/>
  <c r="AH61" i="2" s="1"/>
  <c r="AI61" i="2" s="1"/>
  <c r="AJ61" i="2" s="1"/>
  <c r="AK61" i="2" s="1"/>
  <c r="AY60" i="2"/>
  <c r="AS60" i="2"/>
  <c r="AT60" i="2"/>
  <c r="AO60" i="2"/>
  <c r="AL60" i="2"/>
  <c r="AI60" i="2"/>
  <c r="AF60" i="2"/>
  <c r="AC60" i="2"/>
  <c r="Z60" i="2"/>
  <c r="W60" i="2"/>
  <c r="T60" i="2"/>
  <c r="Q60" i="2"/>
  <c r="AY59" i="2"/>
  <c r="AS59" i="2"/>
  <c r="AR59" i="2"/>
  <c r="AO59" i="2"/>
  <c r="AL59" i="2"/>
  <c r="AI59" i="2"/>
  <c r="AF59" i="2"/>
  <c r="AC59" i="2"/>
  <c r="Z59" i="2"/>
  <c r="W59" i="2"/>
  <c r="T59" i="2"/>
  <c r="Q59" i="2"/>
  <c r="AY58" i="2"/>
  <c r="AT58" i="2"/>
  <c r="AS58" i="2"/>
  <c r="AR58" i="2"/>
  <c r="AO58" i="2"/>
  <c r="AL58" i="2"/>
  <c r="AI58" i="2"/>
  <c r="AF58" i="2"/>
  <c r="AC58" i="2"/>
  <c r="Z58" i="2"/>
  <c r="W58" i="2"/>
  <c r="T58" i="2"/>
  <c r="Q58" i="2"/>
  <c r="AY57" i="2"/>
  <c r="BA57" i="2" s="1"/>
  <c r="AS57" i="2"/>
  <c r="AT57" i="2"/>
  <c r="AO57" i="2"/>
  <c r="AL57" i="2"/>
  <c r="AI57" i="2"/>
  <c r="AF57" i="2"/>
  <c r="AC57" i="2"/>
  <c r="Z57" i="2"/>
  <c r="W57" i="2"/>
  <c r="T57" i="2"/>
  <c r="Q57" i="2"/>
  <c r="AY56" i="2"/>
  <c r="AS56" i="2"/>
  <c r="AT56" i="2"/>
  <c r="AY55" i="2"/>
  <c r="AS55" i="2"/>
  <c r="AT55" i="2"/>
  <c r="AO55" i="2"/>
  <c r="AL55" i="2"/>
  <c r="AI55" i="2"/>
  <c r="AR54" i="2"/>
  <c r="O54" i="2"/>
  <c r="P54" i="2" s="1"/>
  <c r="Q54" i="2" s="1"/>
  <c r="R54" i="2" s="1"/>
  <c r="S54" i="2" s="1"/>
  <c r="T54" i="2" s="1"/>
  <c r="U54" i="2" s="1"/>
  <c r="V54" i="2" s="1"/>
  <c r="W54" i="2" s="1"/>
  <c r="X54" i="2" s="1"/>
  <c r="Y54" i="2" s="1"/>
  <c r="Z54" i="2" s="1"/>
  <c r="AA54" i="2" s="1"/>
  <c r="AB54" i="2" s="1"/>
  <c r="AC54" i="2" s="1"/>
  <c r="AD54" i="2" s="1"/>
  <c r="AE54" i="2" s="1"/>
  <c r="AF54" i="2" s="1"/>
  <c r="AG54" i="2" s="1"/>
  <c r="AH54" i="2" s="1"/>
  <c r="AI54" i="2" s="1"/>
  <c r="AJ54" i="2" s="1"/>
  <c r="AK54" i="2" s="1"/>
  <c r="AY53" i="2"/>
  <c r="BA53" i="2" s="1"/>
  <c r="AT53" i="2"/>
  <c r="AS53" i="2"/>
  <c r="AR53" i="2"/>
  <c r="AO53" i="2"/>
  <c r="AL53" i="2"/>
  <c r="AI53" i="2"/>
  <c r="AF53" i="2"/>
  <c r="AC53" i="2"/>
  <c r="Z53" i="2"/>
  <c r="W53" i="2"/>
  <c r="T53" i="2"/>
  <c r="Q53" i="2"/>
  <c r="AY52" i="2"/>
  <c r="AT52" i="2"/>
  <c r="AS52" i="2"/>
  <c r="AR52" i="2"/>
  <c r="AO52" i="2"/>
  <c r="AY51" i="2"/>
  <c r="BA51" i="2" s="1"/>
  <c r="AT51" i="2"/>
  <c r="AS51" i="2"/>
  <c r="AR51" i="2"/>
  <c r="AO51" i="2"/>
  <c r="AL51" i="2"/>
  <c r="AI51" i="2"/>
  <c r="AF51" i="2"/>
  <c r="AC51" i="2"/>
  <c r="Z51" i="2"/>
  <c r="W51" i="2"/>
  <c r="T51" i="2"/>
  <c r="Q51" i="2"/>
  <c r="AY50" i="2"/>
  <c r="AT50" i="2"/>
  <c r="AS50" i="2"/>
  <c r="AR50" i="2"/>
  <c r="AO50" i="2"/>
  <c r="AL50" i="2"/>
  <c r="AI50" i="2"/>
  <c r="AF50" i="2"/>
  <c r="AC50" i="2"/>
  <c r="Z50" i="2"/>
  <c r="W50" i="2"/>
  <c r="T50" i="2"/>
  <c r="Q50" i="2"/>
  <c r="AY49" i="2"/>
  <c r="BA49" i="2" s="1"/>
  <c r="AS49" i="2"/>
  <c r="AR49" i="2"/>
  <c r="AO49" i="2"/>
  <c r="AL49" i="2"/>
  <c r="AI49" i="2"/>
  <c r="AF49" i="2"/>
  <c r="AC49" i="2"/>
  <c r="Z49" i="2"/>
  <c r="W49" i="2"/>
  <c r="T49" i="2"/>
  <c r="Q49" i="2"/>
  <c r="AY48" i="2"/>
  <c r="BA48" i="2" s="1"/>
  <c r="AS48" i="2"/>
  <c r="AT48" i="2"/>
  <c r="AO48" i="2"/>
  <c r="AL48" i="2"/>
  <c r="AI48" i="2"/>
  <c r="AF48" i="2"/>
  <c r="AC48" i="2"/>
  <c r="Z48" i="2"/>
  <c r="W48" i="2"/>
  <c r="T48" i="2"/>
  <c r="Q48" i="2"/>
  <c r="AY47" i="2"/>
  <c r="AS47" i="2"/>
  <c r="AT47" i="2"/>
  <c r="AO47" i="2"/>
  <c r="AL47" i="2"/>
  <c r="AI47" i="2"/>
  <c r="AF47" i="2"/>
  <c r="AC47" i="2"/>
  <c r="Z47" i="2"/>
  <c r="W47" i="2"/>
  <c r="T47" i="2"/>
  <c r="Q47" i="2"/>
  <c r="AY46" i="2"/>
  <c r="AS46" i="2"/>
  <c r="AT46" i="2"/>
  <c r="AO46" i="2"/>
  <c r="AL46" i="2"/>
  <c r="AI46" i="2"/>
  <c r="AF46" i="2"/>
  <c r="AC46" i="2"/>
  <c r="Z46" i="2"/>
  <c r="W46" i="2"/>
  <c r="T46" i="2"/>
  <c r="Q46" i="2"/>
  <c r="AY45" i="2"/>
  <c r="AS45" i="2"/>
  <c r="AR45" i="2"/>
  <c r="AO45" i="2"/>
  <c r="AL45" i="2"/>
  <c r="AI45" i="2"/>
  <c r="AF45" i="2"/>
  <c r="AC45" i="2"/>
  <c r="Z45" i="2"/>
  <c r="W45" i="2"/>
  <c r="T45" i="2"/>
  <c r="Q45" i="2"/>
  <c r="AY44" i="2"/>
  <c r="BA44" i="2" s="1"/>
  <c r="AS44" i="2"/>
  <c r="AO44" i="2"/>
  <c r="AL44" i="2"/>
  <c r="AI44" i="2"/>
  <c r="AF44" i="2"/>
  <c r="AC44" i="2"/>
  <c r="Z44" i="2"/>
  <c r="W44" i="2"/>
  <c r="T44" i="2"/>
  <c r="Q44" i="2"/>
  <c r="AY43" i="2"/>
  <c r="BA43" i="2" s="1"/>
  <c r="AS43" i="2"/>
  <c r="AR43" i="2"/>
  <c r="AO43" i="2"/>
  <c r="AL43" i="2"/>
  <c r="AI43" i="2"/>
  <c r="AF43" i="2"/>
  <c r="AC43" i="2"/>
  <c r="Z43" i="2"/>
  <c r="W43" i="2"/>
  <c r="T43" i="2"/>
  <c r="Q43" i="2"/>
  <c r="AY42" i="2"/>
  <c r="BA42" i="2" s="1"/>
  <c r="AS42" i="2"/>
  <c r="AT42" i="2"/>
  <c r="AO42" i="2"/>
  <c r="AL42" i="2"/>
  <c r="AI42" i="2"/>
  <c r="AF42" i="2"/>
  <c r="AC42" i="2"/>
  <c r="Z42" i="2"/>
  <c r="W42" i="2"/>
  <c r="T42" i="2"/>
  <c r="Q42" i="2"/>
  <c r="AY41" i="2"/>
  <c r="AS41" i="2"/>
  <c r="AO41" i="2"/>
  <c r="AL41" i="2"/>
  <c r="AI41" i="2"/>
  <c r="AF41" i="2"/>
  <c r="AC41" i="2"/>
  <c r="Z41" i="2"/>
  <c r="W41" i="2"/>
  <c r="T41" i="2"/>
  <c r="Q41" i="2"/>
  <c r="AY40" i="2"/>
  <c r="AS40" i="2"/>
  <c r="AR40" i="2"/>
  <c r="AO40" i="2"/>
  <c r="AL40" i="2"/>
  <c r="AI40" i="2"/>
  <c r="AF40" i="2"/>
  <c r="AC40" i="2"/>
  <c r="Z40" i="2"/>
  <c r="W40" i="2"/>
  <c r="T40" i="2"/>
  <c r="Q40" i="2"/>
  <c r="AY39" i="2"/>
  <c r="BA39" i="2" s="1"/>
  <c r="AS39" i="2"/>
  <c r="AR39" i="2"/>
  <c r="AO39" i="2"/>
  <c r="AL39" i="2"/>
  <c r="AI39" i="2"/>
  <c r="AF39" i="2"/>
  <c r="AC39" i="2"/>
  <c r="Z39" i="2"/>
  <c r="W39" i="2"/>
  <c r="T39" i="2"/>
  <c r="Q39" i="2"/>
  <c r="AY38" i="2"/>
  <c r="BA38" i="2" s="1"/>
  <c r="AS38" i="2"/>
  <c r="AT38" i="2"/>
  <c r="AO38" i="2"/>
  <c r="AL38" i="2"/>
  <c r="AI38" i="2"/>
  <c r="AF38" i="2"/>
  <c r="AC38" i="2"/>
  <c r="Z38" i="2"/>
  <c r="W38" i="2"/>
  <c r="T38" i="2"/>
  <c r="Q38" i="2"/>
  <c r="AY37" i="2"/>
  <c r="AS37" i="2"/>
  <c r="AO37" i="2"/>
  <c r="AL37" i="2"/>
  <c r="AI37" i="2"/>
  <c r="AF37" i="2"/>
  <c r="AC37" i="2"/>
  <c r="Z37" i="2"/>
  <c r="W37" i="2"/>
  <c r="T37" i="2"/>
  <c r="Q37" i="2"/>
  <c r="AY36" i="2"/>
  <c r="AS36" i="2"/>
  <c r="AR36" i="2"/>
  <c r="AO36" i="2"/>
  <c r="AL36" i="2"/>
  <c r="AI36" i="2"/>
  <c r="AF36" i="2"/>
  <c r="AC36" i="2"/>
  <c r="Z36" i="2"/>
  <c r="W36" i="2"/>
  <c r="T36" i="2"/>
  <c r="Q36" i="2"/>
  <c r="AY35" i="2"/>
  <c r="BA35" i="2" s="1"/>
  <c r="AS35" i="2"/>
  <c r="AR35" i="2"/>
  <c r="AO35" i="2"/>
  <c r="AL35" i="2"/>
  <c r="AI35" i="2"/>
  <c r="AF35" i="2"/>
  <c r="AC35" i="2"/>
  <c r="Z35" i="2"/>
  <c r="W35" i="2"/>
  <c r="T35" i="2"/>
  <c r="Q35" i="2"/>
  <c r="AY34" i="2"/>
  <c r="BA34" i="2" s="1"/>
  <c r="AS34" i="2"/>
  <c r="AT34" i="2"/>
  <c r="AO34" i="2"/>
  <c r="AL34" i="2"/>
  <c r="AI34" i="2"/>
  <c r="AF34" i="2"/>
  <c r="AC34" i="2"/>
  <c r="Z34" i="2"/>
  <c r="W34" i="2"/>
  <c r="T34" i="2"/>
  <c r="Q34" i="2"/>
  <c r="AY33" i="2"/>
  <c r="AS33" i="2"/>
  <c r="AO33" i="2"/>
  <c r="AL33" i="2"/>
  <c r="AI33" i="2"/>
  <c r="AF33" i="2"/>
  <c r="AC33" i="2"/>
  <c r="Z33" i="2"/>
  <c r="W33" i="2"/>
  <c r="T33" i="2"/>
  <c r="Q33" i="2"/>
  <c r="AY32" i="2"/>
  <c r="AT32" i="2"/>
  <c r="AS32" i="2"/>
  <c r="AR32" i="2"/>
  <c r="AO32" i="2"/>
  <c r="AL32" i="2"/>
  <c r="AI32" i="2"/>
  <c r="AF32" i="2"/>
  <c r="AC32" i="2"/>
  <c r="Z32" i="2"/>
  <c r="W32" i="2"/>
  <c r="T32" i="2"/>
  <c r="Q32" i="2"/>
  <c r="AY31" i="2"/>
  <c r="BA31" i="2" s="1"/>
  <c r="AS31" i="2"/>
  <c r="AR31" i="2"/>
  <c r="AO31" i="2"/>
  <c r="AL31" i="2"/>
  <c r="AI31" i="2"/>
  <c r="AF31" i="2"/>
  <c r="AC31" i="2"/>
  <c r="Z31" i="2"/>
  <c r="W31" i="2"/>
  <c r="T31" i="2"/>
  <c r="Q31" i="2"/>
  <c r="AR30" i="2"/>
  <c r="O30" i="2"/>
  <c r="P30" i="2" s="1"/>
  <c r="Q30" i="2" s="1"/>
  <c r="R30" i="2" s="1"/>
  <c r="AY29" i="2"/>
  <c r="AS29" i="2"/>
  <c r="AR29" i="2"/>
  <c r="AO29" i="2"/>
  <c r="AL29" i="2"/>
  <c r="AI29" i="2"/>
  <c r="AF29" i="2"/>
  <c r="AC29" i="2"/>
  <c r="Z29" i="2"/>
  <c r="W29" i="2"/>
  <c r="T29" i="2"/>
  <c r="Q29" i="2"/>
  <c r="AY28" i="2"/>
  <c r="AS28" i="2"/>
  <c r="AR28" i="2"/>
  <c r="AO28" i="2"/>
  <c r="AL28" i="2"/>
  <c r="AI28" i="2"/>
  <c r="AF28" i="2"/>
  <c r="AC28" i="2"/>
  <c r="Z28" i="2"/>
  <c r="W28" i="2"/>
  <c r="T28" i="2"/>
  <c r="Q28" i="2"/>
  <c r="AY27" i="2"/>
  <c r="BA27" i="2" s="1"/>
  <c r="AS27" i="2"/>
  <c r="AR27" i="2"/>
  <c r="AO27" i="2"/>
  <c r="AL27" i="2"/>
  <c r="AI27" i="2"/>
  <c r="AF27" i="2"/>
  <c r="AC27" i="2"/>
  <c r="Z27" i="2"/>
  <c r="W27" i="2"/>
  <c r="T27" i="2"/>
  <c r="Q27" i="2"/>
  <c r="AY26" i="2"/>
  <c r="AS26" i="2"/>
  <c r="AO26" i="2"/>
  <c r="AL26" i="2"/>
  <c r="AI26" i="2"/>
  <c r="AY25" i="2"/>
  <c r="BA25" i="2" s="1"/>
  <c r="AS25" i="2"/>
  <c r="AT25" i="2"/>
  <c r="AO25" i="2"/>
  <c r="AL25" i="2"/>
  <c r="AI25" i="2"/>
  <c r="AF25" i="2"/>
  <c r="AC25" i="2"/>
  <c r="Z25" i="2"/>
  <c r="W25" i="2"/>
  <c r="T25" i="2"/>
  <c r="Q25" i="2"/>
  <c r="AY24" i="2"/>
  <c r="AS24" i="2"/>
  <c r="AO24" i="2"/>
  <c r="AL24" i="2"/>
  <c r="AI24" i="2"/>
  <c r="AF24" i="2"/>
  <c r="AC24" i="2"/>
  <c r="Z24" i="2"/>
  <c r="W24" i="2"/>
  <c r="T24" i="2"/>
  <c r="Q24" i="2"/>
  <c r="AY23" i="2"/>
  <c r="AS23" i="2"/>
  <c r="AR23" i="2"/>
  <c r="AO23" i="2"/>
  <c r="AL23" i="2"/>
  <c r="AI23" i="2"/>
  <c r="AF23" i="2"/>
  <c r="AC23" i="2"/>
  <c r="Z23" i="2"/>
  <c r="W23" i="2"/>
  <c r="T23" i="2"/>
  <c r="Q23" i="2"/>
  <c r="AY22" i="2"/>
  <c r="BA22" i="2" s="1"/>
  <c r="AS22" i="2"/>
  <c r="AR22" i="2"/>
  <c r="AO22" i="2"/>
  <c r="AL22" i="2"/>
  <c r="AI22" i="2"/>
  <c r="AY21" i="2"/>
  <c r="AS21" i="2"/>
  <c r="AR21" i="2"/>
  <c r="AO21" i="2"/>
  <c r="AL21" i="2"/>
  <c r="AI21" i="2"/>
  <c r="AF21" i="2"/>
  <c r="AC21" i="2"/>
  <c r="Z21" i="2"/>
  <c r="W21" i="2"/>
  <c r="T21" i="2"/>
  <c r="Q21" i="2"/>
  <c r="AY20" i="2"/>
  <c r="BA20" i="2" s="1"/>
  <c r="AT20" i="2"/>
  <c r="AS20" i="2"/>
  <c r="AR20" i="2"/>
  <c r="AO20" i="2"/>
  <c r="AL20" i="2"/>
  <c r="AI20" i="2"/>
  <c r="AF20" i="2"/>
  <c r="AY19" i="2"/>
  <c r="AT19" i="2"/>
  <c r="AS19" i="2"/>
  <c r="AR19" i="2"/>
  <c r="AO19" i="2"/>
  <c r="AL19" i="2"/>
  <c r="AI19" i="2"/>
  <c r="AF19" i="2"/>
  <c r="AC19" i="2"/>
  <c r="Z19" i="2"/>
  <c r="W19" i="2"/>
  <c r="T19" i="2"/>
  <c r="Q19" i="2"/>
  <c r="AY18" i="2"/>
  <c r="BA18" i="2" s="1"/>
  <c r="AS18" i="2"/>
  <c r="AR18" i="2"/>
  <c r="AO18" i="2"/>
  <c r="AL18" i="2"/>
  <c r="AI18" i="2"/>
  <c r="AF18" i="2"/>
  <c r="AC18" i="2"/>
  <c r="Z18" i="2"/>
  <c r="W18" i="2"/>
  <c r="T18" i="2"/>
  <c r="Q18" i="2"/>
  <c r="AT17" i="2"/>
  <c r="AM17" i="2"/>
  <c r="AS17" i="2" s="1"/>
  <c r="AL17" i="2"/>
  <c r="AI17" i="2"/>
  <c r="AF17" i="2"/>
  <c r="AC17" i="2"/>
  <c r="Z17" i="2"/>
  <c r="W17" i="2"/>
  <c r="T17" i="2"/>
  <c r="Q17" i="2"/>
  <c r="AY16" i="2"/>
  <c r="BA16" i="2" s="1"/>
  <c r="AS16" i="2"/>
  <c r="AR16" i="2"/>
  <c r="AO16" i="2"/>
  <c r="AL16" i="2"/>
  <c r="AI16" i="2"/>
  <c r="AR15" i="2"/>
  <c r="AM15" i="2"/>
  <c r="AO15" i="2" s="1"/>
  <c r="AL15" i="2"/>
  <c r="AI15" i="2"/>
  <c r="AF15" i="2"/>
  <c r="AC15" i="2"/>
  <c r="Z15" i="2"/>
  <c r="W15" i="2"/>
  <c r="T15" i="2"/>
  <c r="Q15" i="2"/>
  <c r="AY14" i="2"/>
  <c r="AS14" i="2"/>
  <c r="AR14" i="2"/>
  <c r="AO14" i="2"/>
  <c r="AL14" i="2"/>
  <c r="AI14" i="2"/>
  <c r="AF14" i="2"/>
  <c r="AC14" i="2"/>
  <c r="Z14" i="2"/>
  <c r="W14" i="2"/>
  <c r="T14" i="2"/>
  <c r="Q14" i="2"/>
  <c r="AY13" i="2"/>
  <c r="BA13" i="2" s="1"/>
  <c r="AS13" i="2"/>
  <c r="AR13" i="2"/>
  <c r="AO13" i="2"/>
  <c r="AL13" i="2"/>
  <c r="AI13" i="2"/>
  <c r="AF13" i="2"/>
  <c r="AC13" i="2"/>
  <c r="Z13" i="2"/>
  <c r="W13" i="2"/>
  <c r="T13" i="2"/>
  <c r="Q13" i="2"/>
  <c r="AY12" i="2"/>
  <c r="AS12" i="2"/>
  <c r="AT12" i="2"/>
  <c r="AO12" i="2"/>
  <c r="AL12" i="2"/>
  <c r="AI12" i="2"/>
  <c r="AF12" i="2"/>
  <c r="AC12" i="2"/>
  <c r="Z12" i="2"/>
  <c r="W12" i="2"/>
  <c r="T12" i="2"/>
  <c r="Q12" i="2"/>
  <c r="AY11" i="2"/>
  <c r="BA11" i="2" s="1"/>
  <c r="AS11" i="2"/>
  <c r="AR11" i="2"/>
  <c r="AO11" i="2"/>
  <c r="AL11" i="2"/>
  <c r="AI11" i="2"/>
  <c r="AF11" i="2"/>
  <c r="AC11" i="2"/>
  <c r="Z11" i="2"/>
  <c r="W11" i="2"/>
  <c r="T11" i="2"/>
  <c r="Q11" i="2"/>
  <c r="AY10" i="2"/>
  <c r="AS10" i="2"/>
  <c r="AT10" i="2"/>
  <c r="AO10" i="2"/>
  <c r="AL10" i="2"/>
  <c r="AI10" i="2"/>
  <c r="AF10" i="2"/>
  <c r="AC10" i="2"/>
  <c r="Z10" i="2"/>
  <c r="W10" i="2"/>
  <c r="T10" i="2"/>
  <c r="Q10" i="2"/>
  <c r="BH7" i="2"/>
  <c r="BG7" i="2"/>
  <c r="BF7" i="2"/>
  <c r="BE7" i="2"/>
  <c r="BD7" i="2"/>
  <c r="BC7" i="2"/>
  <c r="AP7" i="2"/>
  <c r="AN7" i="2"/>
  <c r="N7" i="2"/>
  <c r="M7" i="2"/>
  <c r="AZ128" i="1"/>
  <c r="AZ148" i="1"/>
  <c r="AZ192" i="1"/>
  <c r="AZ175" i="1"/>
  <c r="AZ163" i="1"/>
  <c r="AZ92" i="1"/>
  <c r="AZ93" i="1"/>
  <c r="AZ271" i="1"/>
  <c r="AZ332" i="1"/>
  <c r="AZ328" i="1"/>
  <c r="AZ399" i="1"/>
  <c r="AZ409" i="1"/>
  <c r="AZ431" i="1"/>
  <c r="AZ429" i="1"/>
  <c r="AZ16" i="1"/>
  <c r="AY12" i="1"/>
  <c r="B427" i="6"/>
  <c r="F50" i="5"/>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2" i="5"/>
  <c r="AN9" i="1"/>
  <c r="AU52" i="2" l="1"/>
  <c r="AV68" i="2"/>
  <c r="AV71" i="2"/>
  <c r="AV34" i="2"/>
  <c r="AV19" i="2"/>
  <c r="AV46" i="2"/>
  <c r="AV47" i="2"/>
  <c r="AV48" i="2"/>
  <c r="AV50" i="2"/>
  <c r="AV12" i="2"/>
  <c r="AV32" i="2"/>
  <c r="AV55" i="2"/>
  <c r="AV60" i="2"/>
  <c r="AS15" i="2"/>
  <c r="AV52" i="2"/>
  <c r="AV53" i="2"/>
  <c r="AU31" i="2"/>
  <c r="AV58" i="2"/>
  <c r="AV63" i="2"/>
  <c r="AV64" i="2"/>
  <c r="AV67" i="2"/>
  <c r="AV86" i="2"/>
  <c r="AV17" i="2"/>
  <c r="AV51" i="2"/>
  <c r="AV77" i="2"/>
  <c r="AV80" i="2"/>
  <c r="AV10" i="2"/>
  <c r="AV20" i="2"/>
  <c r="AV38" i="2"/>
  <c r="AV83" i="2"/>
  <c r="AU20" i="2"/>
  <c r="AV25" i="2"/>
  <c r="AU39" i="2"/>
  <c r="AV42" i="2"/>
  <c r="AV56" i="2"/>
  <c r="AV57" i="2"/>
  <c r="AV84" i="2"/>
  <c r="AT16" i="2"/>
  <c r="AV16" i="2" s="1"/>
  <c r="AT27" i="2"/>
  <c r="AV27" i="2" s="1"/>
  <c r="AT36" i="2"/>
  <c r="AV36" i="2" s="1"/>
  <c r="AR57" i="2"/>
  <c r="AT75" i="2"/>
  <c r="AV75" i="2" s="1"/>
  <c r="AT15" i="2"/>
  <c r="AT21" i="2"/>
  <c r="AV21" i="2" s="1"/>
  <c r="AU22" i="2"/>
  <c r="AT22" i="2"/>
  <c r="AV22" i="2" s="1"/>
  <c r="AT69" i="2"/>
  <c r="AV69" i="2" s="1"/>
  <c r="AT73" i="2"/>
  <c r="AV73" i="2" s="1"/>
  <c r="AR80" i="2"/>
  <c r="AU80" i="2" s="1"/>
  <c r="AR17" i="2"/>
  <c r="AR25" i="2"/>
  <c r="AU25" i="2" s="1"/>
  <c r="AT40" i="2"/>
  <c r="AV40" i="2" s="1"/>
  <c r="AU57" i="2"/>
  <c r="AT65" i="2"/>
  <c r="AV65" i="2" s="1"/>
  <c r="AT88" i="2"/>
  <c r="AV88" i="2" s="1"/>
  <c r="AT13" i="2"/>
  <c r="AV13" i="2" s="1"/>
  <c r="AT29" i="2"/>
  <c r="AV29" i="2" s="1"/>
  <c r="AT45" i="2"/>
  <c r="AV45" i="2" s="1"/>
  <c r="AR56" i="2"/>
  <c r="AU56" i="2" s="1"/>
  <c r="AR64" i="2"/>
  <c r="AU64" i="2" s="1"/>
  <c r="AU76" i="2"/>
  <c r="BA10" i="2"/>
  <c r="BA60" i="2"/>
  <c r="BA65" i="2"/>
  <c r="BA88" i="2"/>
  <c r="S30" i="2"/>
  <c r="T30" i="2" s="1"/>
  <c r="U30" i="2" s="1"/>
  <c r="U7" i="2" s="1"/>
  <c r="R7" i="2"/>
  <c r="O7" i="2"/>
  <c r="AR10" i="2"/>
  <c r="AU10" i="2" s="1"/>
  <c r="AU16" i="2"/>
  <c r="BA24" i="2"/>
  <c r="BA28" i="2"/>
  <c r="AR46" i="2"/>
  <c r="AU46" i="2" s="1"/>
  <c r="BA46" i="2"/>
  <c r="AR48" i="2"/>
  <c r="AU48" i="2" s="1"/>
  <c r="BA66" i="2"/>
  <c r="BA76" i="2"/>
  <c r="AR84" i="2"/>
  <c r="AU84" i="2" s="1"/>
  <c r="AR86" i="2"/>
  <c r="AU86" i="2" s="1"/>
  <c r="Q7" i="2"/>
  <c r="AT18" i="2"/>
  <c r="AV18" i="2" s="1"/>
  <c r="BA19" i="2"/>
  <c r="AU13" i="2"/>
  <c r="AT14" i="2"/>
  <c r="AV14" i="2" s="1"/>
  <c r="AU18" i="2"/>
  <c r="AU23" i="2"/>
  <c r="BA26" i="2"/>
  <c r="AU28" i="2"/>
  <c r="AT28" i="2"/>
  <c r="AV28" i="2" s="1"/>
  <c r="BA33" i="2"/>
  <c r="BA37" i="2"/>
  <c r="BA41" i="2"/>
  <c r="AU49" i="2"/>
  <c r="AR55" i="2"/>
  <c r="AU55" i="2" s="1"/>
  <c r="AT59" i="2"/>
  <c r="AV59" i="2" s="1"/>
  <c r="AT66" i="2"/>
  <c r="AV66" i="2" s="1"/>
  <c r="BA67" i="2"/>
  <c r="BA72" i="2"/>
  <c r="BA74" i="2"/>
  <c r="BA77" i="2"/>
  <c r="BA87" i="2"/>
  <c r="BA89" i="2"/>
  <c r="AT90" i="2"/>
  <c r="AU14" i="2"/>
  <c r="BA14" i="2"/>
  <c r="AU51" i="2"/>
  <c r="BA59" i="2"/>
  <c r="BA63" i="2"/>
  <c r="BA78" i="2"/>
  <c r="AU15" i="2"/>
  <c r="AY15" i="2"/>
  <c r="BA15" i="2" s="1"/>
  <c r="AT23" i="2"/>
  <c r="AV23" i="2" s="1"/>
  <c r="AT31" i="2"/>
  <c r="AV31" i="2" s="1"/>
  <c r="AR34" i="2"/>
  <c r="AU34" i="2" s="1"/>
  <c r="AU35" i="2"/>
  <c r="AT35" i="2"/>
  <c r="AV35" i="2" s="1"/>
  <c r="BA36" i="2"/>
  <c r="AR38" i="2"/>
  <c r="AU38" i="2" s="1"/>
  <c r="AT39" i="2"/>
  <c r="AV39" i="2" s="1"/>
  <c r="AR42" i="2"/>
  <c r="AU42" i="2" s="1"/>
  <c r="AU43" i="2"/>
  <c r="AT43" i="2"/>
  <c r="AV43" i="2" s="1"/>
  <c r="BA47" i="2"/>
  <c r="AT49" i="2"/>
  <c r="AV49" i="2" s="1"/>
  <c r="BA55" i="2"/>
  <c r="BA58" i="2"/>
  <c r="AR63" i="2"/>
  <c r="AU63" i="2" s="1"/>
  <c r="AU67" i="2"/>
  <c r="AR68" i="2"/>
  <c r="AU68" i="2" s="1"/>
  <c r="AT70" i="2"/>
  <c r="AV70" i="2" s="1"/>
  <c r="BA85" i="2"/>
  <c r="BA91" i="2"/>
  <c r="AL54" i="2"/>
  <c r="AM54" i="2" s="1"/>
  <c r="AT54" i="2"/>
  <c r="AT61" i="2"/>
  <c r="AL61" i="2"/>
  <c r="AM61" i="2" s="1"/>
  <c r="AL81" i="2"/>
  <c r="AM81" i="2" s="1"/>
  <c r="AT81" i="2"/>
  <c r="AU29" i="2"/>
  <c r="AU88" i="2"/>
  <c r="BA21" i="2"/>
  <c r="AT26" i="2"/>
  <c r="AV26" i="2" s="1"/>
  <c r="AR26" i="2"/>
  <c r="AU26" i="2" s="1"/>
  <c r="AU27" i="2"/>
  <c r="BA32" i="2"/>
  <c r="AU36" i="2"/>
  <c r="AT37" i="2"/>
  <c r="AV37" i="2" s="1"/>
  <c r="AR37" i="2"/>
  <c r="AU37" i="2" s="1"/>
  <c r="BA40" i="2"/>
  <c r="AT44" i="2"/>
  <c r="AV44" i="2" s="1"/>
  <c r="AR44" i="2"/>
  <c r="AU44" i="2" s="1"/>
  <c r="AU87" i="2"/>
  <c r="AU11" i="2"/>
  <c r="BA12" i="2"/>
  <c r="AU19" i="2"/>
  <c r="P7" i="2"/>
  <c r="AR12" i="2"/>
  <c r="BA23" i="2"/>
  <c r="BA29" i="2"/>
  <c r="AU45" i="2"/>
  <c r="AU58" i="2"/>
  <c r="AR62" i="2"/>
  <c r="AU62" i="2" s="1"/>
  <c r="AT62" i="2"/>
  <c r="AV62" i="2" s="1"/>
  <c r="AU69" i="2"/>
  <c r="AU73" i="2"/>
  <c r="AT78" i="2"/>
  <c r="AV78" i="2" s="1"/>
  <c r="AR78" i="2"/>
  <c r="AU78" i="2" s="1"/>
  <c r="AT24" i="2"/>
  <c r="AV24" i="2" s="1"/>
  <c r="AR24" i="2"/>
  <c r="AU24" i="2" s="1"/>
  <c r="AT11" i="2"/>
  <c r="AV11" i="2" s="1"/>
  <c r="AY17" i="2"/>
  <c r="BA17" i="2" s="1"/>
  <c r="AO17" i="2"/>
  <c r="AU21" i="2"/>
  <c r="AU32" i="2"/>
  <c r="AT33" i="2"/>
  <c r="AV33" i="2" s="1"/>
  <c r="AR33" i="2"/>
  <c r="AU33" i="2" s="1"/>
  <c r="AU40" i="2"/>
  <c r="AT41" i="2"/>
  <c r="AV41" i="2" s="1"/>
  <c r="AR41" i="2"/>
  <c r="AU41" i="2" s="1"/>
  <c r="BA50" i="2"/>
  <c r="AU53" i="2"/>
  <c r="AU65" i="2"/>
  <c r="AU72" i="2"/>
  <c r="BA45" i="2"/>
  <c r="AU50" i="2"/>
  <c r="AU59" i="2"/>
  <c r="BA62" i="2"/>
  <c r="AU70" i="2"/>
  <c r="AT74" i="2"/>
  <c r="AV74" i="2" s="1"/>
  <c r="AR74" i="2"/>
  <c r="AU74" i="2" s="1"/>
  <c r="AT82" i="2"/>
  <c r="AV82" i="2" s="1"/>
  <c r="AR82" i="2"/>
  <c r="AU82" i="2" s="1"/>
  <c r="AT89" i="2"/>
  <c r="AV89" i="2" s="1"/>
  <c r="AR89" i="2"/>
  <c r="AU89" i="2" s="1"/>
  <c r="AR47" i="2"/>
  <c r="AU47" i="2" s="1"/>
  <c r="AR60" i="2"/>
  <c r="AU60" i="2" s="1"/>
  <c r="AU66" i="2"/>
  <c r="AR71" i="2"/>
  <c r="AU71" i="2" s="1"/>
  <c r="AU75" i="2"/>
  <c r="AU83" i="2"/>
  <c r="AT85" i="2"/>
  <c r="AV85" i="2" s="1"/>
  <c r="AR85" i="2"/>
  <c r="AU85" i="2" s="1"/>
  <c r="AU77" i="2"/>
  <c r="AT72" i="2"/>
  <c r="AV72" i="2" s="1"/>
  <c r="AT76" i="2"/>
  <c r="AV76" i="2" s="1"/>
  <c r="AT79" i="2"/>
  <c r="AV79" i="2" s="1"/>
  <c r="AT87" i="2"/>
  <c r="AV87" i="2" s="1"/>
  <c r="AS90" i="2"/>
  <c r="AT91" i="2"/>
  <c r="Q75" i="1"/>
  <c r="AS326" i="1"/>
  <c r="AS341" i="1"/>
  <c r="AS278" i="1"/>
  <c r="AS250" i="1"/>
  <c r="AS267" i="1"/>
  <c r="AQ326" i="1"/>
  <c r="AT326" i="1" s="1"/>
  <c r="AQ341" i="1"/>
  <c r="AT341" i="1" s="1"/>
  <c r="AQ278" i="1"/>
  <c r="AT278" i="1" s="1"/>
  <c r="AQ250" i="1"/>
  <c r="AT250" i="1" s="1"/>
  <c r="AQ267" i="1"/>
  <c r="AT267" i="1" s="1"/>
  <c r="AV15" i="2" l="1"/>
  <c r="S7" i="2"/>
  <c r="V30" i="2"/>
  <c r="V7" i="2" s="1"/>
  <c r="BA8" i="2"/>
  <c r="T7" i="2"/>
  <c r="BB90" i="2"/>
  <c r="BB7" i="2" s="1"/>
  <c r="AU17" i="2"/>
  <c r="AR7" i="2"/>
  <c r="AU12" i="2"/>
  <c r="AS54" i="2"/>
  <c r="AV54" i="2" s="1"/>
  <c r="AY54" i="2"/>
  <c r="AO54" i="2"/>
  <c r="AU54" i="2" s="1"/>
  <c r="AY81" i="2"/>
  <c r="AO81" i="2"/>
  <c r="AU81" i="2" s="1"/>
  <c r="AS81" i="2"/>
  <c r="AV81" i="2" s="1"/>
  <c r="AY61" i="2"/>
  <c r="AO61" i="2"/>
  <c r="AU61" i="2" s="1"/>
  <c r="AS61" i="2"/>
  <c r="AV61" i="2" s="1"/>
  <c r="AR278" i="1"/>
  <c r="AU278" i="1" s="1"/>
  <c r="AR341" i="1"/>
  <c r="AU341" i="1" s="1"/>
  <c r="AR267" i="1"/>
  <c r="AU267" i="1" s="1"/>
  <c r="AR326" i="1"/>
  <c r="AU326" i="1" s="1"/>
  <c r="AR250" i="1"/>
  <c r="AU250" i="1" s="1"/>
  <c r="W30" i="2" l="1"/>
  <c r="W7" i="2" s="1"/>
  <c r="X30" i="2" l="1"/>
  <c r="X7" i="2" s="1"/>
  <c r="AS13" i="1"/>
  <c r="AS207" i="1"/>
  <c r="AS14" i="1"/>
  <c r="AS18" i="1"/>
  <c r="AS15" i="1"/>
  <c r="AS21" i="1"/>
  <c r="AS37" i="1"/>
  <c r="AS26" i="1"/>
  <c r="AS20" i="1"/>
  <c r="AS23" i="1"/>
  <c r="AS30" i="1"/>
  <c r="AS31" i="1"/>
  <c r="AS35" i="1"/>
  <c r="AS36" i="1"/>
  <c r="AS24" i="1"/>
  <c r="AS90" i="1"/>
  <c r="AS40" i="1"/>
  <c r="AS41" i="1"/>
  <c r="AS55" i="1"/>
  <c r="AS42" i="1"/>
  <c r="AS53" i="1"/>
  <c r="AS16" i="1"/>
  <c r="AS50" i="1"/>
  <c r="AS34" i="1"/>
  <c r="AS52" i="1"/>
  <c r="AS47" i="1"/>
  <c r="AS49" i="1"/>
  <c r="AS25" i="1"/>
  <c r="AS43" i="1"/>
  <c r="AS54" i="1"/>
  <c r="AS60" i="1"/>
  <c r="AS67" i="1"/>
  <c r="AS38" i="1"/>
  <c r="AS101" i="1"/>
  <c r="AS69" i="1"/>
  <c r="AS65" i="1"/>
  <c r="AS28" i="1"/>
  <c r="AS73" i="1"/>
  <c r="AS22" i="1"/>
  <c r="AS39" i="1"/>
  <c r="AS80" i="1"/>
  <c r="AS398" i="1"/>
  <c r="AS74" i="1"/>
  <c r="AS86" i="1"/>
  <c r="AS29" i="1"/>
  <c r="AS79" i="1"/>
  <c r="AS71" i="1"/>
  <c r="AS59" i="1"/>
  <c r="AS115" i="1"/>
  <c r="AS45" i="1"/>
  <c r="AS85" i="1"/>
  <c r="AS117" i="1"/>
  <c r="AS405" i="1"/>
  <c r="AS84" i="1"/>
  <c r="AS89" i="1"/>
  <c r="AS61" i="1"/>
  <c r="AS57" i="1"/>
  <c r="AS87" i="1"/>
  <c r="AS33" i="1"/>
  <c r="AS91" i="1"/>
  <c r="AS51" i="1"/>
  <c r="AS94" i="1"/>
  <c r="AS319" i="1"/>
  <c r="AS96" i="1"/>
  <c r="AS97" i="1"/>
  <c r="AS70" i="1"/>
  <c r="AS72" i="1"/>
  <c r="AS169" i="1"/>
  <c r="AS76" i="1"/>
  <c r="AS98" i="1"/>
  <c r="AS220" i="1"/>
  <c r="AS99" i="1"/>
  <c r="AS44" i="1"/>
  <c r="AS100" i="1"/>
  <c r="AS62" i="1"/>
  <c r="AS161" i="1"/>
  <c r="AS106" i="1"/>
  <c r="AS108" i="1"/>
  <c r="AS110" i="1"/>
  <c r="AS105" i="1"/>
  <c r="AS144" i="1"/>
  <c r="AS116" i="1"/>
  <c r="AS68" i="1"/>
  <c r="AS123" i="1"/>
  <c r="AS95" i="1"/>
  <c r="AS77" i="1"/>
  <c r="AS48" i="1"/>
  <c r="AS131" i="1"/>
  <c r="AS102" i="1"/>
  <c r="AS132" i="1"/>
  <c r="AS88" i="1"/>
  <c r="AS66" i="1"/>
  <c r="AS104" i="1"/>
  <c r="AS107" i="1"/>
  <c r="AS120" i="1"/>
  <c r="AS124" i="1"/>
  <c r="AS125" i="1"/>
  <c r="AS129" i="1"/>
  <c r="AS134" i="1"/>
  <c r="AS133" i="1"/>
  <c r="AS138" i="1"/>
  <c r="AS139" i="1"/>
  <c r="AS141" i="1"/>
  <c r="AS320" i="1"/>
  <c r="AS143" i="1"/>
  <c r="AS145" i="1"/>
  <c r="AS146" i="1"/>
  <c r="AS130" i="1"/>
  <c r="AS149" i="1"/>
  <c r="AS150" i="1"/>
  <c r="AS151" i="1"/>
  <c r="AS159" i="1"/>
  <c r="AS154" i="1"/>
  <c r="AS155" i="1"/>
  <c r="AS112" i="1"/>
  <c r="AS174" i="1"/>
  <c r="AS142" i="1"/>
  <c r="AS393" i="1"/>
  <c r="AS158" i="1"/>
  <c r="AS140" i="1"/>
  <c r="AS165" i="1"/>
  <c r="AS147" i="1"/>
  <c r="AS168" i="1"/>
  <c r="AS122" i="1"/>
  <c r="AS137" i="1"/>
  <c r="AS172" i="1"/>
  <c r="AS152" i="1"/>
  <c r="AS163" i="1"/>
  <c r="AS119" i="1"/>
  <c r="AS164" i="1"/>
  <c r="AS162" i="1"/>
  <c r="AS173" i="1"/>
  <c r="AS175" i="1"/>
  <c r="AS160" i="1"/>
  <c r="AS177" i="1"/>
  <c r="AS136" i="1"/>
  <c r="AS178" i="1"/>
  <c r="AS180" i="1"/>
  <c r="AS182" i="1"/>
  <c r="AS183" i="1"/>
  <c r="AS166" i="1"/>
  <c r="AS186" i="1"/>
  <c r="AS135" i="1"/>
  <c r="AS185" i="1"/>
  <c r="AS193" i="1"/>
  <c r="AS195" i="1"/>
  <c r="AS179" i="1"/>
  <c r="AS157" i="1"/>
  <c r="AS153" i="1"/>
  <c r="AS198" i="1"/>
  <c r="AS199" i="1"/>
  <c r="AS200" i="1"/>
  <c r="AS201" i="1"/>
  <c r="AS189" i="1"/>
  <c r="AS103" i="1"/>
  <c r="AS202" i="1"/>
  <c r="AS225" i="1"/>
  <c r="AS181" i="1"/>
  <c r="AS222" i="1"/>
  <c r="AS197" i="1"/>
  <c r="AS204" i="1"/>
  <c r="AS205" i="1"/>
  <c r="AS208" i="1"/>
  <c r="AS121" i="1"/>
  <c r="AS210" i="1"/>
  <c r="AS188" i="1"/>
  <c r="AS245" i="1"/>
  <c r="AS212" i="1"/>
  <c r="AS214" i="1"/>
  <c r="AS217" i="1"/>
  <c r="AS203" i="1"/>
  <c r="AS206" i="1"/>
  <c r="AS190" i="1"/>
  <c r="AS213" i="1"/>
  <c r="AS191" i="1"/>
  <c r="AS218" i="1"/>
  <c r="AS211" i="1"/>
  <c r="AS221" i="1"/>
  <c r="AS224" i="1"/>
  <c r="AS227" i="1"/>
  <c r="AS223" i="1"/>
  <c r="AS226" i="1"/>
  <c r="AS228" i="1"/>
  <c r="AS244" i="1"/>
  <c r="AS229" i="1"/>
  <c r="AS230" i="1"/>
  <c r="AS231" i="1"/>
  <c r="AS232" i="1"/>
  <c r="AS233" i="1"/>
  <c r="AS234" i="1"/>
  <c r="AS235" i="1"/>
  <c r="AS236" i="1"/>
  <c r="AS237" i="1"/>
  <c r="AS433" i="1"/>
  <c r="AS238" i="1"/>
  <c r="AS239" i="1"/>
  <c r="AS240" i="1"/>
  <c r="AS27" i="1"/>
  <c r="AS241" i="1"/>
  <c r="AS257" i="1"/>
  <c r="AS118" i="1"/>
  <c r="AS192" i="1"/>
  <c r="AS247" i="1"/>
  <c r="AS259" i="1"/>
  <c r="AS248" i="1"/>
  <c r="AS249" i="1"/>
  <c r="AS246" i="1"/>
  <c r="AS196" i="1"/>
  <c r="AS253" i="1"/>
  <c r="AS254" i="1"/>
  <c r="AS170" i="1"/>
  <c r="AS184" i="1"/>
  <c r="AS256" i="1"/>
  <c r="AS343" i="1"/>
  <c r="AS258" i="1"/>
  <c r="AS260" i="1"/>
  <c r="AS261" i="1"/>
  <c r="AS265" i="1"/>
  <c r="AS194" i="1"/>
  <c r="AS264" i="1"/>
  <c r="AS287" i="1"/>
  <c r="AS209" i="1"/>
  <c r="AS219" i="1"/>
  <c r="AS279" i="1"/>
  <c r="AS268" i="1"/>
  <c r="AS299" i="1"/>
  <c r="AS306" i="1"/>
  <c r="AS282" i="1"/>
  <c r="AS276" i="1"/>
  <c r="AS317" i="1"/>
  <c r="AS156" i="1"/>
  <c r="AS280" i="1"/>
  <c r="AS281" i="1"/>
  <c r="AS284" i="1"/>
  <c r="AS285" i="1"/>
  <c r="AS288" i="1"/>
  <c r="AS290" i="1"/>
  <c r="AS291" i="1"/>
  <c r="AS296" i="1"/>
  <c r="AS294" i="1"/>
  <c r="AS295" i="1"/>
  <c r="AS307" i="1"/>
  <c r="AS301" i="1"/>
  <c r="AS113" i="1"/>
  <c r="AS303" i="1"/>
  <c r="AS315" i="1"/>
  <c r="AS324" i="1"/>
  <c r="AS308" i="1"/>
  <c r="AS309" i="1"/>
  <c r="AS322" i="1"/>
  <c r="AS114" i="1"/>
  <c r="AS314" i="1"/>
  <c r="AS313" i="1"/>
  <c r="AS406" i="1"/>
  <c r="AS318" i="1"/>
  <c r="AS331" i="1"/>
  <c r="AS325" i="1"/>
  <c r="AS381" i="1"/>
  <c r="AS327" i="1"/>
  <c r="AS321" i="1"/>
  <c r="AS344" i="1"/>
  <c r="AS330" i="1"/>
  <c r="AS337" i="1"/>
  <c r="AS385" i="1"/>
  <c r="AS334" i="1"/>
  <c r="AS340" i="1"/>
  <c r="AS382" i="1"/>
  <c r="AS336" i="1"/>
  <c r="AS338" i="1"/>
  <c r="AS425" i="1"/>
  <c r="AS345" i="1"/>
  <c r="AS349" i="1"/>
  <c r="AS350" i="1"/>
  <c r="AS351" i="1"/>
  <c r="AS352" i="1"/>
  <c r="AS353" i="1"/>
  <c r="AS354" i="1"/>
  <c r="AS355" i="1"/>
  <c r="AS356" i="1"/>
  <c r="AS357" i="1"/>
  <c r="AS358" i="1"/>
  <c r="AS359" i="1"/>
  <c r="AS360" i="1"/>
  <c r="AS361" i="1"/>
  <c r="AS362" i="1"/>
  <c r="AS363" i="1"/>
  <c r="AS364" i="1"/>
  <c r="AS365" i="1"/>
  <c r="AS366" i="1"/>
  <c r="AS367" i="1"/>
  <c r="AS368" i="1"/>
  <c r="AS369" i="1"/>
  <c r="AS370" i="1"/>
  <c r="AS371" i="1"/>
  <c r="AS372" i="1"/>
  <c r="AS373" i="1"/>
  <c r="AS374" i="1"/>
  <c r="AS375" i="1"/>
  <c r="AS376" i="1"/>
  <c r="AS377" i="1"/>
  <c r="AS378" i="1"/>
  <c r="AS379" i="1"/>
  <c r="AS384" i="1"/>
  <c r="AS383" i="1"/>
  <c r="AS420" i="1"/>
  <c r="AS386" i="1"/>
  <c r="AS389" i="1"/>
  <c r="AS64" i="1"/>
  <c r="AS46" i="1"/>
  <c r="AS242" i="1"/>
  <c r="AS411" i="1"/>
  <c r="AS395" i="1"/>
  <c r="AS78" i="1"/>
  <c r="AS400" i="1"/>
  <c r="AS401" i="1"/>
  <c r="AS417" i="1"/>
  <c r="AS404" i="1"/>
  <c r="AS407" i="1"/>
  <c r="AS416" i="1"/>
  <c r="AS408" i="1"/>
  <c r="AS391" i="1"/>
  <c r="AS423" i="1"/>
  <c r="AS415" i="1"/>
  <c r="AS418" i="1"/>
  <c r="AS75" i="1"/>
  <c r="AS421" i="1"/>
  <c r="AS426" i="1"/>
  <c r="AS432" i="1"/>
  <c r="AS434" i="1"/>
  <c r="AS438" i="1"/>
  <c r="AS414" i="1"/>
  <c r="AS436" i="1"/>
  <c r="AS439" i="1"/>
  <c r="AS441" i="1"/>
  <c r="AS58" i="1"/>
  <c r="AS81" i="1"/>
  <c r="AS82" i="1"/>
  <c r="AS128" i="1"/>
  <c r="AS148" i="1"/>
  <c r="AS390" i="1"/>
  <c r="AS93" i="1"/>
  <c r="AS12" i="1"/>
  <c r="AQ419" i="1"/>
  <c r="AT419" i="1" s="1"/>
  <c r="AQ396" i="1"/>
  <c r="AT396" i="1" s="1"/>
  <c r="AQ339" i="1"/>
  <c r="AT339" i="1" s="1"/>
  <c r="AQ390" i="1"/>
  <c r="AQ346" i="1"/>
  <c r="AT346" i="1" s="1"/>
  <c r="AQ402" i="1"/>
  <c r="AT402" i="1" s="1"/>
  <c r="AQ348" i="1"/>
  <c r="AT348" i="1" s="1"/>
  <c r="AQ428" i="1"/>
  <c r="AR428" i="1" s="1"/>
  <c r="AU428" i="1" s="1"/>
  <c r="AQ427" i="1"/>
  <c r="AT427" i="1" s="1"/>
  <c r="AQ92" i="1"/>
  <c r="AT92" i="1" s="1"/>
  <c r="AQ429" i="1"/>
  <c r="AT429" i="1" s="1"/>
  <c r="AQ431" i="1"/>
  <c r="AQ328" i="1"/>
  <c r="AT328" i="1" s="1"/>
  <c r="AQ435" i="1"/>
  <c r="AT435" i="1" s="1"/>
  <c r="AQ252" i="1"/>
  <c r="AT252" i="1" s="1"/>
  <c r="AQ332" i="1"/>
  <c r="AR332" i="1" s="1"/>
  <c r="AU332" i="1" s="1"/>
  <c r="AQ286" i="1"/>
  <c r="AT286" i="1" s="1"/>
  <c r="AQ380" i="1"/>
  <c r="AT380" i="1" s="1"/>
  <c r="AQ300" i="1"/>
  <c r="AT300" i="1" s="1"/>
  <c r="AQ251" i="1"/>
  <c r="AQ255" i="1"/>
  <c r="D175" i="9" s="1"/>
  <c r="E175" i="9" s="1"/>
  <c r="AQ243" i="1"/>
  <c r="AQ263" i="1"/>
  <c r="AQ289" i="1"/>
  <c r="AQ277" i="1"/>
  <c r="AQ304" i="1"/>
  <c r="AQ270" i="1"/>
  <c r="AQ302" i="1"/>
  <c r="AQ316" i="1"/>
  <c r="AQ272" i="1"/>
  <c r="AQ93" i="1"/>
  <c r="AQ293" i="1"/>
  <c r="AV15" i="7"/>
  <c r="AV16" i="7"/>
  <c r="AV17" i="7"/>
  <c r="AV18" i="7"/>
  <c r="AV19" i="7"/>
  <c r="AV20" i="7"/>
  <c r="AV21" i="7"/>
  <c r="AV22" i="7"/>
  <c r="AV23" i="7"/>
  <c r="AV24" i="7"/>
  <c r="AV25" i="7"/>
  <c r="AV26" i="7"/>
  <c r="AV27" i="7"/>
  <c r="AV28" i="7"/>
  <c r="AV29" i="7"/>
  <c r="AV30" i="7"/>
  <c r="AV31" i="7"/>
  <c r="AV32" i="7"/>
  <c r="AV33" i="7"/>
  <c r="AV34" i="7"/>
  <c r="AV35" i="7"/>
  <c r="AV36" i="7"/>
  <c r="AV37" i="7"/>
  <c r="AV38" i="7"/>
  <c r="AV39" i="7"/>
  <c r="AV40" i="7"/>
  <c r="AV41" i="7"/>
  <c r="AV42" i="7"/>
  <c r="AV43" i="7"/>
  <c r="AV44" i="7"/>
  <c r="AV45" i="7"/>
  <c r="AV46" i="7"/>
  <c r="AV47" i="7"/>
  <c r="AV48" i="7"/>
  <c r="AV49" i="7"/>
  <c r="AV50" i="7"/>
  <c r="AV51" i="7"/>
  <c r="AV52" i="7"/>
  <c r="AV53" i="7"/>
  <c r="AV54" i="7"/>
  <c r="AV55" i="7"/>
  <c r="AV56" i="7"/>
  <c r="AV57" i="7"/>
  <c r="AV58" i="7"/>
  <c r="AV59" i="7"/>
  <c r="AV60" i="7"/>
  <c r="AV61" i="7"/>
  <c r="AV62" i="7"/>
  <c r="AV63" i="7"/>
  <c r="AV64" i="7"/>
  <c r="AW64" i="7" s="1"/>
  <c r="AV65" i="7"/>
  <c r="AV66" i="7"/>
  <c r="AW66" i="7" s="1"/>
  <c r="AV67" i="7"/>
  <c r="AV68" i="7"/>
  <c r="AV69" i="7"/>
  <c r="AV70" i="7"/>
  <c r="AV71" i="7"/>
  <c r="AV72" i="7"/>
  <c r="AV73" i="7"/>
  <c r="AV74" i="7"/>
  <c r="AV75" i="7"/>
  <c r="AV76" i="7"/>
  <c r="AV77" i="7"/>
  <c r="AV78" i="7"/>
  <c r="AV79" i="7"/>
  <c r="AV80" i="7"/>
  <c r="AV81" i="7"/>
  <c r="AV82" i="7"/>
  <c r="AV83" i="7"/>
  <c r="AV84" i="7"/>
  <c r="AV85" i="7"/>
  <c r="AV86" i="7"/>
  <c r="AV87" i="7"/>
  <c r="AV88" i="7"/>
  <c r="AV89" i="7"/>
  <c r="AV90" i="7"/>
  <c r="AV91" i="7"/>
  <c r="AV92" i="7"/>
  <c r="AV93" i="7"/>
  <c r="AV94" i="7"/>
  <c r="AV95" i="7"/>
  <c r="AV96" i="7"/>
  <c r="AV97" i="7"/>
  <c r="AV98" i="7"/>
  <c r="AV99" i="7"/>
  <c r="AV100" i="7"/>
  <c r="AV101" i="7"/>
  <c r="AV102" i="7"/>
  <c r="AV103" i="7"/>
  <c r="AV104" i="7"/>
  <c r="AV105" i="7"/>
  <c r="AV106" i="7"/>
  <c r="AV107" i="7"/>
  <c r="AV108" i="7"/>
  <c r="AV109" i="7"/>
  <c r="AV110" i="7"/>
  <c r="AV111" i="7"/>
  <c r="AV112" i="7"/>
  <c r="AV113" i="7"/>
  <c r="AV114" i="7"/>
  <c r="AV115" i="7"/>
  <c r="AV116" i="7"/>
  <c r="AV117" i="7"/>
  <c r="AW117" i="7" s="1"/>
  <c r="AV118" i="7"/>
  <c r="AV119" i="7"/>
  <c r="AV120" i="7"/>
  <c r="AV121" i="7"/>
  <c r="AV122" i="7"/>
  <c r="AV123" i="7"/>
  <c r="AV124" i="7"/>
  <c r="AV125" i="7"/>
  <c r="AV126" i="7"/>
  <c r="AV127" i="7"/>
  <c r="AV128" i="7"/>
  <c r="AV129" i="7"/>
  <c r="AV130" i="7"/>
  <c r="AV131" i="7"/>
  <c r="AV132" i="7"/>
  <c r="AV133" i="7"/>
  <c r="AV134" i="7"/>
  <c r="AV135" i="7"/>
  <c r="AV136" i="7"/>
  <c r="AV137" i="7"/>
  <c r="AV138" i="7"/>
  <c r="AV139" i="7"/>
  <c r="AV140" i="7"/>
  <c r="AV141" i="7"/>
  <c r="AV142" i="7"/>
  <c r="AV143" i="7"/>
  <c r="AV144" i="7"/>
  <c r="AV145" i="7"/>
  <c r="AV146" i="7"/>
  <c r="AV147" i="7"/>
  <c r="AV148" i="7"/>
  <c r="AV149" i="7"/>
  <c r="AV150" i="7"/>
  <c r="AV151" i="7"/>
  <c r="AV152" i="7"/>
  <c r="AV153" i="7"/>
  <c r="AV154" i="7"/>
  <c r="AV155" i="7"/>
  <c r="AV156" i="7"/>
  <c r="AW156" i="7" s="1"/>
  <c r="AV157" i="7"/>
  <c r="AV158" i="7"/>
  <c r="AV159" i="7"/>
  <c r="AV160" i="7"/>
  <c r="AV161" i="7"/>
  <c r="AV162" i="7"/>
  <c r="AV163" i="7"/>
  <c r="AV164" i="7"/>
  <c r="AV165" i="7"/>
  <c r="AV166" i="7"/>
  <c r="AV167" i="7"/>
  <c r="AV168" i="7"/>
  <c r="AV169" i="7"/>
  <c r="AV170" i="7"/>
  <c r="AV171" i="7"/>
  <c r="AV172" i="7"/>
  <c r="AV173" i="7"/>
  <c r="AV174" i="7"/>
  <c r="AV175" i="7"/>
  <c r="AV176" i="7"/>
  <c r="AW176" i="7" s="1"/>
  <c r="AV177" i="7"/>
  <c r="AV178" i="7"/>
  <c r="AV179" i="7"/>
  <c r="AV180" i="7"/>
  <c r="AV181" i="7"/>
  <c r="AV182" i="7"/>
  <c r="AW182" i="7" s="1"/>
  <c r="AV183" i="7"/>
  <c r="AV184" i="7"/>
  <c r="AW184" i="7" s="1"/>
  <c r="AV185" i="7"/>
  <c r="AW185" i="7" s="1"/>
  <c r="AV186" i="7"/>
  <c r="AV187" i="7"/>
  <c r="AV188" i="7"/>
  <c r="AV189" i="7"/>
  <c r="AW189" i="7" s="1"/>
  <c r="AV190" i="7"/>
  <c r="AV191" i="7"/>
  <c r="AV192" i="7"/>
  <c r="AV193" i="7"/>
  <c r="AW193" i="7" s="1"/>
  <c r="AV194" i="7"/>
  <c r="AV195" i="7"/>
  <c r="AV196" i="7"/>
  <c r="AV197" i="7"/>
  <c r="AW197" i="7" s="1"/>
  <c r="AV198" i="7"/>
  <c r="AV199" i="7"/>
  <c r="AV200" i="7"/>
  <c r="AV201" i="7"/>
  <c r="AV202" i="7"/>
  <c r="AW202" i="7" s="1"/>
  <c r="AV203" i="7"/>
  <c r="AV204" i="7"/>
  <c r="AV205" i="7"/>
  <c r="AV206" i="7"/>
  <c r="AV207" i="7"/>
  <c r="AV208" i="7"/>
  <c r="AV209" i="7"/>
  <c r="AV210" i="7"/>
  <c r="AV211" i="7"/>
  <c r="AW211" i="7" s="1"/>
  <c r="AV212" i="7"/>
  <c r="AV213" i="7"/>
  <c r="AV214" i="7"/>
  <c r="AV215" i="7"/>
  <c r="AV216" i="7"/>
  <c r="AV217" i="7"/>
  <c r="AV218" i="7"/>
  <c r="AV219" i="7"/>
  <c r="AV220" i="7"/>
  <c r="AV221" i="7"/>
  <c r="AV222" i="7"/>
  <c r="AV223" i="7"/>
  <c r="AV224" i="7"/>
  <c r="AV225" i="7"/>
  <c r="AV226" i="7"/>
  <c r="AV227" i="7"/>
  <c r="AV228" i="7"/>
  <c r="AV229" i="7"/>
  <c r="AV230" i="7"/>
  <c r="AV231" i="7"/>
  <c r="AV232" i="7"/>
  <c r="AV233" i="7"/>
  <c r="AV234" i="7"/>
  <c r="AV235" i="7"/>
  <c r="AV236" i="7"/>
  <c r="AV237" i="7"/>
  <c r="AV238" i="7"/>
  <c r="AV239" i="7"/>
  <c r="AV240" i="7"/>
  <c r="AV241" i="7"/>
  <c r="AV242" i="7"/>
  <c r="AV243" i="7"/>
  <c r="AV244" i="7"/>
  <c r="AV245" i="7"/>
  <c r="AV246" i="7"/>
  <c r="AV247" i="7"/>
  <c r="AV248" i="7"/>
  <c r="AV249" i="7"/>
  <c r="AV250" i="7"/>
  <c r="AV251" i="7"/>
  <c r="AV252" i="7"/>
  <c r="AV253" i="7"/>
  <c r="AV254" i="7"/>
  <c r="AV255" i="7"/>
  <c r="AV256" i="7"/>
  <c r="AV257" i="7"/>
  <c r="AV258" i="7"/>
  <c r="AV259" i="7"/>
  <c r="AV260" i="7"/>
  <c r="AV261" i="7"/>
  <c r="AV262" i="7"/>
  <c r="AV263" i="7"/>
  <c r="AV264" i="7"/>
  <c r="AV265" i="7"/>
  <c r="AV266" i="7"/>
  <c r="AW266" i="7" s="1"/>
  <c r="AV267" i="7"/>
  <c r="AV268" i="7"/>
  <c r="AV269" i="7"/>
  <c r="AV270" i="7"/>
  <c r="AV271" i="7"/>
  <c r="AV272" i="7"/>
  <c r="AV273" i="7"/>
  <c r="AV274" i="7"/>
  <c r="AV275" i="7"/>
  <c r="AV276" i="7"/>
  <c r="AV277" i="7"/>
  <c r="AV278" i="7"/>
  <c r="AV279" i="7"/>
  <c r="AV280" i="7"/>
  <c r="AV281" i="7"/>
  <c r="AV282" i="7"/>
  <c r="AV283" i="7"/>
  <c r="AV284" i="7"/>
  <c r="AV285" i="7"/>
  <c r="AW285" i="7" s="1"/>
  <c r="AV286" i="7"/>
  <c r="AV287" i="7"/>
  <c r="AW287" i="7" s="1"/>
  <c r="AV288" i="7"/>
  <c r="AV289" i="7"/>
  <c r="AV290" i="7"/>
  <c r="AV291" i="7"/>
  <c r="AV292" i="7"/>
  <c r="AV293" i="7"/>
  <c r="AV294" i="7"/>
  <c r="AV295" i="7"/>
  <c r="AV296" i="7"/>
  <c r="AV297" i="7"/>
  <c r="AV298" i="7"/>
  <c r="AV299" i="7"/>
  <c r="AV300" i="7"/>
  <c r="AV301" i="7"/>
  <c r="AV302" i="7"/>
  <c r="AV303" i="7"/>
  <c r="AV304" i="7"/>
  <c r="AV305" i="7"/>
  <c r="AV306" i="7"/>
  <c r="AV307" i="7"/>
  <c r="AV308" i="7"/>
  <c r="AV309" i="7"/>
  <c r="AV310" i="7"/>
  <c r="AV311" i="7"/>
  <c r="AV312" i="7"/>
  <c r="AV313" i="7"/>
  <c r="AV314" i="7"/>
  <c r="AV315" i="7"/>
  <c r="AV316" i="7"/>
  <c r="AV317" i="7"/>
  <c r="AV318" i="7"/>
  <c r="AV319" i="7"/>
  <c r="AV320" i="7"/>
  <c r="AV321" i="7"/>
  <c r="AV322" i="7"/>
  <c r="AV323" i="7"/>
  <c r="AV324" i="7"/>
  <c r="AV325" i="7"/>
  <c r="AV326" i="7"/>
  <c r="AV327" i="7"/>
  <c r="AV328" i="7"/>
  <c r="AV329" i="7"/>
  <c r="AV330" i="7"/>
  <c r="AV331" i="7"/>
  <c r="AV332" i="7"/>
  <c r="AV333" i="7"/>
  <c r="AV334" i="7"/>
  <c r="AV335" i="7"/>
  <c r="AV336" i="7"/>
  <c r="AV337" i="7"/>
  <c r="AV338" i="7"/>
  <c r="AV339" i="7"/>
  <c r="AV340" i="7"/>
  <c r="AV341" i="7"/>
  <c r="AV342" i="7"/>
  <c r="AV343" i="7"/>
  <c r="AV344" i="7"/>
  <c r="AV345" i="7"/>
  <c r="AV346" i="7"/>
  <c r="AV347" i="7"/>
  <c r="AW347" i="7" s="1"/>
  <c r="AV348" i="7"/>
  <c r="AV349" i="7"/>
  <c r="AV350" i="7"/>
  <c r="AV351" i="7"/>
  <c r="AV352" i="7"/>
  <c r="AW352" i="7" s="1"/>
  <c r="AV353" i="7"/>
  <c r="AW353" i="7" s="1"/>
  <c r="AV354" i="7"/>
  <c r="AW354" i="7" s="1"/>
  <c r="AV355" i="7"/>
  <c r="AW355" i="7" s="1"/>
  <c r="AV356" i="7"/>
  <c r="AW356" i="7" s="1"/>
  <c r="AV357" i="7"/>
  <c r="AW357" i="7" s="1"/>
  <c r="AV358" i="7"/>
  <c r="AW358" i="7" s="1"/>
  <c r="AV359" i="7"/>
  <c r="AW359" i="7" s="1"/>
  <c r="AV360" i="7"/>
  <c r="AW360" i="7" s="1"/>
  <c r="AV361" i="7"/>
  <c r="AV362" i="7"/>
  <c r="AW362" i="7" s="1"/>
  <c r="AV363" i="7"/>
  <c r="AV364" i="7"/>
  <c r="AW364" i="7" s="1"/>
  <c r="AV365" i="7"/>
  <c r="AW365" i="7" s="1"/>
  <c r="AV366" i="7"/>
  <c r="AW366" i="7" s="1"/>
  <c r="AV367" i="7"/>
  <c r="AW367" i="7" s="1"/>
  <c r="AV368" i="7"/>
  <c r="AW368" i="7" s="1"/>
  <c r="AV369" i="7"/>
  <c r="AW369" i="7" s="1"/>
  <c r="AV370" i="7"/>
  <c r="AW370" i="7" s="1"/>
  <c r="AV371" i="7"/>
  <c r="AW371" i="7" s="1"/>
  <c r="AV372" i="7"/>
  <c r="AV373" i="7"/>
  <c r="AV374" i="7"/>
  <c r="AV375" i="7"/>
  <c r="AV376" i="7"/>
  <c r="AV377" i="7"/>
  <c r="AV378" i="7"/>
  <c r="AV379" i="7"/>
  <c r="AV380" i="7"/>
  <c r="AV381" i="7"/>
  <c r="AV382" i="7"/>
  <c r="AV383" i="7"/>
  <c r="AV384" i="7"/>
  <c r="AV385" i="7"/>
  <c r="AV386" i="7"/>
  <c r="AV387" i="7"/>
  <c r="AV388" i="7"/>
  <c r="AV389" i="7"/>
  <c r="AV390" i="7"/>
  <c r="AV391" i="7"/>
  <c r="AV392" i="7"/>
  <c r="AV393" i="7"/>
  <c r="AV394" i="7"/>
  <c r="AV395" i="7"/>
  <c r="AV396" i="7"/>
  <c r="AV397" i="7"/>
  <c r="AV398" i="7"/>
  <c r="AV399" i="7"/>
  <c r="AV400" i="7"/>
  <c r="AV401" i="7"/>
  <c r="AV402" i="7"/>
  <c r="AV403" i="7"/>
  <c r="AV404" i="7"/>
  <c r="AV405" i="7"/>
  <c r="AV406" i="7"/>
  <c r="AV407" i="7"/>
  <c r="AV408" i="7"/>
  <c r="AV409" i="7"/>
  <c r="AV410" i="7"/>
  <c r="AV411" i="7"/>
  <c r="AV412" i="7"/>
  <c r="AV413" i="7"/>
  <c r="AV414" i="7"/>
  <c r="AV415" i="7"/>
  <c r="AV416" i="7"/>
  <c r="AV417" i="7"/>
  <c r="AV418" i="7"/>
  <c r="AV419" i="7"/>
  <c r="AV420" i="7"/>
  <c r="AV421" i="7"/>
  <c r="AV422" i="7"/>
  <c r="AV423" i="7"/>
  <c r="AV424" i="7"/>
  <c r="AV425" i="7"/>
  <c r="AV426" i="7"/>
  <c r="AV427" i="7"/>
  <c r="AV428" i="7"/>
  <c r="AV429" i="7"/>
  <c r="AV430" i="7"/>
  <c r="AV431" i="7"/>
  <c r="AV432" i="7"/>
  <c r="AV433" i="7"/>
  <c r="AV434" i="7"/>
  <c r="AV435" i="7"/>
  <c r="AV436" i="7"/>
  <c r="AV437" i="7"/>
  <c r="AV438" i="7"/>
  <c r="AV439" i="7"/>
  <c r="AV440" i="7"/>
  <c r="AV441" i="7"/>
  <c r="AV442" i="7"/>
  <c r="AV443" i="7"/>
  <c r="AV444" i="7"/>
  <c r="AV445" i="7"/>
  <c r="AV446" i="7"/>
  <c r="AV447" i="7"/>
  <c r="AV448" i="7"/>
  <c r="AV449" i="7"/>
  <c r="AV450" i="7"/>
  <c r="AV451" i="7"/>
  <c r="AV452" i="7"/>
  <c r="AV453" i="7"/>
  <c r="AV454" i="7"/>
  <c r="AV455" i="7"/>
  <c r="AV456" i="7"/>
  <c r="AV457" i="7"/>
  <c r="AV458" i="7"/>
  <c r="AV459" i="7"/>
  <c r="AV460" i="7"/>
  <c r="AV461" i="7"/>
  <c r="AV462" i="7"/>
  <c r="AV463" i="7"/>
  <c r="AV464" i="7"/>
  <c r="AV465" i="7"/>
  <c r="AV466" i="7"/>
  <c r="AV467" i="7"/>
  <c r="AV468" i="7"/>
  <c r="AV469" i="7"/>
  <c r="AV470" i="7"/>
  <c r="AV471" i="7"/>
  <c r="AV472" i="7"/>
  <c r="AV473" i="7"/>
  <c r="AV474" i="7"/>
  <c r="AV475" i="7"/>
  <c r="AV476" i="7"/>
  <c r="AV477" i="7"/>
  <c r="AV478" i="7"/>
  <c r="AV479" i="7"/>
  <c r="AV480" i="7"/>
  <c r="AV481" i="7"/>
  <c r="AV482" i="7"/>
  <c r="AV483" i="7"/>
  <c r="AV484" i="7"/>
  <c r="AV485" i="7"/>
  <c r="AV486" i="7"/>
  <c r="AV487" i="7"/>
  <c r="AV488" i="7"/>
  <c r="AV489" i="7"/>
  <c r="AV490" i="7"/>
  <c r="AV491" i="7"/>
  <c r="AV492" i="7"/>
  <c r="AV493" i="7"/>
  <c r="AV494" i="7"/>
  <c r="AV495" i="7"/>
  <c r="AV496" i="7"/>
  <c r="AV497" i="7"/>
  <c r="AV498" i="7"/>
  <c r="AV499" i="7"/>
  <c r="AV500" i="7"/>
  <c r="AV501" i="7"/>
  <c r="AV502" i="7"/>
  <c r="AV503" i="7"/>
  <c r="AV504" i="7"/>
  <c r="AV505" i="7"/>
  <c r="AV506" i="7"/>
  <c r="AV507" i="7"/>
  <c r="AV508" i="7"/>
  <c r="AV509" i="7"/>
  <c r="AV510" i="7"/>
  <c r="AW510" i="7" s="1"/>
  <c r="AV511" i="7"/>
  <c r="AV512" i="7"/>
  <c r="AW512" i="7" s="1"/>
  <c r="AV513" i="7"/>
  <c r="AW513" i="7" s="1"/>
  <c r="AV514" i="7"/>
  <c r="AV515" i="7"/>
  <c r="AV516" i="7"/>
  <c r="AV517" i="7"/>
  <c r="AV518" i="7"/>
  <c r="AV519" i="7"/>
  <c r="AV520" i="7"/>
  <c r="AV521" i="7"/>
  <c r="AV522" i="7"/>
  <c r="AV523" i="7"/>
  <c r="AV524" i="7"/>
  <c r="AV525" i="7"/>
  <c r="AV526" i="7"/>
  <c r="AV527" i="7"/>
  <c r="AV528" i="7"/>
  <c r="AV529" i="7"/>
  <c r="AV530" i="7"/>
  <c r="AV531" i="7"/>
  <c r="AV532" i="7"/>
  <c r="AV533" i="7"/>
  <c r="AV534" i="7"/>
  <c r="AV535" i="7"/>
  <c r="AV536" i="7"/>
  <c r="AV537" i="7"/>
  <c r="AV538" i="7"/>
  <c r="AV539" i="7"/>
  <c r="AV540" i="7"/>
  <c r="AV541" i="7"/>
  <c r="AV542" i="7"/>
  <c r="AV543" i="7"/>
  <c r="AW543" i="7" s="1"/>
  <c r="AV544" i="7"/>
  <c r="AW544" i="7" s="1"/>
  <c r="AV545" i="7"/>
  <c r="AW545" i="7" s="1"/>
  <c r="AV546" i="7"/>
  <c r="AV547" i="7"/>
  <c r="AW547" i="7" s="1"/>
  <c r="AV548" i="7"/>
  <c r="AV549" i="7"/>
  <c r="AW549" i="7" s="1"/>
  <c r="AV550" i="7"/>
  <c r="AV551" i="7"/>
  <c r="AW551" i="7" s="1"/>
  <c r="AV552" i="7"/>
  <c r="AV553" i="7"/>
  <c r="AW553" i="7" s="1"/>
  <c r="AV554" i="7"/>
  <c r="AV555" i="7"/>
  <c r="AV556" i="7"/>
  <c r="AV557" i="7"/>
  <c r="AV558" i="7"/>
  <c r="AV559" i="7"/>
  <c r="AV560" i="7"/>
  <c r="AV561" i="7"/>
  <c r="AV562" i="7"/>
  <c r="AV563" i="7"/>
  <c r="AV564" i="7"/>
  <c r="AV565" i="7"/>
  <c r="AV566" i="7"/>
  <c r="AV567" i="7"/>
  <c r="AV568" i="7"/>
  <c r="AV569" i="7"/>
  <c r="AV570" i="7"/>
  <c r="AV571" i="7"/>
  <c r="AV572" i="7"/>
  <c r="AV573" i="7"/>
  <c r="AV574" i="7"/>
  <c r="AV575" i="7"/>
  <c r="AV576" i="7"/>
  <c r="AV577" i="7"/>
  <c r="AV578" i="7"/>
  <c r="AV579" i="7"/>
  <c r="AV580" i="7"/>
  <c r="AV581" i="7"/>
  <c r="AV582" i="7"/>
  <c r="AV583" i="7"/>
  <c r="AV584" i="7"/>
  <c r="AV585" i="7"/>
  <c r="AV586" i="7"/>
  <c r="AV587" i="7"/>
  <c r="AV588" i="7"/>
  <c r="AV589" i="7"/>
  <c r="AV590" i="7"/>
  <c r="AV591" i="7"/>
  <c r="AV592" i="7"/>
  <c r="AV593" i="7"/>
  <c r="AV594" i="7"/>
  <c r="AW594" i="7" s="1"/>
  <c r="AV595" i="7"/>
  <c r="AV596" i="7"/>
  <c r="AV597" i="7"/>
  <c r="AW597" i="7" s="1"/>
  <c r="AV598" i="7"/>
  <c r="AV599" i="7"/>
  <c r="AW599" i="7" s="1"/>
  <c r="AV600" i="7"/>
  <c r="AV601" i="7"/>
  <c r="AV602" i="7"/>
  <c r="AW602" i="7" s="1"/>
  <c r="AV603" i="7"/>
  <c r="AV604" i="7"/>
  <c r="AW604" i="7" s="1"/>
  <c r="AV605" i="7"/>
  <c r="AV606" i="7"/>
  <c r="AW606" i="7" s="1"/>
  <c r="AV607" i="7"/>
  <c r="AV608" i="7"/>
  <c r="AV609" i="7"/>
  <c r="AW609" i="7" s="1"/>
  <c r="AV610" i="7"/>
  <c r="AV611" i="7"/>
  <c r="AV612" i="7"/>
  <c r="AW612" i="7" s="1"/>
  <c r="AV613" i="7"/>
  <c r="AV614" i="7"/>
  <c r="AW614" i="7" s="1"/>
  <c r="AV615" i="7"/>
  <c r="AV616" i="7"/>
  <c r="AV617" i="7"/>
  <c r="AW617" i="7" s="1"/>
  <c r="AV618" i="7"/>
  <c r="AW618" i="7" s="1"/>
  <c r="AV619" i="7"/>
  <c r="AV620" i="7"/>
  <c r="AV621" i="7"/>
  <c r="AV622" i="7"/>
  <c r="AV623" i="7"/>
  <c r="AV624" i="7"/>
  <c r="AV625" i="7"/>
  <c r="AV626" i="7"/>
  <c r="AV627" i="7"/>
  <c r="AV628" i="7"/>
  <c r="AV629" i="7"/>
  <c r="AV630" i="7"/>
  <c r="AV631" i="7"/>
  <c r="AV632" i="7"/>
  <c r="AV633" i="7"/>
  <c r="AV634" i="7"/>
  <c r="AV635" i="7"/>
  <c r="AV636" i="7"/>
  <c r="AV637" i="7"/>
  <c r="AV638" i="7"/>
  <c r="AV639" i="7"/>
  <c r="AV640" i="7"/>
  <c r="AV641" i="7"/>
  <c r="AV642" i="7"/>
  <c r="AV643" i="7"/>
  <c r="AV644" i="7"/>
  <c r="AV645" i="7"/>
  <c r="AV646" i="7"/>
  <c r="AV647" i="7"/>
  <c r="AV648" i="7"/>
  <c r="AV649" i="7"/>
  <c r="AV650" i="7"/>
  <c r="AV651" i="7"/>
  <c r="AV652" i="7"/>
  <c r="AV653" i="7"/>
  <c r="AV654" i="7"/>
  <c r="AV655" i="7"/>
  <c r="AV656" i="7"/>
  <c r="AW656" i="7" s="1"/>
  <c r="AV657" i="7"/>
  <c r="AV658" i="7"/>
  <c r="AV659" i="7"/>
  <c r="AV660" i="7"/>
  <c r="AV661" i="7"/>
  <c r="AV662" i="7"/>
  <c r="AV663" i="7"/>
  <c r="AV664" i="7"/>
  <c r="AV665" i="7"/>
  <c r="AV666" i="7"/>
  <c r="AV667" i="7"/>
  <c r="AW667" i="7" s="1"/>
  <c r="AV668" i="7"/>
  <c r="AV669" i="7"/>
  <c r="AV670" i="7"/>
  <c r="AV671" i="7"/>
  <c r="AV672" i="7"/>
  <c r="AV673" i="7"/>
  <c r="AV674" i="7"/>
  <c r="AV675" i="7"/>
  <c r="AV676" i="7"/>
  <c r="AV677" i="7"/>
  <c r="AV678" i="7"/>
  <c r="AV679" i="7"/>
  <c r="AV680" i="7"/>
  <c r="AV681" i="7"/>
  <c r="AV682" i="7"/>
  <c r="AV683" i="7"/>
  <c r="AV684" i="7"/>
  <c r="AV685" i="7"/>
  <c r="AV686" i="7"/>
  <c r="AV687" i="7"/>
  <c r="AV688" i="7"/>
  <c r="AV689" i="7"/>
  <c r="AV690" i="7"/>
  <c r="AV691" i="7"/>
  <c r="AV692" i="7"/>
  <c r="AV693" i="7"/>
  <c r="AV694" i="7"/>
  <c r="AV695" i="7"/>
  <c r="AV696" i="7"/>
  <c r="AV697" i="7"/>
  <c r="AV698" i="7"/>
  <c r="AV699" i="7"/>
  <c r="AV700" i="7"/>
  <c r="AV701" i="7"/>
  <c r="AV702" i="7"/>
  <c r="AV703" i="7"/>
  <c r="AV704" i="7"/>
  <c r="AV705" i="7"/>
  <c r="AV706" i="7"/>
  <c r="AV707" i="7"/>
  <c r="AV708" i="7"/>
  <c r="AV709" i="7"/>
  <c r="AV710" i="7"/>
  <c r="AV711" i="7"/>
  <c r="AV712" i="7"/>
  <c r="AV713" i="7"/>
  <c r="AV714" i="7"/>
  <c r="AV715" i="7"/>
  <c r="AV716" i="7"/>
  <c r="AV717" i="7"/>
  <c r="AV718" i="7"/>
  <c r="AV719" i="7"/>
  <c r="AV720" i="7"/>
  <c r="AV721" i="7"/>
  <c r="AV722" i="7"/>
  <c r="AV723" i="7"/>
  <c r="AV724" i="7"/>
  <c r="AV725" i="7"/>
  <c r="AV726" i="7"/>
  <c r="AV727" i="7"/>
  <c r="AV728" i="7"/>
  <c r="AV729" i="7"/>
  <c r="AV730" i="7"/>
  <c r="AV731" i="7"/>
  <c r="AV732" i="7"/>
  <c r="AV733" i="7"/>
  <c r="AV734" i="7"/>
  <c r="AV735" i="7"/>
  <c r="AV736" i="7"/>
  <c r="AV737" i="7"/>
  <c r="AV738" i="7"/>
  <c r="AW738" i="7" s="1"/>
  <c r="AV739" i="7"/>
  <c r="AV740" i="7"/>
  <c r="AV741" i="7"/>
  <c r="AV742" i="7"/>
  <c r="AV743" i="7"/>
  <c r="AV744" i="7"/>
  <c r="AV745" i="7"/>
  <c r="AV746" i="7"/>
  <c r="AV747" i="7"/>
  <c r="AV748" i="7"/>
  <c r="AV749" i="7"/>
  <c r="AV750" i="7"/>
  <c r="AV751" i="7"/>
  <c r="AV752" i="7"/>
  <c r="AV753" i="7"/>
  <c r="AV754" i="7"/>
  <c r="AV755" i="7"/>
  <c r="AV756" i="7"/>
  <c r="AV757" i="7"/>
  <c r="AV758" i="7"/>
  <c r="AV759" i="7"/>
  <c r="AV760" i="7"/>
  <c r="AV761" i="7"/>
  <c r="AV762" i="7"/>
  <c r="AV763" i="7"/>
  <c r="AV764" i="7"/>
  <c r="AV765" i="7"/>
  <c r="AV766" i="7"/>
  <c r="AV767" i="7"/>
  <c r="AV768" i="7"/>
  <c r="AV769" i="7"/>
  <c r="AV770" i="7"/>
  <c r="AW770" i="7" s="1"/>
  <c r="AV771" i="7"/>
  <c r="AV772" i="7"/>
  <c r="AV773" i="7"/>
  <c r="AV774" i="7"/>
  <c r="AV775" i="7"/>
  <c r="AV776" i="7"/>
  <c r="AV777" i="7"/>
  <c r="AV778" i="7"/>
  <c r="AV779" i="7"/>
  <c r="AV780" i="7"/>
  <c r="AV781" i="7"/>
  <c r="AV782" i="7"/>
  <c r="AV783" i="7"/>
  <c r="AW783" i="7" s="1"/>
  <c r="AV784" i="7"/>
  <c r="AV785" i="7"/>
  <c r="AV786" i="7"/>
  <c r="AV787" i="7"/>
  <c r="AV788" i="7"/>
  <c r="AV789" i="7"/>
  <c r="AW789" i="7" s="1"/>
  <c r="AV790" i="7"/>
  <c r="AV791" i="7"/>
  <c r="AV792" i="7"/>
  <c r="AV793" i="7"/>
  <c r="AV794" i="7"/>
  <c r="AV795" i="7"/>
  <c r="AW795" i="7" s="1"/>
  <c r="AV796" i="7"/>
  <c r="AV797" i="7"/>
  <c r="AV798" i="7"/>
  <c r="AW798" i="7" s="1"/>
  <c r="AV799" i="7"/>
  <c r="AV800" i="7"/>
  <c r="AV801" i="7"/>
  <c r="AV802" i="7"/>
  <c r="AV803" i="7"/>
  <c r="AV804" i="7"/>
  <c r="AV805" i="7"/>
  <c r="AV806" i="7"/>
  <c r="AV807" i="7"/>
  <c r="AW807" i="7" s="1"/>
  <c r="AV808" i="7"/>
  <c r="AV809" i="7"/>
  <c r="AV810" i="7"/>
  <c r="AV811" i="7"/>
  <c r="AV812" i="7"/>
  <c r="AV813" i="7"/>
  <c r="AV814" i="7"/>
  <c r="AV815" i="7"/>
  <c r="AV816" i="7"/>
  <c r="AV817" i="7"/>
  <c r="AV818" i="7"/>
  <c r="AV819" i="7"/>
  <c r="AW819" i="7" s="1"/>
  <c r="AV820" i="7"/>
  <c r="AV821" i="7"/>
  <c r="AW821" i="7" s="1"/>
  <c r="AV822" i="7"/>
  <c r="AV823" i="7"/>
  <c r="AW823" i="7" s="1"/>
  <c r="AV824" i="7"/>
  <c r="AV825" i="7"/>
  <c r="AV826" i="7"/>
  <c r="AV827" i="7"/>
  <c r="AV828" i="7"/>
  <c r="AW828" i="7" s="1"/>
  <c r="AV829" i="7"/>
  <c r="AV830" i="7"/>
  <c r="AV831" i="7"/>
  <c r="AV832" i="7"/>
  <c r="AV833" i="7"/>
  <c r="AV834" i="7"/>
  <c r="AV835" i="7"/>
  <c r="AW835" i="7" s="1"/>
  <c r="AV836" i="7"/>
  <c r="AV837" i="7"/>
  <c r="AV838" i="7"/>
  <c r="AV839" i="7"/>
  <c r="AV840" i="7"/>
  <c r="AV841" i="7"/>
  <c r="AV842" i="7"/>
  <c r="AV843" i="7"/>
  <c r="AV844" i="7"/>
  <c r="AW844" i="7" s="1"/>
  <c r="AV845" i="7"/>
  <c r="AV846" i="7"/>
  <c r="AV847" i="7"/>
  <c r="AV848" i="7"/>
  <c r="AW848" i="7" s="1"/>
  <c r="AV849" i="7"/>
  <c r="AV850" i="7"/>
  <c r="AV851" i="7"/>
  <c r="AV852" i="7"/>
  <c r="AV853" i="7"/>
  <c r="AV854" i="7"/>
  <c r="AV855" i="7"/>
  <c r="AV856" i="7"/>
  <c r="AV857" i="7"/>
  <c r="AV858" i="7"/>
  <c r="AV859" i="7"/>
  <c r="AV860" i="7"/>
  <c r="AV861" i="7"/>
  <c r="AV862" i="7"/>
  <c r="AV863" i="7"/>
  <c r="AV864" i="7"/>
  <c r="AV865" i="7"/>
  <c r="AV866" i="7"/>
  <c r="AV867" i="7"/>
  <c r="AV868" i="7"/>
  <c r="AV869" i="7"/>
  <c r="AV870" i="7"/>
  <c r="AV871" i="7"/>
  <c r="AW871" i="7" s="1"/>
  <c r="AV872" i="7"/>
  <c r="AV873" i="7"/>
  <c r="AV874" i="7"/>
  <c r="AV875" i="7"/>
  <c r="AV876" i="7"/>
  <c r="AV877" i="7"/>
  <c r="AV878" i="7"/>
  <c r="AV879" i="7"/>
  <c r="AV880" i="7"/>
  <c r="AV881" i="7"/>
  <c r="AV882" i="7"/>
  <c r="AV883" i="7"/>
  <c r="AV884" i="7"/>
  <c r="AV885" i="7"/>
  <c r="AV886" i="7"/>
  <c r="AW886" i="7" s="1"/>
  <c r="AV887" i="7"/>
  <c r="AV888" i="7"/>
  <c r="AV889" i="7"/>
  <c r="AV890" i="7"/>
  <c r="AV891" i="7"/>
  <c r="AV892" i="7"/>
  <c r="AV893" i="7"/>
  <c r="AV894" i="7"/>
  <c r="AV895" i="7"/>
  <c r="AV896" i="7"/>
  <c r="AV897" i="7"/>
  <c r="AV898" i="7"/>
  <c r="AV899" i="7"/>
  <c r="AV900" i="7"/>
  <c r="AV901" i="7"/>
  <c r="AV902" i="7"/>
  <c r="AV903" i="7"/>
  <c r="AV904" i="7"/>
  <c r="AV905" i="7"/>
  <c r="AV906" i="7"/>
  <c r="AV907" i="7"/>
  <c r="AV908" i="7"/>
  <c r="AV909" i="7"/>
  <c r="AV910" i="7"/>
  <c r="AV911" i="7"/>
  <c r="AV912" i="7"/>
  <c r="AV913" i="7"/>
  <c r="AV914" i="7"/>
  <c r="AV915" i="7"/>
  <c r="AV916" i="7"/>
  <c r="AV917" i="7"/>
  <c r="AV918" i="7"/>
  <c r="AV919" i="7"/>
  <c r="AV920" i="7"/>
  <c r="AV921" i="7"/>
  <c r="AV922" i="7"/>
  <c r="AV923" i="7"/>
  <c r="AV924" i="7"/>
  <c r="AV925" i="7"/>
  <c r="AV926" i="7"/>
  <c r="AV927" i="7"/>
  <c r="AV928" i="7"/>
  <c r="AV929" i="7"/>
  <c r="AV930" i="7"/>
  <c r="AV931" i="7"/>
  <c r="AV932" i="7"/>
  <c r="AV933" i="7"/>
  <c r="AV934" i="7"/>
  <c r="AV935" i="7"/>
  <c r="AV936" i="7"/>
  <c r="AV937" i="7"/>
  <c r="AV938" i="7"/>
  <c r="AV939" i="7"/>
  <c r="AV940" i="7"/>
  <c r="AV941" i="7"/>
  <c r="AV942" i="7"/>
  <c r="AV943" i="7"/>
  <c r="AV944" i="7"/>
  <c r="AV945" i="7"/>
  <c r="AV946" i="7"/>
  <c r="AV947" i="7"/>
  <c r="AV948" i="7"/>
  <c r="AV949" i="7"/>
  <c r="AV950" i="7"/>
  <c r="AV951" i="7"/>
  <c r="AV952" i="7"/>
  <c r="AV953" i="7"/>
  <c r="AV954" i="7"/>
  <c r="AV955" i="7"/>
  <c r="AV956" i="7"/>
  <c r="AV957" i="7"/>
  <c r="AV958" i="7"/>
  <c r="AW958" i="7" s="1"/>
  <c r="AV959" i="7"/>
  <c r="AV960" i="7"/>
  <c r="AV961" i="7"/>
  <c r="AV962" i="7"/>
  <c r="AV963" i="7"/>
  <c r="AV964" i="7"/>
  <c r="AV965" i="7"/>
  <c r="AV966" i="7"/>
  <c r="AV967" i="7"/>
  <c r="AV968" i="7"/>
  <c r="AV969" i="7"/>
  <c r="AV970" i="7"/>
  <c r="AV971" i="7"/>
  <c r="AW971" i="7" s="1"/>
  <c r="AV972" i="7"/>
  <c r="AW972" i="7" s="1"/>
  <c r="AV973" i="7"/>
  <c r="AV974" i="7"/>
  <c r="AW974" i="7" s="1"/>
  <c r="AV975" i="7"/>
  <c r="AW975" i="7" s="1"/>
  <c r="AV976" i="7"/>
  <c r="AV977" i="7"/>
  <c r="AV978" i="7"/>
  <c r="AV979" i="7"/>
  <c r="AV980" i="7"/>
  <c r="AV981" i="7"/>
  <c r="AV982" i="7"/>
  <c r="AV983" i="7"/>
  <c r="AV984" i="7"/>
  <c r="AV985" i="7"/>
  <c r="AV986" i="7"/>
  <c r="AV987" i="7"/>
  <c r="AV988" i="7"/>
  <c r="AV989" i="7"/>
  <c r="AV990" i="7"/>
  <c r="AV991" i="7"/>
  <c r="AV992" i="7"/>
  <c r="AV993" i="7"/>
  <c r="AV994" i="7"/>
  <c r="AV995" i="7"/>
  <c r="AV996" i="7"/>
  <c r="AV997" i="7"/>
  <c r="AV998" i="7"/>
  <c r="AV999" i="7"/>
  <c r="AV1000" i="7"/>
  <c r="AV1001" i="7"/>
  <c r="AV1002" i="7"/>
  <c r="AV1003" i="7"/>
  <c r="AV1004" i="7"/>
  <c r="AV1005" i="7"/>
  <c r="AV1006" i="7"/>
  <c r="AV1007" i="7"/>
  <c r="AV1008" i="7"/>
  <c r="AV1009" i="7"/>
  <c r="AV1010" i="7"/>
  <c r="AV1011" i="7"/>
  <c r="AV1012" i="7"/>
  <c r="AV1013" i="7"/>
  <c r="AV1014" i="7"/>
  <c r="AV1015" i="7"/>
  <c r="AV1016" i="7"/>
  <c r="AV1017" i="7"/>
  <c r="AV1018" i="7"/>
  <c r="AV1019" i="7"/>
  <c r="AV1020" i="7"/>
  <c r="AV1021" i="7"/>
  <c r="AV1022" i="7"/>
  <c r="AV1023" i="7"/>
  <c r="AV1024" i="7"/>
  <c r="AV1025" i="7"/>
  <c r="AV1026" i="7"/>
  <c r="AV1027" i="7"/>
  <c r="AV1028" i="7"/>
  <c r="AV1029" i="7"/>
  <c r="AV1030" i="7"/>
  <c r="AV1031" i="7"/>
  <c r="AV1032" i="7"/>
  <c r="AV1033" i="7"/>
  <c r="AV1034" i="7"/>
  <c r="AV1035" i="7"/>
  <c r="AV1036" i="7"/>
  <c r="AV1037" i="7"/>
  <c r="AV1038" i="7"/>
  <c r="AV1039" i="7"/>
  <c r="AV1040" i="7"/>
  <c r="AV1041" i="7"/>
  <c r="AV1042" i="7"/>
  <c r="AV1043" i="7"/>
  <c r="AV1044" i="7"/>
  <c r="AV1045" i="7"/>
  <c r="AV1046" i="7"/>
  <c r="AV1047" i="7"/>
  <c r="AV1048" i="7"/>
  <c r="AV1049" i="7"/>
  <c r="AV1050" i="7"/>
  <c r="AV1051" i="7"/>
  <c r="AV1052" i="7"/>
  <c r="AV1053" i="7"/>
  <c r="AV1054" i="7"/>
  <c r="AV1055" i="7"/>
  <c r="AV1056" i="7"/>
  <c r="AV1057" i="7"/>
  <c r="AV1058" i="7"/>
  <c r="AV1059" i="7"/>
  <c r="AV1060" i="7"/>
  <c r="AV1061" i="7"/>
  <c r="AV1062" i="7"/>
  <c r="AV1063" i="7"/>
  <c r="AV1064" i="7"/>
  <c r="AV1065" i="7"/>
  <c r="AV1066" i="7"/>
  <c r="AV1067" i="7"/>
  <c r="AV1068" i="7"/>
  <c r="AV1069" i="7"/>
  <c r="AV1070" i="7"/>
  <c r="AV1071" i="7"/>
  <c r="AV1072" i="7"/>
  <c r="AV1073" i="7"/>
  <c r="AV1074" i="7"/>
  <c r="AV1075" i="7"/>
  <c r="AV1076" i="7"/>
  <c r="AV1077" i="7"/>
  <c r="AV1078" i="7"/>
  <c r="AV1079" i="7"/>
  <c r="AV1080" i="7"/>
  <c r="AV1081" i="7"/>
  <c r="AV1082" i="7"/>
  <c r="AV1083" i="7"/>
  <c r="AV1084" i="7"/>
  <c r="AV1085" i="7"/>
  <c r="AV1086" i="7"/>
  <c r="AV1087" i="7"/>
  <c r="AV1088" i="7"/>
  <c r="AV1089" i="7"/>
  <c r="AV1090" i="7"/>
  <c r="AV1091" i="7"/>
  <c r="AV1092" i="7"/>
  <c r="AV1093" i="7"/>
  <c r="AV1094" i="7"/>
  <c r="AV1095" i="7"/>
  <c r="AV1096" i="7"/>
  <c r="AV1097" i="7"/>
  <c r="AV1098" i="7"/>
  <c r="AV1099" i="7"/>
  <c r="AW1099" i="7" s="1"/>
  <c r="AV1100" i="7"/>
  <c r="AV1101" i="7"/>
  <c r="AV1102" i="7"/>
  <c r="AV1103" i="7"/>
  <c r="AV1104" i="7"/>
  <c r="AV1105" i="7"/>
  <c r="AV1106" i="7"/>
  <c r="AV1107" i="7"/>
  <c r="AV1108" i="7"/>
  <c r="AV1109" i="7"/>
  <c r="AV1110" i="7"/>
  <c r="AV1111" i="7"/>
  <c r="AV1112" i="7"/>
  <c r="AV1113" i="7"/>
  <c r="AV1114" i="7"/>
  <c r="AV1115" i="7"/>
  <c r="AV1116" i="7"/>
  <c r="AV1117" i="7"/>
  <c r="AV1118" i="7"/>
  <c r="AV1119" i="7"/>
  <c r="AV1120" i="7"/>
  <c r="AV1121" i="7"/>
  <c r="AV1122" i="7"/>
  <c r="AV1123" i="7"/>
  <c r="AV1124" i="7"/>
  <c r="AV1125" i="7"/>
  <c r="AV1126" i="7"/>
  <c r="AV1127" i="7"/>
  <c r="AV1128" i="7"/>
  <c r="AV1129" i="7"/>
  <c r="AV1130" i="7"/>
  <c r="AW1130" i="7" s="1"/>
  <c r="AV1131" i="7"/>
  <c r="AV1132" i="7"/>
  <c r="AV1133" i="7"/>
  <c r="AV1134" i="7"/>
  <c r="AV1135" i="7"/>
  <c r="AV1136" i="7"/>
  <c r="AV1137" i="7"/>
  <c r="AV1138" i="7"/>
  <c r="AV1139" i="7"/>
  <c r="AV1140" i="7"/>
  <c r="AV1141" i="7"/>
  <c r="AV1142" i="7"/>
  <c r="AV1143" i="7"/>
  <c r="AV1144" i="7"/>
  <c r="AV1145" i="7"/>
  <c r="AV1146" i="7"/>
  <c r="AV1147" i="7"/>
  <c r="AV1148" i="7"/>
  <c r="AV1149" i="7"/>
  <c r="AV1150" i="7"/>
  <c r="AV1151" i="7"/>
  <c r="AV1152" i="7"/>
  <c r="AV1153" i="7"/>
  <c r="AV1154" i="7"/>
  <c r="AV1155" i="7"/>
  <c r="AV1156" i="7"/>
  <c r="AV1157" i="7"/>
  <c r="AV1158" i="7"/>
  <c r="AV1159" i="7"/>
  <c r="AW1159" i="7" s="1"/>
  <c r="AV1160" i="7"/>
  <c r="AV1161" i="7"/>
  <c r="AV1162" i="7"/>
  <c r="AV1163" i="7"/>
  <c r="AV1164" i="7"/>
  <c r="AV1165" i="7"/>
  <c r="AV1166" i="7"/>
  <c r="AV1167" i="7"/>
  <c r="AV1168" i="7"/>
  <c r="AV1169" i="7"/>
  <c r="AV1170" i="7"/>
  <c r="AV1171" i="7"/>
  <c r="AV1172" i="7"/>
  <c r="AV1173" i="7"/>
  <c r="AV1174" i="7"/>
  <c r="AV1175" i="7"/>
  <c r="AV1176" i="7"/>
  <c r="AV1177" i="7"/>
  <c r="AV1178" i="7"/>
  <c r="AV1179" i="7"/>
  <c r="AV1180" i="7"/>
  <c r="AV1181" i="7"/>
  <c r="AV1182" i="7"/>
  <c r="AV1183" i="7"/>
  <c r="AV1184" i="7"/>
  <c r="AV1185" i="7"/>
  <c r="AV1186" i="7"/>
  <c r="AV1187" i="7"/>
  <c r="AV1188" i="7"/>
  <c r="AW1188" i="7" s="1"/>
  <c r="AV1189" i="7"/>
  <c r="AV1190" i="7"/>
  <c r="AW1190" i="7" s="1"/>
  <c r="AV1191" i="7"/>
  <c r="AV1192" i="7"/>
  <c r="AW1192" i="7" s="1"/>
  <c r="AV1193" i="7"/>
  <c r="AV1194" i="7"/>
  <c r="AW1194" i="7" s="1"/>
  <c r="AV1195" i="7"/>
  <c r="AV1196" i="7"/>
  <c r="AW1196" i="7" s="1"/>
  <c r="AV1197" i="7"/>
  <c r="AV1198" i="7"/>
  <c r="AV1199" i="7"/>
  <c r="AW1199" i="7" s="1"/>
  <c r="AV1200" i="7"/>
  <c r="AV1201" i="7"/>
  <c r="AW1201" i="7" s="1"/>
  <c r="AV1202" i="7"/>
  <c r="AV1203" i="7"/>
  <c r="AV1204" i="7"/>
  <c r="AV1205" i="7"/>
  <c r="AV1206" i="7"/>
  <c r="AW1206" i="7" s="1"/>
  <c r="AV1207" i="7"/>
  <c r="AV1208" i="7"/>
  <c r="AW1208" i="7" s="1"/>
  <c r="AV1209" i="7"/>
  <c r="AV1210" i="7"/>
  <c r="AV1211" i="7"/>
  <c r="AV1212" i="7"/>
  <c r="AW1212" i="7" s="1"/>
  <c r="AV1213" i="7"/>
  <c r="AV1214" i="7"/>
  <c r="AW1214" i="7" s="1"/>
  <c r="AV1215" i="7"/>
  <c r="AV1216" i="7"/>
  <c r="AW1216" i="7" s="1"/>
  <c r="AV1217" i="7"/>
  <c r="AV1218" i="7"/>
  <c r="AW1218" i="7" s="1"/>
  <c r="AV1219" i="7"/>
  <c r="AV1220" i="7"/>
  <c r="AW1220" i="7" s="1"/>
  <c r="AV1221" i="7"/>
  <c r="AV1222" i="7"/>
  <c r="AV1223" i="7"/>
  <c r="AV1224" i="7"/>
  <c r="AV1225" i="7"/>
  <c r="AV1226" i="7"/>
  <c r="AW1226" i="7" s="1"/>
  <c r="AV1227" i="7"/>
  <c r="AV1228" i="7"/>
  <c r="AV1229" i="7"/>
  <c r="AV1230" i="7"/>
  <c r="AV1231" i="7"/>
  <c r="AV1232" i="7"/>
  <c r="AV1233" i="7"/>
  <c r="AW1233" i="7" s="1"/>
  <c r="AV1234" i="7"/>
  <c r="AV1235" i="7"/>
  <c r="AV1236" i="7"/>
  <c r="AW1236" i="7" s="1"/>
  <c r="AV1237" i="7"/>
  <c r="AV1238" i="7"/>
  <c r="AV1239" i="7"/>
  <c r="AV1240" i="7"/>
  <c r="AW1240" i="7" s="1"/>
  <c r="AV1241" i="7"/>
  <c r="AV1242" i="7"/>
  <c r="AW1242" i="7" s="1"/>
  <c r="AV1243" i="7"/>
  <c r="AV1244" i="7"/>
  <c r="AV1245" i="7"/>
  <c r="AV1246" i="7"/>
  <c r="AV1247" i="7"/>
  <c r="AV1248" i="7"/>
  <c r="AV1249" i="7"/>
  <c r="AV1250" i="7"/>
  <c r="AV1251" i="7"/>
  <c r="AW1251" i="7" s="1"/>
  <c r="AV1252" i="7"/>
  <c r="AV1253" i="7"/>
  <c r="AV1254" i="7"/>
  <c r="AV1255" i="7"/>
  <c r="AV1256" i="7"/>
  <c r="AV1257" i="7"/>
  <c r="AV1258" i="7"/>
  <c r="AW1258" i="7" s="1"/>
  <c r="AV1259" i="7"/>
  <c r="AV1260" i="7"/>
  <c r="AV1261" i="7"/>
  <c r="AV1262" i="7"/>
  <c r="AV1263" i="7"/>
  <c r="AV1264" i="7"/>
  <c r="AV1265" i="7"/>
  <c r="AV1266" i="7"/>
  <c r="AV1267" i="7"/>
  <c r="AV1268" i="7"/>
  <c r="AV1269" i="7"/>
  <c r="AW1269" i="7" s="1"/>
  <c r="AV1270" i="7"/>
  <c r="AV1271" i="7"/>
  <c r="AV1272" i="7"/>
  <c r="AV1273" i="7"/>
  <c r="AV1274" i="7"/>
  <c r="AV1275" i="7"/>
  <c r="AV1276" i="7"/>
  <c r="AV1277" i="7"/>
  <c r="AV1278" i="7"/>
  <c r="AV1279" i="7"/>
  <c r="AV1280" i="7"/>
  <c r="AV1281" i="7"/>
  <c r="AV1282" i="7"/>
  <c r="AV1283" i="7"/>
  <c r="AV1284" i="7"/>
  <c r="AV1285" i="7"/>
  <c r="AV1286" i="7"/>
  <c r="AV1287" i="7"/>
  <c r="AV1288" i="7"/>
  <c r="AV1289" i="7"/>
  <c r="AW1289" i="7" s="1"/>
  <c r="AV1290" i="7"/>
  <c r="AV1291" i="7"/>
  <c r="AV1292" i="7"/>
  <c r="AV1293" i="7"/>
  <c r="AV1294" i="7"/>
  <c r="AV1295" i="7"/>
  <c r="AV1296" i="7"/>
  <c r="AV1297" i="7"/>
  <c r="AV1298" i="7"/>
  <c r="AV1299" i="7"/>
  <c r="AV1300" i="7"/>
  <c r="AV1301" i="7"/>
  <c r="AV1302" i="7"/>
  <c r="AV1303" i="7"/>
  <c r="AW1303" i="7" s="1"/>
  <c r="AV1304" i="7"/>
  <c r="AV1305" i="7"/>
  <c r="AV1306" i="7"/>
  <c r="AV1307" i="7"/>
  <c r="AV1308" i="7"/>
  <c r="AV1309" i="7"/>
  <c r="AV1310" i="7"/>
  <c r="AV1311" i="7"/>
  <c r="AV1312" i="7"/>
  <c r="AW1312" i="7" s="1"/>
  <c r="AV1313" i="7"/>
  <c r="AV1314" i="7"/>
  <c r="AV1315" i="7"/>
  <c r="AV1316" i="7"/>
  <c r="AV1317" i="7"/>
  <c r="AV1318" i="7"/>
  <c r="AV1319" i="7"/>
  <c r="AV1320" i="7"/>
  <c r="AV1321" i="7"/>
  <c r="AV1322" i="7"/>
  <c r="AV1323" i="7"/>
  <c r="AV1324" i="7"/>
  <c r="AV1325" i="7"/>
  <c r="AV1326" i="7"/>
  <c r="AV1327" i="7"/>
  <c r="AV1328" i="7"/>
  <c r="AV1329" i="7"/>
  <c r="AV1330" i="7"/>
  <c r="AV1331" i="7"/>
  <c r="AV1332" i="7"/>
  <c r="AV1333" i="7"/>
  <c r="AV1334" i="7"/>
  <c r="AV1335" i="7"/>
  <c r="AV1336" i="7"/>
  <c r="AV1337" i="7"/>
  <c r="AV1338" i="7"/>
  <c r="AV1339" i="7"/>
  <c r="AV1340" i="7"/>
  <c r="AV1341" i="7"/>
  <c r="AV1342" i="7"/>
  <c r="AV1343" i="7"/>
  <c r="AV1344" i="7"/>
  <c r="AV1345" i="7"/>
  <c r="AV1346" i="7"/>
  <c r="AV1347" i="7"/>
  <c r="AV1348" i="7"/>
  <c r="AV1349" i="7"/>
  <c r="AV1350" i="7"/>
  <c r="AV1351" i="7"/>
  <c r="AV1352" i="7"/>
  <c r="AV1353" i="7"/>
  <c r="AV1354" i="7"/>
  <c r="AV1355" i="7"/>
  <c r="AV1356" i="7"/>
  <c r="AV1357" i="7"/>
  <c r="AV1358" i="7"/>
  <c r="AV1359" i="7"/>
  <c r="AV1360" i="7"/>
  <c r="AV1361" i="7"/>
  <c r="AV1362" i="7"/>
  <c r="AV1363" i="7"/>
  <c r="AV1364" i="7"/>
  <c r="AV1365" i="7"/>
  <c r="AV1366" i="7"/>
  <c r="AV1367" i="7"/>
  <c r="AV1368" i="7"/>
  <c r="AV1369" i="7"/>
  <c r="AV1370" i="7"/>
  <c r="AV1371" i="7"/>
  <c r="AV1372" i="7"/>
  <c r="AV1373" i="7"/>
  <c r="AV1374" i="7"/>
  <c r="AV1375" i="7"/>
  <c r="AV1376" i="7"/>
  <c r="AV1377" i="7"/>
  <c r="AV1378" i="7"/>
  <c r="AV1379" i="7"/>
  <c r="AV1380" i="7"/>
  <c r="AV1381" i="7"/>
  <c r="AV1382" i="7"/>
  <c r="AV1383" i="7"/>
  <c r="AV1384" i="7"/>
  <c r="AV1385" i="7"/>
  <c r="AV1386" i="7"/>
  <c r="AV1387" i="7"/>
  <c r="AV1388" i="7"/>
  <c r="AV1389" i="7"/>
  <c r="AV1390" i="7"/>
  <c r="AV1391" i="7"/>
  <c r="AV1392" i="7"/>
  <c r="AV1393" i="7"/>
  <c r="AV1394" i="7"/>
  <c r="AV1395" i="7"/>
  <c r="AV1396" i="7"/>
  <c r="AV1397" i="7"/>
  <c r="AV1398" i="7"/>
  <c r="AV1399" i="7"/>
  <c r="AV1400" i="7"/>
  <c r="AV1401" i="7"/>
  <c r="AV1402" i="7"/>
  <c r="AV1403" i="7"/>
  <c r="AV1404" i="7"/>
  <c r="AV1405" i="7"/>
  <c r="AV1406" i="7"/>
  <c r="AV1407" i="7"/>
  <c r="AV1408" i="7"/>
  <c r="AV1409" i="7"/>
  <c r="AV1410" i="7"/>
  <c r="AV1411" i="7"/>
  <c r="AV1412" i="7"/>
  <c r="AV1413" i="7"/>
  <c r="AV1414" i="7"/>
  <c r="AV1415" i="7"/>
  <c r="AV1416" i="7"/>
  <c r="AV1417" i="7"/>
  <c r="AV1418" i="7"/>
  <c r="AV1419" i="7"/>
  <c r="AV1420" i="7"/>
  <c r="AV1421" i="7"/>
  <c r="AV1422" i="7"/>
  <c r="AV1423" i="7"/>
  <c r="AV1424" i="7"/>
  <c r="AV1425" i="7"/>
  <c r="AV1426" i="7"/>
  <c r="AV1427" i="7"/>
  <c r="AV1428" i="7"/>
  <c r="AV1429" i="7"/>
  <c r="AV1430" i="7"/>
  <c r="AV1431" i="7"/>
  <c r="AV1432" i="7"/>
  <c r="AV1433" i="7"/>
  <c r="AV1434" i="7"/>
  <c r="AV1435" i="7"/>
  <c r="AV1436" i="7"/>
  <c r="AV1437" i="7"/>
  <c r="AV1438" i="7"/>
  <c r="AV1439" i="7"/>
  <c r="AV1440" i="7"/>
  <c r="AV1441" i="7"/>
  <c r="AV1442" i="7"/>
  <c r="AV1443" i="7"/>
  <c r="AV1444" i="7"/>
  <c r="AV1445" i="7"/>
  <c r="AV1446" i="7"/>
  <c r="AV1447" i="7"/>
  <c r="AV1448" i="7"/>
  <c r="AV1449" i="7"/>
  <c r="AV1450" i="7"/>
  <c r="AV1451" i="7"/>
  <c r="AV1452" i="7"/>
  <c r="AV1453" i="7"/>
  <c r="AV1454" i="7"/>
  <c r="AV1455" i="7"/>
  <c r="AV1456" i="7"/>
  <c r="AV1457" i="7"/>
  <c r="AV1458" i="7"/>
  <c r="AV1459" i="7"/>
  <c r="AV1460" i="7"/>
  <c r="AV1461" i="7"/>
  <c r="AV1462" i="7"/>
  <c r="AV1463" i="7"/>
  <c r="AV1464" i="7"/>
  <c r="AV1465" i="7"/>
  <c r="AV1466" i="7"/>
  <c r="AV1467" i="7"/>
  <c r="AV1468" i="7"/>
  <c r="AV1469" i="7"/>
  <c r="AV1470" i="7"/>
  <c r="AV1471" i="7"/>
  <c r="AV1472" i="7"/>
  <c r="AV1473" i="7"/>
  <c r="AV1474" i="7"/>
  <c r="AV1475" i="7"/>
  <c r="AV1476" i="7"/>
  <c r="AV1477" i="7"/>
  <c r="AV1478" i="7"/>
  <c r="AV1479" i="7"/>
  <c r="AV1480" i="7"/>
  <c r="AV1481" i="7"/>
  <c r="AV1482" i="7"/>
  <c r="AV1483" i="7"/>
  <c r="AV1484" i="7"/>
  <c r="AV1485" i="7"/>
  <c r="AV1486" i="7"/>
  <c r="AV1487" i="7"/>
  <c r="AV1488" i="7"/>
  <c r="AV1489" i="7"/>
  <c r="AV1490" i="7"/>
  <c r="AV1491" i="7"/>
  <c r="AV1492" i="7"/>
  <c r="AV1493" i="7"/>
  <c r="AV1494" i="7"/>
  <c r="AV1495" i="7"/>
  <c r="AV1496" i="7"/>
  <c r="AV1497" i="7"/>
  <c r="AV1498" i="7"/>
  <c r="AV1499" i="7"/>
  <c r="AV1500" i="7"/>
  <c r="AV1501" i="7"/>
  <c r="AV1502" i="7"/>
  <c r="AV1503" i="7"/>
  <c r="AV1504" i="7"/>
  <c r="AV1505" i="7"/>
  <c r="AV1506" i="7"/>
  <c r="AV1507" i="7"/>
  <c r="AV1508" i="7"/>
  <c r="AV1509" i="7"/>
  <c r="AV1510" i="7"/>
  <c r="AV1511" i="7"/>
  <c r="AV1512" i="7"/>
  <c r="AV1513" i="7"/>
  <c r="AV1514" i="7"/>
  <c r="AV1515" i="7"/>
  <c r="AV1516" i="7"/>
  <c r="AV1517" i="7"/>
  <c r="AV1518" i="7"/>
  <c r="AV1519" i="7"/>
  <c r="AV1520" i="7"/>
  <c r="AV1521" i="7"/>
  <c r="AV1522" i="7"/>
  <c r="AV1523" i="7"/>
  <c r="AV1524" i="7"/>
  <c r="AV1525" i="7"/>
  <c r="AV1526" i="7"/>
  <c r="AV1527" i="7"/>
  <c r="AV1528" i="7"/>
  <c r="AV1529" i="7"/>
  <c r="AV1530" i="7"/>
  <c r="AV1531" i="7"/>
  <c r="AV1532" i="7"/>
  <c r="AV1533" i="7"/>
  <c r="AV1534" i="7"/>
  <c r="AV1535" i="7"/>
  <c r="AV1536" i="7"/>
  <c r="AV1537" i="7"/>
  <c r="AV1538" i="7"/>
  <c r="AV1539" i="7"/>
  <c r="AV1540" i="7"/>
  <c r="AV1541" i="7"/>
  <c r="AV1542" i="7"/>
  <c r="AV1543" i="7"/>
  <c r="AV1544" i="7"/>
  <c r="AV1545" i="7"/>
  <c r="AV1546" i="7"/>
  <c r="AV1547" i="7"/>
  <c r="AV1548" i="7"/>
  <c r="AV1549" i="7"/>
  <c r="AV1550" i="7"/>
  <c r="AV1551" i="7"/>
  <c r="AV1552" i="7"/>
  <c r="AV1553" i="7"/>
  <c r="AW1553" i="7" s="1"/>
  <c r="AV1554" i="7"/>
  <c r="AV1555" i="7"/>
  <c r="AV1556" i="7"/>
  <c r="AV1557" i="7"/>
  <c r="AV1558" i="7"/>
  <c r="AV1559" i="7"/>
  <c r="AV1560" i="7"/>
  <c r="AV1561" i="7"/>
  <c r="AV1562" i="7"/>
  <c r="AV1563" i="7"/>
  <c r="AV1564" i="7"/>
  <c r="AV1565" i="7"/>
  <c r="AV1566" i="7"/>
  <c r="AV1567" i="7"/>
  <c r="AV1568" i="7"/>
  <c r="AV1569" i="7"/>
  <c r="AV1570" i="7"/>
  <c r="AV1571" i="7"/>
  <c r="AV1572" i="7"/>
  <c r="AV1573" i="7"/>
  <c r="AV1574" i="7"/>
  <c r="AV1575" i="7"/>
  <c r="AV1576" i="7"/>
  <c r="AV1577" i="7"/>
  <c r="AV1578" i="7"/>
  <c r="AV1579" i="7"/>
  <c r="AV1580" i="7"/>
  <c r="AV1581" i="7"/>
  <c r="AV1582" i="7"/>
  <c r="AV1583" i="7"/>
  <c r="AV1584" i="7"/>
  <c r="AV1585" i="7"/>
  <c r="AV1586" i="7"/>
  <c r="AV1587" i="7"/>
  <c r="AV1588" i="7"/>
  <c r="AV1589" i="7"/>
  <c r="AV1590" i="7"/>
  <c r="AV1591" i="7"/>
  <c r="AV1592" i="7"/>
  <c r="AV1593" i="7"/>
  <c r="AV1594" i="7"/>
  <c r="AV1595" i="7"/>
  <c r="AV1596" i="7"/>
  <c r="AV1597" i="7"/>
  <c r="AV1598" i="7"/>
  <c r="AV1599" i="7"/>
  <c r="AV1600" i="7"/>
  <c r="AV1601" i="7"/>
  <c r="AV1602" i="7"/>
  <c r="AV1603" i="7"/>
  <c r="AV1604" i="7"/>
  <c r="AV1605" i="7"/>
  <c r="AV1606" i="7"/>
  <c r="AV1607" i="7"/>
  <c r="AV1608" i="7"/>
  <c r="AV1609" i="7"/>
  <c r="AV1610" i="7"/>
  <c r="AV1611" i="7"/>
  <c r="AV1612" i="7"/>
  <c r="AV1613" i="7"/>
  <c r="AV1614" i="7"/>
  <c r="AV1615" i="7"/>
  <c r="AV1616" i="7"/>
  <c r="AV1617" i="7"/>
  <c r="AV1618" i="7"/>
  <c r="AV1619" i="7"/>
  <c r="AV1620" i="7"/>
  <c r="AV1621" i="7"/>
  <c r="AV1622" i="7"/>
  <c r="AV1623" i="7"/>
  <c r="AV1624" i="7"/>
  <c r="AV1625" i="7"/>
  <c r="AV1626" i="7"/>
  <c r="AV1627" i="7"/>
  <c r="AV1628" i="7"/>
  <c r="AV1629" i="7"/>
  <c r="AV1630" i="7"/>
  <c r="AV1631" i="7"/>
  <c r="AV1632" i="7"/>
  <c r="AV1633" i="7"/>
  <c r="AV1634" i="7"/>
  <c r="AV1635" i="7"/>
  <c r="AV1636" i="7"/>
  <c r="AV1637" i="7"/>
  <c r="AV1638" i="7"/>
  <c r="AV1639" i="7"/>
  <c r="AV1640" i="7"/>
  <c r="AV1641" i="7"/>
  <c r="AV1642" i="7"/>
  <c r="AV1643" i="7"/>
  <c r="AV1644" i="7"/>
  <c r="AV1645" i="7"/>
  <c r="AV1646" i="7"/>
  <c r="AV1647" i="7"/>
  <c r="AV1648" i="7"/>
  <c r="AV1649" i="7"/>
  <c r="AV1650" i="7"/>
  <c r="AV1651" i="7"/>
  <c r="AV1652" i="7"/>
  <c r="AV1653" i="7"/>
  <c r="AV1654" i="7"/>
  <c r="AV1655" i="7"/>
  <c r="AV1656" i="7"/>
  <c r="AV1657" i="7"/>
  <c r="AV1658" i="7"/>
  <c r="AV1659" i="7"/>
  <c r="AV1660" i="7"/>
  <c r="AV1661" i="7"/>
  <c r="AV1662" i="7"/>
  <c r="AV14" i="7"/>
  <c r="AY390" i="1"/>
  <c r="AY93" i="1"/>
  <c r="BA93" i="1" s="1"/>
  <c r="Y30" i="2" l="1"/>
  <c r="Z30" i="2" s="1"/>
  <c r="D196" i="9"/>
  <c r="E196" i="9" s="1"/>
  <c r="D76" i="8"/>
  <c r="E76" i="8" s="1"/>
  <c r="AT272" i="1"/>
  <c r="AT304" i="1"/>
  <c r="D194" i="9"/>
  <c r="E194" i="9" s="1"/>
  <c r="AT243" i="1"/>
  <c r="AT316" i="1"/>
  <c r="AR277" i="1"/>
  <c r="AU277" i="1" s="1"/>
  <c r="D193" i="9"/>
  <c r="E193" i="9" s="1"/>
  <c r="AR255" i="1"/>
  <c r="AU255" i="1" s="1"/>
  <c r="AR293" i="1"/>
  <c r="AU293" i="1" s="1"/>
  <c r="AR289" i="1"/>
  <c r="AU289" i="1" s="1"/>
  <c r="AT270" i="1"/>
  <c r="D195" i="9"/>
  <c r="E195" i="9" s="1"/>
  <c r="AT263" i="1"/>
  <c r="AR328" i="1"/>
  <c r="AU328" i="1" s="1"/>
  <c r="AT277" i="1"/>
  <c r="AR302" i="1"/>
  <c r="AU302" i="1" s="1"/>
  <c r="AR431" i="1"/>
  <c r="AU431" i="1" s="1"/>
  <c r="D93" i="9"/>
  <c r="E93" i="9" s="1"/>
  <c r="AR390" i="1"/>
  <c r="AU390" i="1" s="1"/>
  <c r="D47" i="9"/>
  <c r="E47" i="9" s="1"/>
  <c r="AR251" i="1"/>
  <c r="AU251" i="1" s="1"/>
  <c r="AR346" i="1"/>
  <c r="AU346" i="1" s="1"/>
  <c r="AT255" i="1"/>
  <c r="AR316" i="1"/>
  <c r="AU316" i="1" s="1"/>
  <c r="D73" i="8"/>
  <c r="E73" i="8" s="1"/>
  <c r="AR93" i="1"/>
  <c r="AR252" i="1"/>
  <c r="AU252" i="1" s="1"/>
  <c r="AR348" i="1"/>
  <c r="AU348" i="1" s="1"/>
  <c r="AR263" i="1"/>
  <c r="AU263" i="1" s="1"/>
  <c r="AR270" i="1"/>
  <c r="AU270" i="1" s="1"/>
  <c r="AR300" i="1"/>
  <c r="AU300" i="1" s="1"/>
  <c r="AR429" i="1"/>
  <c r="AU429" i="1" s="1"/>
  <c r="AR339" i="1"/>
  <c r="AU339" i="1" s="1"/>
  <c r="AR286" i="1"/>
  <c r="AU286" i="1" s="1"/>
  <c r="AR427" i="1"/>
  <c r="AR419" i="1"/>
  <c r="AU419" i="1" s="1"/>
  <c r="AR272" i="1"/>
  <c r="AU272" i="1" s="1"/>
  <c r="AR304" i="1"/>
  <c r="AU304" i="1" s="1"/>
  <c r="AR243" i="1"/>
  <c r="AU243" i="1" s="1"/>
  <c r="AR380" i="1"/>
  <c r="AU380" i="1" s="1"/>
  <c r="AR435" i="1"/>
  <c r="AU435" i="1" s="1"/>
  <c r="AR92" i="1"/>
  <c r="AU92" i="1" s="1"/>
  <c r="AR402" i="1"/>
  <c r="AR396" i="1"/>
  <c r="AU396" i="1" s="1"/>
  <c r="AT293" i="1"/>
  <c r="AT302" i="1"/>
  <c r="AT289" i="1"/>
  <c r="AT251" i="1"/>
  <c r="AT332" i="1"/>
  <c r="AT431" i="1"/>
  <c r="AT428" i="1"/>
  <c r="AT390" i="1"/>
  <c r="D66" i="9"/>
  <c r="E66" i="9" s="1"/>
  <c r="AT93" i="1"/>
  <c r="D103" i="9"/>
  <c r="E103" i="9" s="1"/>
  <c r="Y7" i="2" l="1"/>
  <c r="AU402" i="1"/>
  <c r="B24" i="3" s="1"/>
  <c r="E24" i="3"/>
  <c r="C24" i="3"/>
  <c r="AU427" i="1"/>
  <c r="AU93" i="1"/>
  <c r="B64" i="3" s="1"/>
  <c r="C64" i="3"/>
  <c r="E64" i="3"/>
  <c r="AA30" i="2"/>
  <c r="Z7" i="2"/>
  <c r="D368" i="8"/>
  <c r="E368" i="8" s="1"/>
  <c r="G24" i="3" l="1"/>
  <c r="G64" i="3"/>
  <c r="D64" i="3"/>
  <c r="D24" i="3"/>
  <c r="F24" i="3" s="1"/>
  <c r="AB30" i="2"/>
  <c r="AA7" i="2"/>
  <c r="O419" i="1"/>
  <c r="AS419" i="1" s="1"/>
  <c r="O396" i="1"/>
  <c r="AS396" i="1" s="1"/>
  <c r="O339" i="1"/>
  <c r="AS339" i="1" s="1"/>
  <c r="O346" i="1"/>
  <c r="AS346" i="1" s="1"/>
  <c r="O402" i="1"/>
  <c r="AS402" i="1" s="1"/>
  <c r="O348" i="1"/>
  <c r="AS348" i="1" s="1"/>
  <c r="O428" i="1"/>
  <c r="AS428" i="1" s="1"/>
  <c r="O427" i="1"/>
  <c r="AS427" i="1" s="1"/>
  <c r="O92" i="1"/>
  <c r="AS92" i="1" s="1"/>
  <c r="O429" i="1"/>
  <c r="AS429" i="1" s="1"/>
  <c r="O431" i="1"/>
  <c r="AS431" i="1" s="1"/>
  <c r="O328" i="1"/>
  <c r="AS328" i="1" s="1"/>
  <c r="O435" i="1"/>
  <c r="AS435" i="1" s="1"/>
  <c r="O252" i="1"/>
  <c r="AS252" i="1" s="1"/>
  <c r="O332" i="1"/>
  <c r="AS332" i="1" s="1"/>
  <c r="O286" i="1"/>
  <c r="AS286" i="1" s="1"/>
  <c r="O380" i="1"/>
  <c r="AS380" i="1" s="1"/>
  <c r="O300" i="1"/>
  <c r="AS300" i="1" s="1"/>
  <c r="O251" i="1"/>
  <c r="AS251" i="1" s="1"/>
  <c r="O255" i="1"/>
  <c r="AS255" i="1" s="1"/>
  <c r="O243" i="1"/>
  <c r="AS243" i="1" s="1"/>
  <c r="O263" i="1"/>
  <c r="AS263" i="1" s="1"/>
  <c r="O289" i="1"/>
  <c r="AS289" i="1" s="1"/>
  <c r="O277" i="1"/>
  <c r="AS277" i="1" s="1"/>
  <c r="O304" i="1"/>
  <c r="AS304" i="1" s="1"/>
  <c r="O270" i="1"/>
  <c r="AS270" i="1" s="1"/>
  <c r="O302" i="1"/>
  <c r="AS302" i="1" s="1"/>
  <c r="O316" i="1"/>
  <c r="AS316" i="1" s="1"/>
  <c r="O272" i="1"/>
  <c r="AS272" i="1" s="1"/>
  <c r="O293" i="1"/>
  <c r="AS293" i="1" s="1"/>
  <c r="F64" i="3" l="1"/>
  <c r="AC30" i="2"/>
  <c r="AB7" i="2"/>
  <c r="AY316" i="1"/>
  <c r="BB316" i="1"/>
  <c r="AY277" i="1"/>
  <c r="BB277" i="1"/>
  <c r="AY255" i="1"/>
  <c r="BB255" i="1"/>
  <c r="AY286" i="1"/>
  <c r="BB286" i="1"/>
  <c r="AY328" i="1"/>
  <c r="BA328" i="1" s="1"/>
  <c r="BB328" i="1"/>
  <c r="AY427" i="1"/>
  <c r="BB427" i="1"/>
  <c r="AY346" i="1"/>
  <c r="BB346" i="1"/>
  <c r="AY302" i="1"/>
  <c r="BB302" i="1"/>
  <c r="AY289" i="1"/>
  <c r="BB289" i="1"/>
  <c r="AY251" i="1"/>
  <c r="BB251" i="1"/>
  <c r="AY332" i="1"/>
  <c r="BA332" i="1" s="1"/>
  <c r="BB332" i="1"/>
  <c r="AY431" i="1"/>
  <c r="BA431" i="1" s="1"/>
  <c r="BB431" i="1"/>
  <c r="AY428" i="1"/>
  <c r="BB428" i="1"/>
  <c r="AY339" i="1"/>
  <c r="BB339" i="1"/>
  <c r="AY293" i="1"/>
  <c r="BB293" i="1"/>
  <c r="AY270" i="1"/>
  <c r="BB270" i="1"/>
  <c r="AY263" i="1"/>
  <c r="BB263" i="1"/>
  <c r="AY300" i="1"/>
  <c r="BB300" i="1"/>
  <c r="AY252" i="1"/>
  <c r="BB252" i="1"/>
  <c r="AY429" i="1"/>
  <c r="BA429" i="1" s="1"/>
  <c r="BB429" i="1"/>
  <c r="AY348" i="1"/>
  <c r="BB348" i="1"/>
  <c r="AY396" i="1"/>
  <c r="BB396" i="1"/>
  <c r="AY272" i="1"/>
  <c r="BB272" i="1"/>
  <c r="AY304" i="1"/>
  <c r="BB304" i="1"/>
  <c r="AY243" i="1"/>
  <c r="BB243" i="1"/>
  <c r="AY380" i="1"/>
  <c r="BB380" i="1"/>
  <c r="AY435" i="1"/>
  <c r="BB435" i="1"/>
  <c r="AY92" i="1"/>
  <c r="BA92" i="1" s="1"/>
  <c r="BB92" i="1"/>
  <c r="AY402" i="1"/>
  <c r="BB402" i="1"/>
  <c r="AY419" i="1"/>
  <c r="BB419" i="1"/>
  <c r="AQ271" i="1"/>
  <c r="D3" i="9" s="1"/>
  <c r="E3" i="9" s="1"/>
  <c r="D38" i="9"/>
  <c r="E38" i="9" s="1"/>
  <c r="AD30" i="2" l="1"/>
  <c r="AC7" i="2"/>
  <c r="Z439" i="1"/>
  <c r="Z415" i="1"/>
  <c r="Z64" i="1"/>
  <c r="Z420" i="1"/>
  <c r="Z334" i="1"/>
  <c r="Z385" i="1"/>
  <c r="AQ48" i="1"/>
  <c r="AI91" i="1"/>
  <c r="AT22" i="1"/>
  <c r="AV22" i="1" s="1"/>
  <c r="AQ17" i="1"/>
  <c r="AQ13" i="1"/>
  <c r="AR13" i="1" s="1"/>
  <c r="AQ207" i="1"/>
  <c r="AQ14" i="1"/>
  <c r="AR14" i="1" s="1"/>
  <c r="AQ18" i="1"/>
  <c r="AQ15" i="1"/>
  <c r="AR15" i="1" s="1"/>
  <c r="AQ19" i="1"/>
  <c r="AR19" i="1" s="1"/>
  <c r="AQ21" i="1"/>
  <c r="AR21" i="1" s="1"/>
  <c r="AQ37" i="1"/>
  <c r="D105" i="9" s="1"/>
  <c r="E105" i="9" s="1"/>
  <c r="AQ26" i="1"/>
  <c r="AR26" i="1" s="1"/>
  <c r="AQ20" i="1"/>
  <c r="AR20" i="1" s="1"/>
  <c r="AQ23" i="1"/>
  <c r="D101" i="9" s="1"/>
  <c r="E101" i="9" s="1"/>
  <c r="AQ30" i="1"/>
  <c r="AR30" i="1" s="1"/>
  <c r="AQ31" i="1"/>
  <c r="AR31" i="1" s="1"/>
  <c r="AR35" i="1"/>
  <c r="AQ36" i="1"/>
  <c r="AR36" i="1" s="1"/>
  <c r="AQ24" i="1"/>
  <c r="AR24" i="1" s="1"/>
  <c r="AQ90" i="1"/>
  <c r="AQ40" i="1"/>
  <c r="AR40" i="1" s="1"/>
  <c r="AQ41" i="1"/>
  <c r="AR41" i="1" s="1"/>
  <c r="AR55" i="1"/>
  <c r="AQ42" i="1"/>
  <c r="AR42" i="1" s="1"/>
  <c r="AR53" i="1"/>
  <c r="AQ16" i="1"/>
  <c r="AQ50" i="1"/>
  <c r="AR50" i="1" s="1"/>
  <c r="AQ34" i="1"/>
  <c r="AQ52" i="1"/>
  <c r="AQ47" i="1"/>
  <c r="AR47" i="1" s="1"/>
  <c r="AQ49" i="1"/>
  <c r="AR49" i="1" s="1"/>
  <c r="AQ25" i="1"/>
  <c r="D141" i="9" s="1"/>
  <c r="E141" i="9" s="1"/>
  <c r="AQ43" i="1"/>
  <c r="AQ54" i="1"/>
  <c r="AR54" i="1" s="1"/>
  <c r="AQ60" i="1"/>
  <c r="AR60" i="1" s="1"/>
  <c r="AQ67" i="1"/>
  <c r="D72" i="9" s="1"/>
  <c r="E72" i="9" s="1"/>
  <c r="AQ38" i="1"/>
  <c r="AQ101" i="1"/>
  <c r="AQ69" i="1"/>
  <c r="D67" i="9" s="1"/>
  <c r="E67" i="9" s="1"/>
  <c r="AQ65" i="1"/>
  <c r="AR65" i="1" s="1"/>
  <c r="AQ28" i="1"/>
  <c r="AQ73" i="1"/>
  <c r="AR73" i="1" s="1"/>
  <c r="AR22" i="1"/>
  <c r="AQ39" i="1"/>
  <c r="AQ80" i="1"/>
  <c r="AQ398" i="1"/>
  <c r="AQ74" i="1"/>
  <c r="AR74" i="1" s="1"/>
  <c r="AQ86" i="1"/>
  <c r="AQ29" i="1"/>
  <c r="D133" i="9" s="1"/>
  <c r="E133" i="9" s="1"/>
  <c r="AQ79" i="1"/>
  <c r="AQ71" i="1"/>
  <c r="AT71" i="1" s="1"/>
  <c r="AV71" i="1" s="1"/>
  <c r="AQ59" i="1"/>
  <c r="AQ115" i="1"/>
  <c r="AQ45" i="1"/>
  <c r="AR45" i="1" s="1"/>
  <c r="AQ85" i="1"/>
  <c r="AR85" i="1" s="1"/>
  <c r="AQ117" i="1"/>
  <c r="AQ405" i="1"/>
  <c r="AQ84" i="1"/>
  <c r="D77" i="9" s="1"/>
  <c r="E77" i="9" s="1"/>
  <c r="AQ89" i="1"/>
  <c r="AR89" i="1" s="1"/>
  <c r="AQ61" i="1"/>
  <c r="D148" i="9" s="1"/>
  <c r="E148" i="9" s="1"/>
  <c r="AQ57" i="1"/>
  <c r="AQ87" i="1"/>
  <c r="AQ33" i="1"/>
  <c r="AR33" i="1" s="1"/>
  <c r="AQ91" i="1"/>
  <c r="AR91" i="1" s="1"/>
  <c r="AQ51" i="1"/>
  <c r="AQ94" i="1"/>
  <c r="AR94" i="1" s="1"/>
  <c r="AQ319" i="1"/>
  <c r="AQ96" i="1"/>
  <c r="AR96" i="1" s="1"/>
  <c r="AQ97" i="1"/>
  <c r="AR97" i="1" s="1"/>
  <c r="AQ70" i="1"/>
  <c r="D146" i="9" s="1"/>
  <c r="E146" i="9" s="1"/>
  <c r="AQ72" i="1"/>
  <c r="AR72" i="1" s="1"/>
  <c r="AQ169" i="1"/>
  <c r="AQ76" i="1"/>
  <c r="AQ98" i="1"/>
  <c r="AR98" i="1" s="1"/>
  <c r="AQ220" i="1"/>
  <c r="AQ99" i="1"/>
  <c r="AR99" i="1" s="1"/>
  <c r="AQ44" i="1"/>
  <c r="AQ100" i="1"/>
  <c r="D107" i="9" s="1"/>
  <c r="E107" i="9" s="1"/>
  <c r="AQ62" i="1"/>
  <c r="AQ161" i="1"/>
  <c r="AQ106" i="1"/>
  <c r="AR106" i="1" s="1"/>
  <c r="AQ108" i="1"/>
  <c r="AR108" i="1" s="1"/>
  <c r="AQ110" i="1"/>
  <c r="AR110" i="1" s="1"/>
  <c r="AQ105" i="1"/>
  <c r="AR105" i="1" s="1"/>
  <c r="AQ144" i="1"/>
  <c r="AR144" i="1" s="1"/>
  <c r="AQ116" i="1"/>
  <c r="AR116" i="1" s="1"/>
  <c r="AQ68" i="1"/>
  <c r="AQ123" i="1"/>
  <c r="AR123" i="1" s="1"/>
  <c r="AQ95" i="1"/>
  <c r="AR95" i="1" s="1"/>
  <c r="AQ77" i="1"/>
  <c r="D106" i="9" s="1"/>
  <c r="E106" i="9" s="1"/>
  <c r="AQ131" i="1"/>
  <c r="AR131" i="1" s="1"/>
  <c r="AQ102" i="1"/>
  <c r="AR102" i="1" s="1"/>
  <c r="AQ132" i="1"/>
  <c r="AR132" i="1" s="1"/>
  <c r="AQ88" i="1"/>
  <c r="AR88" i="1" s="1"/>
  <c r="AQ66" i="1"/>
  <c r="AQ104" i="1"/>
  <c r="AQ107" i="1"/>
  <c r="AQ120" i="1"/>
  <c r="AQ124" i="1"/>
  <c r="AQ125" i="1"/>
  <c r="AQ129" i="1"/>
  <c r="AQ134" i="1"/>
  <c r="AQ133" i="1"/>
  <c r="AQ138" i="1"/>
  <c r="AR138" i="1" s="1"/>
  <c r="AQ139" i="1"/>
  <c r="AR139" i="1" s="1"/>
  <c r="AQ141" i="1"/>
  <c r="AR141" i="1" s="1"/>
  <c r="AQ320" i="1"/>
  <c r="AR320" i="1" s="1"/>
  <c r="AQ143" i="1"/>
  <c r="AR143" i="1" s="1"/>
  <c r="AQ145" i="1"/>
  <c r="AR145" i="1" s="1"/>
  <c r="AQ146" i="1"/>
  <c r="AR146" i="1" s="1"/>
  <c r="AQ130" i="1"/>
  <c r="AQ149" i="1"/>
  <c r="AR149" i="1" s="1"/>
  <c r="AQ150" i="1"/>
  <c r="AR150" i="1" s="1"/>
  <c r="AQ151" i="1"/>
  <c r="AR151" i="1" s="1"/>
  <c r="AQ159" i="1"/>
  <c r="AQ154" i="1"/>
  <c r="AR154" i="1" s="1"/>
  <c r="AQ155" i="1"/>
  <c r="AR155" i="1" s="1"/>
  <c r="AQ112" i="1"/>
  <c r="AQ174" i="1"/>
  <c r="AR174" i="1" s="1"/>
  <c r="AQ142" i="1"/>
  <c r="AR142" i="1" s="1"/>
  <c r="AQ393" i="1"/>
  <c r="AQ158" i="1"/>
  <c r="AR158" i="1" s="1"/>
  <c r="AQ140" i="1"/>
  <c r="AR140" i="1" s="1"/>
  <c r="AQ165" i="1"/>
  <c r="AR165" i="1" s="1"/>
  <c r="AQ147" i="1"/>
  <c r="AR147" i="1" s="1"/>
  <c r="AQ168" i="1"/>
  <c r="AR168" i="1" s="1"/>
  <c r="AQ122" i="1"/>
  <c r="AQ137" i="1"/>
  <c r="AQ172" i="1"/>
  <c r="AQ152" i="1"/>
  <c r="AQ163" i="1"/>
  <c r="AQ119" i="1"/>
  <c r="AR119" i="1" s="1"/>
  <c r="AQ164" i="1"/>
  <c r="AR164" i="1" s="1"/>
  <c r="AQ162" i="1"/>
  <c r="AQ173" i="1"/>
  <c r="AR173" i="1" s="1"/>
  <c r="AQ175" i="1"/>
  <c r="AR175" i="1" s="1"/>
  <c r="AQ160" i="1"/>
  <c r="AR160" i="1" s="1"/>
  <c r="AQ177" i="1"/>
  <c r="AR177" i="1" s="1"/>
  <c r="AQ136" i="1"/>
  <c r="AR136" i="1" s="1"/>
  <c r="AQ178" i="1"/>
  <c r="AR178" i="1" s="1"/>
  <c r="AQ180" i="1"/>
  <c r="AQ182" i="1"/>
  <c r="AR182" i="1" s="1"/>
  <c r="AQ183" i="1"/>
  <c r="AR183" i="1" s="1"/>
  <c r="AQ166" i="1"/>
  <c r="AR166" i="1" s="1"/>
  <c r="AQ186" i="1"/>
  <c r="AR186" i="1" s="1"/>
  <c r="AQ135" i="1"/>
  <c r="AR135" i="1" s="1"/>
  <c r="AQ185" i="1"/>
  <c r="D145" i="9" s="1"/>
  <c r="E145" i="9" s="1"/>
  <c r="AQ193" i="1"/>
  <c r="AR193" i="1" s="1"/>
  <c r="AQ195" i="1"/>
  <c r="AR195" i="1" s="1"/>
  <c r="AQ179" i="1"/>
  <c r="AQ157" i="1"/>
  <c r="AR157" i="1" s="1"/>
  <c r="AQ153" i="1"/>
  <c r="AQ198" i="1"/>
  <c r="AR198" i="1" s="1"/>
  <c r="AQ199" i="1"/>
  <c r="AR199" i="1" s="1"/>
  <c r="AQ200" i="1"/>
  <c r="AR200" i="1" s="1"/>
  <c r="AQ201" i="1"/>
  <c r="AR201" i="1" s="1"/>
  <c r="AQ189" i="1"/>
  <c r="AR189" i="1" s="1"/>
  <c r="AQ103" i="1"/>
  <c r="AR103" i="1" s="1"/>
  <c r="AQ202" i="1"/>
  <c r="AR202" i="1" s="1"/>
  <c r="AQ225" i="1"/>
  <c r="AQ181" i="1"/>
  <c r="AR181" i="1" s="1"/>
  <c r="AQ222" i="1"/>
  <c r="AR222" i="1" s="1"/>
  <c r="AQ197" i="1"/>
  <c r="AQ204" i="1"/>
  <c r="AQ205" i="1"/>
  <c r="AR205" i="1" s="1"/>
  <c r="AQ208" i="1"/>
  <c r="AR208" i="1" s="1"/>
  <c r="AQ121" i="1"/>
  <c r="AQ210" i="1"/>
  <c r="AR210" i="1" s="1"/>
  <c r="AQ188" i="1"/>
  <c r="AR188" i="1" s="1"/>
  <c r="AQ245" i="1"/>
  <c r="D46" i="9" s="1"/>
  <c r="E46" i="9" s="1"/>
  <c r="AQ212" i="1"/>
  <c r="AR212" i="1" s="1"/>
  <c r="AQ214" i="1"/>
  <c r="AR214" i="1" s="1"/>
  <c r="AQ217" i="1"/>
  <c r="AR217" i="1" s="1"/>
  <c r="AQ203" i="1"/>
  <c r="D176" i="9" s="1"/>
  <c r="E176" i="9" s="1"/>
  <c r="AQ206" i="1"/>
  <c r="AQ190" i="1"/>
  <c r="AQ213" i="1"/>
  <c r="AQ191" i="1"/>
  <c r="AQ218" i="1"/>
  <c r="AR218" i="1" s="1"/>
  <c r="AQ211" i="1"/>
  <c r="AR211" i="1" s="1"/>
  <c r="AQ221" i="1"/>
  <c r="AQ224" i="1"/>
  <c r="AQ227" i="1"/>
  <c r="AQ223" i="1"/>
  <c r="AQ226" i="1"/>
  <c r="AQ176" i="1"/>
  <c r="AQ228" i="1"/>
  <c r="AR228" i="1" s="1"/>
  <c r="AQ244" i="1"/>
  <c r="AQ229" i="1"/>
  <c r="AR229" i="1" s="1"/>
  <c r="AQ230" i="1"/>
  <c r="AR230" i="1" s="1"/>
  <c r="AQ231" i="1"/>
  <c r="AR231" i="1" s="1"/>
  <c r="AQ232" i="1"/>
  <c r="AR232" i="1" s="1"/>
  <c r="AQ233" i="1"/>
  <c r="AR233" i="1" s="1"/>
  <c r="AQ234" i="1"/>
  <c r="AR234" i="1" s="1"/>
  <c r="AQ235" i="1"/>
  <c r="AR235" i="1" s="1"/>
  <c r="AQ236" i="1"/>
  <c r="AR236" i="1" s="1"/>
  <c r="AQ237" i="1"/>
  <c r="AR237" i="1" s="1"/>
  <c r="AQ433" i="1"/>
  <c r="AQ238" i="1"/>
  <c r="AR238" i="1" s="1"/>
  <c r="AQ239" i="1"/>
  <c r="AR239" i="1" s="1"/>
  <c r="AQ240" i="1"/>
  <c r="AR240" i="1" s="1"/>
  <c r="AQ27" i="1"/>
  <c r="AR27" i="1" s="1"/>
  <c r="AQ241" i="1"/>
  <c r="AR241" i="1" s="1"/>
  <c r="AU241" i="1" s="1"/>
  <c r="AQ257" i="1"/>
  <c r="AQ118" i="1"/>
  <c r="AR118" i="1" s="1"/>
  <c r="AQ192" i="1"/>
  <c r="AQ247" i="1"/>
  <c r="AR247" i="1" s="1"/>
  <c r="AQ259" i="1"/>
  <c r="AQ248" i="1"/>
  <c r="AR248" i="1" s="1"/>
  <c r="AQ249" i="1"/>
  <c r="AR249" i="1" s="1"/>
  <c r="AQ246" i="1"/>
  <c r="AR246" i="1" s="1"/>
  <c r="AQ196" i="1"/>
  <c r="AR196" i="1" s="1"/>
  <c r="AQ253" i="1"/>
  <c r="AR253" i="1" s="1"/>
  <c r="AQ254" i="1"/>
  <c r="AR254" i="1" s="1"/>
  <c r="AQ170" i="1"/>
  <c r="AQ184" i="1"/>
  <c r="AQ256" i="1"/>
  <c r="AR256" i="1" s="1"/>
  <c r="AQ343" i="1"/>
  <c r="D81" i="9" s="1"/>
  <c r="E81" i="9" s="1"/>
  <c r="AQ266" i="1"/>
  <c r="D187" i="9" s="1"/>
  <c r="E187" i="9" s="1"/>
  <c r="AQ258" i="1"/>
  <c r="AR258" i="1" s="1"/>
  <c r="AQ260" i="1"/>
  <c r="AR260" i="1" s="1"/>
  <c r="AQ275" i="1"/>
  <c r="D178" i="9" s="1"/>
  <c r="E178" i="9" s="1"/>
  <c r="AQ269" i="1"/>
  <c r="AQ261" i="1"/>
  <c r="AR261" i="1" s="1"/>
  <c r="AQ262" i="1"/>
  <c r="AR262" i="1" s="1"/>
  <c r="AQ265" i="1"/>
  <c r="AR265" i="1" s="1"/>
  <c r="AQ194" i="1"/>
  <c r="AR194" i="1" s="1"/>
  <c r="AQ264" i="1"/>
  <c r="AR264" i="1" s="1"/>
  <c r="AQ287" i="1"/>
  <c r="AQ273" i="1"/>
  <c r="AQ209" i="1"/>
  <c r="AR209" i="1" s="1"/>
  <c r="AQ219" i="1"/>
  <c r="AQ279" i="1"/>
  <c r="AQ268" i="1"/>
  <c r="AR268" i="1" s="1"/>
  <c r="AQ299" i="1"/>
  <c r="D158" i="9" s="1"/>
  <c r="E158" i="9" s="1"/>
  <c r="AQ297" i="1"/>
  <c r="D192" i="9" s="1"/>
  <c r="E192" i="9" s="1"/>
  <c r="AQ306" i="1"/>
  <c r="D174" i="9" s="1"/>
  <c r="E174" i="9" s="1"/>
  <c r="AQ282" i="1"/>
  <c r="AQ310" i="1"/>
  <c r="AQ274" i="1"/>
  <c r="AR274" i="1" s="1"/>
  <c r="AQ276" i="1"/>
  <c r="AR276" i="1" s="1"/>
  <c r="AQ292" i="1"/>
  <c r="D161" i="9" s="1"/>
  <c r="E161" i="9" s="1"/>
  <c r="AQ317" i="1"/>
  <c r="AQ156" i="1"/>
  <c r="AQ280" i="1"/>
  <c r="AR280" i="1" s="1"/>
  <c r="AQ281" i="1"/>
  <c r="AR281" i="1" s="1"/>
  <c r="AQ284" i="1"/>
  <c r="AR284" i="1" s="1"/>
  <c r="AQ283" i="1"/>
  <c r="AR283" i="1" s="1"/>
  <c r="AQ285" i="1"/>
  <c r="AR285" i="1" s="1"/>
  <c r="AQ288" i="1"/>
  <c r="AR288" i="1" s="1"/>
  <c r="AQ290" i="1"/>
  <c r="AR290" i="1" s="1"/>
  <c r="AQ291" i="1"/>
  <c r="AR291" i="1" s="1"/>
  <c r="AQ296" i="1"/>
  <c r="D180" i="9" s="1"/>
  <c r="E180" i="9" s="1"/>
  <c r="AQ305" i="1"/>
  <c r="AQ294" i="1"/>
  <c r="AR294" i="1" s="1"/>
  <c r="AQ295" i="1"/>
  <c r="AR295" i="1" s="1"/>
  <c r="AQ298" i="1"/>
  <c r="AR298" i="1" s="1"/>
  <c r="AQ307" i="1"/>
  <c r="AR307" i="1" s="1"/>
  <c r="AQ301" i="1"/>
  <c r="AR301" i="1" s="1"/>
  <c r="AQ113" i="1"/>
  <c r="AQ303" i="1"/>
  <c r="AR303" i="1" s="1"/>
  <c r="AQ315" i="1"/>
  <c r="AQ324" i="1"/>
  <c r="AQ333" i="1"/>
  <c r="AQ308" i="1"/>
  <c r="AR308" i="1" s="1"/>
  <c r="AQ309" i="1"/>
  <c r="AR309" i="1" s="1"/>
  <c r="AQ322" i="1"/>
  <c r="AQ114" i="1"/>
  <c r="AR114" i="1" s="1"/>
  <c r="AQ311" i="1"/>
  <c r="AR311" i="1" s="1"/>
  <c r="AQ312" i="1"/>
  <c r="AR312" i="1" s="1"/>
  <c r="AQ314" i="1"/>
  <c r="AR314" i="1" s="1"/>
  <c r="AQ313" i="1"/>
  <c r="AR313" i="1" s="1"/>
  <c r="AQ406" i="1"/>
  <c r="AQ318" i="1"/>
  <c r="AR318" i="1" s="1"/>
  <c r="AQ331" i="1"/>
  <c r="AQ323" i="1"/>
  <c r="AR323" i="1" s="1"/>
  <c r="AQ335" i="1"/>
  <c r="D76" i="9" s="1"/>
  <c r="E76" i="9" s="1"/>
  <c r="AQ325" i="1"/>
  <c r="AR325" i="1" s="1"/>
  <c r="AQ381" i="1"/>
  <c r="AQ327" i="1"/>
  <c r="AR327" i="1" s="1"/>
  <c r="AQ321" i="1"/>
  <c r="AQ329" i="1"/>
  <c r="AR329" i="1" s="1"/>
  <c r="AQ344" i="1"/>
  <c r="AQ330" i="1"/>
  <c r="AR330" i="1" s="1"/>
  <c r="AQ337" i="1"/>
  <c r="AR337" i="1" s="1"/>
  <c r="AQ385" i="1"/>
  <c r="AR385" i="1" s="1"/>
  <c r="AQ334" i="1"/>
  <c r="AR334" i="1" s="1"/>
  <c r="AQ340" i="1"/>
  <c r="AQ382" i="1"/>
  <c r="D73" i="9" s="1"/>
  <c r="E73" i="9" s="1"/>
  <c r="AQ336" i="1"/>
  <c r="AR336" i="1" s="1"/>
  <c r="AQ338" i="1"/>
  <c r="AR338" i="1" s="1"/>
  <c r="AQ425" i="1"/>
  <c r="D2" i="9" s="1"/>
  <c r="AQ394" i="1"/>
  <c r="AQ342" i="1"/>
  <c r="AR342" i="1" s="1"/>
  <c r="AQ345" i="1"/>
  <c r="AR345" i="1" s="1"/>
  <c r="AQ347" i="1"/>
  <c r="AR347" i="1" s="1"/>
  <c r="AQ349" i="1"/>
  <c r="AR349" i="1" s="1"/>
  <c r="AQ350" i="1"/>
  <c r="AR350" i="1" s="1"/>
  <c r="AQ351" i="1"/>
  <c r="AR351" i="1" s="1"/>
  <c r="AQ352" i="1"/>
  <c r="AR352" i="1" s="1"/>
  <c r="AQ353" i="1"/>
  <c r="AR353" i="1" s="1"/>
  <c r="AQ354" i="1"/>
  <c r="AR354" i="1" s="1"/>
  <c r="AQ355" i="1"/>
  <c r="AR355" i="1" s="1"/>
  <c r="AQ356" i="1"/>
  <c r="AR356" i="1" s="1"/>
  <c r="AQ357" i="1"/>
  <c r="AR357" i="1" s="1"/>
  <c r="AQ358" i="1"/>
  <c r="AR358" i="1" s="1"/>
  <c r="AQ359" i="1"/>
  <c r="AR359" i="1" s="1"/>
  <c r="AQ360" i="1"/>
  <c r="AR360" i="1" s="1"/>
  <c r="AQ361" i="1"/>
  <c r="AR361" i="1" s="1"/>
  <c r="AQ362" i="1"/>
  <c r="AR362" i="1" s="1"/>
  <c r="AQ363" i="1"/>
  <c r="AR363" i="1" s="1"/>
  <c r="AQ364" i="1"/>
  <c r="AR364" i="1" s="1"/>
  <c r="AQ365" i="1"/>
  <c r="AR365" i="1" s="1"/>
  <c r="AQ366" i="1"/>
  <c r="AR366" i="1" s="1"/>
  <c r="AQ367" i="1"/>
  <c r="AR367" i="1" s="1"/>
  <c r="AQ368" i="1"/>
  <c r="AR368" i="1" s="1"/>
  <c r="AQ369" i="1"/>
  <c r="AR369" i="1" s="1"/>
  <c r="AQ370" i="1"/>
  <c r="AR370" i="1" s="1"/>
  <c r="AQ371" i="1"/>
  <c r="AR371" i="1" s="1"/>
  <c r="AQ372" i="1"/>
  <c r="AR372" i="1" s="1"/>
  <c r="AQ373" i="1"/>
  <c r="AR373" i="1" s="1"/>
  <c r="AQ374" i="1"/>
  <c r="AR374" i="1" s="1"/>
  <c r="AQ375" i="1"/>
  <c r="AR375" i="1" s="1"/>
  <c r="AQ376" i="1"/>
  <c r="AR376" i="1" s="1"/>
  <c r="AQ377" i="1"/>
  <c r="AR377" i="1" s="1"/>
  <c r="AQ378" i="1"/>
  <c r="AR378" i="1" s="1"/>
  <c r="AQ379" i="1"/>
  <c r="AR379" i="1" s="1"/>
  <c r="AQ387" i="1"/>
  <c r="AQ384" i="1"/>
  <c r="AQ388" i="1"/>
  <c r="AQ413" i="1"/>
  <c r="AQ383" i="1"/>
  <c r="AR383" i="1" s="1"/>
  <c r="AQ420" i="1"/>
  <c r="AR420" i="1" s="1"/>
  <c r="AQ386" i="1"/>
  <c r="AR386" i="1" s="1"/>
  <c r="AQ389" i="1"/>
  <c r="AR389" i="1" s="1"/>
  <c r="AQ64" i="1"/>
  <c r="AR64" i="1" s="1"/>
  <c r="AQ46" i="1"/>
  <c r="AQ242" i="1"/>
  <c r="AR242" i="1" s="1"/>
  <c r="AQ411" i="1"/>
  <c r="AQ392" i="1"/>
  <c r="AR392" i="1" s="1"/>
  <c r="AQ395" i="1"/>
  <c r="D50" i="9" s="1"/>
  <c r="E50" i="9" s="1"/>
  <c r="AQ397" i="1"/>
  <c r="AR397" i="1" s="1"/>
  <c r="AQ78" i="1"/>
  <c r="AR78" i="1" s="1"/>
  <c r="AQ403" i="1"/>
  <c r="AR403" i="1" s="1"/>
  <c r="AQ400" i="1"/>
  <c r="AR400" i="1" s="1"/>
  <c r="AQ401" i="1"/>
  <c r="AR401" i="1" s="1"/>
  <c r="AQ417" i="1"/>
  <c r="AQ404" i="1"/>
  <c r="AR404" i="1" s="1"/>
  <c r="AQ407" i="1"/>
  <c r="AR407" i="1" s="1"/>
  <c r="AQ416" i="1"/>
  <c r="AQ408" i="1"/>
  <c r="AR408" i="1" s="1"/>
  <c r="AQ410" i="1"/>
  <c r="AR410" i="1" s="1"/>
  <c r="AQ391" i="1"/>
  <c r="AR391" i="1" s="1"/>
  <c r="AQ412" i="1"/>
  <c r="AR412" i="1" s="1"/>
  <c r="AQ423" i="1"/>
  <c r="AQ415" i="1"/>
  <c r="AR415" i="1" s="1"/>
  <c r="AQ418" i="1"/>
  <c r="AR418" i="1" s="1"/>
  <c r="AQ75" i="1"/>
  <c r="AQ421" i="1"/>
  <c r="AR421" i="1" s="1"/>
  <c r="AQ422" i="1"/>
  <c r="AR422" i="1" s="1"/>
  <c r="AQ424" i="1"/>
  <c r="AQ426" i="1"/>
  <c r="AR426" i="1" s="1"/>
  <c r="AQ432" i="1"/>
  <c r="AQ437" i="1"/>
  <c r="AQ430" i="1"/>
  <c r="AR430" i="1" s="1"/>
  <c r="AQ434" i="1"/>
  <c r="AR434" i="1" s="1"/>
  <c r="AQ440" i="1"/>
  <c r="AR440" i="1" s="1"/>
  <c r="AQ438" i="1"/>
  <c r="AQ414" i="1"/>
  <c r="AR414" i="1" s="1"/>
  <c r="AQ436" i="1"/>
  <c r="AR436" i="1" s="1"/>
  <c r="AQ439" i="1"/>
  <c r="AQ441" i="1"/>
  <c r="AR441" i="1" s="1"/>
  <c r="AQ32" i="1"/>
  <c r="AR32" i="1" s="1"/>
  <c r="AQ56" i="1"/>
  <c r="AR56" i="1" s="1"/>
  <c r="AQ58" i="1"/>
  <c r="AR58" i="1" s="1"/>
  <c r="AQ63" i="1"/>
  <c r="AR63" i="1" s="1"/>
  <c r="AQ81" i="1"/>
  <c r="AR81" i="1" s="1"/>
  <c r="AU81" i="1" s="1"/>
  <c r="AQ82" i="1"/>
  <c r="AR82" i="1" s="1"/>
  <c r="AU82" i="1" s="1"/>
  <c r="AQ83" i="1"/>
  <c r="AR83" i="1" s="1"/>
  <c r="AQ128" i="1"/>
  <c r="AQ148" i="1"/>
  <c r="AR271" i="1"/>
  <c r="AQ109" i="1"/>
  <c r="AR109" i="1" s="1"/>
  <c r="AQ111" i="1"/>
  <c r="AR111" i="1" s="1"/>
  <c r="AQ399" i="1"/>
  <c r="D203" i="9" s="1"/>
  <c r="E203" i="9" s="1"/>
  <c r="AQ126" i="1"/>
  <c r="AR126" i="1" s="1"/>
  <c r="AQ127" i="1"/>
  <c r="AR127" i="1" s="1"/>
  <c r="AQ409" i="1"/>
  <c r="D201" i="9" s="1"/>
  <c r="E201" i="9" s="1"/>
  <c r="AQ167" i="1"/>
  <c r="AR167" i="1" s="1"/>
  <c r="AQ171" i="1"/>
  <c r="AR171" i="1" s="1"/>
  <c r="AQ187" i="1"/>
  <c r="AR187" i="1" s="1"/>
  <c r="AQ215" i="1"/>
  <c r="AR215" i="1" s="1"/>
  <c r="AQ216" i="1"/>
  <c r="AR216" i="1" s="1"/>
  <c r="AQ12" i="1"/>
  <c r="AT12" i="1" s="1"/>
  <c r="D172" i="9" l="1"/>
  <c r="E172" i="9" s="1"/>
  <c r="D155" i="9"/>
  <c r="E155" i="9" s="1"/>
  <c r="D185" i="9"/>
  <c r="E185" i="9" s="1"/>
  <c r="D166" i="9"/>
  <c r="E166" i="9" s="1"/>
  <c r="D182" i="9"/>
  <c r="E182" i="9" s="1"/>
  <c r="D181" i="9"/>
  <c r="E181" i="9" s="1"/>
  <c r="D189" i="9"/>
  <c r="E189" i="9" s="1"/>
  <c r="D188" i="9"/>
  <c r="E188" i="9" s="1"/>
  <c r="D164" i="9"/>
  <c r="E164" i="9" s="1"/>
  <c r="D191" i="9"/>
  <c r="E191" i="9" s="1"/>
  <c r="D190" i="9"/>
  <c r="E190" i="9" s="1"/>
  <c r="D160" i="9"/>
  <c r="E160" i="9" s="1"/>
  <c r="D159" i="9"/>
  <c r="E159" i="9" s="1"/>
  <c r="D171" i="9"/>
  <c r="E171" i="9" s="1"/>
  <c r="D170" i="9"/>
  <c r="E170" i="9" s="1"/>
  <c r="D183" i="9"/>
  <c r="E183" i="9" s="1"/>
  <c r="D198" i="9"/>
  <c r="E198" i="9" s="1"/>
  <c r="D197" i="9"/>
  <c r="E197" i="9" s="1"/>
  <c r="D168" i="9"/>
  <c r="E168" i="9" s="1"/>
  <c r="D186" i="9"/>
  <c r="E186" i="9" s="1"/>
  <c r="D200" i="9"/>
  <c r="E200" i="9" s="1"/>
  <c r="D199" i="9"/>
  <c r="E199" i="9" s="1"/>
  <c r="C10" i="3"/>
  <c r="E10" i="3"/>
  <c r="C6" i="3"/>
  <c r="AU58" i="1"/>
  <c r="E51" i="3"/>
  <c r="C51" i="3"/>
  <c r="C56" i="3"/>
  <c r="E56" i="3"/>
  <c r="C25" i="3"/>
  <c r="E25" i="3"/>
  <c r="C65" i="3"/>
  <c r="E65" i="3"/>
  <c r="E30" i="3"/>
  <c r="C30" i="3"/>
  <c r="C49" i="3"/>
  <c r="E49" i="3"/>
  <c r="E27" i="3"/>
  <c r="C27" i="3"/>
  <c r="E19" i="3"/>
  <c r="C19" i="3"/>
  <c r="C41" i="3"/>
  <c r="E41" i="3"/>
  <c r="C48" i="3"/>
  <c r="E48" i="3"/>
  <c r="E47" i="3"/>
  <c r="C47" i="3"/>
  <c r="E6" i="3"/>
  <c r="C5" i="3"/>
  <c r="E5" i="3"/>
  <c r="E43" i="3"/>
  <c r="C43" i="3"/>
  <c r="C36" i="3"/>
  <c r="E36" i="3"/>
  <c r="E18" i="3"/>
  <c r="C18" i="3"/>
  <c r="E50" i="3"/>
  <c r="C50" i="3"/>
  <c r="E59" i="3"/>
  <c r="C59" i="3"/>
  <c r="C45" i="3"/>
  <c r="E45" i="3"/>
  <c r="AE30" i="2"/>
  <c r="AD7" i="2"/>
  <c r="AQ9" i="1"/>
  <c r="D100" i="9"/>
  <c r="E100" i="9" s="1"/>
  <c r="AT75" i="1"/>
  <c r="AR439" i="1"/>
  <c r="C11" i="3" s="1"/>
  <c r="AT439" i="1"/>
  <c r="AV439" i="1" s="1"/>
  <c r="AR319" i="1"/>
  <c r="AT319" i="1"/>
  <c r="AV319" i="1" s="1"/>
  <c r="AR128" i="1"/>
  <c r="AU128" i="1" s="1"/>
  <c r="E2" i="9"/>
  <c r="D167" i="9"/>
  <c r="E167" i="9" s="1"/>
  <c r="D202" i="9"/>
  <c r="E202" i="9" s="1"/>
  <c r="D169" i="9"/>
  <c r="E169" i="9" s="1"/>
  <c r="D204" i="9"/>
  <c r="E204" i="9" s="1"/>
  <c r="AR275" i="1"/>
  <c r="D179" i="9"/>
  <c r="E179" i="9" s="1"/>
  <c r="AR191" i="1"/>
  <c r="D173" i="9"/>
  <c r="E173" i="9" s="1"/>
  <c r="AR203" i="1"/>
  <c r="D177" i="9"/>
  <c r="E177" i="9" s="1"/>
  <c r="AR279" i="1"/>
  <c r="D184" i="9"/>
  <c r="E184" i="9" s="1"/>
  <c r="AR438" i="1"/>
  <c r="D92" i="9"/>
  <c r="E92" i="9" s="1"/>
  <c r="AR413" i="1"/>
  <c r="D36" i="9"/>
  <c r="E36" i="9" s="1"/>
  <c r="AR124" i="1"/>
  <c r="D29" i="9"/>
  <c r="E29" i="9" s="1"/>
  <c r="AR292" i="1"/>
  <c r="D162" i="9"/>
  <c r="E162" i="9" s="1"/>
  <c r="D99" i="9"/>
  <c r="E99" i="9" s="1"/>
  <c r="AR12" i="1"/>
  <c r="AV12" i="1"/>
  <c r="AR399" i="1"/>
  <c r="AR409" i="1"/>
  <c r="AR148" i="1"/>
  <c r="AU148" i="1" s="1"/>
  <c r="AR387" i="1"/>
  <c r="D40" i="9"/>
  <c r="E40" i="9" s="1"/>
  <c r="AR113" i="1"/>
  <c r="D109" i="9"/>
  <c r="E109" i="9" s="1"/>
  <c r="AR297" i="1"/>
  <c r="D157" i="9"/>
  <c r="E157" i="9" s="1"/>
  <c r="AR184" i="1"/>
  <c r="D5" i="9"/>
  <c r="E5" i="9" s="1"/>
  <c r="AR259" i="1"/>
  <c r="D140" i="9"/>
  <c r="E140" i="9" s="1"/>
  <c r="AR244" i="1"/>
  <c r="D12" i="9"/>
  <c r="E12" i="9" s="1"/>
  <c r="AR223" i="1"/>
  <c r="D15" i="9"/>
  <c r="E15" i="9" s="1"/>
  <c r="AR190" i="1"/>
  <c r="D127" i="9"/>
  <c r="E127" i="9" s="1"/>
  <c r="AR225" i="1"/>
  <c r="D165" i="9"/>
  <c r="E165" i="9" s="1"/>
  <c r="AR117" i="1"/>
  <c r="D32" i="9"/>
  <c r="E32" i="9" s="1"/>
  <c r="AR59" i="1"/>
  <c r="D4" i="9"/>
  <c r="E4" i="9" s="1"/>
  <c r="AR86" i="1"/>
  <c r="D53" i="9"/>
  <c r="E53" i="9" s="1"/>
  <c r="AR67" i="1"/>
  <c r="D55" i="9"/>
  <c r="E55" i="9" s="1"/>
  <c r="AR432" i="1"/>
  <c r="D69" i="9"/>
  <c r="E69" i="9" s="1"/>
  <c r="AR423" i="1"/>
  <c r="D37" i="9"/>
  <c r="E37" i="9" s="1"/>
  <c r="AR417" i="1"/>
  <c r="D71" i="9"/>
  <c r="E71" i="9" s="1"/>
  <c r="AR411" i="1"/>
  <c r="D34" i="9"/>
  <c r="E34" i="9" s="1"/>
  <c r="AR344" i="1"/>
  <c r="D45" i="9"/>
  <c r="E45" i="9" s="1"/>
  <c r="AR381" i="1"/>
  <c r="D57" i="9"/>
  <c r="E57" i="9" s="1"/>
  <c r="AR331" i="1"/>
  <c r="D129" i="9"/>
  <c r="E129" i="9" s="1"/>
  <c r="AR322" i="1"/>
  <c r="D130" i="9"/>
  <c r="E130" i="9" s="1"/>
  <c r="AR324" i="1"/>
  <c r="D151" i="9"/>
  <c r="E151" i="9" s="1"/>
  <c r="AR317" i="1"/>
  <c r="D104" i="9"/>
  <c r="E104" i="9" s="1"/>
  <c r="AR310" i="1"/>
  <c r="D149" i="9"/>
  <c r="E149" i="9" s="1"/>
  <c r="AR299" i="1"/>
  <c r="D132" i="9"/>
  <c r="E132" i="9" s="1"/>
  <c r="AR269" i="1"/>
  <c r="D154" i="9"/>
  <c r="E154" i="9" s="1"/>
  <c r="AR266" i="1"/>
  <c r="D153" i="9"/>
  <c r="E153" i="9" s="1"/>
  <c r="AR170" i="1"/>
  <c r="D125" i="9"/>
  <c r="E125" i="9" s="1"/>
  <c r="AR227" i="1"/>
  <c r="D6" i="9"/>
  <c r="E6" i="9" s="1"/>
  <c r="AR206" i="1"/>
  <c r="D19" i="9"/>
  <c r="E19" i="9" s="1"/>
  <c r="AR121" i="1"/>
  <c r="D118" i="9"/>
  <c r="E118" i="9" s="1"/>
  <c r="AR197" i="1"/>
  <c r="D24" i="9"/>
  <c r="E24" i="9" s="1"/>
  <c r="AR185" i="1"/>
  <c r="D120" i="9"/>
  <c r="E120" i="9" s="1"/>
  <c r="AR163" i="1"/>
  <c r="D136" i="9"/>
  <c r="E136" i="9" s="1"/>
  <c r="AR122" i="1"/>
  <c r="D43" i="9"/>
  <c r="E43" i="9" s="1"/>
  <c r="AR159" i="1"/>
  <c r="D156" i="9"/>
  <c r="E156" i="9" s="1"/>
  <c r="AR130" i="1"/>
  <c r="D126" i="9"/>
  <c r="E126" i="9" s="1"/>
  <c r="AR133" i="1"/>
  <c r="D9" i="9"/>
  <c r="E9" i="9" s="1"/>
  <c r="AR66" i="1"/>
  <c r="D97" i="9"/>
  <c r="E97" i="9" s="1"/>
  <c r="AR68" i="1"/>
  <c r="D41" i="9"/>
  <c r="E41" i="9" s="1"/>
  <c r="AR62" i="1"/>
  <c r="D26" i="9"/>
  <c r="E26" i="9" s="1"/>
  <c r="AR220" i="1"/>
  <c r="D27" i="9"/>
  <c r="E27" i="9" s="1"/>
  <c r="AR71" i="1"/>
  <c r="D54" i="9"/>
  <c r="E54" i="9" s="1"/>
  <c r="AR69" i="1"/>
  <c r="D51" i="9"/>
  <c r="E51" i="9" s="1"/>
  <c r="AR37" i="1"/>
  <c r="D83" i="9"/>
  <c r="E83" i="9" s="1"/>
  <c r="AR18" i="1"/>
  <c r="D89" i="9"/>
  <c r="E89" i="9" s="1"/>
  <c r="AR17" i="1"/>
  <c r="D52" i="9"/>
  <c r="E52" i="9" s="1"/>
  <c r="AR48" i="1"/>
  <c r="D28" i="9"/>
  <c r="E28" i="9" s="1"/>
  <c r="AR437" i="1"/>
  <c r="D78" i="9"/>
  <c r="E78" i="9" s="1"/>
  <c r="AR425" i="1"/>
  <c r="D4" i="3" s="1"/>
  <c r="AR204" i="1"/>
  <c r="D14" i="9"/>
  <c r="E14" i="9" s="1"/>
  <c r="AR125" i="1"/>
  <c r="D18" i="9"/>
  <c r="E18" i="9" s="1"/>
  <c r="AR161" i="1"/>
  <c r="D30" i="9"/>
  <c r="E30" i="9" s="1"/>
  <c r="AR169" i="1"/>
  <c r="D64" i="9"/>
  <c r="E64" i="9" s="1"/>
  <c r="AR61" i="1"/>
  <c r="D123" i="9"/>
  <c r="E123" i="9" s="1"/>
  <c r="AR39" i="1"/>
  <c r="D112" i="9"/>
  <c r="E112" i="9" s="1"/>
  <c r="AR25" i="1"/>
  <c r="D116" i="9"/>
  <c r="E116" i="9" s="1"/>
  <c r="AR75" i="1"/>
  <c r="D79" i="9"/>
  <c r="E79" i="9" s="1"/>
  <c r="AR416" i="1"/>
  <c r="D68" i="9"/>
  <c r="E68" i="9" s="1"/>
  <c r="AR388" i="1"/>
  <c r="D70" i="9"/>
  <c r="E70" i="9" s="1"/>
  <c r="AR315" i="1"/>
  <c r="D134" i="9"/>
  <c r="E134" i="9" s="1"/>
  <c r="AR305" i="1"/>
  <c r="D142" i="9"/>
  <c r="E142" i="9" s="1"/>
  <c r="AR282" i="1"/>
  <c r="D138" i="9"/>
  <c r="E138" i="9" s="1"/>
  <c r="AR273" i="1"/>
  <c r="D137" i="9"/>
  <c r="E137" i="9" s="1"/>
  <c r="AR343" i="1"/>
  <c r="D63" i="9"/>
  <c r="E63" i="9" s="1"/>
  <c r="AR192" i="1"/>
  <c r="D150" i="9"/>
  <c r="E150" i="9" s="1"/>
  <c r="AR433" i="1"/>
  <c r="D90" i="9"/>
  <c r="E90" i="9" s="1"/>
  <c r="D131" i="9"/>
  <c r="E131" i="9" s="1"/>
  <c r="AR224" i="1"/>
  <c r="D16" i="9"/>
  <c r="E16" i="9" s="1"/>
  <c r="AR245" i="1"/>
  <c r="D35" i="9"/>
  <c r="E35" i="9" s="1"/>
  <c r="AR179" i="1"/>
  <c r="D7" i="9"/>
  <c r="E7" i="9" s="1"/>
  <c r="AR162" i="1"/>
  <c r="D8" i="9"/>
  <c r="E8" i="9" s="1"/>
  <c r="AR152" i="1"/>
  <c r="D13" i="9"/>
  <c r="E13" i="9" s="1"/>
  <c r="AR112" i="1"/>
  <c r="D10" i="9"/>
  <c r="E10" i="9" s="1"/>
  <c r="AR134" i="1"/>
  <c r="D17" i="9"/>
  <c r="E17" i="9" s="1"/>
  <c r="AR120" i="1"/>
  <c r="D42" i="9"/>
  <c r="E42" i="9" s="1"/>
  <c r="AR77" i="1"/>
  <c r="D84" i="9"/>
  <c r="E84" i="9" s="1"/>
  <c r="AR100" i="1"/>
  <c r="D85" i="9"/>
  <c r="E85" i="9" s="1"/>
  <c r="AR70" i="1"/>
  <c r="D121" i="9"/>
  <c r="E121" i="9" s="1"/>
  <c r="AR87" i="1"/>
  <c r="D113" i="9"/>
  <c r="E113" i="9" s="1"/>
  <c r="AR84" i="1"/>
  <c r="D60" i="9"/>
  <c r="E60" i="9" s="1"/>
  <c r="AR79" i="1"/>
  <c r="D65" i="9"/>
  <c r="E65" i="9" s="1"/>
  <c r="AR398" i="1"/>
  <c r="D87" i="9"/>
  <c r="E87" i="9" s="1"/>
  <c r="AR101" i="1"/>
  <c r="D94" i="9"/>
  <c r="E94" i="9" s="1"/>
  <c r="AR16" i="1"/>
  <c r="D115" i="9"/>
  <c r="E115" i="9" s="1"/>
  <c r="AR23" i="1"/>
  <c r="D80" i="9"/>
  <c r="E80" i="9" s="1"/>
  <c r="AR340" i="1"/>
  <c r="D135" i="9"/>
  <c r="E135" i="9" s="1"/>
  <c r="AR333" i="1"/>
  <c r="D58" i="9"/>
  <c r="E58" i="9" s="1"/>
  <c r="AR156" i="1"/>
  <c r="D139" i="9"/>
  <c r="E139" i="9" s="1"/>
  <c r="AR219" i="1"/>
  <c r="D119" i="9"/>
  <c r="E119" i="9" s="1"/>
  <c r="AR257" i="1"/>
  <c r="D152" i="9"/>
  <c r="E152" i="9" s="1"/>
  <c r="AR153" i="1"/>
  <c r="D44" i="9"/>
  <c r="E44" i="9" s="1"/>
  <c r="AR137" i="1"/>
  <c r="D124" i="9"/>
  <c r="E124" i="9" s="1"/>
  <c r="AR104" i="1"/>
  <c r="D22" i="9"/>
  <c r="E22" i="9" s="1"/>
  <c r="AR34" i="1"/>
  <c r="D86" i="9"/>
  <c r="E86" i="9" s="1"/>
  <c r="AR90" i="1"/>
  <c r="D31" i="9"/>
  <c r="E31" i="9" s="1"/>
  <c r="AR424" i="1"/>
  <c r="D33" i="9"/>
  <c r="E33" i="9" s="1"/>
  <c r="AR395" i="1"/>
  <c r="D39" i="9"/>
  <c r="E39" i="9" s="1"/>
  <c r="AR46" i="1"/>
  <c r="D82" i="9"/>
  <c r="E82" i="9" s="1"/>
  <c r="AR384" i="1"/>
  <c r="D48" i="9"/>
  <c r="E48" i="9" s="1"/>
  <c r="AR394" i="1"/>
  <c r="D49" i="9"/>
  <c r="E49" i="9" s="1"/>
  <c r="AR382" i="1"/>
  <c r="D56" i="9"/>
  <c r="E56" i="9" s="1"/>
  <c r="AR321" i="1"/>
  <c r="D108" i="9"/>
  <c r="E108" i="9" s="1"/>
  <c r="AR335" i="1"/>
  <c r="D59" i="9"/>
  <c r="E59" i="9" s="1"/>
  <c r="AR406" i="1"/>
  <c r="D98" i="9"/>
  <c r="E98" i="9" s="1"/>
  <c r="AR296" i="1"/>
  <c r="D147" i="9"/>
  <c r="E147" i="9" s="1"/>
  <c r="AR306" i="1"/>
  <c r="D144" i="9"/>
  <c r="E144" i="9" s="1"/>
  <c r="AR287" i="1"/>
  <c r="D143" i="9"/>
  <c r="E143" i="9" s="1"/>
  <c r="AR226" i="1"/>
  <c r="D20" i="9"/>
  <c r="E20" i="9" s="1"/>
  <c r="AR221" i="1"/>
  <c r="D163" i="9"/>
  <c r="E163" i="9" s="1"/>
  <c r="AR213" i="1"/>
  <c r="D21" i="9"/>
  <c r="E21" i="9" s="1"/>
  <c r="AR180" i="1"/>
  <c r="D23" i="9"/>
  <c r="E23" i="9" s="1"/>
  <c r="AR172" i="1"/>
  <c r="D128" i="9"/>
  <c r="E128" i="9" s="1"/>
  <c r="AR393" i="1"/>
  <c r="D102" i="9"/>
  <c r="E102" i="9" s="1"/>
  <c r="AR129" i="1"/>
  <c r="D11" i="9"/>
  <c r="E11" i="9" s="1"/>
  <c r="AR107" i="1"/>
  <c r="D25" i="9"/>
  <c r="E25" i="9" s="1"/>
  <c r="AR44" i="1"/>
  <c r="D96" i="9"/>
  <c r="E96" i="9" s="1"/>
  <c r="AR76" i="1"/>
  <c r="D117" i="9"/>
  <c r="E117" i="9" s="1"/>
  <c r="AR51" i="1"/>
  <c r="D122" i="9"/>
  <c r="E122" i="9" s="1"/>
  <c r="AR57" i="1"/>
  <c r="D88" i="9"/>
  <c r="E88" i="9" s="1"/>
  <c r="AR405" i="1"/>
  <c r="D75" i="9"/>
  <c r="E75" i="9" s="1"/>
  <c r="AR115" i="1"/>
  <c r="D114" i="9"/>
  <c r="E114" i="9" s="1"/>
  <c r="AR29" i="1"/>
  <c r="D110" i="9"/>
  <c r="E110" i="9" s="1"/>
  <c r="AR80" i="1"/>
  <c r="D62" i="9"/>
  <c r="E62" i="9" s="1"/>
  <c r="AR28" i="1"/>
  <c r="D91" i="9"/>
  <c r="E91" i="9" s="1"/>
  <c r="AR38" i="1"/>
  <c r="C37" i="3" s="1"/>
  <c r="D95" i="9"/>
  <c r="E95" i="9" s="1"/>
  <c r="AR43" i="1"/>
  <c r="D74" i="9"/>
  <c r="E74" i="9" s="1"/>
  <c r="AR52" i="1"/>
  <c r="D111" i="9"/>
  <c r="E111" i="9" s="1"/>
  <c r="AR207" i="1"/>
  <c r="D61" i="9"/>
  <c r="E61" i="9" s="1"/>
  <c r="AT13" i="1"/>
  <c r="AV13" i="1" s="1"/>
  <c r="AT213" i="1"/>
  <c r="AV213" i="1" s="1"/>
  <c r="AT91" i="1"/>
  <c r="AV91" i="1" s="1"/>
  <c r="AT23" i="1"/>
  <c r="AV23" i="1" s="1"/>
  <c r="AT209" i="1"/>
  <c r="AV209" i="1" s="1"/>
  <c r="AT107" i="1"/>
  <c r="AV107" i="1" s="1"/>
  <c r="AT331" i="1"/>
  <c r="AV331" i="1" s="1"/>
  <c r="AT129" i="1"/>
  <c r="AV129" i="1" s="1"/>
  <c r="AT420" i="1"/>
  <c r="AT29" i="1"/>
  <c r="AV29" i="1" s="1"/>
  <c r="AT97" i="1"/>
  <c r="AV97" i="1" s="1"/>
  <c r="AT137" i="1"/>
  <c r="AV137" i="1" s="1"/>
  <c r="AT52" i="1"/>
  <c r="AV52" i="1" s="1"/>
  <c r="AT115" i="1"/>
  <c r="AV115" i="1" s="1"/>
  <c r="AT76" i="1"/>
  <c r="AV76" i="1" s="1"/>
  <c r="AT166" i="1"/>
  <c r="AV166" i="1" s="1"/>
  <c r="AT223" i="1"/>
  <c r="AV223" i="1" s="1"/>
  <c r="AT219" i="1"/>
  <c r="AV219" i="1" s="1"/>
  <c r="AT53" i="1"/>
  <c r="AV53" i="1" s="1"/>
  <c r="AT31" i="1"/>
  <c r="AV31" i="1" s="1"/>
  <c r="AT38" i="1"/>
  <c r="AV38" i="1" s="1"/>
  <c r="AT87" i="1"/>
  <c r="AV87" i="1" s="1"/>
  <c r="AT161" i="1"/>
  <c r="AV161" i="1" s="1"/>
  <c r="AT150" i="1"/>
  <c r="AV150" i="1" s="1"/>
  <c r="AT153" i="1"/>
  <c r="AV153" i="1" s="1"/>
  <c r="AT257" i="1"/>
  <c r="AT294" i="1"/>
  <c r="AV294" i="1" s="1"/>
  <c r="AT64" i="1"/>
  <c r="AV64" i="1" s="1"/>
  <c r="AT42" i="1"/>
  <c r="AV42" i="1" s="1"/>
  <c r="AT39" i="1"/>
  <c r="AV39" i="1" s="1"/>
  <c r="AT77" i="1"/>
  <c r="AV77" i="1" s="1"/>
  <c r="AT142" i="1"/>
  <c r="AV142" i="1" s="1"/>
  <c r="AT121" i="1"/>
  <c r="AV121" i="1" s="1"/>
  <c r="AT184" i="1"/>
  <c r="AV184" i="1" s="1"/>
  <c r="AT308" i="1"/>
  <c r="AT415" i="1"/>
  <c r="AT182" i="1"/>
  <c r="AV182" i="1" s="1"/>
  <c r="AT179" i="1"/>
  <c r="AV179" i="1" s="1"/>
  <c r="AT27" i="1"/>
  <c r="AV27" i="1" s="1"/>
  <c r="AT14" i="1"/>
  <c r="AV14" i="1" s="1"/>
  <c r="AT47" i="1"/>
  <c r="AV47" i="1" s="1"/>
  <c r="AT101" i="1"/>
  <c r="AV101" i="1" s="1"/>
  <c r="AT79" i="1"/>
  <c r="AV79" i="1" s="1"/>
  <c r="AT45" i="1"/>
  <c r="AT70" i="1"/>
  <c r="AV70" i="1" s="1"/>
  <c r="AT220" i="1"/>
  <c r="AV220" i="1" s="1"/>
  <c r="AT110" i="1"/>
  <c r="AV110" i="1" s="1"/>
  <c r="AT48" i="1"/>
  <c r="AV48" i="1" s="1"/>
  <c r="AT120" i="1"/>
  <c r="AV120" i="1" s="1"/>
  <c r="AT134" i="1"/>
  <c r="AV134" i="1" s="1"/>
  <c r="AT151" i="1"/>
  <c r="AV151" i="1" s="1"/>
  <c r="AT393" i="1"/>
  <c r="AV393" i="1" s="1"/>
  <c r="AT152" i="1"/>
  <c r="AV152" i="1" s="1"/>
  <c r="AT160" i="1"/>
  <c r="AV160" i="1" s="1"/>
  <c r="AT222" i="1"/>
  <c r="AV222" i="1" s="1"/>
  <c r="AT188" i="1"/>
  <c r="AV188" i="1" s="1"/>
  <c r="AT191" i="1"/>
  <c r="AV191" i="1" s="1"/>
  <c r="AT226" i="1"/>
  <c r="AV226" i="1" s="1"/>
  <c r="AT343" i="1"/>
  <c r="AV343" i="1" s="1"/>
  <c r="AT307" i="1"/>
  <c r="AT309" i="1"/>
  <c r="AT321" i="1"/>
  <c r="AV321" i="1" s="1"/>
  <c r="AT21" i="1"/>
  <c r="AV21" i="1" s="1"/>
  <c r="AT40" i="1"/>
  <c r="AV40" i="1" s="1"/>
  <c r="AT16" i="1"/>
  <c r="AV16" i="1" s="1"/>
  <c r="AT25" i="1"/>
  <c r="AV25" i="1" s="1"/>
  <c r="AT69" i="1"/>
  <c r="AV69" i="1" s="1"/>
  <c r="AT80" i="1"/>
  <c r="AV80" i="1" s="1"/>
  <c r="AT117" i="1"/>
  <c r="AV117" i="1" s="1"/>
  <c r="AT51" i="1"/>
  <c r="AV51" i="1" s="1"/>
  <c r="AT72" i="1"/>
  <c r="AV72" i="1" s="1"/>
  <c r="AT44" i="1"/>
  <c r="AV44" i="1" s="1"/>
  <c r="AT105" i="1"/>
  <c r="AV105" i="1" s="1"/>
  <c r="AT102" i="1"/>
  <c r="AV102" i="1" s="1"/>
  <c r="AT124" i="1"/>
  <c r="AV124" i="1" s="1"/>
  <c r="AT133" i="1"/>
  <c r="AV133" i="1" s="1"/>
  <c r="AT112" i="1"/>
  <c r="AV112" i="1" s="1"/>
  <c r="AT165" i="1"/>
  <c r="AV165" i="1" s="1"/>
  <c r="AT119" i="1"/>
  <c r="AV119" i="1" s="1"/>
  <c r="AT136" i="1"/>
  <c r="AV136" i="1" s="1"/>
  <c r="AT135" i="1"/>
  <c r="AV135" i="1" s="1"/>
  <c r="AT198" i="1"/>
  <c r="AV198" i="1" s="1"/>
  <c r="AT197" i="1"/>
  <c r="AV197" i="1" s="1"/>
  <c r="AT203" i="1"/>
  <c r="AV203" i="1" s="1"/>
  <c r="AT211" i="1"/>
  <c r="AV211" i="1" s="1"/>
  <c r="AT244" i="1"/>
  <c r="AV244" i="1" s="1"/>
  <c r="AT118" i="1"/>
  <c r="AV118" i="1" s="1"/>
  <c r="AT260" i="1"/>
  <c r="AV260" i="1" s="1"/>
  <c r="AT299" i="1"/>
  <c r="AT301" i="1"/>
  <c r="AV301" i="1" s="1"/>
  <c r="AT313" i="1"/>
  <c r="AT385" i="1"/>
  <c r="AV385" i="1" s="1"/>
  <c r="AT46" i="1"/>
  <c r="AV46" i="1" s="1"/>
  <c r="AT414" i="1"/>
  <c r="AV414" i="1" s="1"/>
  <c r="AT162" i="1"/>
  <c r="AV162" i="1" s="1"/>
  <c r="AT103" i="1"/>
  <c r="AV103" i="1" s="1"/>
  <c r="AT37" i="1"/>
  <c r="AV37" i="1" s="1"/>
  <c r="AT55" i="1"/>
  <c r="AV55" i="1" s="1"/>
  <c r="AT50" i="1"/>
  <c r="AV50" i="1" s="1"/>
  <c r="AT67" i="1"/>
  <c r="AV67" i="1" s="1"/>
  <c r="AT65" i="1"/>
  <c r="AV65" i="1" s="1"/>
  <c r="AT86" i="1"/>
  <c r="AV86" i="1" s="1"/>
  <c r="AT59" i="1"/>
  <c r="AV59" i="1" s="1"/>
  <c r="AT61" i="1"/>
  <c r="AV61" i="1" s="1"/>
  <c r="AT96" i="1"/>
  <c r="AV96" i="1" s="1"/>
  <c r="AT169" i="1"/>
  <c r="AV169" i="1" s="1"/>
  <c r="AT62" i="1"/>
  <c r="AV62" i="1" s="1"/>
  <c r="AT68" i="1"/>
  <c r="AV68" i="1" s="1"/>
  <c r="AT88" i="1"/>
  <c r="AV88" i="1" s="1"/>
  <c r="AT125" i="1"/>
  <c r="AV125" i="1" s="1"/>
  <c r="AT143" i="1"/>
  <c r="AV143" i="1" s="1"/>
  <c r="AT174" i="1"/>
  <c r="AV174" i="1" s="1"/>
  <c r="AT122" i="1"/>
  <c r="AV122" i="1" s="1"/>
  <c r="AT164" i="1"/>
  <c r="AV164" i="1" s="1"/>
  <c r="AT180" i="1"/>
  <c r="AV180" i="1" s="1"/>
  <c r="AT185" i="1"/>
  <c r="AV185" i="1" s="1"/>
  <c r="AT189" i="1"/>
  <c r="AV189" i="1" s="1"/>
  <c r="AT204" i="1"/>
  <c r="AV204" i="1" s="1"/>
  <c r="AT206" i="1"/>
  <c r="AV206" i="1" s="1"/>
  <c r="AT227" i="1"/>
  <c r="AV227" i="1" s="1"/>
  <c r="AT433" i="1"/>
  <c r="AV433" i="1" s="1"/>
  <c r="AT170" i="1"/>
  <c r="AV170" i="1" s="1"/>
  <c r="AT264" i="1"/>
  <c r="AV264" i="1" s="1"/>
  <c r="AT283" i="1"/>
  <c r="AT113" i="1"/>
  <c r="AV113" i="1" s="1"/>
  <c r="AT318" i="1"/>
  <c r="D335" i="8" s="1"/>
  <c r="E335" i="8" s="1"/>
  <c r="AT334" i="1"/>
  <c r="AT78" i="1"/>
  <c r="AV78" i="1" s="1"/>
  <c r="AT17" i="1"/>
  <c r="AT207" i="1"/>
  <c r="AV207" i="1" s="1"/>
  <c r="AT18" i="1"/>
  <c r="AV18" i="1" s="1"/>
  <c r="AT15" i="1"/>
  <c r="AV15" i="1" s="1"/>
  <c r="AT19" i="1"/>
  <c r="AT26" i="1"/>
  <c r="AV26" i="1" s="1"/>
  <c r="AT20" i="1"/>
  <c r="AV20" i="1" s="1"/>
  <c r="AT30" i="1"/>
  <c r="AV30" i="1" s="1"/>
  <c r="AT35" i="1"/>
  <c r="AV35" i="1" s="1"/>
  <c r="AT36" i="1"/>
  <c r="AV36" i="1" s="1"/>
  <c r="AT24" i="1"/>
  <c r="AT90" i="1"/>
  <c r="AV90" i="1" s="1"/>
  <c r="AT41" i="1"/>
  <c r="AV41" i="1" s="1"/>
  <c r="AT34" i="1"/>
  <c r="AV34" i="1" s="1"/>
  <c r="AT49" i="1"/>
  <c r="AV49" i="1" s="1"/>
  <c r="AT43" i="1"/>
  <c r="AV43" i="1" s="1"/>
  <c r="AT54" i="1"/>
  <c r="AT60" i="1"/>
  <c r="AV60" i="1" s="1"/>
  <c r="AT28" i="1"/>
  <c r="AV28" i="1" s="1"/>
  <c r="AT73" i="1"/>
  <c r="AV73" i="1" s="1"/>
  <c r="AT398" i="1"/>
  <c r="AV398" i="1" s="1"/>
  <c r="AT74" i="1"/>
  <c r="AV74" i="1" s="1"/>
  <c r="AT85" i="1"/>
  <c r="AT405" i="1"/>
  <c r="AV405" i="1" s="1"/>
  <c r="AT84" i="1"/>
  <c r="AV84" i="1" s="1"/>
  <c r="AT89" i="1"/>
  <c r="AV89" i="1" s="1"/>
  <c r="AT57" i="1"/>
  <c r="AV57" i="1" s="1"/>
  <c r="AT33" i="1"/>
  <c r="AV33" i="1" s="1"/>
  <c r="AT94" i="1"/>
  <c r="AV94" i="1" s="1"/>
  <c r="AT98" i="1"/>
  <c r="AV98" i="1" s="1"/>
  <c r="AT99" i="1"/>
  <c r="AT100" i="1"/>
  <c r="AT106" i="1"/>
  <c r="AV106" i="1" s="1"/>
  <c r="AT108" i="1"/>
  <c r="AV108" i="1" s="1"/>
  <c r="AT144" i="1"/>
  <c r="AV144" i="1" s="1"/>
  <c r="AT116" i="1"/>
  <c r="AV116" i="1" s="1"/>
  <c r="AT123" i="1"/>
  <c r="AV123" i="1" s="1"/>
  <c r="AT95" i="1"/>
  <c r="AT131" i="1"/>
  <c r="AV131" i="1" s="1"/>
  <c r="AT132" i="1"/>
  <c r="AT66" i="1"/>
  <c r="AV66" i="1" s="1"/>
  <c r="AT104" i="1"/>
  <c r="AV104" i="1" s="1"/>
  <c r="AT138" i="1"/>
  <c r="AV138" i="1" s="1"/>
  <c r="AT139" i="1"/>
  <c r="AV139" i="1" s="1"/>
  <c r="AT141" i="1"/>
  <c r="AV141" i="1" s="1"/>
  <c r="AT320" i="1"/>
  <c r="AV320" i="1" s="1"/>
  <c r="AT145" i="1"/>
  <c r="AT146" i="1"/>
  <c r="AV146" i="1" s="1"/>
  <c r="AT130" i="1"/>
  <c r="AV130" i="1" s="1"/>
  <c r="AT149" i="1"/>
  <c r="AV149" i="1" s="1"/>
  <c r="AT159" i="1"/>
  <c r="AV159" i="1" s="1"/>
  <c r="AT154" i="1"/>
  <c r="AT155" i="1"/>
  <c r="AT158" i="1"/>
  <c r="AT140" i="1"/>
  <c r="AV140" i="1" s="1"/>
  <c r="AT147" i="1"/>
  <c r="AV147" i="1" s="1"/>
  <c r="AT168" i="1"/>
  <c r="AV168" i="1" s="1"/>
  <c r="AT163" i="1"/>
  <c r="AV163" i="1" s="1"/>
  <c r="AT173" i="1"/>
  <c r="AV173" i="1" s="1"/>
  <c r="AT175" i="1"/>
  <c r="AV175" i="1" s="1"/>
  <c r="AT177" i="1"/>
  <c r="AT178" i="1"/>
  <c r="AT183" i="1"/>
  <c r="AV183" i="1" s="1"/>
  <c r="AT186" i="1"/>
  <c r="AT193" i="1"/>
  <c r="AT195" i="1"/>
  <c r="AV195" i="1" s="1"/>
  <c r="AT157" i="1"/>
  <c r="AT199" i="1"/>
  <c r="AT200" i="1"/>
  <c r="AT201" i="1"/>
  <c r="AT202" i="1"/>
  <c r="AV202" i="1" s="1"/>
  <c r="AT225" i="1"/>
  <c r="AV225" i="1" s="1"/>
  <c r="AT181" i="1"/>
  <c r="AV181" i="1" s="1"/>
  <c r="AT205" i="1"/>
  <c r="AV205" i="1" s="1"/>
  <c r="AT208" i="1"/>
  <c r="AT210" i="1"/>
  <c r="AT245" i="1"/>
  <c r="AV245" i="1" s="1"/>
  <c r="AT212" i="1"/>
  <c r="AV212" i="1" s="1"/>
  <c r="AT214" i="1"/>
  <c r="AT217" i="1"/>
  <c r="AV217" i="1" s="1"/>
  <c r="AT190" i="1"/>
  <c r="AV190" i="1" s="1"/>
  <c r="AT218" i="1"/>
  <c r="AT221" i="1"/>
  <c r="AT224" i="1"/>
  <c r="AT176" i="1"/>
  <c r="AT228" i="1"/>
  <c r="AV228" i="1" s="1"/>
  <c r="AT229" i="1"/>
  <c r="AT230" i="1"/>
  <c r="AT231" i="1"/>
  <c r="AV231" i="1" s="1"/>
  <c r="AT232" i="1"/>
  <c r="AV232" i="1" s="1"/>
  <c r="AT233" i="1"/>
  <c r="AV233" i="1" s="1"/>
  <c r="AT234" i="1"/>
  <c r="AT235" i="1"/>
  <c r="AV235" i="1" s="1"/>
  <c r="AT236" i="1"/>
  <c r="AV236" i="1" s="1"/>
  <c r="AT237" i="1"/>
  <c r="AT238" i="1"/>
  <c r="AT239" i="1"/>
  <c r="AV239" i="1" s="1"/>
  <c r="AT240" i="1"/>
  <c r="AT241" i="1"/>
  <c r="AT192" i="1"/>
  <c r="AV192" i="1" s="1"/>
  <c r="AT247" i="1"/>
  <c r="AV247" i="1" s="1"/>
  <c r="AT259" i="1"/>
  <c r="AT248" i="1"/>
  <c r="AT249" i="1"/>
  <c r="AT246" i="1"/>
  <c r="AV246" i="1" s="1"/>
  <c r="AT196" i="1"/>
  <c r="AV196" i="1" s="1"/>
  <c r="AT253" i="1"/>
  <c r="AT254" i="1"/>
  <c r="AT256" i="1"/>
  <c r="AV256" i="1" s="1"/>
  <c r="AT266" i="1"/>
  <c r="AT258" i="1"/>
  <c r="AT275" i="1"/>
  <c r="AT269" i="1"/>
  <c r="AT261" i="1"/>
  <c r="AV261" i="1" s="1"/>
  <c r="AT262" i="1"/>
  <c r="AT265" i="1"/>
  <c r="AV265" i="1" s="1"/>
  <c r="AT194" i="1"/>
  <c r="AV194" i="1" s="1"/>
  <c r="AT287" i="1"/>
  <c r="AT273" i="1"/>
  <c r="AT279" i="1"/>
  <c r="AT268" i="1"/>
  <c r="AT297" i="1"/>
  <c r="AT306" i="1"/>
  <c r="AT282" i="1"/>
  <c r="AT310" i="1"/>
  <c r="AT274" i="1"/>
  <c r="AT276" i="1"/>
  <c r="AT292" i="1"/>
  <c r="AT317" i="1"/>
  <c r="AT156" i="1"/>
  <c r="AV156" i="1" s="1"/>
  <c r="AT280" i="1"/>
  <c r="AT281" i="1"/>
  <c r="AT284" i="1"/>
  <c r="AT285" i="1"/>
  <c r="AT288" i="1"/>
  <c r="AV288" i="1" s="1"/>
  <c r="AT290" i="1"/>
  <c r="AT291" i="1"/>
  <c r="AT296" i="1"/>
  <c r="AT305" i="1"/>
  <c r="AT295" i="1"/>
  <c r="AT298" i="1"/>
  <c r="AT303" i="1"/>
  <c r="AV303" i="1" s="1"/>
  <c r="AT315" i="1"/>
  <c r="AT324" i="1"/>
  <c r="AT333" i="1"/>
  <c r="AT322" i="1"/>
  <c r="AT114" i="1"/>
  <c r="AV114" i="1" s="1"/>
  <c r="AT311" i="1"/>
  <c r="AT312" i="1"/>
  <c r="AT314" i="1"/>
  <c r="AT406" i="1"/>
  <c r="AT323" i="1"/>
  <c r="AT335" i="1"/>
  <c r="AT325" i="1"/>
  <c r="AV325" i="1" s="1"/>
  <c r="AT381" i="1"/>
  <c r="AT327" i="1"/>
  <c r="AT329" i="1"/>
  <c r="AT344" i="1"/>
  <c r="AT330" i="1"/>
  <c r="AT337" i="1"/>
  <c r="AT340" i="1"/>
  <c r="AT382" i="1"/>
  <c r="AT336" i="1"/>
  <c r="AT338" i="1"/>
  <c r="AV338" i="1" s="1"/>
  <c r="AT425" i="1"/>
  <c r="AT394" i="1"/>
  <c r="AT342" i="1"/>
  <c r="AT345" i="1"/>
  <c r="AT347" i="1"/>
  <c r="AT349" i="1"/>
  <c r="AT350" i="1"/>
  <c r="AT351" i="1"/>
  <c r="AT352" i="1"/>
  <c r="AT353" i="1"/>
  <c r="AT354" i="1"/>
  <c r="AT355" i="1"/>
  <c r="AT356" i="1"/>
  <c r="AT357" i="1"/>
  <c r="AT358" i="1"/>
  <c r="AT359" i="1"/>
  <c r="AT360" i="1"/>
  <c r="AT361" i="1"/>
  <c r="AT362" i="1"/>
  <c r="AT363" i="1"/>
  <c r="AT364" i="1"/>
  <c r="AT365" i="1"/>
  <c r="AT366" i="1"/>
  <c r="AT367" i="1"/>
  <c r="AT368" i="1"/>
  <c r="AT369" i="1"/>
  <c r="AT370" i="1"/>
  <c r="AT371" i="1"/>
  <c r="AT372" i="1"/>
  <c r="AT373" i="1"/>
  <c r="AT374" i="1"/>
  <c r="AT375" i="1"/>
  <c r="AT376" i="1"/>
  <c r="AT377" i="1"/>
  <c r="AT378" i="1"/>
  <c r="AT379" i="1"/>
  <c r="AT387" i="1"/>
  <c r="AT384" i="1"/>
  <c r="AT388" i="1"/>
  <c r="AT413" i="1"/>
  <c r="AT383" i="1"/>
  <c r="AV383" i="1" s="1"/>
  <c r="AT386" i="1"/>
  <c r="AT389" i="1"/>
  <c r="AV389" i="1" s="1"/>
  <c r="AT242" i="1"/>
  <c r="AV242" i="1" s="1"/>
  <c r="AT411" i="1"/>
  <c r="AV411" i="1" s="1"/>
  <c r="AT392" i="1"/>
  <c r="AT395" i="1"/>
  <c r="AT397" i="1"/>
  <c r="AT403" i="1"/>
  <c r="AT400" i="1"/>
  <c r="AT401" i="1"/>
  <c r="AT417" i="1"/>
  <c r="AV417" i="1" s="1"/>
  <c r="AT404" i="1"/>
  <c r="AT407" i="1"/>
  <c r="AV407" i="1" s="1"/>
  <c r="AT416" i="1"/>
  <c r="AV416" i="1" s="1"/>
  <c r="AT408" i="1"/>
  <c r="AT410" i="1"/>
  <c r="AT391" i="1"/>
  <c r="AT412" i="1"/>
  <c r="AT423" i="1"/>
  <c r="AT418" i="1"/>
  <c r="AT421" i="1"/>
  <c r="AT422" i="1"/>
  <c r="AT424" i="1"/>
  <c r="AT426" i="1"/>
  <c r="AT432" i="1"/>
  <c r="AT437" i="1"/>
  <c r="AT430" i="1"/>
  <c r="AT434" i="1"/>
  <c r="AV434" i="1" s="1"/>
  <c r="AT440" i="1"/>
  <c r="AT438" i="1"/>
  <c r="AV438" i="1" s="1"/>
  <c r="AT436" i="1"/>
  <c r="AT441" i="1"/>
  <c r="AT58" i="1"/>
  <c r="AT81" i="1"/>
  <c r="AT82" i="1"/>
  <c r="AT128" i="1"/>
  <c r="AT148" i="1"/>
  <c r="AV148" i="1" s="1"/>
  <c r="A138" i="4"/>
  <c r="D133" i="4"/>
  <c r="D134" i="4"/>
  <c r="D135" i="4"/>
  <c r="D136" i="4"/>
  <c r="D137" i="4"/>
  <c r="D132" i="4"/>
  <c r="E131" i="4"/>
  <c r="D121" i="4"/>
  <c r="D122" i="4"/>
  <c r="D123" i="4"/>
  <c r="D124" i="4"/>
  <c r="D125" i="4"/>
  <c r="D126" i="4"/>
  <c r="D127" i="4"/>
  <c r="D128" i="4"/>
  <c r="D129" i="4"/>
  <c r="D130" i="4"/>
  <c r="E107"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8" i="4"/>
  <c r="D109" i="4"/>
  <c r="D110" i="4"/>
  <c r="D111" i="4"/>
  <c r="D112" i="4"/>
  <c r="D113" i="4"/>
  <c r="D114" i="4"/>
  <c r="D115" i="4"/>
  <c r="D116" i="4"/>
  <c r="D117" i="4"/>
  <c r="D118" i="4"/>
  <c r="D119" i="4"/>
  <c r="D120" i="4"/>
  <c r="D76" i="4"/>
  <c r="E75"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11" i="4"/>
  <c r="D7" i="4"/>
  <c r="E6" i="4"/>
  <c r="D2" i="4"/>
  <c r="D3" i="4"/>
  <c r="D4" i="4"/>
  <c r="D5" i="4"/>
  <c r="D8" i="4"/>
  <c r="D9" i="4"/>
  <c r="D1" i="4"/>
  <c r="B140" i="4"/>
  <c r="AV128" i="1" l="1"/>
  <c r="D386" i="8"/>
  <c r="D205" i="9"/>
  <c r="G10" i="3"/>
  <c r="AV199" i="1"/>
  <c r="D218" i="8"/>
  <c r="E218" i="8" s="1"/>
  <c r="AV100" i="1"/>
  <c r="AV54" i="1"/>
  <c r="AV214" i="1"/>
  <c r="AV145" i="1"/>
  <c r="AV99" i="1"/>
  <c r="AV85" i="1"/>
  <c r="D89" i="8"/>
  <c r="E89" i="8" s="1"/>
  <c r="D360" i="8"/>
  <c r="E360" i="8" s="1"/>
  <c r="D32" i="8"/>
  <c r="E32" i="8" s="1"/>
  <c r="AV224" i="1"/>
  <c r="AV210" i="1"/>
  <c r="AV186" i="1"/>
  <c r="AV154" i="1"/>
  <c r="AV132" i="1"/>
  <c r="AV81" i="1"/>
  <c r="D365" i="8"/>
  <c r="E365" i="8" s="1"/>
  <c r="D379" i="8"/>
  <c r="E379" i="8" s="1"/>
  <c r="AV221" i="1"/>
  <c r="AV208" i="1"/>
  <c r="AV157" i="1"/>
  <c r="AV45" i="1"/>
  <c r="AV58" i="1"/>
  <c r="D100" i="8"/>
  <c r="E100" i="8" s="1"/>
  <c r="D364" i="8"/>
  <c r="E364" i="8" s="1"/>
  <c r="AV218" i="1"/>
  <c r="AV201" i="1"/>
  <c r="AV178" i="1"/>
  <c r="AV158" i="1"/>
  <c r="AV95" i="1"/>
  <c r="AV24" i="1"/>
  <c r="AV75" i="1"/>
  <c r="AV82" i="1"/>
  <c r="D92" i="8"/>
  <c r="E92" i="8" s="1"/>
  <c r="D176" i="8"/>
  <c r="E176" i="8" s="1"/>
  <c r="D250" i="8"/>
  <c r="E250" i="8" s="1"/>
  <c r="AV200" i="1"/>
  <c r="AV193" i="1"/>
  <c r="AV177" i="1"/>
  <c r="AV155" i="1"/>
  <c r="D138" i="4"/>
  <c r="G48" i="3"/>
  <c r="G49" i="3"/>
  <c r="G65" i="3"/>
  <c r="G56" i="3"/>
  <c r="G47" i="3"/>
  <c r="G27" i="3"/>
  <c r="G30" i="3"/>
  <c r="G51" i="3"/>
  <c r="G50" i="3"/>
  <c r="G41" i="3"/>
  <c r="G25" i="3"/>
  <c r="G6" i="3"/>
  <c r="G45" i="3"/>
  <c r="G36" i="3"/>
  <c r="G5" i="3"/>
  <c r="G19" i="3"/>
  <c r="G59" i="3"/>
  <c r="G18" i="3"/>
  <c r="G43" i="3"/>
  <c r="E69" i="3"/>
  <c r="C26" i="3"/>
  <c r="E60" i="3"/>
  <c r="C34" i="3"/>
  <c r="C69" i="3"/>
  <c r="C21" i="3"/>
  <c r="E16" i="3"/>
  <c r="C70" i="3"/>
  <c r="E42" i="3"/>
  <c r="C52" i="3"/>
  <c r="E52" i="3"/>
  <c r="C57" i="3"/>
  <c r="E57" i="3"/>
  <c r="C7" i="3"/>
  <c r="E7" i="3"/>
  <c r="C12" i="3"/>
  <c r="E12" i="3"/>
  <c r="C32" i="3"/>
  <c r="E32" i="3"/>
  <c r="E35" i="3"/>
  <c r="C35" i="3"/>
  <c r="C22" i="3"/>
  <c r="E22" i="3"/>
  <c r="E54" i="3"/>
  <c r="C54" i="3"/>
  <c r="E14" i="3"/>
  <c r="C14" i="3"/>
  <c r="C68" i="3"/>
  <c r="E68" i="3"/>
  <c r="E31" i="3"/>
  <c r="C31" i="3"/>
  <c r="C20" i="3"/>
  <c r="E20" i="3"/>
  <c r="E8" i="3"/>
  <c r="C8" i="3"/>
  <c r="E39" i="3"/>
  <c r="C39" i="3"/>
  <c r="E67" i="3"/>
  <c r="C67" i="3"/>
  <c r="E34" i="3"/>
  <c r="E11" i="3"/>
  <c r="G11" i="3" s="1"/>
  <c r="E4" i="3"/>
  <c r="E26" i="3"/>
  <c r="E70" i="3"/>
  <c r="C60" i="3"/>
  <c r="C66" i="3"/>
  <c r="E15" i="3"/>
  <c r="C15" i="3"/>
  <c r="E37" i="3"/>
  <c r="G37" i="3" s="1"/>
  <c r="C42" i="3"/>
  <c r="C16" i="3"/>
  <c r="E40" i="3"/>
  <c r="E66" i="3"/>
  <c r="C28" i="3"/>
  <c r="E28" i="3"/>
  <c r="E46" i="3"/>
  <c r="C46" i="3"/>
  <c r="E38" i="3"/>
  <c r="C38" i="3"/>
  <c r="C44" i="3"/>
  <c r="E44" i="3"/>
  <c r="E55" i="3"/>
  <c r="C55" i="3"/>
  <c r="C58" i="3"/>
  <c r="E58" i="3"/>
  <c r="E9" i="3"/>
  <c r="C9" i="3"/>
  <c r="C17" i="3"/>
  <c r="E17" i="3"/>
  <c r="C13" i="3"/>
  <c r="E13" i="3"/>
  <c r="C61" i="3"/>
  <c r="E61" i="3"/>
  <c r="C4" i="3"/>
  <c r="C40" i="3"/>
  <c r="E21" i="3"/>
  <c r="C53" i="3"/>
  <c r="E53" i="3"/>
  <c r="AE7" i="2"/>
  <c r="AF30" i="2"/>
  <c r="D162" i="8"/>
  <c r="E162" i="8" s="1"/>
  <c r="D174" i="8"/>
  <c r="E174" i="8" s="1"/>
  <c r="D241" i="8"/>
  <c r="E241" i="8" s="1"/>
  <c r="D356" i="8"/>
  <c r="E356" i="8" s="1"/>
  <c r="D252" i="8"/>
  <c r="E252" i="8" s="1"/>
  <c r="D161" i="8"/>
  <c r="E161" i="8" s="1"/>
  <c r="D217" i="8"/>
  <c r="E217" i="8" s="1"/>
  <c r="D182" i="8"/>
  <c r="E182" i="8" s="1"/>
  <c r="D332" i="8"/>
  <c r="E332" i="8" s="1"/>
  <c r="D228" i="8"/>
  <c r="E228" i="8" s="1"/>
  <c r="D362" i="8"/>
  <c r="E362" i="8" s="1"/>
  <c r="D307" i="8"/>
  <c r="E307" i="8" s="1"/>
  <c r="D254" i="8"/>
  <c r="E254" i="8" s="1"/>
  <c r="D383" i="8"/>
  <c r="E383" i="8" s="1"/>
  <c r="D375" i="8"/>
  <c r="E375" i="8" s="1"/>
  <c r="D363" i="8"/>
  <c r="E363" i="8" s="1"/>
  <c r="D325" i="8"/>
  <c r="E325" i="8" s="1"/>
  <c r="D198" i="8"/>
  <c r="E198" i="8" s="1"/>
  <c r="D339" i="8"/>
  <c r="E339" i="8" s="1"/>
  <c r="D231" i="8"/>
  <c r="E231" i="8" s="1"/>
  <c r="D86" i="8"/>
  <c r="E86" i="8" s="1"/>
  <c r="D74" i="8"/>
  <c r="E74" i="8" s="1"/>
  <c r="D135" i="8"/>
  <c r="E135" i="8" s="1"/>
  <c r="D71" i="8"/>
  <c r="E71" i="8" s="1"/>
  <c r="D124" i="8"/>
  <c r="E124" i="8" s="1"/>
  <c r="D118" i="8"/>
  <c r="E118" i="8" s="1"/>
  <c r="D114" i="8"/>
  <c r="E114" i="8" s="1"/>
  <c r="D125" i="8"/>
  <c r="E125" i="8" s="1"/>
  <c r="D342" i="8"/>
  <c r="E342" i="8" s="1"/>
  <c r="D300" i="8"/>
  <c r="E300" i="8" s="1"/>
  <c r="D359" i="8"/>
  <c r="E359" i="8" s="1"/>
  <c r="D336" i="8"/>
  <c r="E336" i="8" s="1"/>
  <c r="D317" i="8"/>
  <c r="E317" i="8" s="1"/>
  <c r="D202" i="8"/>
  <c r="E202" i="8" s="1"/>
  <c r="D14" i="8"/>
  <c r="E14" i="8" s="1"/>
  <c r="D149" i="8"/>
  <c r="E149" i="8" s="1"/>
  <c r="D212" i="8"/>
  <c r="E212" i="8" s="1"/>
  <c r="D62" i="8"/>
  <c r="E62" i="8" s="1"/>
  <c r="D215" i="8"/>
  <c r="E215" i="8" s="1"/>
  <c r="D237" i="8"/>
  <c r="E237" i="8" s="1"/>
  <c r="D303" i="8"/>
  <c r="E303" i="8" s="1"/>
  <c r="D306" i="8"/>
  <c r="E306" i="8" s="1"/>
  <c r="D30" i="8"/>
  <c r="E30" i="8" s="1"/>
  <c r="D63" i="8"/>
  <c r="E63" i="8" s="1"/>
  <c r="D269" i="8"/>
  <c r="E269" i="8" s="1"/>
  <c r="D157" i="8"/>
  <c r="E157" i="8" s="1"/>
  <c r="D279" i="8"/>
  <c r="E279" i="8" s="1"/>
  <c r="D296" i="8"/>
  <c r="E296" i="8" s="1"/>
  <c r="D242" i="8"/>
  <c r="E242" i="8" s="1"/>
  <c r="D58" i="8"/>
  <c r="E58" i="8" s="1"/>
  <c r="D9" i="8"/>
  <c r="E9" i="8" s="1"/>
  <c r="D171" i="8"/>
  <c r="E171" i="8" s="1"/>
  <c r="D177" i="8"/>
  <c r="E177" i="8" s="1"/>
  <c r="D183" i="8"/>
  <c r="E183" i="8" s="1"/>
  <c r="D96" i="8"/>
  <c r="E96" i="8" s="1"/>
  <c r="D77" i="8"/>
  <c r="E77" i="8" s="1"/>
  <c r="D54" i="8"/>
  <c r="E54" i="8" s="1"/>
  <c r="D78" i="8"/>
  <c r="E78" i="8" s="1"/>
  <c r="D88" i="8"/>
  <c r="E88" i="8" s="1"/>
  <c r="D327" i="8"/>
  <c r="E327" i="8" s="1"/>
  <c r="D310" i="8"/>
  <c r="E310" i="8" s="1"/>
  <c r="D90" i="8"/>
  <c r="E90" i="8" s="1"/>
  <c r="D85" i="8"/>
  <c r="E85" i="8" s="1"/>
  <c r="D371" i="8"/>
  <c r="E371" i="8" s="1"/>
  <c r="D370" i="8"/>
  <c r="E370" i="8" s="1"/>
  <c r="D84" i="8"/>
  <c r="E84" i="8" s="1"/>
  <c r="D347" i="8"/>
  <c r="E347" i="8" s="1"/>
  <c r="D243" i="8"/>
  <c r="E243" i="8" s="1"/>
  <c r="D355" i="8"/>
  <c r="E355" i="8" s="1"/>
  <c r="D232" i="8"/>
  <c r="E232" i="8" s="1"/>
  <c r="D341" i="8"/>
  <c r="E341" i="8" s="1"/>
  <c r="D348" i="8"/>
  <c r="E348" i="8" s="1"/>
  <c r="D249" i="8"/>
  <c r="E249" i="8" s="1"/>
  <c r="D328" i="8"/>
  <c r="E328" i="8" s="1"/>
  <c r="D18" i="8"/>
  <c r="E18" i="8" s="1"/>
  <c r="D189" i="8"/>
  <c r="E189" i="8" s="1"/>
  <c r="D187" i="8"/>
  <c r="E187" i="8" s="1"/>
  <c r="D186" i="8"/>
  <c r="E186" i="8" s="1"/>
  <c r="D72" i="8"/>
  <c r="E72" i="8" s="1"/>
  <c r="D221" i="8"/>
  <c r="E221" i="8" s="1"/>
  <c r="D305" i="8"/>
  <c r="E305" i="8" s="1"/>
  <c r="D290" i="8"/>
  <c r="E290" i="8" s="1"/>
  <c r="D225" i="8"/>
  <c r="E225" i="8" s="1"/>
  <c r="D239" i="8"/>
  <c r="E239" i="8" s="1"/>
  <c r="D259" i="8"/>
  <c r="E259" i="8" s="1"/>
  <c r="D261" i="8"/>
  <c r="E261" i="8" s="1"/>
  <c r="D214" i="8"/>
  <c r="E214" i="8" s="1"/>
  <c r="D245" i="8"/>
  <c r="E245" i="8" s="1"/>
  <c r="D299" i="8"/>
  <c r="E299" i="8" s="1"/>
  <c r="D15" i="8"/>
  <c r="E15" i="8" s="1"/>
  <c r="D274" i="8"/>
  <c r="E274" i="8" s="1"/>
  <c r="D287" i="8"/>
  <c r="E287" i="8" s="1"/>
  <c r="D79" i="8"/>
  <c r="E79" i="8" s="1"/>
  <c r="D283" i="8"/>
  <c r="E283" i="8" s="1"/>
  <c r="D142" i="8"/>
  <c r="E142" i="8" s="1"/>
  <c r="D233" i="8"/>
  <c r="E233" i="8" s="1"/>
  <c r="D67" i="8"/>
  <c r="E67" i="8" s="1"/>
  <c r="D282" i="8"/>
  <c r="E282" i="8" s="1"/>
  <c r="D334" i="8"/>
  <c r="E334" i="8" s="1"/>
  <c r="D7" i="8"/>
  <c r="E7" i="8" s="1"/>
  <c r="D19" i="8"/>
  <c r="E19" i="8" s="1"/>
  <c r="D224" i="8"/>
  <c r="E224" i="8" s="1"/>
  <c r="D141" i="8"/>
  <c r="E141" i="8" s="1"/>
  <c r="D268" i="8"/>
  <c r="E268" i="8" s="1"/>
  <c r="D255" i="8"/>
  <c r="E255" i="8" s="1"/>
  <c r="D40" i="8"/>
  <c r="E40" i="8" s="1"/>
  <c r="D36" i="8"/>
  <c r="E36" i="8" s="1"/>
  <c r="D35" i="8"/>
  <c r="E35" i="8" s="1"/>
  <c r="D53" i="8"/>
  <c r="E53" i="8" s="1"/>
  <c r="D219" i="8"/>
  <c r="E219" i="8" s="1"/>
  <c r="D16" i="8"/>
  <c r="E16" i="8" s="1"/>
  <c r="D12" i="8"/>
  <c r="E12" i="8" s="1"/>
  <c r="D265" i="8"/>
  <c r="E265" i="8" s="1"/>
  <c r="D351" i="8"/>
  <c r="E351" i="8" s="1"/>
  <c r="D266" i="8"/>
  <c r="E266" i="8" s="1"/>
  <c r="D273" i="8"/>
  <c r="E273" i="8" s="1"/>
  <c r="D267" i="8"/>
  <c r="E267" i="8" s="1"/>
  <c r="D258" i="8"/>
  <c r="E258" i="8" s="1"/>
  <c r="D49" i="8"/>
  <c r="E49" i="8" s="1"/>
  <c r="D97" i="8"/>
  <c r="E97" i="8" s="1"/>
  <c r="D168" i="8"/>
  <c r="E168" i="8" s="1"/>
  <c r="D66" i="8"/>
  <c r="E66" i="8" s="1"/>
  <c r="D131" i="8"/>
  <c r="E131" i="8" s="1"/>
  <c r="D128" i="8"/>
  <c r="E128" i="8" s="1"/>
  <c r="D106" i="8"/>
  <c r="E106" i="8" s="1"/>
  <c r="D87" i="8"/>
  <c r="E87" i="8" s="1"/>
  <c r="D147" i="8"/>
  <c r="E147" i="8" s="1"/>
  <c r="D346" i="8"/>
  <c r="E346" i="8" s="1"/>
  <c r="D353" i="8"/>
  <c r="E353" i="8" s="1"/>
  <c r="D350" i="8"/>
  <c r="E350" i="8" s="1"/>
  <c r="D199" i="8"/>
  <c r="E199" i="8" s="1"/>
  <c r="D367" i="8"/>
  <c r="E367" i="8" s="1"/>
  <c r="D374" i="8"/>
  <c r="E374" i="8" s="1"/>
  <c r="D320" i="8"/>
  <c r="E320" i="8" s="1"/>
  <c r="D81" i="8"/>
  <c r="E81" i="8" s="1"/>
  <c r="D52" i="8"/>
  <c r="E52" i="8" s="1"/>
  <c r="D193" i="8"/>
  <c r="E193" i="8" s="1"/>
  <c r="D216" i="8"/>
  <c r="E216" i="8" s="1"/>
  <c r="D192" i="8"/>
  <c r="E192" i="8" s="1"/>
  <c r="D150" i="8"/>
  <c r="E150" i="8" s="1"/>
  <c r="D37" i="8"/>
  <c r="E37" i="8" s="1"/>
  <c r="D276" i="8"/>
  <c r="E276" i="8" s="1"/>
  <c r="D203" i="8"/>
  <c r="E203" i="8" s="1"/>
  <c r="D160" i="8"/>
  <c r="E160" i="8" s="1"/>
  <c r="D163" i="8"/>
  <c r="E163" i="8" s="1"/>
  <c r="D166" i="8"/>
  <c r="E166" i="8" s="1"/>
  <c r="D75" i="8"/>
  <c r="E75" i="8" s="1"/>
  <c r="D164" i="8"/>
  <c r="E164" i="8" s="1"/>
  <c r="D98" i="8"/>
  <c r="E98" i="8" s="1"/>
  <c r="D204" i="8"/>
  <c r="E204" i="8" s="1"/>
  <c r="D170" i="8"/>
  <c r="E170" i="8" s="1"/>
  <c r="D120" i="8"/>
  <c r="E120" i="8" s="1"/>
  <c r="D108" i="8"/>
  <c r="E108" i="8" s="1"/>
  <c r="D130" i="8"/>
  <c r="E130" i="8" s="1"/>
  <c r="D110" i="8"/>
  <c r="E110" i="8" s="1"/>
  <c r="D127" i="8"/>
  <c r="E127" i="8" s="1"/>
  <c r="D107" i="8"/>
  <c r="E107" i="8" s="1"/>
  <c r="D112" i="8"/>
  <c r="E112" i="8" s="1"/>
  <c r="D132" i="8"/>
  <c r="E132" i="8" s="1"/>
  <c r="D144" i="8"/>
  <c r="E144" i="8" s="1"/>
  <c r="D326" i="8"/>
  <c r="E326" i="8" s="1"/>
  <c r="D344" i="8"/>
  <c r="E344" i="8" s="1"/>
  <c r="D251" i="8"/>
  <c r="E251" i="8" s="1"/>
  <c r="D220" i="8"/>
  <c r="E220" i="8" s="1"/>
  <c r="D316" i="8"/>
  <c r="E316" i="8" s="1"/>
  <c r="D352" i="8"/>
  <c r="E352" i="8" s="1"/>
  <c r="D349" i="8"/>
  <c r="E349" i="8" s="1"/>
  <c r="D343" i="8"/>
  <c r="E343" i="8" s="1"/>
  <c r="D304" i="8"/>
  <c r="E304" i="8" s="1"/>
  <c r="D288" i="8"/>
  <c r="E288" i="8" s="1"/>
  <c r="D315" i="8"/>
  <c r="E315" i="8" s="1"/>
  <c r="D5" i="8"/>
  <c r="E5" i="8" s="1"/>
  <c r="D60" i="8"/>
  <c r="E60" i="8" s="1"/>
  <c r="D33" i="8"/>
  <c r="E33" i="8" s="1"/>
  <c r="D235" i="8"/>
  <c r="E235" i="8" s="1"/>
  <c r="D206" i="8"/>
  <c r="E206" i="8" s="1"/>
  <c r="D210" i="8"/>
  <c r="E210" i="8" s="1"/>
  <c r="D138" i="8"/>
  <c r="E138" i="8" s="1"/>
  <c r="D311" i="8"/>
  <c r="E311" i="8" s="1"/>
  <c r="D39" i="8"/>
  <c r="E39" i="8" s="1"/>
  <c r="D51" i="8"/>
  <c r="E51" i="8" s="1"/>
  <c r="D11" i="8"/>
  <c r="E11" i="8" s="1"/>
  <c r="D17" i="8"/>
  <c r="E17" i="8" s="1"/>
  <c r="D286" i="8"/>
  <c r="E286" i="8" s="1"/>
  <c r="D262" i="8"/>
  <c r="E262" i="8" s="1"/>
  <c r="D270" i="8"/>
  <c r="E270" i="8" s="1"/>
  <c r="D246" i="8"/>
  <c r="E246" i="8" s="1"/>
  <c r="D329" i="8"/>
  <c r="E329" i="8" s="1"/>
  <c r="D80" i="8"/>
  <c r="E80" i="8" s="1"/>
  <c r="D260" i="8"/>
  <c r="E260" i="8" s="1"/>
  <c r="D272" i="8"/>
  <c r="E272" i="8" s="1"/>
  <c r="D83" i="8"/>
  <c r="E83" i="8" s="1"/>
  <c r="D27" i="8"/>
  <c r="E27" i="8" s="1"/>
  <c r="D65" i="8"/>
  <c r="E65" i="8" s="1"/>
  <c r="D41" i="8"/>
  <c r="E41" i="8" s="1"/>
  <c r="D70" i="8"/>
  <c r="E70" i="8" s="1"/>
  <c r="D173" i="8"/>
  <c r="E173" i="8" s="1"/>
  <c r="D94" i="8"/>
  <c r="E94" i="8" s="1"/>
  <c r="D123" i="8"/>
  <c r="E123" i="8" s="1"/>
  <c r="D129" i="8"/>
  <c r="E129" i="8" s="1"/>
  <c r="D116" i="8"/>
  <c r="E116" i="8" s="1"/>
  <c r="D109" i="8"/>
  <c r="E109" i="8" s="1"/>
  <c r="D319" i="8"/>
  <c r="E319" i="8" s="1"/>
  <c r="D345" i="8"/>
  <c r="E345" i="8" s="1"/>
  <c r="D291" i="8"/>
  <c r="E291" i="8" s="1"/>
  <c r="D34" i="8"/>
  <c r="E34" i="8" s="1"/>
  <c r="D134" i="8"/>
  <c r="E134" i="8" s="1"/>
  <c r="D257" i="8"/>
  <c r="E257" i="8" s="1"/>
  <c r="D211" i="8"/>
  <c r="E211" i="8" s="1"/>
  <c r="D68" i="8"/>
  <c r="E68" i="8" s="1"/>
  <c r="D172" i="8"/>
  <c r="E172" i="8" s="1"/>
  <c r="D155" i="8"/>
  <c r="E155" i="8" s="1"/>
  <c r="D69" i="8"/>
  <c r="E69" i="8" s="1"/>
  <c r="D122" i="8"/>
  <c r="E122" i="8" s="1"/>
  <c r="D119" i="8"/>
  <c r="E119" i="8" s="1"/>
  <c r="D102" i="8"/>
  <c r="E102" i="8" s="1"/>
  <c r="D113" i="8"/>
  <c r="E113" i="8" s="1"/>
  <c r="D105" i="8"/>
  <c r="E105" i="8" s="1"/>
  <c r="D126" i="8"/>
  <c r="E126" i="8" s="1"/>
  <c r="D104" i="8"/>
  <c r="E104" i="8" s="1"/>
  <c r="D117" i="8"/>
  <c r="E117" i="8" s="1"/>
  <c r="D154" i="8"/>
  <c r="E154" i="8" s="1"/>
  <c r="D338" i="8"/>
  <c r="E338" i="8" s="1"/>
  <c r="D330" i="8"/>
  <c r="E330" i="8" s="1"/>
  <c r="D298" i="8"/>
  <c r="E298" i="8" s="1"/>
  <c r="D323" i="8"/>
  <c r="E323" i="8" s="1"/>
  <c r="D31" i="8"/>
  <c r="E31" i="8" s="1"/>
  <c r="D10" i="8"/>
  <c r="E10" i="8" s="1"/>
  <c r="D234" i="8"/>
  <c r="E234" i="8" s="1"/>
  <c r="D293" i="8"/>
  <c r="E293" i="8" s="1"/>
  <c r="D244" i="8"/>
  <c r="E244" i="8" s="1"/>
  <c r="D26" i="8"/>
  <c r="E26" i="8" s="1"/>
  <c r="D47" i="8"/>
  <c r="E47" i="8" s="1"/>
  <c r="D180" i="8"/>
  <c r="E180" i="8" s="1"/>
  <c r="D205" i="8"/>
  <c r="E205" i="8" s="1"/>
  <c r="D376" i="8"/>
  <c r="E376" i="8" s="1"/>
  <c r="D196" i="8"/>
  <c r="E196" i="8" s="1"/>
  <c r="D200" i="8"/>
  <c r="E200" i="8" s="1"/>
  <c r="D301" i="8"/>
  <c r="E301" i="8" s="1"/>
  <c r="D46" i="8"/>
  <c r="E46" i="8" s="1"/>
  <c r="D50" i="8"/>
  <c r="E50" i="8" s="1"/>
  <c r="D281" i="8"/>
  <c r="E281" i="8" s="1"/>
  <c r="D373" i="8"/>
  <c r="E373" i="8" s="1"/>
  <c r="D48" i="8"/>
  <c r="E48" i="8" s="1"/>
  <c r="D42" i="8"/>
  <c r="E42" i="8" s="1"/>
  <c r="D152" i="8"/>
  <c r="E152" i="8" s="1"/>
  <c r="D313" i="8"/>
  <c r="E313" i="8" s="1"/>
  <c r="D24" i="8"/>
  <c r="E24" i="8" s="1"/>
  <c r="D275" i="8"/>
  <c r="E275" i="8" s="1"/>
  <c r="D153" i="8"/>
  <c r="E153" i="8" s="1"/>
  <c r="D256" i="8"/>
  <c r="E256" i="8" s="1"/>
  <c r="D222" i="8"/>
  <c r="E222" i="8" s="1"/>
  <c r="D264" i="8"/>
  <c r="E264" i="8" s="1"/>
  <c r="D302" i="8"/>
  <c r="E302" i="8" s="1"/>
  <c r="D227" i="8"/>
  <c r="E227" i="8" s="1"/>
  <c r="D175" i="8"/>
  <c r="E175" i="8" s="1"/>
  <c r="D230" i="8"/>
  <c r="E230" i="8" s="1"/>
  <c r="D91" i="8"/>
  <c r="E91" i="8" s="1"/>
  <c r="D95" i="8"/>
  <c r="E95" i="8" s="1"/>
  <c r="D136" i="8"/>
  <c r="E136" i="8" s="1"/>
  <c r="D159" i="8"/>
  <c r="E159" i="8" s="1"/>
  <c r="D93" i="8"/>
  <c r="E93" i="8" s="1"/>
  <c r="D197" i="8"/>
  <c r="E197" i="8" s="1"/>
  <c r="D167" i="8"/>
  <c r="E167" i="8" s="1"/>
  <c r="D145" i="8"/>
  <c r="E145" i="8" s="1"/>
  <c r="D361" i="8"/>
  <c r="E361" i="8" s="1"/>
  <c r="D101" i="8"/>
  <c r="E101" i="8" s="1"/>
  <c r="D146" i="8"/>
  <c r="E146" i="8" s="1"/>
  <c r="D148" i="8"/>
  <c r="E148" i="8" s="1"/>
  <c r="D226" i="8"/>
  <c r="E226" i="8" s="1"/>
  <c r="D308" i="8"/>
  <c r="E308" i="8" s="1"/>
  <c r="D369" i="8"/>
  <c r="E369" i="8" s="1"/>
  <c r="D337" i="8"/>
  <c r="E337" i="8" s="1"/>
  <c r="D248" i="8"/>
  <c r="E248" i="8" s="1"/>
  <c r="D372" i="8"/>
  <c r="E372" i="8" s="1"/>
  <c r="D318" i="8"/>
  <c r="E318" i="8" s="1"/>
  <c r="D321" i="8"/>
  <c r="E321" i="8" s="1"/>
  <c r="D309" i="8"/>
  <c r="E309" i="8" s="1"/>
  <c r="D340" i="8"/>
  <c r="E340" i="8" s="1"/>
  <c r="D354" i="8"/>
  <c r="E354" i="8" s="1"/>
  <c r="D322" i="8"/>
  <c r="E322" i="8" s="1"/>
  <c r="D184" i="8"/>
  <c r="E184" i="8" s="1"/>
  <c r="D190" i="8"/>
  <c r="E190" i="8" s="1"/>
  <c r="D292" i="8"/>
  <c r="E292" i="8" s="1"/>
  <c r="D277" i="8"/>
  <c r="E277" i="8" s="1"/>
  <c r="D278" i="8"/>
  <c r="E278" i="8" s="1"/>
  <c r="D312" i="8"/>
  <c r="E312" i="8" s="1"/>
  <c r="D8" i="8"/>
  <c r="E8" i="8" s="1"/>
  <c r="D357" i="8"/>
  <c r="E357" i="8" s="1"/>
  <c r="D188" i="8"/>
  <c r="E188" i="8" s="1"/>
  <c r="D2" i="8"/>
  <c r="E2" i="8" s="1"/>
  <c r="D44" i="8"/>
  <c r="E44" i="8" s="1"/>
  <c r="D59" i="8"/>
  <c r="E59" i="8" s="1"/>
  <c r="D213" i="8"/>
  <c r="E213" i="8" s="1"/>
  <c r="D194" i="8"/>
  <c r="E194" i="8" s="1"/>
  <c r="D179" i="8"/>
  <c r="E179" i="8" s="1"/>
  <c r="D201" i="8"/>
  <c r="E201" i="8" s="1"/>
  <c r="D139" i="8"/>
  <c r="E139" i="8" s="1"/>
  <c r="D331" i="8"/>
  <c r="E331" i="8" s="1"/>
  <c r="D285" i="8"/>
  <c r="E285" i="8" s="1"/>
  <c r="D25" i="8"/>
  <c r="E25" i="8" s="1"/>
  <c r="D43" i="8"/>
  <c r="E43" i="8" s="1"/>
  <c r="D38" i="8"/>
  <c r="E38" i="8" s="1"/>
  <c r="D158" i="8"/>
  <c r="E158" i="8" s="1"/>
  <c r="D140" i="8"/>
  <c r="E140" i="8" s="1"/>
  <c r="D181" i="8"/>
  <c r="E181" i="8" s="1"/>
  <c r="D195" i="8"/>
  <c r="E195" i="8" s="1"/>
  <c r="D238" i="8"/>
  <c r="E238" i="8" s="1"/>
  <c r="D23" i="8"/>
  <c r="E23" i="8" s="1"/>
  <c r="D247" i="8"/>
  <c r="E247" i="8" s="1"/>
  <c r="D143" i="8"/>
  <c r="E143" i="8" s="1"/>
  <c r="D240" i="8"/>
  <c r="E240" i="8" s="1"/>
  <c r="D280" i="8"/>
  <c r="E280" i="8" s="1"/>
  <c r="D133" i="8"/>
  <c r="E133" i="8" s="1"/>
  <c r="D169" i="8"/>
  <c r="E169" i="8" s="1"/>
  <c r="D324" i="8"/>
  <c r="E324" i="8" s="1"/>
  <c r="D21" i="8"/>
  <c r="E21" i="8" s="1"/>
  <c r="D236" i="8"/>
  <c r="E236" i="8" s="1"/>
  <c r="D56" i="8"/>
  <c r="E56" i="8" s="1"/>
  <c r="D6" i="8"/>
  <c r="E6" i="8" s="1"/>
  <c r="D178" i="8"/>
  <c r="E178" i="8" s="1"/>
  <c r="D28" i="8"/>
  <c r="E28" i="8" s="1"/>
  <c r="D165" i="8"/>
  <c r="E165" i="8" s="1"/>
  <c r="D289" i="8"/>
  <c r="E289" i="8" s="1"/>
  <c r="D223" i="8"/>
  <c r="E223" i="8" s="1"/>
  <c r="D29" i="8"/>
  <c r="E29" i="8" s="1"/>
  <c r="D284" i="8"/>
  <c r="E284" i="8" s="1"/>
  <c r="D22" i="8"/>
  <c r="E22" i="8" s="1"/>
  <c r="D191" i="8"/>
  <c r="E191" i="8" s="1"/>
  <c r="D55" i="8"/>
  <c r="E55" i="8" s="1"/>
  <c r="D229" i="8"/>
  <c r="E229" i="8" s="1"/>
  <c r="D378" i="8"/>
  <c r="E378" i="8" s="1"/>
  <c r="D137" i="8"/>
  <c r="E137" i="8" s="1"/>
  <c r="D121" i="8"/>
  <c r="E121" i="8" s="1"/>
  <c r="D115" i="8"/>
  <c r="E115" i="8" s="1"/>
  <c r="D103" i="8"/>
  <c r="E103" i="8" s="1"/>
  <c r="D111" i="8"/>
  <c r="E111" i="8" s="1"/>
  <c r="D99" i="8"/>
  <c r="E99" i="8" s="1"/>
  <c r="D333" i="8"/>
  <c r="E333" i="8" s="1"/>
  <c r="D366" i="8"/>
  <c r="E366" i="8" s="1"/>
  <c r="D314" i="8"/>
  <c r="E314" i="8" s="1"/>
  <c r="D263" i="8"/>
  <c r="E263" i="8" s="1"/>
  <c r="D253" i="8"/>
  <c r="E253" i="8" s="1"/>
  <c r="D358" i="8"/>
  <c r="E358" i="8" s="1"/>
  <c r="D209" i="8"/>
  <c r="E209" i="8" s="1"/>
  <c r="D156" i="8"/>
  <c r="E156" i="8" s="1"/>
  <c r="D57" i="8"/>
  <c r="E57" i="8" s="1"/>
  <c r="D82" i="8"/>
  <c r="E82" i="8" s="1"/>
  <c r="D207" i="8"/>
  <c r="E207" i="8" s="1"/>
  <c r="D13" i="8"/>
  <c r="E13" i="8" s="1"/>
  <c r="D20" i="8"/>
  <c r="E20" i="8" s="1"/>
  <c r="D64" i="8"/>
  <c r="E64" i="8" s="1"/>
  <c r="D185" i="8"/>
  <c r="E185" i="8" s="1"/>
  <c r="D297" i="8"/>
  <c r="E297" i="8" s="1"/>
  <c r="D45" i="8"/>
  <c r="E45" i="8" s="1"/>
  <c r="D208" i="8"/>
  <c r="E208" i="8" s="1"/>
  <c r="D61" i="8"/>
  <c r="E61" i="8" s="1"/>
  <c r="D271" i="8"/>
  <c r="E271" i="8" s="1"/>
  <c r="D151" i="8"/>
  <c r="E151" i="8" s="1"/>
  <c r="G42" i="3" l="1"/>
  <c r="G60" i="3"/>
  <c r="G20" i="3"/>
  <c r="G68" i="3"/>
  <c r="G12" i="3"/>
  <c r="G57" i="3"/>
  <c r="G40" i="3"/>
  <c r="G4" i="3"/>
  <c r="G67" i="3"/>
  <c r="G8" i="3"/>
  <c r="G31" i="3"/>
  <c r="G14" i="3"/>
  <c r="G16" i="3"/>
  <c r="G69" i="3"/>
  <c r="G46" i="3"/>
  <c r="G9" i="3"/>
  <c r="G55" i="3"/>
  <c r="G38" i="3"/>
  <c r="G15" i="3"/>
  <c r="G13" i="3"/>
  <c r="G28" i="3"/>
  <c r="G26" i="3"/>
  <c r="G53" i="3"/>
  <c r="G66" i="3"/>
  <c r="G22" i="3"/>
  <c r="G32" i="3"/>
  <c r="G7" i="3"/>
  <c r="G52" i="3"/>
  <c r="G61" i="3"/>
  <c r="G17" i="3"/>
  <c r="G58" i="3"/>
  <c r="G44" i="3"/>
  <c r="G39" i="3"/>
  <c r="G54" i="3"/>
  <c r="G35" i="3"/>
  <c r="G70" i="3"/>
  <c r="G21" i="3"/>
  <c r="G34" i="3"/>
  <c r="AG30" i="2"/>
  <c r="AF7" i="2"/>
  <c r="AY441" i="1"/>
  <c r="AY58" i="1"/>
  <c r="AY81" i="1"/>
  <c r="BA81" i="1" s="1"/>
  <c r="AY82" i="1"/>
  <c r="BA82" i="1" s="1"/>
  <c r="AY128" i="1"/>
  <c r="BA128" i="1" s="1"/>
  <c r="AY148" i="1"/>
  <c r="BA148" i="1" s="1"/>
  <c r="AY439" i="1"/>
  <c r="O216" i="1"/>
  <c r="P216" i="1" s="1"/>
  <c r="Q216" i="1" s="1"/>
  <c r="R216" i="1" s="1"/>
  <c r="O215" i="1"/>
  <c r="P215" i="1" s="1"/>
  <c r="Q215" i="1" s="1"/>
  <c r="R215" i="1" s="1"/>
  <c r="S215" i="1" s="1"/>
  <c r="T215" i="1" s="1"/>
  <c r="U215" i="1" s="1"/>
  <c r="V215" i="1" s="1"/>
  <c r="W215" i="1" s="1"/>
  <c r="X215" i="1" s="1"/>
  <c r="Y215" i="1" s="1"/>
  <c r="Z215" i="1" s="1"/>
  <c r="AA215" i="1" s="1"/>
  <c r="AB215" i="1" s="1"/>
  <c r="AC215" i="1" s="1"/>
  <c r="AD215" i="1" s="1"/>
  <c r="AE215" i="1" s="1"/>
  <c r="AF215" i="1" s="1"/>
  <c r="AG215" i="1" s="1"/>
  <c r="AH215" i="1" s="1"/>
  <c r="AI215" i="1" s="1"/>
  <c r="AJ215" i="1" s="1"/>
  <c r="AK215" i="1" s="1"/>
  <c r="O187" i="1"/>
  <c r="P187" i="1" s="1"/>
  <c r="Q187" i="1" s="1"/>
  <c r="R187" i="1" s="1"/>
  <c r="AP176" i="1"/>
  <c r="AP9" i="1" s="1"/>
  <c r="O171" i="1"/>
  <c r="P171" i="1" s="1"/>
  <c r="Q171" i="1" s="1"/>
  <c r="R171" i="1" s="1"/>
  <c r="O167" i="1"/>
  <c r="P167" i="1" s="1"/>
  <c r="Q167" i="1" s="1"/>
  <c r="R167" i="1" s="1"/>
  <c r="S167" i="1" s="1"/>
  <c r="T167" i="1" s="1"/>
  <c r="U167" i="1" s="1"/>
  <c r="V167" i="1" s="1"/>
  <c r="W167" i="1" s="1"/>
  <c r="X167" i="1" s="1"/>
  <c r="Y167" i="1" s="1"/>
  <c r="Z167" i="1" s="1"/>
  <c r="AA167" i="1" s="1"/>
  <c r="AB167" i="1" s="1"/>
  <c r="AC167" i="1" s="1"/>
  <c r="AD167" i="1" s="1"/>
  <c r="AE167" i="1" s="1"/>
  <c r="AF167" i="1" s="1"/>
  <c r="AG167" i="1" s="1"/>
  <c r="AH167" i="1" s="1"/>
  <c r="AI167" i="1" s="1"/>
  <c r="AJ167" i="1" s="1"/>
  <c r="AK167" i="1" s="1"/>
  <c r="O409" i="1"/>
  <c r="P409" i="1" s="1"/>
  <c r="Q409" i="1" s="1"/>
  <c r="R409" i="1" s="1"/>
  <c r="S409" i="1" s="1"/>
  <c r="O127" i="1"/>
  <c r="P127" i="1" s="1"/>
  <c r="Q127" i="1" s="1"/>
  <c r="R127" i="1" s="1"/>
  <c r="S127" i="1" s="1"/>
  <c r="O126" i="1"/>
  <c r="P126" i="1" s="1"/>
  <c r="Q126" i="1" s="1"/>
  <c r="R126" i="1" s="1"/>
  <c r="S126" i="1" s="1"/>
  <c r="O399" i="1"/>
  <c r="P399" i="1" s="1"/>
  <c r="Q399" i="1" s="1"/>
  <c r="R399" i="1" s="1"/>
  <c r="S399" i="1" s="1"/>
  <c r="O111" i="1"/>
  <c r="P111" i="1" s="1"/>
  <c r="Q111" i="1" s="1"/>
  <c r="R111" i="1" s="1"/>
  <c r="S111" i="1" s="1"/>
  <c r="T111" i="1" s="1"/>
  <c r="U111" i="1" s="1"/>
  <c r="V111" i="1" s="1"/>
  <c r="W111" i="1" s="1"/>
  <c r="X111" i="1" s="1"/>
  <c r="Y111" i="1" s="1"/>
  <c r="Z111" i="1" s="1"/>
  <c r="AA111" i="1" s="1"/>
  <c r="AB111" i="1" s="1"/>
  <c r="AC111" i="1" s="1"/>
  <c r="AD111" i="1" s="1"/>
  <c r="AE111" i="1" s="1"/>
  <c r="AF111" i="1" s="1"/>
  <c r="AG111" i="1" s="1"/>
  <c r="AH111" i="1" s="1"/>
  <c r="AI111" i="1" s="1"/>
  <c r="AJ111" i="1" s="1"/>
  <c r="AK111" i="1" s="1"/>
  <c r="O109" i="1"/>
  <c r="P109" i="1" s="1"/>
  <c r="Q109" i="1" s="1"/>
  <c r="R109" i="1" s="1"/>
  <c r="S109" i="1" s="1"/>
  <c r="T109" i="1" s="1"/>
  <c r="U109" i="1" s="1"/>
  <c r="V109" i="1" s="1"/>
  <c r="W109" i="1" s="1"/>
  <c r="X109" i="1" s="1"/>
  <c r="Y109" i="1" s="1"/>
  <c r="Z109" i="1" s="1"/>
  <c r="AA109" i="1" s="1"/>
  <c r="AB109" i="1" s="1"/>
  <c r="AC109" i="1" s="1"/>
  <c r="AD109" i="1" s="1"/>
  <c r="AE109" i="1" s="1"/>
  <c r="AF109" i="1" s="1"/>
  <c r="AG109" i="1" s="1"/>
  <c r="AH109" i="1" s="1"/>
  <c r="AI109" i="1" s="1"/>
  <c r="AJ109" i="1" s="1"/>
  <c r="AK109" i="1" s="1"/>
  <c r="O271" i="1"/>
  <c r="P271" i="1" s="1"/>
  <c r="Q271" i="1" s="1"/>
  <c r="R271" i="1" s="1"/>
  <c r="S271" i="1" s="1"/>
  <c r="T271" i="1" s="1"/>
  <c r="U271" i="1" s="1"/>
  <c r="V271" i="1" s="1"/>
  <c r="W271" i="1" s="1"/>
  <c r="X271" i="1" s="1"/>
  <c r="Y271" i="1" s="1"/>
  <c r="Z271" i="1" s="1"/>
  <c r="AA271" i="1" s="1"/>
  <c r="AB271" i="1" s="1"/>
  <c r="AC271" i="1" s="1"/>
  <c r="AD271" i="1" s="1"/>
  <c r="AE271" i="1" s="1"/>
  <c r="AF271" i="1" s="1"/>
  <c r="AG271" i="1" s="1"/>
  <c r="AH271" i="1" s="1"/>
  <c r="AI271" i="1" s="1"/>
  <c r="AJ271" i="1" s="1"/>
  <c r="AK271" i="1" s="1"/>
  <c r="O83" i="1"/>
  <c r="P83" i="1" s="1"/>
  <c r="Q83" i="1" s="1"/>
  <c r="R83" i="1" s="1"/>
  <c r="S83" i="1" s="1"/>
  <c r="T83" i="1" s="1"/>
  <c r="U83" i="1" s="1"/>
  <c r="V83" i="1" s="1"/>
  <c r="W83" i="1" s="1"/>
  <c r="X83" i="1" s="1"/>
  <c r="Y83" i="1" s="1"/>
  <c r="Z83" i="1" s="1"/>
  <c r="AA83" i="1" s="1"/>
  <c r="AB83" i="1" s="1"/>
  <c r="AC83" i="1" s="1"/>
  <c r="AD83" i="1" s="1"/>
  <c r="AE83" i="1" s="1"/>
  <c r="AF83" i="1" s="1"/>
  <c r="AG83" i="1" s="1"/>
  <c r="AH83" i="1" s="1"/>
  <c r="AI83" i="1" s="1"/>
  <c r="AJ83" i="1" s="1"/>
  <c r="AK83" i="1" s="1"/>
  <c r="AH30" i="2" l="1"/>
  <c r="AG7" i="2"/>
  <c r="AS176" i="1"/>
  <c r="AV176" i="1" s="1"/>
  <c r="AR176" i="1"/>
  <c r="AL111" i="1"/>
  <c r="AM111" i="1" s="1"/>
  <c r="AS111" i="1" s="1"/>
  <c r="AT111" i="1"/>
  <c r="AL109" i="1"/>
  <c r="AM109" i="1" s="1"/>
  <c r="AS109" i="1" s="1"/>
  <c r="AT109" i="1"/>
  <c r="AL167" i="1"/>
  <c r="AM167" i="1" s="1"/>
  <c r="AS167" i="1" s="1"/>
  <c r="AT167" i="1"/>
  <c r="AL215" i="1"/>
  <c r="AM215" i="1" s="1"/>
  <c r="AS215" i="1" s="1"/>
  <c r="AT215" i="1"/>
  <c r="AL83" i="1"/>
  <c r="AM83" i="1" s="1"/>
  <c r="AS83" i="1" s="1"/>
  <c r="AT83" i="1"/>
  <c r="AL271" i="1"/>
  <c r="AM271" i="1" s="1"/>
  <c r="AT271" i="1"/>
  <c r="T126" i="1"/>
  <c r="U126" i="1" s="1"/>
  <c r="V126" i="1" s="1"/>
  <c r="W126" i="1" s="1"/>
  <c r="X126" i="1" s="1"/>
  <c r="Y126" i="1" s="1"/>
  <c r="Z126" i="1" s="1"/>
  <c r="AA126" i="1" s="1"/>
  <c r="AB126" i="1" s="1"/>
  <c r="AC126" i="1" s="1"/>
  <c r="AD126" i="1" s="1"/>
  <c r="AE126" i="1" s="1"/>
  <c r="AF126" i="1" s="1"/>
  <c r="AG126" i="1" s="1"/>
  <c r="AH126" i="1" s="1"/>
  <c r="AI126" i="1" s="1"/>
  <c r="AJ126" i="1" s="1"/>
  <c r="AK126" i="1" s="1"/>
  <c r="S216" i="1"/>
  <c r="T216" i="1" s="1"/>
  <c r="U216" i="1" s="1"/>
  <c r="V216" i="1" s="1"/>
  <c r="W216" i="1" s="1"/>
  <c r="X216" i="1" s="1"/>
  <c r="Y216" i="1" s="1"/>
  <c r="Z216" i="1" s="1"/>
  <c r="AA216" i="1" s="1"/>
  <c r="AB216" i="1" s="1"/>
  <c r="AC216" i="1" s="1"/>
  <c r="AD216" i="1" s="1"/>
  <c r="AE216" i="1" s="1"/>
  <c r="AF216" i="1" s="1"/>
  <c r="AG216" i="1" s="1"/>
  <c r="AH216" i="1" s="1"/>
  <c r="AI216" i="1" s="1"/>
  <c r="AJ216" i="1" s="1"/>
  <c r="AK216" i="1" s="1"/>
  <c r="S187" i="1"/>
  <c r="T187" i="1" s="1"/>
  <c r="U187" i="1" s="1"/>
  <c r="V187" i="1" s="1"/>
  <c r="W187" i="1" s="1"/>
  <c r="X187" i="1" s="1"/>
  <c r="Y187" i="1" s="1"/>
  <c r="Z187" i="1" s="1"/>
  <c r="AA187" i="1" s="1"/>
  <c r="AB187" i="1" s="1"/>
  <c r="AC187" i="1" s="1"/>
  <c r="AD187" i="1" s="1"/>
  <c r="AE187" i="1" s="1"/>
  <c r="AF187" i="1" s="1"/>
  <c r="AG187" i="1" s="1"/>
  <c r="AH187" i="1" s="1"/>
  <c r="AI187" i="1" s="1"/>
  <c r="AJ187" i="1" s="1"/>
  <c r="AK187" i="1" s="1"/>
  <c r="T409" i="1"/>
  <c r="U409" i="1" s="1"/>
  <c r="V409" i="1" s="1"/>
  <c r="W409" i="1" s="1"/>
  <c r="X409" i="1" s="1"/>
  <c r="Y409" i="1" s="1"/>
  <c r="Z409" i="1" s="1"/>
  <c r="AA409" i="1" s="1"/>
  <c r="AB409" i="1" s="1"/>
  <c r="AC409" i="1" s="1"/>
  <c r="AD409" i="1" s="1"/>
  <c r="AE409" i="1" s="1"/>
  <c r="AF409" i="1" s="1"/>
  <c r="AG409" i="1" s="1"/>
  <c r="AH409" i="1" s="1"/>
  <c r="AI409" i="1" s="1"/>
  <c r="AJ409" i="1" s="1"/>
  <c r="AK409" i="1" s="1"/>
  <c r="T127" i="1"/>
  <c r="U127" i="1" s="1"/>
  <c r="V127" i="1" s="1"/>
  <c r="W127" i="1" s="1"/>
  <c r="X127" i="1" s="1"/>
  <c r="Y127" i="1" s="1"/>
  <c r="Z127" i="1" s="1"/>
  <c r="AA127" i="1" s="1"/>
  <c r="AB127" i="1" s="1"/>
  <c r="AC127" i="1" s="1"/>
  <c r="AD127" i="1" s="1"/>
  <c r="AE127" i="1" s="1"/>
  <c r="AF127" i="1" s="1"/>
  <c r="AG127" i="1" s="1"/>
  <c r="AH127" i="1" s="1"/>
  <c r="AI127" i="1" s="1"/>
  <c r="AJ127" i="1" s="1"/>
  <c r="AK127" i="1" s="1"/>
  <c r="T399" i="1"/>
  <c r="U399" i="1" s="1"/>
  <c r="V399" i="1" s="1"/>
  <c r="W399" i="1" s="1"/>
  <c r="X399" i="1" s="1"/>
  <c r="Y399" i="1" s="1"/>
  <c r="Z399" i="1" s="1"/>
  <c r="AA399" i="1" s="1"/>
  <c r="AB399" i="1" s="1"/>
  <c r="AC399" i="1" s="1"/>
  <c r="AD399" i="1" s="1"/>
  <c r="AE399" i="1" s="1"/>
  <c r="AF399" i="1" s="1"/>
  <c r="AG399" i="1" s="1"/>
  <c r="AH399" i="1" s="1"/>
  <c r="AI399" i="1" s="1"/>
  <c r="AJ399" i="1" s="1"/>
  <c r="AK399" i="1" s="1"/>
  <c r="S171" i="1"/>
  <c r="T171" i="1" s="1"/>
  <c r="U171" i="1" s="1"/>
  <c r="V171" i="1" s="1"/>
  <c r="W171" i="1" s="1"/>
  <c r="X171" i="1" s="1"/>
  <c r="Y171" i="1" s="1"/>
  <c r="Z171" i="1" s="1"/>
  <c r="AA171" i="1" s="1"/>
  <c r="AB171" i="1" s="1"/>
  <c r="AC171" i="1" s="1"/>
  <c r="AD171" i="1" s="1"/>
  <c r="AE171" i="1" s="1"/>
  <c r="AF171" i="1" s="1"/>
  <c r="AG171" i="1" s="1"/>
  <c r="AH171" i="1" s="1"/>
  <c r="AI171" i="1" s="1"/>
  <c r="AJ171" i="1" s="1"/>
  <c r="AK171" i="1" s="1"/>
  <c r="AV83" i="1" l="1"/>
  <c r="AV167" i="1"/>
  <c r="AV111" i="1"/>
  <c r="D3" i="8"/>
  <c r="E3" i="8" s="1"/>
  <c r="AV215" i="1"/>
  <c r="AV109" i="1"/>
  <c r="E62" i="3"/>
  <c r="E3" i="3" s="1"/>
  <c r="C62" i="3"/>
  <c r="C3" i="3" s="1"/>
  <c r="AI30" i="2"/>
  <c r="AH7" i="2"/>
  <c r="AS271" i="1"/>
  <c r="AV271" i="1" s="1"/>
  <c r="AY271" i="1"/>
  <c r="BA271" i="1" s="1"/>
  <c r="AR9" i="1"/>
  <c r="AT4" i="1"/>
  <c r="AT5" i="1"/>
  <c r="D4" i="8"/>
  <c r="E4" i="8" s="1"/>
  <c r="AO83" i="1"/>
  <c r="AU83" i="1" s="1"/>
  <c r="AO215" i="1"/>
  <c r="AU215" i="1" s="1"/>
  <c r="AY111" i="1"/>
  <c r="BA111" i="1" s="1"/>
  <c r="AY109" i="1"/>
  <c r="BA109" i="1" s="1"/>
  <c r="AO271" i="1"/>
  <c r="AU271" i="1" s="1"/>
  <c r="AO109" i="1"/>
  <c r="AU109" i="1" s="1"/>
  <c r="AY215" i="1"/>
  <c r="AO111" i="1"/>
  <c r="AU111" i="1" s="1"/>
  <c r="AO167" i="1"/>
  <c r="AU167" i="1" s="1"/>
  <c r="AL171" i="1"/>
  <c r="AM171" i="1" s="1"/>
  <c r="AS171" i="1" s="1"/>
  <c r="AT171" i="1"/>
  <c r="AL187" i="1"/>
  <c r="AM187" i="1" s="1"/>
  <c r="AS187" i="1" s="1"/>
  <c r="AT187" i="1"/>
  <c r="AL399" i="1"/>
  <c r="AM399" i="1" s="1"/>
  <c r="AS399" i="1" s="1"/>
  <c r="AT399" i="1"/>
  <c r="D385" i="8" s="1"/>
  <c r="E385" i="8" s="1"/>
  <c r="AL216" i="1"/>
  <c r="AM216" i="1" s="1"/>
  <c r="AS216" i="1" s="1"/>
  <c r="AT216" i="1"/>
  <c r="AY167" i="1"/>
  <c r="BA167" i="1" s="1"/>
  <c r="AY83" i="1"/>
  <c r="BA83" i="1" s="1"/>
  <c r="AL409" i="1"/>
  <c r="AM409" i="1" s="1"/>
  <c r="AS409" i="1" s="1"/>
  <c r="AT409" i="1"/>
  <c r="D382" i="8" s="1"/>
  <c r="E382" i="8" s="1"/>
  <c r="AL127" i="1"/>
  <c r="AM127" i="1" s="1"/>
  <c r="AS127" i="1" s="1"/>
  <c r="AT127" i="1"/>
  <c r="AL126" i="1"/>
  <c r="AM126" i="1" s="1"/>
  <c r="AS126" i="1" s="1"/>
  <c r="AT126" i="1"/>
  <c r="AV126" i="1" l="1"/>
  <c r="D381" i="8"/>
  <c r="E381" i="8" s="1"/>
  <c r="AV409" i="1"/>
  <c r="AV216" i="1"/>
  <c r="AV187" i="1"/>
  <c r="AV127" i="1"/>
  <c r="D384" i="8"/>
  <c r="E384" i="8" s="1"/>
  <c r="AV399" i="1"/>
  <c r="AV171" i="1"/>
  <c r="G62" i="3"/>
  <c r="G3" i="3" s="1"/>
  <c r="AJ30" i="2"/>
  <c r="AI7" i="2"/>
  <c r="D377" i="8"/>
  <c r="E377" i="8" s="1"/>
  <c r="D380" i="8"/>
  <c r="E380" i="8" s="1"/>
  <c r="AY216" i="1"/>
  <c r="AY171" i="1"/>
  <c r="BA171" i="1" s="1"/>
  <c r="AO409" i="1"/>
  <c r="AU409" i="1" s="1"/>
  <c r="AO187" i="1"/>
  <c r="AU187" i="1" s="1"/>
  <c r="AY399" i="1"/>
  <c r="BA399" i="1" s="1"/>
  <c r="AY127" i="1"/>
  <c r="BA127" i="1" s="1"/>
  <c r="AO127" i="1"/>
  <c r="AU127" i="1" s="1"/>
  <c r="AY187" i="1"/>
  <c r="BA187" i="1" s="1"/>
  <c r="AO399" i="1"/>
  <c r="AU399" i="1" s="1"/>
  <c r="AO171" i="1"/>
  <c r="AU171" i="1" s="1"/>
  <c r="AO216" i="1"/>
  <c r="AU216" i="1" s="1"/>
  <c r="AO126" i="1"/>
  <c r="AU126" i="1" s="1"/>
  <c r="AY126" i="1"/>
  <c r="BA126" i="1" s="1"/>
  <c r="AY409" i="1"/>
  <c r="BA409" i="1" s="1"/>
  <c r="O63" i="1"/>
  <c r="P63" i="1" s="1"/>
  <c r="Q63" i="1" s="1"/>
  <c r="R63" i="1" s="1"/>
  <c r="S63" i="1" s="1"/>
  <c r="T63" i="1" s="1"/>
  <c r="U63" i="1" s="1"/>
  <c r="V63" i="1" s="1"/>
  <c r="W63" i="1" s="1"/>
  <c r="X63" i="1" s="1"/>
  <c r="Y63" i="1" s="1"/>
  <c r="Z63" i="1" s="1"/>
  <c r="AA63" i="1" s="1"/>
  <c r="AB63" i="1" s="1"/>
  <c r="AC63" i="1" s="1"/>
  <c r="AD63" i="1" s="1"/>
  <c r="AE63" i="1" s="1"/>
  <c r="AF63" i="1" s="1"/>
  <c r="AG63" i="1" s="1"/>
  <c r="AH63" i="1" s="1"/>
  <c r="AI63" i="1" s="1"/>
  <c r="AJ63" i="1" s="1"/>
  <c r="AK63" i="1" s="1"/>
  <c r="O56" i="1"/>
  <c r="P56" i="1" s="1"/>
  <c r="Q56" i="1" s="1"/>
  <c r="R56" i="1" s="1"/>
  <c r="S56" i="1" s="1"/>
  <c r="T56" i="1" s="1"/>
  <c r="U56" i="1" s="1"/>
  <c r="V56" i="1" s="1"/>
  <c r="W56" i="1" s="1"/>
  <c r="X56" i="1" s="1"/>
  <c r="Y56" i="1" s="1"/>
  <c r="Z56" i="1" s="1"/>
  <c r="AA56" i="1" s="1"/>
  <c r="AB56" i="1" s="1"/>
  <c r="AC56" i="1" s="1"/>
  <c r="AD56" i="1" s="1"/>
  <c r="AE56" i="1" s="1"/>
  <c r="AF56" i="1" s="1"/>
  <c r="AG56" i="1" s="1"/>
  <c r="AH56" i="1" s="1"/>
  <c r="AI56" i="1" s="1"/>
  <c r="AJ56" i="1" s="1"/>
  <c r="AK56" i="1" s="1"/>
  <c r="O32" i="1"/>
  <c r="P32" i="1" s="1"/>
  <c r="Q32" i="1" s="1"/>
  <c r="R32" i="1" s="1"/>
  <c r="S32" i="1" s="1"/>
  <c r="T32" i="1" s="1"/>
  <c r="U32" i="1" s="1"/>
  <c r="V32" i="1" s="1"/>
  <c r="W32" i="1" s="1"/>
  <c r="X32" i="1" s="1"/>
  <c r="Y32" i="1" s="1"/>
  <c r="Z32" i="1" s="1"/>
  <c r="AA32" i="1" s="1"/>
  <c r="AB32" i="1" s="1"/>
  <c r="AC32" i="1" s="1"/>
  <c r="AD32" i="1" s="1"/>
  <c r="AE32" i="1" s="1"/>
  <c r="AF32" i="1" s="1"/>
  <c r="AG32" i="1" s="1"/>
  <c r="AH32" i="1" s="1"/>
  <c r="AI32" i="1" s="1"/>
  <c r="AJ32" i="1" s="1"/>
  <c r="AK30" i="2" l="1"/>
  <c r="AJ7" i="2"/>
  <c r="AK32" i="1"/>
  <c r="AK9" i="1" s="1"/>
  <c r="AJ9" i="1"/>
  <c r="AL63" i="1"/>
  <c r="AM63" i="1" s="1"/>
  <c r="AS63" i="1" s="1"/>
  <c r="AT63" i="1"/>
  <c r="AL56" i="1"/>
  <c r="AM56" i="1" s="1"/>
  <c r="AS56" i="1" s="1"/>
  <c r="AT56" i="1"/>
  <c r="AF45" i="1"/>
  <c r="AV56" i="1" l="1"/>
  <c r="AV63" i="1"/>
  <c r="AL32" i="1"/>
  <c r="AM32" i="1" s="1"/>
  <c r="AS32" i="1" s="1"/>
  <c r="AL30" i="2"/>
  <c r="AK7" i="2"/>
  <c r="AT30" i="2"/>
  <c r="AT32" i="1"/>
  <c r="AY63" i="1"/>
  <c r="AO56" i="1"/>
  <c r="AU56" i="1" s="1"/>
  <c r="B27" i="3" s="1"/>
  <c r="AY56" i="1"/>
  <c r="AO63" i="1"/>
  <c r="AU63" i="1" s="1"/>
  <c r="AT10" i="1" l="1"/>
  <c r="AV32" i="1"/>
  <c r="AO32" i="1"/>
  <c r="AU32" i="1" s="1"/>
  <c r="AY32" i="1"/>
  <c r="D27" i="3"/>
  <c r="AT8" i="2"/>
  <c r="AM30" i="2"/>
  <c r="AL7" i="2"/>
  <c r="AZ294" i="1"/>
  <c r="AZ301" i="1"/>
  <c r="AZ113" i="1"/>
  <c r="AZ303" i="1"/>
  <c r="AZ114" i="1"/>
  <c r="AZ406" i="1"/>
  <c r="AZ331" i="1"/>
  <c r="AZ325" i="1"/>
  <c r="AZ321" i="1"/>
  <c r="AZ385" i="1"/>
  <c r="AZ338" i="1"/>
  <c r="AZ425" i="1"/>
  <c r="AZ349" i="1"/>
  <c r="AZ350" i="1"/>
  <c r="AZ351" i="1"/>
  <c r="AZ352" i="1"/>
  <c r="AZ353" i="1"/>
  <c r="AZ354" i="1"/>
  <c r="AZ355" i="1"/>
  <c r="AZ356" i="1"/>
  <c r="AZ357" i="1"/>
  <c r="AZ358" i="1"/>
  <c r="AZ359" i="1"/>
  <c r="AZ360" i="1"/>
  <c r="AZ361" i="1"/>
  <c r="AZ362" i="1"/>
  <c r="AZ363" i="1"/>
  <c r="AZ364" i="1"/>
  <c r="AZ365" i="1"/>
  <c r="AZ366" i="1"/>
  <c r="AZ367" i="1"/>
  <c r="AZ368" i="1"/>
  <c r="AZ369" i="1"/>
  <c r="AZ370" i="1"/>
  <c r="AZ371" i="1"/>
  <c r="AZ372" i="1"/>
  <c r="AZ373" i="1"/>
  <c r="AZ374" i="1"/>
  <c r="AZ375" i="1"/>
  <c r="AZ376" i="1"/>
  <c r="AZ377" i="1"/>
  <c r="AZ378" i="1"/>
  <c r="AZ379" i="1"/>
  <c r="AZ387" i="1"/>
  <c r="AZ383" i="1"/>
  <c r="AZ389" i="1"/>
  <c r="AZ64" i="1"/>
  <c r="AZ46" i="1"/>
  <c r="AZ242" i="1"/>
  <c r="AZ411" i="1"/>
  <c r="AZ78" i="1"/>
  <c r="AZ400" i="1"/>
  <c r="AZ417" i="1"/>
  <c r="AZ407" i="1"/>
  <c r="AZ416" i="1"/>
  <c r="AZ75" i="1"/>
  <c r="AZ437" i="1"/>
  <c r="AZ434" i="1"/>
  <c r="AZ438" i="1"/>
  <c r="AZ414" i="1"/>
  <c r="AZ439" i="1"/>
  <c r="F27" i="3" l="1"/>
  <c r="AS30" i="2"/>
  <c r="AV30" i="2" s="1"/>
  <c r="AY30" i="2"/>
  <c r="AY8" i="2" s="1"/>
  <c r="AO30" i="2"/>
  <c r="AM7" i="2"/>
  <c r="AZ51" i="1"/>
  <c r="AY51" i="1"/>
  <c r="AL51" i="1"/>
  <c r="AI51" i="1"/>
  <c r="AF51" i="1"/>
  <c r="AC51" i="1"/>
  <c r="Z51" i="1"/>
  <c r="W51" i="1"/>
  <c r="T51" i="1"/>
  <c r="Q51" i="1"/>
  <c r="AL94" i="1"/>
  <c r="AY94" i="1"/>
  <c r="AZ94" i="1"/>
  <c r="Q319" i="1"/>
  <c r="T319" i="1"/>
  <c r="W319" i="1"/>
  <c r="Z319" i="1"/>
  <c r="AC319" i="1"/>
  <c r="AF319" i="1"/>
  <c r="AI319" i="1"/>
  <c r="AL319" i="1"/>
  <c r="AY319" i="1"/>
  <c r="AZ319" i="1"/>
  <c r="Q96" i="1"/>
  <c r="T96" i="1"/>
  <c r="W96" i="1"/>
  <c r="Z96" i="1"/>
  <c r="AC96" i="1"/>
  <c r="AF96" i="1"/>
  <c r="AI96" i="1"/>
  <c r="AL96" i="1"/>
  <c r="AY96" i="1"/>
  <c r="AZ96" i="1"/>
  <c r="Q97" i="1"/>
  <c r="T97" i="1"/>
  <c r="W97" i="1"/>
  <c r="Z97" i="1"/>
  <c r="AC97" i="1"/>
  <c r="AF97" i="1"/>
  <c r="AI97" i="1"/>
  <c r="AL97" i="1"/>
  <c r="AO97" i="1"/>
  <c r="AY97" i="1"/>
  <c r="AZ97" i="1"/>
  <c r="Q70" i="1"/>
  <c r="T70" i="1"/>
  <c r="W70" i="1"/>
  <c r="Z70" i="1"/>
  <c r="AC70" i="1"/>
  <c r="AF70" i="1"/>
  <c r="AI70" i="1"/>
  <c r="AL70" i="1"/>
  <c r="AY70" i="1"/>
  <c r="AZ70" i="1"/>
  <c r="Q72" i="1"/>
  <c r="T72" i="1"/>
  <c r="W72" i="1"/>
  <c r="Z72" i="1"/>
  <c r="AC72" i="1"/>
  <c r="AF72" i="1"/>
  <c r="AI72" i="1"/>
  <c r="AL72" i="1"/>
  <c r="AY72" i="1"/>
  <c r="AZ72" i="1"/>
  <c r="Q169" i="1"/>
  <c r="T169" i="1"/>
  <c r="W169" i="1"/>
  <c r="Z169" i="1"/>
  <c r="AC169" i="1"/>
  <c r="AF169" i="1"/>
  <c r="AI169" i="1"/>
  <c r="AL169" i="1"/>
  <c r="AO169" i="1"/>
  <c r="AY169" i="1"/>
  <c r="AZ169" i="1"/>
  <c r="Q76" i="1"/>
  <c r="T76" i="1"/>
  <c r="W76" i="1"/>
  <c r="Z76" i="1"/>
  <c r="AC76" i="1"/>
  <c r="AF76" i="1"/>
  <c r="AI76" i="1"/>
  <c r="AL76" i="1"/>
  <c r="AO76" i="1"/>
  <c r="AY76" i="1"/>
  <c r="AZ76" i="1"/>
  <c r="Q98" i="1"/>
  <c r="T98" i="1"/>
  <c r="W98" i="1"/>
  <c r="Z98" i="1"/>
  <c r="AC98" i="1"/>
  <c r="AF98" i="1"/>
  <c r="AI98" i="1"/>
  <c r="AL98" i="1"/>
  <c r="AO98" i="1"/>
  <c r="AY98" i="1"/>
  <c r="AZ98" i="1"/>
  <c r="Q220" i="1"/>
  <c r="T220" i="1"/>
  <c r="W220" i="1"/>
  <c r="Z220" i="1"/>
  <c r="AC220" i="1"/>
  <c r="AF220" i="1"/>
  <c r="AI220" i="1"/>
  <c r="AL220" i="1"/>
  <c r="AY220" i="1"/>
  <c r="AZ220" i="1"/>
  <c r="AL99" i="1"/>
  <c r="AO99" i="1"/>
  <c r="AY99" i="1"/>
  <c r="Q44" i="1"/>
  <c r="T44" i="1"/>
  <c r="W44" i="1"/>
  <c r="Z44" i="1"/>
  <c r="AC44" i="1"/>
  <c r="AF44" i="1"/>
  <c r="AI44" i="1"/>
  <c r="AL44" i="1"/>
  <c r="AY44" i="1"/>
  <c r="AZ44" i="1"/>
  <c r="Q100" i="1"/>
  <c r="T100" i="1"/>
  <c r="W100" i="1"/>
  <c r="Z100" i="1"/>
  <c r="AC100" i="1"/>
  <c r="AF100" i="1"/>
  <c r="AI100" i="1"/>
  <c r="AL100" i="1"/>
  <c r="AO100" i="1"/>
  <c r="AY100" i="1"/>
  <c r="AZ100" i="1"/>
  <c r="Q62" i="1"/>
  <c r="T62" i="1"/>
  <c r="W62" i="1"/>
  <c r="Z62" i="1"/>
  <c r="AC62" i="1"/>
  <c r="AF62" i="1"/>
  <c r="AI62" i="1"/>
  <c r="AL62" i="1"/>
  <c r="AY62" i="1"/>
  <c r="AZ62" i="1"/>
  <c r="Q161" i="1"/>
  <c r="T161" i="1"/>
  <c r="W161" i="1"/>
  <c r="Z161" i="1"/>
  <c r="AC161" i="1"/>
  <c r="AF161" i="1"/>
  <c r="AI161" i="1"/>
  <c r="AL161" i="1"/>
  <c r="AY161" i="1"/>
  <c r="AZ161" i="1"/>
  <c r="Q106" i="1"/>
  <c r="T106" i="1"/>
  <c r="W106" i="1"/>
  <c r="Z106" i="1"/>
  <c r="AC106" i="1"/>
  <c r="AF106" i="1"/>
  <c r="AI106" i="1"/>
  <c r="AL106" i="1"/>
  <c r="AO106" i="1"/>
  <c r="AY106" i="1"/>
  <c r="AZ106" i="1"/>
  <c r="Q108" i="1"/>
  <c r="T108" i="1"/>
  <c r="W108" i="1"/>
  <c r="Z108" i="1"/>
  <c r="AC108" i="1"/>
  <c r="AF108" i="1"/>
  <c r="AI108" i="1"/>
  <c r="AL108" i="1"/>
  <c r="AO108" i="1"/>
  <c r="AY108" i="1"/>
  <c r="AZ108" i="1"/>
  <c r="Q110" i="1"/>
  <c r="T110" i="1"/>
  <c r="W110" i="1"/>
  <c r="Z110" i="1"/>
  <c r="AC110" i="1"/>
  <c r="AF110" i="1"/>
  <c r="AI110" i="1"/>
  <c r="AL110" i="1"/>
  <c r="AO110" i="1"/>
  <c r="AY110" i="1"/>
  <c r="AZ110" i="1"/>
  <c r="Q105" i="1"/>
  <c r="T105" i="1"/>
  <c r="W105" i="1"/>
  <c r="Z105" i="1"/>
  <c r="AC105" i="1"/>
  <c r="AF105" i="1"/>
  <c r="AI105" i="1"/>
  <c r="AL105" i="1"/>
  <c r="AY105" i="1"/>
  <c r="AZ105" i="1"/>
  <c r="Q144" i="1"/>
  <c r="T144" i="1"/>
  <c r="W144" i="1"/>
  <c r="Z144" i="1"/>
  <c r="AC144" i="1"/>
  <c r="AF144" i="1"/>
  <c r="AI144" i="1"/>
  <c r="AL144" i="1"/>
  <c r="AY144" i="1"/>
  <c r="AZ144" i="1"/>
  <c r="Q116" i="1"/>
  <c r="T116" i="1"/>
  <c r="W116" i="1"/>
  <c r="Z116" i="1"/>
  <c r="AC116" i="1"/>
  <c r="AF116" i="1"/>
  <c r="AI116" i="1"/>
  <c r="AL116" i="1"/>
  <c r="AO116" i="1"/>
  <c r="AY116" i="1"/>
  <c r="AZ116" i="1"/>
  <c r="Q68" i="1"/>
  <c r="T68" i="1"/>
  <c r="W68" i="1"/>
  <c r="Z68" i="1"/>
  <c r="AC68" i="1"/>
  <c r="AF68" i="1"/>
  <c r="AI68" i="1"/>
  <c r="AL68" i="1"/>
  <c r="AY68" i="1"/>
  <c r="AZ68" i="1"/>
  <c r="Q123" i="1"/>
  <c r="T123" i="1"/>
  <c r="W123" i="1"/>
  <c r="Z123" i="1"/>
  <c r="AC123" i="1"/>
  <c r="AF123" i="1"/>
  <c r="AI123" i="1"/>
  <c r="AL123" i="1"/>
  <c r="AY123" i="1"/>
  <c r="AZ123" i="1"/>
  <c r="AO95" i="1"/>
  <c r="AU95" i="1" s="1"/>
  <c r="AY95" i="1"/>
  <c r="BA95" i="1" s="1"/>
  <c r="Q77" i="1"/>
  <c r="T77" i="1"/>
  <c r="W77" i="1"/>
  <c r="Z77" i="1"/>
  <c r="AC77" i="1"/>
  <c r="AF77" i="1"/>
  <c r="AI77" i="1"/>
  <c r="AL77" i="1"/>
  <c r="AY77" i="1"/>
  <c r="AZ77" i="1"/>
  <c r="Q48" i="1"/>
  <c r="T48" i="1"/>
  <c r="W48" i="1"/>
  <c r="Z48" i="1"/>
  <c r="AC48" i="1"/>
  <c r="AF48" i="1"/>
  <c r="AI48" i="1"/>
  <c r="AL48" i="1"/>
  <c r="AY48" i="1"/>
  <c r="AZ48" i="1"/>
  <c r="Q131" i="1"/>
  <c r="T131" i="1"/>
  <c r="W131" i="1"/>
  <c r="Z131" i="1"/>
  <c r="AC131" i="1"/>
  <c r="AF131" i="1"/>
  <c r="AI131" i="1"/>
  <c r="AL131" i="1"/>
  <c r="AO131" i="1"/>
  <c r="AY131" i="1"/>
  <c r="AZ131" i="1"/>
  <c r="Q102" i="1"/>
  <c r="T102" i="1"/>
  <c r="W102" i="1"/>
  <c r="Z102" i="1"/>
  <c r="AC102" i="1"/>
  <c r="AF102" i="1"/>
  <c r="AI102" i="1"/>
  <c r="AL102" i="1"/>
  <c r="AY102" i="1"/>
  <c r="AZ102" i="1"/>
  <c r="Q132" i="1"/>
  <c r="T132" i="1"/>
  <c r="W132" i="1"/>
  <c r="Z132" i="1"/>
  <c r="AC132" i="1"/>
  <c r="AF132" i="1"/>
  <c r="AI132" i="1"/>
  <c r="AL132" i="1"/>
  <c r="AY132" i="1"/>
  <c r="Q88" i="1"/>
  <c r="T88" i="1"/>
  <c r="W88" i="1"/>
  <c r="Z88" i="1"/>
  <c r="AC88" i="1"/>
  <c r="AF88" i="1"/>
  <c r="AI88" i="1"/>
  <c r="AL88" i="1"/>
  <c r="AY88" i="1"/>
  <c r="AZ88" i="1"/>
  <c r="Q66" i="1"/>
  <c r="T66" i="1"/>
  <c r="W66" i="1"/>
  <c r="Z66" i="1"/>
  <c r="AC66" i="1"/>
  <c r="AF66" i="1"/>
  <c r="AI66" i="1"/>
  <c r="AL66" i="1"/>
  <c r="AY66" i="1"/>
  <c r="AZ66" i="1"/>
  <c r="Q104" i="1"/>
  <c r="T104" i="1"/>
  <c r="W104" i="1"/>
  <c r="Z104" i="1"/>
  <c r="AC104" i="1"/>
  <c r="AF104" i="1"/>
  <c r="AI104" i="1"/>
  <c r="AL104" i="1"/>
  <c r="AO104" i="1"/>
  <c r="AY104" i="1"/>
  <c r="AZ104" i="1"/>
  <c r="Q107" i="1"/>
  <c r="T107" i="1"/>
  <c r="W107" i="1"/>
  <c r="Z107" i="1"/>
  <c r="AC107" i="1"/>
  <c r="AF107" i="1"/>
  <c r="AI107" i="1"/>
  <c r="AL107" i="1"/>
  <c r="AO107" i="1"/>
  <c r="AY107" i="1"/>
  <c r="AZ107" i="1"/>
  <c r="Q120" i="1"/>
  <c r="T120" i="1"/>
  <c r="W120" i="1"/>
  <c r="Z120" i="1"/>
  <c r="AC120" i="1"/>
  <c r="AF120" i="1"/>
  <c r="AI120" i="1"/>
  <c r="AL120" i="1"/>
  <c r="AO120" i="1"/>
  <c r="AY120" i="1"/>
  <c r="AZ120" i="1"/>
  <c r="Q124" i="1"/>
  <c r="T124" i="1"/>
  <c r="W124" i="1"/>
  <c r="Z124" i="1"/>
  <c r="AC124" i="1"/>
  <c r="AF124" i="1"/>
  <c r="AI124" i="1"/>
  <c r="AL124" i="1"/>
  <c r="AY124" i="1"/>
  <c r="AZ124" i="1"/>
  <c r="Q125" i="1"/>
  <c r="T125" i="1"/>
  <c r="W125" i="1"/>
  <c r="Z125" i="1"/>
  <c r="AC125" i="1"/>
  <c r="AF125" i="1"/>
  <c r="AI125" i="1"/>
  <c r="AL125" i="1"/>
  <c r="AY125" i="1"/>
  <c r="AZ125" i="1"/>
  <c r="Q129" i="1"/>
  <c r="T129" i="1"/>
  <c r="W129" i="1"/>
  <c r="Z129" i="1"/>
  <c r="AC129" i="1"/>
  <c r="AF129" i="1"/>
  <c r="AI129" i="1"/>
  <c r="AL129" i="1"/>
  <c r="AO129" i="1"/>
  <c r="AY129" i="1"/>
  <c r="AZ129" i="1"/>
  <c r="Q134" i="1"/>
  <c r="T134" i="1"/>
  <c r="W134" i="1"/>
  <c r="Z134" i="1"/>
  <c r="AC134" i="1"/>
  <c r="AF134" i="1"/>
  <c r="AI134" i="1"/>
  <c r="AL134" i="1"/>
  <c r="AO134" i="1"/>
  <c r="AY134" i="1"/>
  <c r="AZ134" i="1"/>
  <c r="Q133" i="1"/>
  <c r="T133" i="1"/>
  <c r="W133" i="1"/>
  <c r="Z133" i="1"/>
  <c r="AC133" i="1"/>
  <c r="AF133" i="1"/>
  <c r="AI133" i="1"/>
  <c r="AL133" i="1"/>
  <c r="AY133" i="1"/>
  <c r="AZ133" i="1"/>
  <c r="Q138" i="1"/>
  <c r="T138" i="1"/>
  <c r="W138" i="1"/>
  <c r="Z138" i="1"/>
  <c r="AC138" i="1"/>
  <c r="AF138" i="1"/>
  <c r="AI138" i="1"/>
  <c r="AL138" i="1"/>
  <c r="AO138" i="1"/>
  <c r="AY138" i="1"/>
  <c r="AZ138" i="1"/>
  <c r="Q139" i="1"/>
  <c r="T139" i="1"/>
  <c r="W139" i="1"/>
  <c r="Z139" i="1"/>
  <c r="AC139" i="1"/>
  <c r="AF139" i="1"/>
  <c r="AI139" i="1"/>
  <c r="AL139" i="1"/>
  <c r="AO139" i="1"/>
  <c r="AY139" i="1"/>
  <c r="AZ139" i="1"/>
  <c r="Q141" i="1"/>
  <c r="T141" i="1"/>
  <c r="W141" i="1"/>
  <c r="Z141" i="1"/>
  <c r="AC141" i="1"/>
  <c r="AF141" i="1"/>
  <c r="AI141" i="1"/>
  <c r="AL141" i="1"/>
  <c r="AO141" i="1"/>
  <c r="AY141" i="1"/>
  <c r="AZ141" i="1"/>
  <c r="Q320" i="1"/>
  <c r="T320" i="1"/>
  <c r="W320" i="1"/>
  <c r="Z320" i="1"/>
  <c r="AC320" i="1"/>
  <c r="AF320" i="1"/>
  <c r="AI320" i="1"/>
  <c r="AL320" i="1"/>
  <c r="AY320" i="1"/>
  <c r="AZ320" i="1"/>
  <c r="Q143" i="1"/>
  <c r="T143" i="1"/>
  <c r="W143" i="1"/>
  <c r="Z143" i="1"/>
  <c r="AC143" i="1"/>
  <c r="AF143" i="1"/>
  <c r="AI143" i="1"/>
  <c r="AL143" i="1"/>
  <c r="AY143" i="1"/>
  <c r="AZ143" i="1"/>
  <c r="Q145" i="1"/>
  <c r="T145" i="1"/>
  <c r="W145" i="1"/>
  <c r="Z145" i="1"/>
  <c r="AC145" i="1"/>
  <c r="AF145" i="1"/>
  <c r="AI145" i="1"/>
  <c r="AL145" i="1"/>
  <c r="AO145" i="1"/>
  <c r="AY145" i="1"/>
  <c r="Q146" i="1"/>
  <c r="T146" i="1"/>
  <c r="W146" i="1"/>
  <c r="Z146" i="1"/>
  <c r="AC146" i="1"/>
  <c r="AF146" i="1"/>
  <c r="AI146" i="1"/>
  <c r="AL146" i="1"/>
  <c r="AY146" i="1"/>
  <c r="AZ146" i="1"/>
  <c r="Q130" i="1"/>
  <c r="T130" i="1"/>
  <c r="W130" i="1"/>
  <c r="Z130" i="1"/>
  <c r="AC130" i="1"/>
  <c r="AF130" i="1"/>
  <c r="AI130" i="1"/>
  <c r="AL130" i="1"/>
  <c r="AO130" i="1"/>
  <c r="AY130" i="1"/>
  <c r="AZ130" i="1"/>
  <c r="BC9" i="1"/>
  <c r="BD9" i="1"/>
  <c r="BE9" i="1"/>
  <c r="BF9" i="1"/>
  <c r="BG9" i="1"/>
  <c r="BH9" i="1"/>
  <c r="BB9" i="1"/>
  <c r="AU145" i="1" l="1"/>
  <c r="AU30" i="2"/>
  <c r="AU8" i="2" s="1"/>
  <c r="AO7" i="2"/>
  <c r="AS8" i="2"/>
  <c r="AV8" i="2" s="1"/>
  <c r="BA94" i="1"/>
  <c r="AU107" i="1"/>
  <c r="B7" i="3" s="1"/>
  <c r="AU141" i="1"/>
  <c r="AU116" i="1"/>
  <c r="AU100" i="1"/>
  <c r="AU99" i="1"/>
  <c r="AU169" i="1"/>
  <c r="AU130" i="1"/>
  <c r="AU138" i="1"/>
  <c r="AU139" i="1"/>
  <c r="AU134" i="1"/>
  <c r="AU104" i="1"/>
  <c r="AU106" i="1"/>
  <c r="AU76" i="1"/>
  <c r="B57" i="3" s="1"/>
  <c r="AU108" i="1"/>
  <c r="AU98" i="1"/>
  <c r="AU120" i="1"/>
  <c r="AU131" i="1"/>
  <c r="AU110" i="1"/>
  <c r="AU97" i="1"/>
  <c r="AU129" i="1"/>
  <c r="BA51" i="1"/>
  <c r="AO51" i="1"/>
  <c r="AU51" i="1" s="1"/>
  <c r="BA139" i="1"/>
  <c r="AO125" i="1"/>
  <c r="AU125" i="1" s="1"/>
  <c r="AO146" i="1"/>
  <c r="AU146" i="1" s="1"/>
  <c r="AO143" i="1"/>
  <c r="AU143" i="1" s="1"/>
  <c r="BA107" i="1"/>
  <c r="BA131" i="1"/>
  <c r="BA48" i="1"/>
  <c r="BA161" i="1"/>
  <c r="BA220" i="1"/>
  <c r="BA319" i="1"/>
  <c r="BA88" i="1"/>
  <c r="BA130" i="1"/>
  <c r="BA146" i="1"/>
  <c r="AO88" i="1"/>
  <c r="AU88" i="1" s="1"/>
  <c r="BA116" i="1"/>
  <c r="BA144" i="1"/>
  <c r="BA108" i="1"/>
  <c r="BA106" i="1"/>
  <c r="BA123" i="1"/>
  <c r="BA105" i="1"/>
  <c r="BA141" i="1"/>
  <c r="BA129" i="1"/>
  <c r="BA77" i="1"/>
  <c r="BA134" i="1"/>
  <c r="BA120" i="1"/>
  <c r="BA100" i="1"/>
  <c r="BA44" i="1"/>
  <c r="BA76" i="1"/>
  <c r="BA169" i="1"/>
  <c r="BA97" i="1"/>
  <c r="BA96" i="1"/>
  <c r="BA138" i="1"/>
  <c r="BA133" i="1"/>
  <c r="BA104" i="1"/>
  <c r="BA66" i="1"/>
  <c r="BA102" i="1"/>
  <c r="AO102" i="1"/>
  <c r="AU102" i="1" s="1"/>
  <c r="AO48" i="1"/>
  <c r="AU48" i="1" s="1"/>
  <c r="B9" i="3" s="1"/>
  <c r="BA68" i="1"/>
  <c r="AO68" i="1"/>
  <c r="AU68" i="1" s="1"/>
  <c r="B13" i="3" s="1"/>
  <c r="AO144" i="1"/>
  <c r="AU144" i="1" s="1"/>
  <c r="BA62" i="1"/>
  <c r="AO62" i="1"/>
  <c r="AU62" i="1" s="1"/>
  <c r="AO44" i="1"/>
  <c r="AU44" i="1" s="1"/>
  <c r="B38" i="3" s="1"/>
  <c r="BA70" i="1"/>
  <c r="AO70" i="1"/>
  <c r="AU70" i="1" s="1"/>
  <c r="AO96" i="1"/>
  <c r="AU96" i="1" s="1"/>
  <c r="BA72" i="1"/>
  <c r="BA143" i="1"/>
  <c r="BA320" i="1"/>
  <c r="BA125" i="1"/>
  <c r="BA124" i="1"/>
  <c r="BA110" i="1"/>
  <c r="BA98" i="1"/>
  <c r="AO320" i="1"/>
  <c r="AU320" i="1" s="1"/>
  <c r="AO133" i="1"/>
  <c r="AU133" i="1" s="1"/>
  <c r="AO124" i="1"/>
  <c r="AU124" i="1" s="1"/>
  <c r="AO66" i="1"/>
  <c r="AU66" i="1" s="1"/>
  <c r="B39" i="3" s="1"/>
  <c r="AO132" i="1"/>
  <c r="AU132" i="1" s="1"/>
  <c r="AO77" i="1"/>
  <c r="AU77" i="1" s="1"/>
  <c r="AO123" i="1"/>
  <c r="AU123" i="1" s="1"/>
  <c r="AO105" i="1"/>
  <c r="AU105" i="1" s="1"/>
  <c r="AO161" i="1"/>
  <c r="AU161" i="1" s="1"/>
  <c r="AO220" i="1"/>
  <c r="AU220" i="1" s="1"/>
  <c r="AO72" i="1"/>
  <c r="AU72" i="1" s="1"/>
  <c r="B56" i="3" s="1"/>
  <c r="AO319" i="1"/>
  <c r="AU319" i="1" s="1"/>
  <c r="AO94" i="1"/>
  <c r="AU94" i="1" s="1"/>
  <c r="D7" i="3" l="1"/>
  <c r="F7" i="3" s="1"/>
  <c r="D56" i="3"/>
  <c r="F56" i="3" s="1"/>
  <c r="D57" i="3"/>
  <c r="D39" i="3"/>
  <c r="F39" i="3" s="1"/>
  <c r="D9" i="3"/>
  <c r="F9" i="3" s="1"/>
  <c r="D38" i="3"/>
  <c r="F38" i="3" s="1"/>
  <c r="D13" i="3"/>
  <c r="AZ14" i="1"/>
  <c r="AZ18" i="1"/>
  <c r="AZ15" i="1"/>
  <c r="AZ19" i="1"/>
  <c r="AZ21" i="1"/>
  <c r="AZ37" i="1"/>
  <c r="AZ26" i="1"/>
  <c r="AZ20" i="1"/>
  <c r="AZ23" i="1"/>
  <c r="AZ30" i="1"/>
  <c r="AZ31" i="1"/>
  <c r="AZ35" i="1"/>
  <c r="AZ36" i="1"/>
  <c r="AZ24" i="1"/>
  <c r="AZ90" i="1"/>
  <c r="AZ40" i="1"/>
  <c r="AZ41" i="1"/>
  <c r="AZ55" i="1"/>
  <c r="AZ42" i="1"/>
  <c r="AZ53" i="1"/>
  <c r="AZ50" i="1"/>
  <c r="AZ34" i="1"/>
  <c r="AZ52" i="1"/>
  <c r="AZ47" i="1"/>
  <c r="AZ49" i="1"/>
  <c r="AZ25" i="1"/>
  <c r="AZ43" i="1"/>
  <c r="AZ60" i="1"/>
  <c r="AZ67" i="1"/>
  <c r="AZ38" i="1"/>
  <c r="AZ101" i="1"/>
  <c r="AZ69" i="1"/>
  <c r="AZ65" i="1"/>
  <c r="AZ28" i="1"/>
  <c r="AZ73" i="1"/>
  <c r="AZ22" i="1"/>
  <c r="AZ39" i="1"/>
  <c r="AZ80" i="1"/>
  <c r="AZ398" i="1"/>
  <c r="AZ74" i="1"/>
  <c r="AZ86" i="1"/>
  <c r="AZ29" i="1"/>
  <c r="AZ79" i="1"/>
  <c r="AZ71" i="1"/>
  <c r="AZ59" i="1"/>
  <c r="AZ115" i="1"/>
  <c r="AZ117" i="1"/>
  <c r="AZ84" i="1"/>
  <c r="AZ89" i="1"/>
  <c r="AZ61" i="1"/>
  <c r="AZ57" i="1"/>
  <c r="AZ87" i="1"/>
  <c r="AZ91" i="1"/>
  <c r="AZ149" i="1"/>
  <c r="AZ150" i="1"/>
  <c r="AZ151" i="1"/>
  <c r="AZ159" i="1"/>
  <c r="AZ154" i="1"/>
  <c r="AZ112" i="1"/>
  <c r="AZ174" i="1"/>
  <c r="AZ142" i="1"/>
  <c r="AZ393" i="1"/>
  <c r="AZ140" i="1"/>
  <c r="AZ165" i="1"/>
  <c r="AZ147" i="1"/>
  <c r="AZ168" i="1"/>
  <c r="AZ122" i="1"/>
  <c r="AZ137" i="1"/>
  <c r="AZ172" i="1"/>
  <c r="AZ152" i="1"/>
  <c r="AZ119" i="1"/>
  <c r="AZ164" i="1"/>
  <c r="AZ162" i="1"/>
  <c r="AZ173" i="1"/>
  <c r="AZ160" i="1"/>
  <c r="AZ177" i="1"/>
  <c r="AZ136" i="1"/>
  <c r="AZ180" i="1"/>
  <c r="AZ182" i="1"/>
  <c r="AZ183" i="1"/>
  <c r="AZ166" i="1"/>
  <c r="AZ135" i="1"/>
  <c r="AZ185" i="1"/>
  <c r="AZ195" i="1"/>
  <c r="AZ179" i="1"/>
  <c r="AZ153" i="1"/>
  <c r="AZ198" i="1"/>
  <c r="AZ189" i="1"/>
  <c r="AZ103" i="1"/>
  <c r="AZ202" i="1"/>
  <c r="AZ225" i="1"/>
  <c r="AZ181" i="1"/>
  <c r="AZ222" i="1"/>
  <c r="AZ197" i="1"/>
  <c r="AZ204" i="1"/>
  <c r="AZ205" i="1"/>
  <c r="AZ121" i="1"/>
  <c r="AZ188" i="1"/>
  <c r="AZ245" i="1"/>
  <c r="AZ212" i="1"/>
  <c r="AZ217" i="1"/>
  <c r="AZ203" i="1"/>
  <c r="AZ206" i="1"/>
  <c r="AZ190" i="1"/>
  <c r="AZ213" i="1"/>
  <c r="AZ191" i="1"/>
  <c r="AZ211" i="1"/>
  <c r="AZ221" i="1"/>
  <c r="AZ224" i="1"/>
  <c r="AZ227" i="1"/>
  <c r="AZ223" i="1"/>
  <c r="AZ226" i="1"/>
  <c r="AZ176" i="1"/>
  <c r="AZ228" i="1"/>
  <c r="AZ244" i="1"/>
  <c r="AZ231" i="1"/>
  <c r="AZ232" i="1"/>
  <c r="AZ233" i="1"/>
  <c r="AZ235" i="1"/>
  <c r="AZ236" i="1"/>
  <c r="AZ433" i="1"/>
  <c r="AZ239" i="1"/>
  <c r="AZ240" i="1"/>
  <c r="AZ27" i="1"/>
  <c r="AZ118" i="1"/>
  <c r="AZ247" i="1"/>
  <c r="AZ246" i="1"/>
  <c r="AZ196" i="1"/>
  <c r="AZ170" i="1"/>
  <c r="AZ184" i="1"/>
  <c r="AZ256" i="1"/>
  <c r="AZ343" i="1"/>
  <c r="AZ260" i="1"/>
  <c r="AZ261" i="1"/>
  <c r="AZ265" i="1"/>
  <c r="AZ194" i="1"/>
  <c r="AZ264" i="1"/>
  <c r="AZ209" i="1"/>
  <c r="AZ219" i="1"/>
  <c r="AZ274" i="1"/>
  <c r="AZ317" i="1"/>
  <c r="AZ156" i="1"/>
  <c r="AZ288" i="1"/>
  <c r="AZ33" i="1"/>
  <c r="AZ207" i="1"/>
  <c r="AZ17" i="1"/>
  <c r="AY13" i="1"/>
  <c r="AY207" i="1"/>
  <c r="AY14" i="1"/>
  <c r="AY18" i="1"/>
  <c r="AY15" i="1"/>
  <c r="AY21" i="1"/>
  <c r="AY37" i="1"/>
  <c r="AY26" i="1"/>
  <c r="AY20" i="1"/>
  <c r="AY23" i="1"/>
  <c r="AY30" i="1"/>
  <c r="AY31" i="1"/>
  <c r="AY35" i="1"/>
  <c r="AY36" i="1"/>
  <c r="AY24" i="1"/>
  <c r="AY90" i="1"/>
  <c r="AY40" i="1"/>
  <c r="AY41" i="1"/>
  <c r="AY55" i="1"/>
  <c r="AY42" i="1"/>
  <c r="AY53" i="1"/>
  <c r="AY16" i="1"/>
  <c r="AY50" i="1"/>
  <c r="AY34" i="1"/>
  <c r="AY52" i="1"/>
  <c r="AY47" i="1"/>
  <c r="AY49" i="1"/>
  <c r="AY25" i="1"/>
  <c r="AY43" i="1"/>
  <c r="AY54" i="1"/>
  <c r="AY60" i="1"/>
  <c r="AY67" i="1"/>
  <c r="AY101" i="1"/>
  <c r="AY69" i="1"/>
  <c r="AY65" i="1"/>
  <c r="AY28" i="1"/>
  <c r="AY73" i="1"/>
  <c r="AY22" i="1"/>
  <c r="AY39" i="1"/>
  <c r="AY80" i="1"/>
  <c r="AY398" i="1"/>
  <c r="AY74" i="1"/>
  <c r="AY86" i="1"/>
  <c r="AY29" i="1"/>
  <c r="AY79" i="1"/>
  <c r="AY71" i="1"/>
  <c r="AY59" i="1"/>
  <c r="AY115" i="1"/>
  <c r="AY45" i="1"/>
  <c r="AY85" i="1"/>
  <c r="BA85" i="1" s="1"/>
  <c r="AY117" i="1"/>
  <c r="AY405" i="1"/>
  <c r="AY84" i="1"/>
  <c r="AY89" i="1"/>
  <c r="AY61" i="1"/>
  <c r="AY57" i="1"/>
  <c r="AY87" i="1"/>
  <c r="AY91" i="1"/>
  <c r="AY149" i="1"/>
  <c r="AY150" i="1"/>
  <c r="AY151" i="1"/>
  <c r="AY159" i="1"/>
  <c r="AY154" i="1"/>
  <c r="AY155" i="1"/>
  <c r="AY112" i="1"/>
  <c r="AY174" i="1"/>
  <c r="AY142" i="1"/>
  <c r="AY393" i="1"/>
  <c r="AY158" i="1"/>
  <c r="AY140" i="1"/>
  <c r="AY165" i="1"/>
  <c r="AY147" i="1"/>
  <c r="AY168" i="1"/>
  <c r="AY122" i="1"/>
  <c r="AY137" i="1"/>
  <c r="AY172" i="1"/>
  <c r="AY152" i="1"/>
  <c r="AY163" i="1"/>
  <c r="BA163" i="1" s="1"/>
  <c r="AY119" i="1"/>
  <c r="AY164" i="1"/>
  <c r="AY162" i="1"/>
  <c r="AY173" i="1"/>
  <c r="AY175" i="1"/>
  <c r="BA175" i="1" s="1"/>
  <c r="AY160" i="1"/>
  <c r="AY177" i="1"/>
  <c r="AY136" i="1"/>
  <c r="AY178" i="1"/>
  <c r="AY180" i="1"/>
  <c r="AY182" i="1"/>
  <c r="AY183" i="1"/>
  <c r="AY166" i="1"/>
  <c r="AY186" i="1"/>
  <c r="BA186" i="1" s="1"/>
  <c r="AY135" i="1"/>
  <c r="AY185" i="1"/>
  <c r="AY193" i="1"/>
  <c r="AY195" i="1"/>
  <c r="AY179" i="1"/>
  <c r="AY157" i="1"/>
  <c r="BA157" i="1" s="1"/>
  <c r="AY153" i="1"/>
  <c r="AY198" i="1"/>
  <c r="AY199" i="1"/>
  <c r="AY200" i="1"/>
  <c r="AY201" i="1"/>
  <c r="AY189" i="1"/>
  <c r="AY103" i="1"/>
  <c r="AY202" i="1"/>
  <c r="AY225" i="1"/>
  <c r="AY181" i="1"/>
  <c r="AY222" i="1"/>
  <c r="AY197" i="1"/>
  <c r="AY204" i="1"/>
  <c r="AY205" i="1"/>
  <c r="AY208" i="1"/>
  <c r="AY121" i="1"/>
  <c r="AY210" i="1"/>
  <c r="AY188" i="1"/>
  <c r="AY245" i="1"/>
  <c r="AY212" i="1"/>
  <c r="AY214" i="1"/>
  <c r="AY217" i="1"/>
  <c r="AY203" i="1"/>
  <c r="AY206" i="1"/>
  <c r="AY190" i="1"/>
  <c r="AY213" i="1"/>
  <c r="AY191" i="1"/>
  <c r="AY218" i="1"/>
  <c r="AY211" i="1"/>
  <c r="AY221" i="1"/>
  <c r="AY224" i="1"/>
  <c r="AY227" i="1"/>
  <c r="AY223" i="1"/>
  <c r="AY226" i="1"/>
  <c r="AY176" i="1"/>
  <c r="AY228" i="1"/>
  <c r="AY244" i="1"/>
  <c r="AY229" i="1"/>
  <c r="AY230" i="1"/>
  <c r="AY231" i="1"/>
  <c r="AY232" i="1"/>
  <c r="AY233" i="1"/>
  <c r="AY234" i="1"/>
  <c r="AY235" i="1"/>
  <c r="AY236" i="1"/>
  <c r="AY237" i="1"/>
  <c r="AY433" i="1"/>
  <c r="AY238" i="1"/>
  <c r="AY239" i="1"/>
  <c r="AY240" i="1"/>
  <c r="AY27" i="1"/>
  <c r="AY241" i="1"/>
  <c r="AY257" i="1"/>
  <c r="AY118" i="1"/>
  <c r="AY192" i="1"/>
  <c r="BA192" i="1" s="1"/>
  <c r="AY247" i="1"/>
  <c r="AY259" i="1"/>
  <c r="AY248" i="1"/>
  <c r="AY249" i="1"/>
  <c r="AY246" i="1"/>
  <c r="AY196" i="1"/>
  <c r="AY253" i="1"/>
  <c r="AY254" i="1"/>
  <c r="AY170" i="1"/>
  <c r="AY184" i="1"/>
  <c r="AY256" i="1"/>
  <c r="AY343" i="1"/>
  <c r="AY258" i="1"/>
  <c r="AY260" i="1"/>
  <c r="AY261" i="1"/>
  <c r="AY265" i="1"/>
  <c r="AY194" i="1"/>
  <c r="AY264" i="1"/>
  <c r="AY287" i="1"/>
  <c r="AY209" i="1"/>
  <c r="AY219" i="1"/>
  <c r="AY279" i="1"/>
  <c r="AY268" i="1"/>
  <c r="AY299" i="1"/>
  <c r="AY306" i="1"/>
  <c r="AY282" i="1"/>
  <c r="AY276" i="1"/>
  <c r="AY317" i="1"/>
  <c r="AY156" i="1"/>
  <c r="AY280" i="1"/>
  <c r="AY281" i="1"/>
  <c r="AY284" i="1"/>
  <c r="AY285" i="1"/>
  <c r="AY288" i="1"/>
  <c r="AY290" i="1"/>
  <c r="AY291" i="1"/>
  <c r="AY296" i="1"/>
  <c r="AY294" i="1"/>
  <c r="AY295" i="1"/>
  <c r="AY307" i="1"/>
  <c r="AY301" i="1"/>
  <c r="AY113" i="1"/>
  <c r="AY303" i="1"/>
  <c r="AY315" i="1"/>
  <c r="AY324" i="1"/>
  <c r="AY308" i="1"/>
  <c r="AY309" i="1"/>
  <c r="AY322" i="1"/>
  <c r="AY114" i="1"/>
  <c r="AY314" i="1"/>
  <c r="AY313" i="1"/>
  <c r="AY406" i="1"/>
  <c r="BA406" i="1" s="1"/>
  <c r="AY318" i="1"/>
  <c r="AY331" i="1"/>
  <c r="AY325" i="1"/>
  <c r="AY381" i="1"/>
  <c r="AY327" i="1"/>
  <c r="AY321" i="1"/>
  <c r="AY344" i="1"/>
  <c r="AY330" i="1"/>
  <c r="AY337" i="1"/>
  <c r="AY385" i="1"/>
  <c r="AY334" i="1"/>
  <c r="AY340" i="1"/>
  <c r="AY382" i="1"/>
  <c r="AY336" i="1"/>
  <c r="AY338" i="1"/>
  <c r="AY425" i="1"/>
  <c r="BA425" i="1" s="1"/>
  <c r="AY345" i="1"/>
  <c r="AY349" i="1"/>
  <c r="BA349" i="1" s="1"/>
  <c r="AY350" i="1"/>
  <c r="BA350" i="1" s="1"/>
  <c r="AY351" i="1"/>
  <c r="BA351" i="1" s="1"/>
  <c r="AY352" i="1"/>
  <c r="BA352" i="1" s="1"/>
  <c r="AY353" i="1"/>
  <c r="BA353" i="1" s="1"/>
  <c r="AY354" i="1"/>
  <c r="BA354" i="1" s="1"/>
  <c r="AY355" i="1"/>
  <c r="BA355" i="1" s="1"/>
  <c r="AY356" i="1"/>
  <c r="BA356" i="1" s="1"/>
  <c r="AY357" i="1"/>
  <c r="BA357" i="1" s="1"/>
  <c r="AY358" i="1"/>
  <c r="BA358" i="1" s="1"/>
  <c r="AY359" i="1"/>
  <c r="BA359" i="1" s="1"/>
  <c r="AY360" i="1"/>
  <c r="BA360" i="1" s="1"/>
  <c r="AY361" i="1"/>
  <c r="BA361" i="1" s="1"/>
  <c r="AY362" i="1"/>
  <c r="BA362" i="1" s="1"/>
  <c r="AY363" i="1"/>
  <c r="BA363" i="1" s="1"/>
  <c r="AY364" i="1"/>
  <c r="BA364" i="1" s="1"/>
  <c r="AY365" i="1"/>
  <c r="BA365" i="1" s="1"/>
  <c r="AY366" i="1"/>
  <c r="BA366" i="1" s="1"/>
  <c r="AY367" i="1"/>
  <c r="BA367" i="1" s="1"/>
  <c r="AY368" i="1"/>
  <c r="BA368" i="1" s="1"/>
  <c r="AY369" i="1"/>
  <c r="BA369" i="1" s="1"/>
  <c r="AY370" i="1"/>
  <c r="BA370" i="1" s="1"/>
  <c r="AY371" i="1"/>
  <c r="BA371" i="1" s="1"/>
  <c r="AY372" i="1"/>
  <c r="BA372" i="1" s="1"/>
  <c r="AY373" i="1"/>
  <c r="BA373" i="1" s="1"/>
  <c r="AY374" i="1"/>
  <c r="BA374" i="1" s="1"/>
  <c r="AY375" i="1"/>
  <c r="BA375" i="1" s="1"/>
  <c r="AY376" i="1"/>
  <c r="BA376" i="1" s="1"/>
  <c r="AY377" i="1"/>
  <c r="BA377" i="1" s="1"/>
  <c r="AY378" i="1"/>
  <c r="BA378" i="1" s="1"/>
  <c r="AY379" i="1"/>
  <c r="BA379" i="1" s="1"/>
  <c r="AY383" i="1"/>
  <c r="AY420" i="1"/>
  <c r="AY386" i="1"/>
  <c r="AY389" i="1"/>
  <c r="AY64" i="1"/>
  <c r="AY46" i="1"/>
  <c r="AY242" i="1"/>
  <c r="AY411" i="1"/>
  <c r="AY395" i="1"/>
  <c r="AY78" i="1"/>
  <c r="AY400" i="1"/>
  <c r="BA400" i="1" s="1"/>
  <c r="AY401" i="1"/>
  <c r="AY417" i="1"/>
  <c r="AY404" i="1"/>
  <c r="AY407" i="1"/>
  <c r="AY416" i="1"/>
  <c r="AY408" i="1"/>
  <c r="AY33" i="1"/>
  <c r="AY391" i="1"/>
  <c r="AY423" i="1"/>
  <c r="AY415" i="1"/>
  <c r="AY418" i="1"/>
  <c r="AY75" i="1"/>
  <c r="AY421" i="1"/>
  <c r="AY426" i="1"/>
  <c r="AY432" i="1"/>
  <c r="AY434" i="1"/>
  <c r="BA434" i="1" s="1"/>
  <c r="AY438" i="1"/>
  <c r="AY414" i="1"/>
  <c r="AY436" i="1"/>
  <c r="F13" i="3" l="1"/>
  <c r="F57" i="3"/>
  <c r="BA225" i="1"/>
  <c r="BA317" i="1"/>
  <c r="BA433" i="1"/>
  <c r="BA91" i="1"/>
  <c r="AZ10" i="1"/>
  <c r="AH9" i="1"/>
  <c r="AO423" i="1"/>
  <c r="AU423" i="1" s="1"/>
  <c r="AO395" i="1"/>
  <c r="AU395" i="1" s="1"/>
  <c r="AO376" i="1"/>
  <c r="AU376" i="1" s="1"/>
  <c r="AO377" i="1"/>
  <c r="AU377" i="1" s="1"/>
  <c r="AO350" i="1"/>
  <c r="AU350" i="1" s="1"/>
  <c r="AO351" i="1"/>
  <c r="AU351" i="1" s="1"/>
  <c r="AO354" i="1"/>
  <c r="AU354" i="1" s="1"/>
  <c r="AO355" i="1"/>
  <c r="AU355" i="1" s="1"/>
  <c r="AO358" i="1"/>
  <c r="AU358" i="1" s="1"/>
  <c r="AO359" i="1"/>
  <c r="AU359" i="1" s="1"/>
  <c r="AO362" i="1"/>
  <c r="AU362" i="1" s="1"/>
  <c r="AO363" i="1"/>
  <c r="AU363" i="1" s="1"/>
  <c r="AO366" i="1"/>
  <c r="AU366" i="1" s="1"/>
  <c r="AO367" i="1"/>
  <c r="AU367" i="1" s="1"/>
  <c r="AO370" i="1"/>
  <c r="AU370" i="1" s="1"/>
  <c r="AO371" i="1"/>
  <c r="AU371" i="1" s="1"/>
  <c r="AO349" i="1"/>
  <c r="AU349" i="1" s="1"/>
  <c r="AO317" i="1"/>
  <c r="AU317" i="1" s="1"/>
  <c r="AO268" i="1"/>
  <c r="AU268" i="1" s="1"/>
  <c r="AO282" i="1"/>
  <c r="AU282" i="1" s="1"/>
  <c r="AO287" i="1"/>
  <c r="AU287" i="1" s="1"/>
  <c r="AO284" i="1"/>
  <c r="AU284" i="1" s="1"/>
  <c r="AO279" i="1"/>
  <c r="AU279" i="1" s="1"/>
  <c r="AO254" i="1"/>
  <c r="AU254" i="1" s="1"/>
  <c r="AO421" i="1" l="1"/>
  <c r="AU421" i="1" s="1"/>
  <c r="B66" i="3" s="1"/>
  <c r="AO436" i="1"/>
  <c r="AU436" i="1" s="1"/>
  <c r="AO361" i="1"/>
  <c r="AU361" i="1" s="1"/>
  <c r="AO375" i="1"/>
  <c r="AU375" i="1" s="1"/>
  <c r="AO248" i="1"/>
  <c r="AU248" i="1" s="1"/>
  <c r="AO373" i="1"/>
  <c r="AU373" i="1" s="1"/>
  <c r="AO357" i="1"/>
  <c r="AU357" i="1" s="1"/>
  <c r="AO425" i="1"/>
  <c r="AU425" i="1" s="1"/>
  <c r="B4" i="3" s="1"/>
  <c r="AO296" i="1"/>
  <c r="AU296" i="1" s="1"/>
  <c r="AO369" i="1"/>
  <c r="AU369" i="1" s="1"/>
  <c r="AO353" i="1"/>
  <c r="AU353" i="1" s="1"/>
  <c r="AO258" i="1"/>
  <c r="AU258" i="1" s="1"/>
  <c r="AO365" i="1"/>
  <c r="AU365" i="1" s="1"/>
  <c r="AO379" i="1"/>
  <c r="AU379" i="1" s="1"/>
  <c r="AO295" i="1"/>
  <c r="AU295" i="1" s="1"/>
  <c r="AO249" i="1"/>
  <c r="AU249" i="1" s="1"/>
  <c r="AO253" i="1"/>
  <c r="AU253" i="1" s="1"/>
  <c r="B43" i="3" s="1"/>
  <c r="AO406" i="1"/>
  <c r="AU406" i="1" s="1"/>
  <c r="B40" i="3" s="1"/>
  <c r="AO372" i="1"/>
  <c r="AU372" i="1" s="1"/>
  <c r="AO368" i="1"/>
  <c r="AU368" i="1" s="1"/>
  <c r="AO364" i="1"/>
  <c r="AU364" i="1" s="1"/>
  <c r="AO360" i="1"/>
  <c r="AU360" i="1" s="1"/>
  <c r="AO356" i="1"/>
  <c r="AU356" i="1" s="1"/>
  <c r="AO352" i="1"/>
  <c r="AU352" i="1" s="1"/>
  <c r="AO378" i="1"/>
  <c r="AU378" i="1" s="1"/>
  <c r="AO374" i="1"/>
  <c r="AU374" i="1" s="1"/>
  <c r="AO276" i="1"/>
  <c r="AU276" i="1" s="1"/>
  <c r="AO400" i="1"/>
  <c r="AU400" i="1" s="1"/>
  <c r="AO306" i="1"/>
  <c r="AU306" i="1" s="1"/>
  <c r="F4" i="3" l="1"/>
  <c r="D40" i="3"/>
  <c r="D43" i="3"/>
  <c r="D66" i="3"/>
  <c r="AO13" i="1"/>
  <c r="AO207" i="1"/>
  <c r="AO18" i="1"/>
  <c r="AO22" i="1"/>
  <c r="AO20" i="1"/>
  <c r="AO37" i="1"/>
  <c r="AO23" i="1"/>
  <c r="AO14" i="1"/>
  <c r="AO36" i="1"/>
  <c r="AO24" i="1"/>
  <c r="AO21" i="1"/>
  <c r="AO41" i="1"/>
  <c r="AO53" i="1"/>
  <c r="AO16" i="1"/>
  <c r="AO30" i="1"/>
  <c r="AO34" i="1"/>
  <c r="AO47" i="1"/>
  <c r="AO49" i="1"/>
  <c r="AO25" i="1"/>
  <c r="AO43" i="1"/>
  <c r="AO60" i="1"/>
  <c r="AO42" i="1"/>
  <c r="AO67" i="1"/>
  <c r="AO50" i="1"/>
  <c r="AO38" i="1"/>
  <c r="AO101" i="1"/>
  <c r="AO69" i="1"/>
  <c r="AO28" i="1"/>
  <c r="AO52" i="1"/>
  <c r="AO39" i="1"/>
  <c r="AO29" i="1"/>
  <c r="AO398" i="1"/>
  <c r="AO71" i="1"/>
  <c r="AO79" i="1"/>
  <c r="AO59" i="1"/>
  <c r="AO115" i="1"/>
  <c r="AO90" i="1"/>
  <c r="AO45" i="1"/>
  <c r="AO165" i="1"/>
  <c r="AO405" i="1"/>
  <c r="AO15" i="1"/>
  <c r="AO89" i="1"/>
  <c r="AO61" i="1"/>
  <c r="AO57" i="1"/>
  <c r="AO87" i="1"/>
  <c r="AO33" i="1"/>
  <c r="AO91" i="1"/>
  <c r="AO65" i="1"/>
  <c r="AO31" i="1"/>
  <c r="AO55" i="1"/>
  <c r="AO80" i="1"/>
  <c r="AO84" i="1"/>
  <c r="AO140" i="1"/>
  <c r="AO149" i="1"/>
  <c r="AO159" i="1"/>
  <c r="AO154" i="1"/>
  <c r="AO155" i="1"/>
  <c r="AO112" i="1"/>
  <c r="AO174" i="1"/>
  <c r="AO142" i="1"/>
  <c r="AO393" i="1"/>
  <c r="AO158" i="1"/>
  <c r="AO86" i="1"/>
  <c r="AO147" i="1"/>
  <c r="AO114" i="1"/>
  <c r="AO122" i="1"/>
  <c r="AO137" i="1"/>
  <c r="AO172" i="1"/>
  <c r="AO175" i="1"/>
  <c r="AO191" i="1"/>
  <c r="AO152" i="1"/>
  <c r="AO163" i="1"/>
  <c r="AO119" i="1"/>
  <c r="AO164" i="1"/>
  <c r="AO162" i="1"/>
  <c r="AO160" i="1"/>
  <c r="AO177" i="1"/>
  <c r="AO136" i="1"/>
  <c r="AO178" i="1"/>
  <c r="AO217" i="1"/>
  <c r="AO180" i="1"/>
  <c r="AO166" i="1"/>
  <c r="AO40" i="1"/>
  <c r="AO186" i="1"/>
  <c r="AO168" i="1"/>
  <c r="AO135" i="1"/>
  <c r="AO264" i="1"/>
  <c r="AO183" i="1"/>
  <c r="AO185" i="1"/>
  <c r="AO193" i="1"/>
  <c r="AO179" i="1"/>
  <c r="AO153" i="1"/>
  <c r="AO198" i="1"/>
  <c r="AO199" i="1"/>
  <c r="AO200" i="1"/>
  <c r="AO201" i="1"/>
  <c r="AO103" i="1"/>
  <c r="AO202" i="1"/>
  <c r="AO156" i="1"/>
  <c r="AO151" i="1"/>
  <c r="AO225" i="1"/>
  <c r="AO197" i="1"/>
  <c r="AO204" i="1"/>
  <c r="AO208" i="1"/>
  <c r="AO173" i="1"/>
  <c r="AO121" i="1"/>
  <c r="AO189" i="1"/>
  <c r="AO210" i="1"/>
  <c r="AO188" i="1"/>
  <c r="AO245" i="1"/>
  <c r="AO294" i="1"/>
  <c r="AO205" i="1"/>
  <c r="AO212" i="1"/>
  <c r="AO214" i="1"/>
  <c r="AO222" i="1"/>
  <c r="AO182" i="1"/>
  <c r="AO203" i="1"/>
  <c r="AO206" i="1"/>
  <c r="AO196" i="1"/>
  <c r="AO190" i="1"/>
  <c r="AO213" i="1"/>
  <c r="AO211" i="1"/>
  <c r="AO221" i="1"/>
  <c r="AO181" i="1"/>
  <c r="AO224" i="1"/>
  <c r="AO246" i="1"/>
  <c r="AO227" i="1"/>
  <c r="AO223" i="1"/>
  <c r="AO226" i="1"/>
  <c r="AO176" i="1"/>
  <c r="AO117" i="1"/>
  <c r="AO228" i="1"/>
  <c r="AO244" i="1"/>
  <c r="AO433" i="1"/>
  <c r="AO238" i="1"/>
  <c r="AO229" i="1"/>
  <c r="AO230" i="1"/>
  <c r="AO231" i="1"/>
  <c r="AO232" i="1"/>
  <c r="AO233" i="1"/>
  <c r="AO234" i="1"/>
  <c r="AO235" i="1"/>
  <c r="AO236" i="1"/>
  <c r="AO237" i="1"/>
  <c r="AO239" i="1"/>
  <c r="AO240" i="1"/>
  <c r="AO26" i="1"/>
  <c r="AO73" i="1"/>
  <c r="AO74" i="1"/>
  <c r="AO27" i="1"/>
  <c r="AO195" i="1"/>
  <c r="AO257" i="1"/>
  <c r="AO118" i="1"/>
  <c r="AO150" i="1"/>
  <c r="AO192" i="1"/>
  <c r="AO259" i="1"/>
  <c r="AO247" i="1"/>
  <c r="AO262" i="1"/>
  <c r="AO256" i="1"/>
  <c r="AO170" i="1"/>
  <c r="AO184" i="1"/>
  <c r="AO323" i="1"/>
  <c r="AO266" i="1"/>
  <c r="AO269" i="1"/>
  <c r="AO301" i="1"/>
  <c r="AO275" i="1"/>
  <c r="AO261" i="1"/>
  <c r="AO285" i="1"/>
  <c r="AO297" i="1"/>
  <c r="AO194" i="1"/>
  <c r="AO281" i="1"/>
  <c r="AO322" i="1"/>
  <c r="AO273" i="1"/>
  <c r="AO325" i="1"/>
  <c r="AO209" i="1"/>
  <c r="AO219" i="1"/>
  <c r="AO265" i="1"/>
  <c r="AO274" i="1"/>
  <c r="AO299" i="1"/>
  <c r="AO292" i="1"/>
  <c r="AO291" i="1"/>
  <c r="AO310" i="1"/>
  <c r="AO298" i="1"/>
  <c r="AO283" i="1"/>
  <c r="AO280" i="1"/>
  <c r="AO288" i="1"/>
  <c r="AO290" i="1"/>
  <c r="AO307" i="1"/>
  <c r="AO305" i="1"/>
  <c r="AO318" i="1"/>
  <c r="AO312" i="1"/>
  <c r="AO324" i="1"/>
  <c r="AO308" i="1"/>
  <c r="AO113" i="1"/>
  <c r="AO303" i="1"/>
  <c r="AO315" i="1"/>
  <c r="AO333" i="1"/>
  <c r="AO309" i="1"/>
  <c r="AO260" i="1"/>
  <c r="AO336" i="1"/>
  <c r="AO311" i="1"/>
  <c r="AO314" i="1"/>
  <c r="AO313" i="1"/>
  <c r="AO340" i="1"/>
  <c r="AO335" i="1"/>
  <c r="AO381" i="1"/>
  <c r="AO331" i="1"/>
  <c r="AO64" i="1"/>
  <c r="AO327" i="1"/>
  <c r="AO321" i="1"/>
  <c r="AO329" i="1"/>
  <c r="AO343" i="1"/>
  <c r="AO344" i="1"/>
  <c r="AO337" i="1"/>
  <c r="AO385" i="1"/>
  <c r="AO334" i="1"/>
  <c r="AO382" i="1"/>
  <c r="AO338" i="1"/>
  <c r="AO394" i="1"/>
  <c r="AO330" i="1"/>
  <c r="AO342" i="1"/>
  <c r="AO345" i="1"/>
  <c r="AO347" i="1"/>
  <c r="AO387" i="1"/>
  <c r="AO388" i="1"/>
  <c r="AO384" i="1"/>
  <c r="AO413" i="1"/>
  <c r="AO383" i="1"/>
  <c r="AO389" i="1"/>
  <c r="AO410" i="1"/>
  <c r="AO420" i="1"/>
  <c r="AO386" i="1"/>
  <c r="AO78" i="1"/>
  <c r="AO46" i="1"/>
  <c r="AO242" i="1"/>
  <c r="AO439" i="1"/>
  <c r="AO408" i="1"/>
  <c r="AO407" i="1"/>
  <c r="AO411" i="1"/>
  <c r="AO391" i="1"/>
  <c r="AO392" i="1"/>
  <c r="AO404" i="1"/>
  <c r="AO397" i="1"/>
  <c r="AO403" i="1"/>
  <c r="AO415" i="1"/>
  <c r="AO401" i="1"/>
  <c r="AO417" i="1"/>
  <c r="AO416" i="1"/>
  <c r="AO418" i="1"/>
  <c r="AO412" i="1"/>
  <c r="AO432" i="1"/>
  <c r="AO75" i="1"/>
  <c r="AO426" i="1"/>
  <c r="AO422" i="1"/>
  <c r="AO424" i="1"/>
  <c r="AO437" i="1"/>
  <c r="AO430" i="1"/>
  <c r="AO441" i="1"/>
  <c r="AO440" i="1"/>
  <c r="AO438" i="1"/>
  <c r="AO434" i="1"/>
  <c r="AO414" i="1"/>
  <c r="AO35" i="1"/>
  <c r="AO157" i="1"/>
  <c r="AU157" i="1" s="1"/>
  <c r="AO85" i="1"/>
  <c r="AU85" i="1" s="1"/>
  <c r="AO54" i="1"/>
  <c r="AU54" i="1" s="1"/>
  <c r="AO218" i="1"/>
  <c r="AU218" i="1" s="1"/>
  <c r="AO12" i="1"/>
  <c r="F66" i="3" l="1"/>
  <c r="F40" i="3"/>
  <c r="F43" i="3"/>
  <c r="AM17" i="1"/>
  <c r="AM19" i="1"/>
  <c r="AS19" i="1" s="1"/>
  <c r="AV19" i="1" s="1"/>
  <c r="AS17" i="1" l="1"/>
  <c r="AM9" i="1"/>
  <c r="AY19" i="1"/>
  <c r="AY17" i="1"/>
  <c r="AO19" i="1"/>
  <c r="AO17" i="1"/>
  <c r="AS10" i="1" l="1"/>
  <c r="AV10" i="1" s="1"/>
  <c r="AV17" i="1"/>
  <c r="AO9" i="1"/>
  <c r="AS4" i="1"/>
  <c r="AS5" i="1"/>
  <c r="AK1662" i="7" l="1"/>
  <c r="AS1662" i="7" s="1"/>
  <c r="AU1662" i="7" s="1"/>
  <c r="AW1662" i="7" s="1"/>
  <c r="X1662" i="7"/>
  <c r="AK1661" i="7"/>
  <c r="AS1661" i="7" s="1"/>
  <c r="AU1661" i="7" s="1"/>
  <c r="AW1661" i="7" s="1"/>
  <c r="X1661" i="7"/>
  <c r="AK1660" i="7"/>
  <c r="AS1660" i="7" s="1"/>
  <c r="AU1660" i="7" s="1"/>
  <c r="AW1660" i="7" s="1"/>
  <c r="X1660" i="7"/>
  <c r="AK1659" i="7"/>
  <c r="AS1659" i="7" s="1"/>
  <c r="AU1659" i="7" s="1"/>
  <c r="AW1659" i="7" s="1"/>
  <c r="X1659" i="7"/>
  <c r="AK1658" i="7"/>
  <c r="X1658" i="7"/>
  <c r="AT1657" i="7"/>
  <c r="AR1657" i="7"/>
  <c r="AQ1657" i="7"/>
  <c r="AP1657" i="7"/>
  <c r="AO1657" i="7"/>
  <c r="AN1657" i="7"/>
  <c r="AM1657" i="7"/>
  <c r="AL1657" i="7"/>
  <c r="AJ1657" i="7"/>
  <c r="AI1657" i="7"/>
  <c r="AH1657" i="7"/>
  <c r="AG1657" i="7"/>
  <c r="AF1657" i="7"/>
  <c r="AE1657" i="7"/>
  <c r="AD1657" i="7"/>
  <c r="AC1657" i="7"/>
  <c r="AB1657" i="7"/>
  <c r="AA1657" i="7"/>
  <c r="Z1657" i="7"/>
  <c r="Y1657" i="7"/>
  <c r="W1657" i="7"/>
  <c r="V1657" i="7"/>
  <c r="U1657" i="7"/>
  <c r="AK1656" i="7"/>
  <c r="AS1656" i="7" s="1"/>
  <c r="AU1656" i="7" s="1"/>
  <c r="AW1656" i="7" s="1"/>
  <c r="X1656" i="7"/>
  <c r="AK1655" i="7"/>
  <c r="AS1655" i="7" s="1"/>
  <c r="AU1655" i="7" s="1"/>
  <c r="AW1655" i="7" s="1"/>
  <c r="X1655" i="7"/>
  <c r="AK1654" i="7"/>
  <c r="AS1654" i="7" s="1"/>
  <c r="AU1654" i="7" s="1"/>
  <c r="AW1654" i="7" s="1"/>
  <c r="X1654" i="7"/>
  <c r="AK1653" i="7"/>
  <c r="AS1653" i="7" s="1"/>
  <c r="AU1653" i="7" s="1"/>
  <c r="AW1653" i="7" s="1"/>
  <c r="X1653" i="7"/>
  <c r="AK1652" i="7"/>
  <c r="X1652" i="7"/>
  <c r="AT1651" i="7"/>
  <c r="AR1651" i="7"/>
  <c r="AQ1651" i="7"/>
  <c r="AP1651" i="7"/>
  <c r="AO1651" i="7"/>
  <c r="AN1651" i="7"/>
  <c r="AM1651" i="7"/>
  <c r="AL1651" i="7"/>
  <c r="AJ1651" i="7"/>
  <c r="AI1651" i="7"/>
  <c r="AH1651" i="7"/>
  <c r="AG1651" i="7"/>
  <c r="AF1651" i="7"/>
  <c r="AE1651" i="7"/>
  <c r="AD1651" i="7"/>
  <c r="AC1651" i="7"/>
  <c r="AB1651" i="7"/>
  <c r="AA1651" i="7"/>
  <c r="Z1651" i="7"/>
  <c r="Y1651" i="7"/>
  <c r="W1651" i="7"/>
  <c r="V1651" i="7"/>
  <c r="U1651" i="7"/>
  <c r="BL1650" i="7"/>
  <c r="BI1650" i="7"/>
  <c r="BI1649" i="7" s="1"/>
  <c r="BH1650" i="7"/>
  <c r="BG1650" i="7"/>
  <c r="BF1650" i="7"/>
  <c r="BE1650" i="7"/>
  <c r="BB1650" i="7"/>
  <c r="T1650" i="7"/>
  <c r="S1650" i="7"/>
  <c r="BN1649" i="7"/>
  <c r="BM1649" i="7"/>
  <c r="BL1649" i="7"/>
  <c r="BK1649" i="7"/>
  <c r="BH1649" i="7"/>
  <c r="BG1649" i="7"/>
  <c r="BD1649" i="7"/>
  <c r="T1649" i="7"/>
  <c r="S1649" i="7"/>
  <c r="AK1648" i="7"/>
  <c r="AS1648" i="7" s="1"/>
  <c r="AU1648" i="7" s="1"/>
  <c r="AW1648" i="7" s="1"/>
  <c r="X1648" i="7"/>
  <c r="AK1647" i="7"/>
  <c r="AS1647" i="7" s="1"/>
  <c r="AU1647" i="7" s="1"/>
  <c r="AW1647" i="7" s="1"/>
  <c r="X1647" i="7"/>
  <c r="AK1646" i="7"/>
  <c r="AS1646" i="7" s="1"/>
  <c r="AU1646" i="7" s="1"/>
  <c r="AW1646" i="7" s="1"/>
  <c r="X1646" i="7"/>
  <c r="AK1645" i="7"/>
  <c r="AS1645" i="7" s="1"/>
  <c r="AU1645" i="7" s="1"/>
  <c r="AW1645" i="7" s="1"/>
  <c r="X1645" i="7"/>
  <c r="AK1644" i="7"/>
  <c r="AS1644" i="7" s="1"/>
  <c r="AU1644" i="7" s="1"/>
  <c r="AW1644" i="7" s="1"/>
  <c r="X1644" i="7"/>
  <c r="AK1643" i="7"/>
  <c r="AS1643" i="7" s="1"/>
  <c r="AU1643" i="7" s="1"/>
  <c r="AW1643" i="7" s="1"/>
  <c r="X1643" i="7"/>
  <c r="AK1642" i="7"/>
  <c r="AS1642" i="7" s="1"/>
  <c r="AU1642" i="7" s="1"/>
  <c r="AW1642" i="7" s="1"/>
  <c r="X1642" i="7"/>
  <c r="AK1641" i="7"/>
  <c r="AS1641" i="7" s="1"/>
  <c r="AU1641" i="7" s="1"/>
  <c r="AW1641" i="7" s="1"/>
  <c r="X1641" i="7"/>
  <c r="AK1640" i="7"/>
  <c r="AS1640" i="7" s="1"/>
  <c r="AU1640" i="7" s="1"/>
  <c r="AW1640" i="7" s="1"/>
  <c r="X1640" i="7"/>
  <c r="AK1639" i="7"/>
  <c r="AS1639" i="7" s="1"/>
  <c r="AU1639" i="7" s="1"/>
  <c r="AW1639" i="7" s="1"/>
  <c r="X1639" i="7"/>
  <c r="AK1638" i="7"/>
  <c r="AS1638" i="7" s="1"/>
  <c r="AU1638" i="7" s="1"/>
  <c r="AW1638" i="7" s="1"/>
  <c r="X1638" i="7"/>
  <c r="AK1637" i="7"/>
  <c r="AS1637" i="7" s="1"/>
  <c r="AU1637" i="7" s="1"/>
  <c r="AW1637" i="7" s="1"/>
  <c r="X1637" i="7"/>
  <c r="AK1636" i="7"/>
  <c r="AS1636" i="7" s="1"/>
  <c r="AU1636" i="7" s="1"/>
  <c r="AW1636" i="7" s="1"/>
  <c r="X1636" i="7"/>
  <c r="AK1635" i="7"/>
  <c r="AS1635" i="7" s="1"/>
  <c r="AU1635" i="7" s="1"/>
  <c r="AW1635" i="7" s="1"/>
  <c r="X1635" i="7"/>
  <c r="AK1634" i="7"/>
  <c r="AS1634" i="7" s="1"/>
  <c r="AU1634" i="7" s="1"/>
  <c r="AW1634" i="7" s="1"/>
  <c r="X1634" i="7"/>
  <c r="AK1633" i="7"/>
  <c r="AS1633" i="7" s="1"/>
  <c r="AU1633" i="7" s="1"/>
  <c r="AW1633" i="7" s="1"/>
  <c r="X1633" i="7"/>
  <c r="AK1632" i="7"/>
  <c r="AS1632" i="7" s="1"/>
  <c r="AU1632" i="7" s="1"/>
  <c r="AW1632" i="7" s="1"/>
  <c r="X1632" i="7"/>
  <c r="AK1631" i="7"/>
  <c r="AS1631" i="7" s="1"/>
  <c r="AU1631" i="7" s="1"/>
  <c r="AW1631" i="7" s="1"/>
  <c r="X1631" i="7"/>
  <c r="AK1630" i="7"/>
  <c r="AS1630" i="7" s="1"/>
  <c r="AU1630" i="7" s="1"/>
  <c r="AW1630" i="7" s="1"/>
  <c r="X1630" i="7"/>
  <c r="AK1629" i="7"/>
  <c r="AS1629" i="7" s="1"/>
  <c r="AU1629" i="7" s="1"/>
  <c r="AW1629" i="7" s="1"/>
  <c r="X1629" i="7"/>
  <c r="AK1628" i="7"/>
  <c r="X1628" i="7"/>
  <c r="AT1627" i="7"/>
  <c r="AR1627" i="7"/>
  <c r="AQ1627" i="7"/>
  <c r="AP1627" i="7"/>
  <c r="AO1627" i="7"/>
  <c r="AN1627" i="7"/>
  <c r="AM1627" i="7"/>
  <c r="AL1627" i="7"/>
  <c r="AJ1627" i="7"/>
  <c r="AI1627" i="7"/>
  <c r="AH1627" i="7"/>
  <c r="AG1627" i="7"/>
  <c r="AF1627" i="7"/>
  <c r="AE1627" i="7"/>
  <c r="AD1627" i="7"/>
  <c r="AC1627" i="7"/>
  <c r="AB1627" i="7"/>
  <c r="AA1627" i="7"/>
  <c r="Z1627" i="7"/>
  <c r="Y1627" i="7"/>
  <c r="W1627" i="7"/>
  <c r="V1627" i="7"/>
  <c r="U1627" i="7"/>
  <c r="AK1626" i="7"/>
  <c r="AS1626" i="7" s="1"/>
  <c r="AU1626" i="7" s="1"/>
  <c r="AW1626" i="7" s="1"/>
  <c r="X1626" i="7"/>
  <c r="AK1625" i="7"/>
  <c r="AS1625" i="7" s="1"/>
  <c r="AU1625" i="7" s="1"/>
  <c r="AW1625" i="7" s="1"/>
  <c r="X1625" i="7"/>
  <c r="AK1624" i="7"/>
  <c r="AS1624" i="7" s="1"/>
  <c r="AU1624" i="7" s="1"/>
  <c r="AW1624" i="7" s="1"/>
  <c r="X1624" i="7"/>
  <c r="AK1623" i="7"/>
  <c r="AS1623" i="7" s="1"/>
  <c r="AU1623" i="7" s="1"/>
  <c r="AW1623" i="7" s="1"/>
  <c r="X1623" i="7"/>
  <c r="AK1622" i="7"/>
  <c r="AS1622" i="7" s="1"/>
  <c r="AU1622" i="7" s="1"/>
  <c r="AW1622" i="7" s="1"/>
  <c r="X1622" i="7"/>
  <c r="AK1621" i="7"/>
  <c r="AS1621" i="7" s="1"/>
  <c r="AU1621" i="7" s="1"/>
  <c r="AW1621" i="7" s="1"/>
  <c r="X1621" i="7"/>
  <c r="AK1620" i="7"/>
  <c r="AS1620" i="7" s="1"/>
  <c r="AU1620" i="7" s="1"/>
  <c r="AW1620" i="7" s="1"/>
  <c r="X1620" i="7"/>
  <c r="AK1619" i="7"/>
  <c r="AS1619" i="7" s="1"/>
  <c r="AU1619" i="7" s="1"/>
  <c r="AW1619" i="7" s="1"/>
  <c r="X1619" i="7"/>
  <c r="AK1618" i="7"/>
  <c r="AS1618" i="7" s="1"/>
  <c r="AU1618" i="7" s="1"/>
  <c r="AW1618" i="7" s="1"/>
  <c r="X1618" i="7"/>
  <c r="AK1617" i="7"/>
  <c r="AS1617" i="7" s="1"/>
  <c r="AU1617" i="7" s="1"/>
  <c r="AW1617" i="7" s="1"/>
  <c r="X1617" i="7"/>
  <c r="AK1616" i="7"/>
  <c r="AS1616" i="7" s="1"/>
  <c r="AU1616" i="7" s="1"/>
  <c r="AW1616" i="7" s="1"/>
  <c r="X1616" i="7"/>
  <c r="AK1615" i="7"/>
  <c r="AS1615" i="7" s="1"/>
  <c r="AU1615" i="7" s="1"/>
  <c r="AW1615" i="7" s="1"/>
  <c r="X1615" i="7"/>
  <c r="AK1614" i="7"/>
  <c r="AS1614" i="7" s="1"/>
  <c r="AU1614" i="7" s="1"/>
  <c r="AW1614" i="7" s="1"/>
  <c r="X1614" i="7"/>
  <c r="AK1613" i="7"/>
  <c r="AS1613" i="7" s="1"/>
  <c r="AU1613" i="7" s="1"/>
  <c r="AW1613" i="7" s="1"/>
  <c r="X1613" i="7"/>
  <c r="AK1612" i="7"/>
  <c r="AS1612" i="7" s="1"/>
  <c r="AU1612" i="7" s="1"/>
  <c r="AW1612" i="7" s="1"/>
  <c r="X1612" i="7"/>
  <c r="AK1611" i="7"/>
  <c r="AS1611" i="7" s="1"/>
  <c r="AU1611" i="7" s="1"/>
  <c r="AW1611" i="7" s="1"/>
  <c r="X1611" i="7"/>
  <c r="AK1610" i="7"/>
  <c r="AS1610" i="7" s="1"/>
  <c r="AU1610" i="7" s="1"/>
  <c r="AW1610" i="7" s="1"/>
  <c r="X1610" i="7"/>
  <c r="AK1609" i="7"/>
  <c r="AS1609" i="7" s="1"/>
  <c r="AU1609" i="7" s="1"/>
  <c r="AW1609" i="7" s="1"/>
  <c r="X1609" i="7"/>
  <c r="AK1608" i="7"/>
  <c r="AS1608" i="7" s="1"/>
  <c r="AU1608" i="7" s="1"/>
  <c r="AW1608" i="7" s="1"/>
  <c r="X1608" i="7"/>
  <c r="AK1607" i="7"/>
  <c r="AS1607" i="7" s="1"/>
  <c r="AU1607" i="7" s="1"/>
  <c r="AW1607" i="7" s="1"/>
  <c r="X1607" i="7"/>
  <c r="AK1606" i="7"/>
  <c r="X1606" i="7"/>
  <c r="AT1605" i="7"/>
  <c r="AR1605" i="7"/>
  <c r="AQ1605" i="7"/>
  <c r="AP1605" i="7"/>
  <c r="AO1605" i="7"/>
  <c r="AN1605" i="7"/>
  <c r="AM1605" i="7"/>
  <c r="AL1605" i="7"/>
  <c r="AJ1605" i="7"/>
  <c r="AI1605" i="7"/>
  <c r="AH1605" i="7"/>
  <c r="AG1605" i="7"/>
  <c r="AF1605" i="7"/>
  <c r="AE1605" i="7"/>
  <c r="AD1605" i="7"/>
  <c r="AC1605" i="7"/>
  <c r="AB1605" i="7"/>
  <c r="AA1605" i="7"/>
  <c r="Z1605" i="7"/>
  <c r="Y1605" i="7"/>
  <c r="W1605" i="7"/>
  <c r="V1605" i="7"/>
  <c r="U1605" i="7"/>
  <c r="BL1604" i="7"/>
  <c r="BI1604" i="7"/>
  <c r="BH1604" i="7"/>
  <c r="BG1604" i="7"/>
  <c r="BF1604" i="7"/>
  <c r="BE1604" i="7"/>
  <c r="BB1604" i="7"/>
  <c r="AY1604" i="7"/>
  <c r="AY1603" i="7" s="1"/>
  <c r="T1604" i="7"/>
  <c r="S1604" i="7"/>
  <c r="BN1603" i="7"/>
  <c r="BM1603" i="7"/>
  <c r="BL1603" i="7"/>
  <c r="BK1603" i="7"/>
  <c r="BI1603" i="7"/>
  <c r="BH1603" i="7"/>
  <c r="BG1603" i="7"/>
  <c r="BD1603" i="7"/>
  <c r="T1603" i="7"/>
  <c r="S1603" i="7"/>
  <c r="AK1602" i="7"/>
  <c r="AS1602" i="7" s="1"/>
  <c r="AU1602" i="7" s="1"/>
  <c r="AW1602" i="7" s="1"/>
  <c r="X1602" i="7"/>
  <c r="AK1601" i="7"/>
  <c r="AS1601" i="7" s="1"/>
  <c r="AU1601" i="7" s="1"/>
  <c r="AW1601" i="7" s="1"/>
  <c r="X1601" i="7"/>
  <c r="AK1600" i="7"/>
  <c r="AS1600" i="7" s="1"/>
  <c r="AU1600" i="7" s="1"/>
  <c r="AW1600" i="7" s="1"/>
  <c r="X1600" i="7"/>
  <c r="AK1599" i="7"/>
  <c r="AS1599" i="7" s="1"/>
  <c r="AU1599" i="7" s="1"/>
  <c r="AW1599" i="7" s="1"/>
  <c r="X1599" i="7"/>
  <c r="AK1598" i="7"/>
  <c r="AS1598" i="7" s="1"/>
  <c r="AU1598" i="7" s="1"/>
  <c r="AW1598" i="7" s="1"/>
  <c r="X1598" i="7"/>
  <c r="AK1597" i="7"/>
  <c r="AS1597" i="7" s="1"/>
  <c r="AU1597" i="7" s="1"/>
  <c r="AW1597" i="7" s="1"/>
  <c r="X1597" i="7"/>
  <c r="AK1596" i="7"/>
  <c r="AS1596" i="7" s="1"/>
  <c r="AU1596" i="7" s="1"/>
  <c r="AW1596" i="7" s="1"/>
  <c r="X1596" i="7"/>
  <c r="AK1595" i="7"/>
  <c r="AS1595" i="7" s="1"/>
  <c r="AU1595" i="7" s="1"/>
  <c r="AW1595" i="7" s="1"/>
  <c r="X1595" i="7"/>
  <c r="AK1594" i="7"/>
  <c r="AS1594" i="7" s="1"/>
  <c r="AU1594" i="7" s="1"/>
  <c r="AW1594" i="7" s="1"/>
  <c r="X1594" i="7"/>
  <c r="AK1593" i="7"/>
  <c r="AS1593" i="7" s="1"/>
  <c r="AU1593" i="7" s="1"/>
  <c r="AW1593" i="7" s="1"/>
  <c r="X1593" i="7"/>
  <c r="AK1592" i="7"/>
  <c r="X1592" i="7"/>
  <c r="AT1591" i="7"/>
  <c r="AR1591" i="7"/>
  <c r="AQ1591" i="7"/>
  <c r="AP1591" i="7"/>
  <c r="AO1591" i="7"/>
  <c r="AN1591" i="7"/>
  <c r="AM1591" i="7"/>
  <c r="AL1591" i="7"/>
  <c r="AJ1591" i="7"/>
  <c r="AI1591" i="7"/>
  <c r="AH1591" i="7"/>
  <c r="AG1591" i="7"/>
  <c r="AF1591" i="7"/>
  <c r="AE1591" i="7"/>
  <c r="AD1591" i="7"/>
  <c r="AC1591" i="7"/>
  <c r="AB1591" i="7"/>
  <c r="AA1591" i="7"/>
  <c r="Z1591" i="7"/>
  <c r="Y1591" i="7"/>
  <c r="W1591" i="7"/>
  <c r="V1591" i="7"/>
  <c r="U1591" i="7"/>
  <c r="AK1590" i="7"/>
  <c r="AS1590" i="7" s="1"/>
  <c r="AU1590" i="7" s="1"/>
  <c r="AW1590" i="7" s="1"/>
  <c r="X1590" i="7"/>
  <c r="AK1589" i="7"/>
  <c r="AS1589" i="7" s="1"/>
  <c r="AU1589" i="7" s="1"/>
  <c r="AW1589" i="7" s="1"/>
  <c r="X1589" i="7"/>
  <c r="AK1588" i="7"/>
  <c r="AS1588" i="7" s="1"/>
  <c r="AU1588" i="7" s="1"/>
  <c r="AW1588" i="7" s="1"/>
  <c r="X1588" i="7"/>
  <c r="AK1587" i="7"/>
  <c r="AS1587" i="7" s="1"/>
  <c r="AU1587" i="7" s="1"/>
  <c r="AW1587" i="7" s="1"/>
  <c r="X1587" i="7"/>
  <c r="AK1586" i="7"/>
  <c r="AS1586" i="7" s="1"/>
  <c r="AU1586" i="7" s="1"/>
  <c r="AW1586" i="7" s="1"/>
  <c r="X1586" i="7"/>
  <c r="AK1585" i="7"/>
  <c r="AS1585" i="7" s="1"/>
  <c r="AU1585" i="7" s="1"/>
  <c r="AW1585" i="7" s="1"/>
  <c r="X1585" i="7"/>
  <c r="AK1584" i="7"/>
  <c r="AS1584" i="7" s="1"/>
  <c r="AU1584" i="7" s="1"/>
  <c r="AW1584" i="7" s="1"/>
  <c r="X1584" i="7"/>
  <c r="AK1583" i="7"/>
  <c r="X1583" i="7"/>
  <c r="AK1582" i="7"/>
  <c r="AS1582" i="7" s="1"/>
  <c r="AU1582" i="7" s="1"/>
  <c r="AW1582" i="7" s="1"/>
  <c r="X1582" i="7"/>
  <c r="AK1581" i="7"/>
  <c r="AS1581" i="7" s="1"/>
  <c r="AU1581" i="7" s="1"/>
  <c r="AW1581" i="7" s="1"/>
  <c r="X1581" i="7"/>
  <c r="AK1580" i="7"/>
  <c r="AS1580" i="7" s="1"/>
  <c r="AU1580" i="7" s="1"/>
  <c r="AW1580" i="7" s="1"/>
  <c r="X1580" i="7"/>
  <c r="AT1579" i="7"/>
  <c r="AR1579" i="7"/>
  <c r="AQ1579" i="7"/>
  <c r="AP1579" i="7"/>
  <c r="AO1579" i="7"/>
  <c r="AN1579" i="7"/>
  <c r="AM1579" i="7"/>
  <c r="AL1579" i="7"/>
  <c r="AJ1579" i="7"/>
  <c r="AI1579" i="7"/>
  <c r="AH1579" i="7"/>
  <c r="AG1579" i="7"/>
  <c r="AF1579" i="7"/>
  <c r="AE1579" i="7"/>
  <c r="AD1579" i="7"/>
  <c r="AC1579" i="7"/>
  <c r="AB1579" i="7"/>
  <c r="AA1579" i="7"/>
  <c r="Z1579" i="7"/>
  <c r="Y1579" i="7"/>
  <c r="W1579" i="7"/>
  <c r="V1579" i="7"/>
  <c r="U1579" i="7"/>
  <c r="BL1578" i="7"/>
  <c r="BI1578" i="7"/>
  <c r="BH1578" i="7"/>
  <c r="BG1578" i="7"/>
  <c r="BF1578" i="7"/>
  <c r="BB1578" i="7"/>
  <c r="AY1578" i="7"/>
  <c r="T1578" i="7"/>
  <c r="S1578" i="7"/>
  <c r="AK1577" i="7"/>
  <c r="AK1576" i="7" s="1"/>
  <c r="X1577" i="7"/>
  <c r="AT1576" i="7"/>
  <c r="AR1576" i="7"/>
  <c r="AQ1576" i="7"/>
  <c r="AP1576" i="7"/>
  <c r="AO1576" i="7"/>
  <c r="AN1576" i="7"/>
  <c r="AM1576" i="7"/>
  <c r="AL1576" i="7"/>
  <c r="AJ1576" i="7"/>
  <c r="AI1576" i="7"/>
  <c r="AH1576" i="7"/>
  <c r="AG1576" i="7"/>
  <c r="AF1576" i="7"/>
  <c r="AE1576" i="7"/>
  <c r="AD1576" i="7"/>
  <c r="AC1576" i="7"/>
  <c r="AB1576" i="7"/>
  <c r="AA1576" i="7"/>
  <c r="Z1576" i="7"/>
  <c r="Y1576" i="7"/>
  <c r="W1576" i="7"/>
  <c r="V1576" i="7"/>
  <c r="U1576" i="7"/>
  <c r="AK1575" i="7"/>
  <c r="X1575" i="7"/>
  <c r="AT1574" i="7"/>
  <c r="AR1574" i="7"/>
  <c r="AQ1574" i="7"/>
  <c r="AP1574" i="7"/>
  <c r="AO1574" i="7"/>
  <c r="AN1574" i="7"/>
  <c r="AM1574" i="7"/>
  <c r="AL1574" i="7"/>
  <c r="AJ1574" i="7"/>
  <c r="AI1574" i="7"/>
  <c r="AH1574" i="7"/>
  <c r="AG1574" i="7"/>
  <c r="AF1574" i="7"/>
  <c r="AE1574" i="7"/>
  <c r="AD1574" i="7"/>
  <c r="AC1574" i="7"/>
  <c r="AB1574" i="7"/>
  <c r="AA1574" i="7"/>
  <c r="Z1574" i="7"/>
  <c r="Y1574" i="7"/>
  <c r="W1574" i="7"/>
  <c r="V1574" i="7"/>
  <c r="U1574" i="7"/>
  <c r="BN1573" i="7"/>
  <c r="BM1573" i="7"/>
  <c r="BL1573" i="7"/>
  <c r="BK1573" i="7"/>
  <c r="BI1573" i="7"/>
  <c r="BH1573" i="7"/>
  <c r="BG1573" i="7"/>
  <c r="BF1573" i="7"/>
  <c r="BD1573" i="7"/>
  <c r="BB1573" i="7"/>
  <c r="T1573" i="7"/>
  <c r="S1573" i="7"/>
  <c r="AK1571" i="7"/>
  <c r="X1571" i="7"/>
  <c r="AT1570" i="7"/>
  <c r="AR1570" i="7"/>
  <c r="AQ1570" i="7"/>
  <c r="AP1570" i="7"/>
  <c r="AO1570" i="7"/>
  <c r="AN1570" i="7"/>
  <c r="AM1570" i="7"/>
  <c r="AL1570" i="7"/>
  <c r="AJ1570" i="7"/>
  <c r="AI1570" i="7"/>
  <c r="AH1570" i="7"/>
  <c r="AG1570" i="7"/>
  <c r="AF1570" i="7"/>
  <c r="AE1570" i="7"/>
  <c r="AD1570" i="7"/>
  <c r="AC1570" i="7"/>
  <c r="AB1570" i="7"/>
  <c r="AA1570" i="7"/>
  <c r="Z1570" i="7"/>
  <c r="Y1570" i="7"/>
  <c r="W1570" i="7"/>
  <c r="V1570" i="7"/>
  <c r="U1570" i="7"/>
  <c r="AK1569" i="7"/>
  <c r="AS1569" i="7" s="1"/>
  <c r="X1569" i="7"/>
  <c r="AY1568" i="7"/>
  <c r="AY1554" i="7" s="1"/>
  <c r="AR1568" i="7"/>
  <c r="AQ1568" i="7"/>
  <c r="AP1568" i="7"/>
  <c r="AO1568" i="7"/>
  <c r="AN1568" i="7"/>
  <c r="AM1568" i="7"/>
  <c r="AL1568" i="7"/>
  <c r="AJ1568" i="7"/>
  <c r="AI1568" i="7"/>
  <c r="AH1568" i="7"/>
  <c r="AG1568" i="7"/>
  <c r="AF1568" i="7"/>
  <c r="AE1568" i="7"/>
  <c r="AD1568" i="7"/>
  <c r="AC1568" i="7"/>
  <c r="AB1568" i="7"/>
  <c r="AA1568" i="7"/>
  <c r="Z1568" i="7"/>
  <c r="Y1568" i="7"/>
  <c r="W1568" i="7"/>
  <c r="V1568" i="7"/>
  <c r="U1568" i="7"/>
  <c r="AK1567" i="7"/>
  <c r="AS1567" i="7" s="1"/>
  <c r="AX1567" i="7" s="1"/>
  <c r="X1567" i="7"/>
  <c r="AK1566" i="7"/>
  <c r="AS1566" i="7" s="1"/>
  <c r="X1566" i="7"/>
  <c r="AK1565" i="7"/>
  <c r="AS1565" i="7" s="1"/>
  <c r="AU1565" i="7" s="1"/>
  <c r="AW1565" i="7" s="1"/>
  <c r="X1565" i="7"/>
  <c r="AK1564" i="7"/>
  <c r="AS1564" i="7" s="1"/>
  <c r="X1564" i="7"/>
  <c r="AK1563" i="7"/>
  <c r="AS1563" i="7" s="1"/>
  <c r="X1563" i="7"/>
  <c r="AK1562" i="7"/>
  <c r="AS1562" i="7" s="1"/>
  <c r="X1562" i="7"/>
  <c r="AK1561" i="7"/>
  <c r="AS1561" i="7" s="1"/>
  <c r="AU1561" i="7" s="1"/>
  <c r="AW1561" i="7" s="1"/>
  <c r="X1561" i="7"/>
  <c r="AK1560" i="7"/>
  <c r="AS1560" i="7" s="1"/>
  <c r="X1560" i="7"/>
  <c r="AK1559" i="7"/>
  <c r="AS1559" i="7" s="1"/>
  <c r="X1559" i="7"/>
  <c r="AK1558" i="7"/>
  <c r="AS1558" i="7" s="1"/>
  <c r="AX1558" i="7" s="1"/>
  <c r="X1558" i="7"/>
  <c r="AK1557" i="7"/>
  <c r="X1557" i="7"/>
  <c r="AK1556" i="7"/>
  <c r="AS1556" i="7" s="1"/>
  <c r="X1556" i="7"/>
  <c r="AT1555" i="7"/>
  <c r="AR1555" i="7"/>
  <c r="AQ1555" i="7"/>
  <c r="AP1555" i="7"/>
  <c r="AO1555" i="7"/>
  <c r="AN1555" i="7"/>
  <c r="AM1555" i="7"/>
  <c r="AL1555" i="7"/>
  <c r="AJ1555" i="7"/>
  <c r="AI1555" i="7"/>
  <c r="AH1555" i="7"/>
  <c r="AG1555" i="7"/>
  <c r="AF1555" i="7"/>
  <c r="AE1555" i="7"/>
  <c r="AD1555" i="7"/>
  <c r="AC1555" i="7"/>
  <c r="AB1555" i="7"/>
  <c r="AA1555" i="7"/>
  <c r="Z1555" i="7"/>
  <c r="Y1555" i="7"/>
  <c r="W1555" i="7"/>
  <c r="V1555" i="7"/>
  <c r="U1555" i="7"/>
  <c r="BL1554" i="7"/>
  <c r="BI1554" i="7"/>
  <c r="BH1554" i="7"/>
  <c r="BG1554" i="7"/>
  <c r="BF1554" i="7"/>
  <c r="BB1554" i="7"/>
  <c r="T1554" i="7"/>
  <c r="S1554" i="7"/>
  <c r="AK1553" i="7"/>
  <c r="AT1553" i="7" s="1"/>
  <c r="X1553" i="7"/>
  <c r="AK1552" i="7"/>
  <c r="AK1551" i="7" s="1"/>
  <c r="X1552" i="7"/>
  <c r="AT1551" i="7"/>
  <c r="AR1551" i="7"/>
  <c r="AQ1551" i="7"/>
  <c r="AP1551" i="7"/>
  <c r="AO1551" i="7"/>
  <c r="AN1551" i="7"/>
  <c r="AM1551" i="7"/>
  <c r="AL1551" i="7"/>
  <c r="AJ1551" i="7"/>
  <c r="AI1551" i="7"/>
  <c r="AH1551" i="7"/>
  <c r="AG1551" i="7"/>
  <c r="AF1551" i="7"/>
  <c r="AE1551" i="7"/>
  <c r="AD1551" i="7"/>
  <c r="AC1551" i="7"/>
  <c r="AB1551" i="7"/>
  <c r="AA1551" i="7"/>
  <c r="Z1551" i="7"/>
  <c r="Y1551" i="7"/>
  <c r="W1551" i="7"/>
  <c r="V1551" i="7"/>
  <c r="U1551" i="7"/>
  <c r="AK1550" i="7"/>
  <c r="AS1550" i="7" s="1"/>
  <c r="AU1550" i="7" s="1"/>
  <c r="AW1550" i="7" s="1"/>
  <c r="X1550" i="7"/>
  <c r="AK1549" i="7"/>
  <c r="AS1549" i="7" s="1"/>
  <c r="AU1549" i="7" s="1"/>
  <c r="AW1549" i="7" s="1"/>
  <c r="X1549" i="7"/>
  <c r="AK1548" i="7"/>
  <c r="AS1548" i="7" s="1"/>
  <c r="AU1548" i="7" s="1"/>
  <c r="AW1548" i="7" s="1"/>
  <c r="X1548" i="7"/>
  <c r="AK1547" i="7"/>
  <c r="AS1547" i="7" s="1"/>
  <c r="AU1547" i="7" s="1"/>
  <c r="AW1547" i="7" s="1"/>
  <c r="X1547" i="7"/>
  <c r="AK1546" i="7"/>
  <c r="AS1546" i="7" s="1"/>
  <c r="AU1546" i="7" s="1"/>
  <c r="AW1546" i="7" s="1"/>
  <c r="X1546" i="7"/>
  <c r="AK1545" i="7"/>
  <c r="AS1545" i="7" s="1"/>
  <c r="AU1545" i="7" s="1"/>
  <c r="AW1545" i="7" s="1"/>
  <c r="X1545" i="7"/>
  <c r="AK1544" i="7"/>
  <c r="AS1544" i="7" s="1"/>
  <c r="AU1544" i="7" s="1"/>
  <c r="AW1544" i="7" s="1"/>
  <c r="X1544" i="7"/>
  <c r="AK1543" i="7"/>
  <c r="AS1543" i="7" s="1"/>
  <c r="AU1543" i="7" s="1"/>
  <c r="AW1543" i="7" s="1"/>
  <c r="X1543" i="7"/>
  <c r="AK1542" i="7"/>
  <c r="AS1542" i="7" s="1"/>
  <c r="AU1542" i="7" s="1"/>
  <c r="AW1542" i="7" s="1"/>
  <c r="X1542" i="7"/>
  <c r="AK1541" i="7"/>
  <c r="AS1541" i="7" s="1"/>
  <c r="AU1541" i="7" s="1"/>
  <c r="AW1541" i="7" s="1"/>
  <c r="X1541" i="7"/>
  <c r="AK1540" i="7"/>
  <c r="AS1540" i="7" s="1"/>
  <c r="AU1540" i="7" s="1"/>
  <c r="AW1540" i="7" s="1"/>
  <c r="X1540" i="7"/>
  <c r="AK1539" i="7"/>
  <c r="AS1539" i="7" s="1"/>
  <c r="AU1539" i="7" s="1"/>
  <c r="AW1539" i="7" s="1"/>
  <c r="X1539" i="7"/>
  <c r="AK1538" i="7"/>
  <c r="AS1538" i="7" s="1"/>
  <c r="AU1538" i="7" s="1"/>
  <c r="AW1538" i="7" s="1"/>
  <c r="X1538" i="7"/>
  <c r="AK1537" i="7"/>
  <c r="AS1537" i="7" s="1"/>
  <c r="AU1537" i="7" s="1"/>
  <c r="AW1537" i="7" s="1"/>
  <c r="X1537" i="7"/>
  <c r="AK1536" i="7"/>
  <c r="AS1536" i="7" s="1"/>
  <c r="AU1536" i="7" s="1"/>
  <c r="AW1536" i="7" s="1"/>
  <c r="X1536" i="7"/>
  <c r="AK1535" i="7"/>
  <c r="AS1535" i="7" s="1"/>
  <c r="AU1535" i="7" s="1"/>
  <c r="AW1535" i="7" s="1"/>
  <c r="X1535" i="7"/>
  <c r="AK1534" i="7"/>
  <c r="AS1534" i="7" s="1"/>
  <c r="AU1534" i="7" s="1"/>
  <c r="AW1534" i="7" s="1"/>
  <c r="X1534" i="7"/>
  <c r="AK1533" i="7"/>
  <c r="AS1533" i="7" s="1"/>
  <c r="AU1533" i="7" s="1"/>
  <c r="AW1533" i="7" s="1"/>
  <c r="X1533" i="7"/>
  <c r="AK1532" i="7"/>
  <c r="AS1532" i="7" s="1"/>
  <c r="AU1532" i="7" s="1"/>
  <c r="AW1532" i="7" s="1"/>
  <c r="X1532" i="7"/>
  <c r="AK1531" i="7"/>
  <c r="AS1531" i="7" s="1"/>
  <c r="AU1531" i="7" s="1"/>
  <c r="AW1531" i="7" s="1"/>
  <c r="X1531" i="7"/>
  <c r="AK1530" i="7"/>
  <c r="AS1530" i="7" s="1"/>
  <c r="AU1530" i="7" s="1"/>
  <c r="AW1530" i="7" s="1"/>
  <c r="X1530" i="7"/>
  <c r="AK1529" i="7"/>
  <c r="AS1529" i="7" s="1"/>
  <c r="AU1529" i="7" s="1"/>
  <c r="AW1529" i="7" s="1"/>
  <c r="X1529" i="7"/>
  <c r="AK1528" i="7"/>
  <c r="AS1528" i="7" s="1"/>
  <c r="AU1528" i="7" s="1"/>
  <c r="AW1528" i="7" s="1"/>
  <c r="X1528" i="7"/>
  <c r="AK1527" i="7"/>
  <c r="AS1527" i="7" s="1"/>
  <c r="AU1527" i="7" s="1"/>
  <c r="AW1527" i="7" s="1"/>
  <c r="X1527" i="7"/>
  <c r="AK1526" i="7"/>
  <c r="AS1526" i="7" s="1"/>
  <c r="AU1526" i="7" s="1"/>
  <c r="AW1526" i="7" s="1"/>
  <c r="X1526" i="7"/>
  <c r="AK1525" i="7"/>
  <c r="AS1525" i="7" s="1"/>
  <c r="AU1525" i="7" s="1"/>
  <c r="AW1525" i="7" s="1"/>
  <c r="X1525" i="7"/>
  <c r="AK1524" i="7"/>
  <c r="AS1524" i="7" s="1"/>
  <c r="AU1524" i="7" s="1"/>
  <c r="AW1524" i="7" s="1"/>
  <c r="X1524" i="7"/>
  <c r="AK1523" i="7"/>
  <c r="AS1523" i="7" s="1"/>
  <c r="AU1523" i="7" s="1"/>
  <c r="AW1523" i="7" s="1"/>
  <c r="X1523" i="7"/>
  <c r="AK1522" i="7"/>
  <c r="AS1522" i="7" s="1"/>
  <c r="AU1522" i="7" s="1"/>
  <c r="AW1522" i="7" s="1"/>
  <c r="X1522" i="7"/>
  <c r="AK1521" i="7"/>
  <c r="AS1521" i="7" s="1"/>
  <c r="AU1521" i="7" s="1"/>
  <c r="AW1521" i="7" s="1"/>
  <c r="X1521" i="7"/>
  <c r="AK1520" i="7"/>
  <c r="AS1520" i="7" s="1"/>
  <c r="AU1520" i="7" s="1"/>
  <c r="AW1520" i="7" s="1"/>
  <c r="X1520" i="7"/>
  <c r="AK1519" i="7"/>
  <c r="AS1519" i="7" s="1"/>
  <c r="AU1519" i="7" s="1"/>
  <c r="AW1519" i="7" s="1"/>
  <c r="X1519" i="7"/>
  <c r="AK1518" i="7"/>
  <c r="AS1518" i="7" s="1"/>
  <c r="AU1518" i="7" s="1"/>
  <c r="AW1518" i="7" s="1"/>
  <c r="X1518" i="7"/>
  <c r="AK1517" i="7"/>
  <c r="AS1517" i="7" s="1"/>
  <c r="AU1517" i="7" s="1"/>
  <c r="AW1517" i="7" s="1"/>
  <c r="X1517" i="7"/>
  <c r="AK1516" i="7"/>
  <c r="AS1516" i="7" s="1"/>
  <c r="AU1516" i="7" s="1"/>
  <c r="AW1516" i="7" s="1"/>
  <c r="X1516" i="7"/>
  <c r="AK1515" i="7"/>
  <c r="AS1515" i="7" s="1"/>
  <c r="AU1515" i="7" s="1"/>
  <c r="AW1515" i="7" s="1"/>
  <c r="X1515" i="7"/>
  <c r="AK1514" i="7"/>
  <c r="AS1514" i="7" s="1"/>
  <c r="AU1514" i="7" s="1"/>
  <c r="AW1514" i="7" s="1"/>
  <c r="X1514" i="7"/>
  <c r="AK1513" i="7"/>
  <c r="AS1513" i="7" s="1"/>
  <c r="AU1513" i="7" s="1"/>
  <c r="AW1513" i="7" s="1"/>
  <c r="X1513" i="7"/>
  <c r="AK1512" i="7"/>
  <c r="AS1512" i="7" s="1"/>
  <c r="AU1512" i="7" s="1"/>
  <c r="AW1512" i="7" s="1"/>
  <c r="X1512" i="7"/>
  <c r="AK1511" i="7"/>
  <c r="AS1511" i="7" s="1"/>
  <c r="AU1511" i="7" s="1"/>
  <c r="AW1511" i="7" s="1"/>
  <c r="X1511" i="7"/>
  <c r="AK1510" i="7"/>
  <c r="AS1510" i="7" s="1"/>
  <c r="AU1510" i="7" s="1"/>
  <c r="AW1510" i="7" s="1"/>
  <c r="X1510" i="7"/>
  <c r="AK1509" i="7"/>
  <c r="AS1509" i="7" s="1"/>
  <c r="AU1509" i="7" s="1"/>
  <c r="AW1509" i="7" s="1"/>
  <c r="X1509" i="7"/>
  <c r="AK1508" i="7"/>
  <c r="AS1508" i="7" s="1"/>
  <c r="AU1508" i="7" s="1"/>
  <c r="AW1508" i="7" s="1"/>
  <c r="X1508" i="7"/>
  <c r="AK1507" i="7"/>
  <c r="AS1507" i="7" s="1"/>
  <c r="AU1507" i="7" s="1"/>
  <c r="AW1507" i="7" s="1"/>
  <c r="X1507" i="7"/>
  <c r="AK1506" i="7"/>
  <c r="AS1506" i="7" s="1"/>
  <c r="AU1506" i="7" s="1"/>
  <c r="AW1506" i="7" s="1"/>
  <c r="X1506" i="7"/>
  <c r="AK1505" i="7"/>
  <c r="AS1505" i="7" s="1"/>
  <c r="AU1505" i="7" s="1"/>
  <c r="AW1505" i="7" s="1"/>
  <c r="X1505" i="7"/>
  <c r="AK1504" i="7"/>
  <c r="AS1504" i="7" s="1"/>
  <c r="AU1504" i="7" s="1"/>
  <c r="AW1504" i="7" s="1"/>
  <c r="X1504" i="7"/>
  <c r="AK1503" i="7"/>
  <c r="AS1503" i="7" s="1"/>
  <c r="AU1503" i="7" s="1"/>
  <c r="AW1503" i="7" s="1"/>
  <c r="X1503" i="7"/>
  <c r="AK1502" i="7"/>
  <c r="AS1502" i="7" s="1"/>
  <c r="AU1502" i="7" s="1"/>
  <c r="AW1502" i="7" s="1"/>
  <c r="X1502" i="7"/>
  <c r="AK1501" i="7"/>
  <c r="AS1501" i="7" s="1"/>
  <c r="AU1501" i="7" s="1"/>
  <c r="AW1501" i="7" s="1"/>
  <c r="X1501" i="7"/>
  <c r="AK1500" i="7"/>
  <c r="AS1500" i="7" s="1"/>
  <c r="AU1500" i="7" s="1"/>
  <c r="AW1500" i="7" s="1"/>
  <c r="X1500" i="7"/>
  <c r="AK1499" i="7"/>
  <c r="AS1499" i="7" s="1"/>
  <c r="AU1499" i="7" s="1"/>
  <c r="AW1499" i="7" s="1"/>
  <c r="X1499" i="7"/>
  <c r="AK1498" i="7"/>
  <c r="AS1498" i="7" s="1"/>
  <c r="AU1498" i="7" s="1"/>
  <c r="AW1498" i="7" s="1"/>
  <c r="X1498" i="7"/>
  <c r="AK1497" i="7"/>
  <c r="AS1497" i="7" s="1"/>
  <c r="AU1497" i="7" s="1"/>
  <c r="AW1497" i="7" s="1"/>
  <c r="X1497" i="7"/>
  <c r="AK1496" i="7"/>
  <c r="AS1496" i="7" s="1"/>
  <c r="AU1496" i="7" s="1"/>
  <c r="AW1496" i="7" s="1"/>
  <c r="X1496" i="7"/>
  <c r="AK1495" i="7"/>
  <c r="AS1495" i="7" s="1"/>
  <c r="AU1495" i="7" s="1"/>
  <c r="AW1495" i="7" s="1"/>
  <c r="X1495" i="7"/>
  <c r="AK1494" i="7"/>
  <c r="AS1494" i="7" s="1"/>
  <c r="AU1494" i="7" s="1"/>
  <c r="AW1494" i="7" s="1"/>
  <c r="X1494" i="7"/>
  <c r="AK1493" i="7"/>
  <c r="AS1493" i="7" s="1"/>
  <c r="AU1493" i="7" s="1"/>
  <c r="AW1493" i="7" s="1"/>
  <c r="X1493" i="7"/>
  <c r="AK1492" i="7"/>
  <c r="AS1492" i="7" s="1"/>
  <c r="AU1492" i="7" s="1"/>
  <c r="AW1492" i="7" s="1"/>
  <c r="X1492" i="7"/>
  <c r="AK1491" i="7"/>
  <c r="AS1491" i="7" s="1"/>
  <c r="AU1491" i="7" s="1"/>
  <c r="AW1491" i="7" s="1"/>
  <c r="X1491" i="7"/>
  <c r="AK1490" i="7"/>
  <c r="AS1490" i="7" s="1"/>
  <c r="AU1490" i="7" s="1"/>
  <c r="AW1490" i="7" s="1"/>
  <c r="X1490" i="7"/>
  <c r="AK1489" i="7"/>
  <c r="AS1489" i="7" s="1"/>
  <c r="AU1489" i="7" s="1"/>
  <c r="AW1489" i="7" s="1"/>
  <c r="X1489" i="7"/>
  <c r="AK1488" i="7"/>
  <c r="AS1488" i="7" s="1"/>
  <c r="AU1488" i="7" s="1"/>
  <c r="AW1488" i="7" s="1"/>
  <c r="X1488" i="7"/>
  <c r="AK1487" i="7"/>
  <c r="AS1487" i="7" s="1"/>
  <c r="AU1487" i="7" s="1"/>
  <c r="AW1487" i="7" s="1"/>
  <c r="X1487" i="7"/>
  <c r="AK1486" i="7"/>
  <c r="AS1486" i="7" s="1"/>
  <c r="AU1486" i="7" s="1"/>
  <c r="AW1486" i="7" s="1"/>
  <c r="X1486" i="7"/>
  <c r="AK1485" i="7"/>
  <c r="AS1485" i="7" s="1"/>
  <c r="AU1485" i="7" s="1"/>
  <c r="AW1485" i="7" s="1"/>
  <c r="X1485" i="7"/>
  <c r="AK1484" i="7"/>
  <c r="X1484" i="7"/>
  <c r="AK1483" i="7"/>
  <c r="AS1483" i="7" s="1"/>
  <c r="AU1483" i="7" s="1"/>
  <c r="AW1483" i="7" s="1"/>
  <c r="X1483" i="7"/>
  <c r="AK1482" i="7"/>
  <c r="AS1482" i="7" s="1"/>
  <c r="AU1482" i="7" s="1"/>
  <c r="AW1482" i="7" s="1"/>
  <c r="X1482" i="7"/>
  <c r="AK1481" i="7"/>
  <c r="AS1481" i="7" s="1"/>
  <c r="AU1481" i="7" s="1"/>
  <c r="AW1481" i="7" s="1"/>
  <c r="X1481" i="7"/>
  <c r="AK1480" i="7"/>
  <c r="AS1480" i="7" s="1"/>
  <c r="AU1480" i="7" s="1"/>
  <c r="AW1480" i="7" s="1"/>
  <c r="X1480" i="7"/>
  <c r="AK1479" i="7"/>
  <c r="AS1479" i="7" s="1"/>
  <c r="AU1479" i="7" s="1"/>
  <c r="AW1479" i="7" s="1"/>
  <c r="X1479" i="7"/>
  <c r="AK1478" i="7"/>
  <c r="AS1478" i="7" s="1"/>
  <c r="AU1478" i="7" s="1"/>
  <c r="AW1478" i="7" s="1"/>
  <c r="X1478" i="7"/>
  <c r="AK1477" i="7"/>
  <c r="AS1477" i="7" s="1"/>
  <c r="AU1477" i="7" s="1"/>
  <c r="AW1477" i="7" s="1"/>
  <c r="X1477" i="7"/>
  <c r="AK1476" i="7"/>
  <c r="AS1476" i="7" s="1"/>
  <c r="AU1476" i="7" s="1"/>
  <c r="AW1476" i="7" s="1"/>
  <c r="X1476" i="7"/>
  <c r="AK1475" i="7"/>
  <c r="AS1475" i="7" s="1"/>
  <c r="AU1475" i="7" s="1"/>
  <c r="AW1475" i="7" s="1"/>
  <c r="X1475" i="7"/>
  <c r="AK1474" i="7"/>
  <c r="AS1474" i="7" s="1"/>
  <c r="AU1474" i="7" s="1"/>
  <c r="AW1474" i="7" s="1"/>
  <c r="X1474" i="7"/>
  <c r="AK1473" i="7"/>
  <c r="AS1473" i="7" s="1"/>
  <c r="AU1473" i="7" s="1"/>
  <c r="AW1473" i="7" s="1"/>
  <c r="X1473" i="7"/>
  <c r="AK1472" i="7"/>
  <c r="AS1472" i="7" s="1"/>
  <c r="AU1472" i="7" s="1"/>
  <c r="AW1472" i="7" s="1"/>
  <c r="X1472" i="7"/>
  <c r="AK1471" i="7"/>
  <c r="AS1471" i="7" s="1"/>
  <c r="AU1471" i="7" s="1"/>
  <c r="AW1471" i="7" s="1"/>
  <c r="X1471" i="7"/>
  <c r="AK1470" i="7"/>
  <c r="AS1470" i="7" s="1"/>
  <c r="AU1470" i="7" s="1"/>
  <c r="AW1470" i="7" s="1"/>
  <c r="X1470" i="7"/>
  <c r="AK1469" i="7"/>
  <c r="AS1469" i="7" s="1"/>
  <c r="AU1469" i="7" s="1"/>
  <c r="AW1469" i="7" s="1"/>
  <c r="X1469" i="7"/>
  <c r="AK1468" i="7"/>
  <c r="AS1468" i="7" s="1"/>
  <c r="AU1468" i="7" s="1"/>
  <c r="AW1468" i="7" s="1"/>
  <c r="X1468" i="7"/>
  <c r="AK1467" i="7"/>
  <c r="AS1467" i="7" s="1"/>
  <c r="AU1467" i="7" s="1"/>
  <c r="AW1467" i="7" s="1"/>
  <c r="X1467" i="7"/>
  <c r="AK1466" i="7"/>
  <c r="AS1466" i="7" s="1"/>
  <c r="AU1466" i="7" s="1"/>
  <c r="AW1466" i="7" s="1"/>
  <c r="X1466" i="7"/>
  <c r="AK1465" i="7"/>
  <c r="AS1465" i="7" s="1"/>
  <c r="AU1465" i="7" s="1"/>
  <c r="AW1465" i="7" s="1"/>
  <c r="X1465" i="7"/>
  <c r="AK1464" i="7"/>
  <c r="AS1464" i="7" s="1"/>
  <c r="AU1464" i="7" s="1"/>
  <c r="AW1464" i="7" s="1"/>
  <c r="X1464" i="7"/>
  <c r="AK1463" i="7"/>
  <c r="AS1463" i="7" s="1"/>
  <c r="AU1463" i="7" s="1"/>
  <c r="AW1463" i="7" s="1"/>
  <c r="X1463" i="7"/>
  <c r="AK1462" i="7"/>
  <c r="AS1462" i="7" s="1"/>
  <c r="AU1462" i="7" s="1"/>
  <c r="AW1462" i="7" s="1"/>
  <c r="X1462" i="7"/>
  <c r="AK1461" i="7"/>
  <c r="AS1461" i="7" s="1"/>
  <c r="AU1461" i="7" s="1"/>
  <c r="AW1461" i="7" s="1"/>
  <c r="X1461" i="7"/>
  <c r="AK1460" i="7"/>
  <c r="AS1460" i="7" s="1"/>
  <c r="AU1460" i="7" s="1"/>
  <c r="AW1460" i="7" s="1"/>
  <c r="X1460" i="7"/>
  <c r="AK1459" i="7"/>
  <c r="AS1459" i="7" s="1"/>
  <c r="AU1459" i="7" s="1"/>
  <c r="AW1459" i="7" s="1"/>
  <c r="X1459" i="7"/>
  <c r="AK1458" i="7"/>
  <c r="AS1458" i="7" s="1"/>
  <c r="AU1458" i="7" s="1"/>
  <c r="AW1458" i="7" s="1"/>
  <c r="X1458" i="7"/>
  <c r="AK1457" i="7"/>
  <c r="AS1457" i="7" s="1"/>
  <c r="AU1457" i="7" s="1"/>
  <c r="AW1457" i="7" s="1"/>
  <c r="X1457" i="7"/>
  <c r="AK1456" i="7"/>
  <c r="AS1456" i="7" s="1"/>
  <c r="AU1456" i="7" s="1"/>
  <c r="AW1456" i="7" s="1"/>
  <c r="X1456" i="7"/>
  <c r="AK1455" i="7"/>
  <c r="AS1455" i="7" s="1"/>
  <c r="AU1455" i="7" s="1"/>
  <c r="AW1455" i="7" s="1"/>
  <c r="X1455" i="7"/>
  <c r="AK1454" i="7"/>
  <c r="AS1454" i="7" s="1"/>
  <c r="AU1454" i="7" s="1"/>
  <c r="AW1454" i="7" s="1"/>
  <c r="X1454" i="7"/>
  <c r="AK1453" i="7"/>
  <c r="AS1453" i="7" s="1"/>
  <c r="AU1453" i="7" s="1"/>
  <c r="AW1453" i="7" s="1"/>
  <c r="X1453" i="7"/>
  <c r="AK1452" i="7"/>
  <c r="AS1452" i="7" s="1"/>
  <c r="AU1452" i="7" s="1"/>
  <c r="AW1452" i="7" s="1"/>
  <c r="X1452" i="7"/>
  <c r="AK1451" i="7"/>
  <c r="AS1451" i="7" s="1"/>
  <c r="AU1451" i="7" s="1"/>
  <c r="AW1451" i="7" s="1"/>
  <c r="X1451" i="7"/>
  <c r="AK1450" i="7"/>
  <c r="AS1450" i="7" s="1"/>
  <c r="AU1450" i="7" s="1"/>
  <c r="AW1450" i="7" s="1"/>
  <c r="X1450" i="7"/>
  <c r="AK1449" i="7"/>
  <c r="AS1449" i="7" s="1"/>
  <c r="AU1449" i="7" s="1"/>
  <c r="AW1449" i="7" s="1"/>
  <c r="X1449" i="7"/>
  <c r="AK1448" i="7"/>
  <c r="AS1448" i="7" s="1"/>
  <c r="AU1448" i="7" s="1"/>
  <c r="AW1448" i="7" s="1"/>
  <c r="X1448" i="7"/>
  <c r="AK1447" i="7"/>
  <c r="AS1447" i="7" s="1"/>
  <c r="AU1447" i="7" s="1"/>
  <c r="AW1447" i="7" s="1"/>
  <c r="X1447" i="7"/>
  <c r="AK1446" i="7"/>
  <c r="AS1446" i="7" s="1"/>
  <c r="AU1446" i="7" s="1"/>
  <c r="AW1446" i="7" s="1"/>
  <c r="X1446" i="7"/>
  <c r="AK1445" i="7"/>
  <c r="AS1445" i="7" s="1"/>
  <c r="AU1445" i="7" s="1"/>
  <c r="AW1445" i="7" s="1"/>
  <c r="X1445" i="7"/>
  <c r="AK1444" i="7"/>
  <c r="AS1444" i="7" s="1"/>
  <c r="AU1444" i="7" s="1"/>
  <c r="AW1444" i="7" s="1"/>
  <c r="X1444" i="7"/>
  <c r="AT1443" i="7"/>
  <c r="AR1443" i="7"/>
  <c r="AQ1443" i="7"/>
  <c r="AP1443" i="7"/>
  <c r="AO1443" i="7"/>
  <c r="AN1443" i="7"/>
  <c r="AM1443" i="7"/>
  <c r="AL1443" i="7"/>
  <c r="AJ1443" i="7"/>
  <c r="AI1443" i="7"/>
  <c r="AH1443" i="7"/>
  <c r="AG1443" i="7"/>
  <c r="AF1443" i="7"/>
  <c r="AE1443" i="7"/>
  <c r="AD1443" i="7"/>
  <c r="AC1443" i="7"/>
  <c r="AB1443" i="7"/>
  <c r="AA1443" i="7"/>
  <c r="Z1443" i="7"/>
  <c r="Y1443" i="7"/>
  <c r="W1443" i="7"/>
  <c r="V1443" i="7"/>
  <c r="U1443" i="7"/>
  <c r="AK1442" i="7"/>
  <c r="AS1442" i="7" s="1"/>
  <c r="X1442" i="7"/>
  <c r="AK1441" i="7"/>
  <c r="AS1441" i="7" s="1"/>
  <c r="AU1441" i="7" s="1"/>
  <c r="AW1441" i="7" s="1"/>
  <c r="X1441" i="7"/>
  <c r="AK1440" i="7"/>
  <c r="AS1440" i="7" s="1"/>
  <c r="AU1440" i="7" s="1"/>
  <c r="AW1440" i="7" s="1"/>
  <c r="X1440" i="7"/>
  <c r="AK1439" i="7"/>
  <c r="AS1439" i="7" s="1"/>
  <c r="AU1439" i="7" s="1"/>
  <c r="AW1439" i="7" s="1"/>
  <c r="X1439" i="7"/>
  <c r="AK1438" i="7"/>
  <c r="AS1438" i="7" s="1"/>
  <c r="AU1438" i="7" s="1"/>
  <c r="AW1438" i="7" s="1"/>
  <c r="X1438" i="7"/>
  <c r="AK1437" i="7"/>
  <c r="AS1437" i="7" s="1"/>
  <c r="AU1437" i="7" s="1"/>
  <c r="AW1437" i="7" s="1"/>
  <c r="X1437" i="7"/>
  <c r="AK1436" i="7"/>
  <c r="AS1436" i="7" s="1"/>
  <c r="AU1436" i="7" s="1"/>
  <c r="AW1436" i="7" s="1"/>
  <c r="X1436" i="7"/>
  <c r="AK1435" i="7"/>
  <c r="X1435" i="7"/>
  <c r="AT1434" i="7"/>
  <c r="AR1434" i="7"/>
  <c r="AQ1434" i="7"/>
  <c r="AP1434" i="7"/>
  <c r="AO1434" i="7"/>
  <c r="AN1434" i="7"/>
  <c r="AM1434" i="7"/>
  <c r="AL1434" i="7"/>
  <c r="AJ1434" i="7"/>
  <c r="AI1434" i="7"/>
  <c r="AH1434" i="7"/>
  <c r="AG1434" i="7"/>
  <c r="AF1434" i="7"/>
  <c r="AE1434" i="7"/>
  <c r="AD1434" i="7"/>
  <c r="AC1434" i="7"/>
  <c r="AB1434" i="7"/>
  <c r="AA1434" i="7"/>
  <c r="Z1434" i="7"/>
  <c r="Y1434" i="7"/>
  <c r="W1434" i="7"/>
  <c r="V1434" i="7"/>
  <c r="U1434" i="7"/>
  <c r="BL1433" i="7"/>
  <c r="BI1433" i="7"/>
  <c r="BH1433" i="7"/>
  <c r="BG1433" i="7"/>
  <c r="BF1433" i="7"/>
  <c r="BB1433" i="7"/>
  <c r="AY1433" i="7"/>
  <c r="T1433" i="7"/>
  <c r="T1140" i="7" s="1"/>
  <c r="S1433" i="7"/>
  <c r="AS1432" i="7"/>
  <c r="AU1432" i="7" s="1"/>
  <c r="AW1432" i="7" s="1"/>
  <c r="AT1431" i="7"/>
  <c r="AT1430" i="7" s="1"/>
  <c r="AR1431" i="7"/>
  <c r="AR1430" i="7" s="1"/>
  <c r="AQ1431" i="7"/>
  <c r="AP1431" i="7"/>
  <c r="AO1431" i="7"/>
  <c r="AO1430" i="7" s="1"/>
  <c r="AN1431" i="7"/>
  <c r="AN1430" i="7" s="1"/>
  <c r="AM1431" i="7"/>
  <c r="AM1430" i="7" s="1"/>
  <c r="AL1431" i="7"/>
  <c r="AL1430" i="7" s="1"/>
  <c r="BM1430" i="7" s="1"/>
  <c r="AK1431" i="7"/>
  <c r="AK1430" i="7" s="1"/>
  <c r="BJ1430" i="7" s="1"/>
  <c r="AJ1431" i="7"/>
  <c r="AJ1430" i="7" s="1"/>
  <c r="AI1431" i="7"/>
  <c r="AI1430" i="7" s="1"/>
  <c r="AH1431" i="7"/>
  <c r="AH1430" i="7" s="1"/>
  <c r="AG1431" i="7"/>
  <c r="AG1430" i="7" s="1"/>
  <c r="AF1431" i="7"/>
  <c r="AF1430" i="7" s="1"/>
  <c r="AE1431" i="7"/>
  <c r="AE1430" i="7" s="1"/>
  <c r="AD1431" i="7"/>
  <c r="AD1430" i="7" s="1"/>
  <c r="AC1431" i="7"/>
  <c r="AC1430" i="7" s="1"/>
  <c r="AB1431" i="7"/>
  <c r="AB1430" i="7" s="1"/>
  <c r="AA1431" i="7"/>
  <c r="AA1430" i="7" s="1"/>
  <c r="Z1431" i="7"/>
  <c r="Z1430" i="7" s="1"/>
  <c r="Y1431" i="7"/>
  <c r="W1431" i="7"/>
  <c r="V1431" i="7"/>
  <c r="V1430" i="7" s="1"/>
  <c r="U1431" i="7"/>
  <c r="BL1430" i="7"/>
  <c r="BI1430" i="7"/>
  <c r="BH1430" i="7"/>
  <c r="BG1430" i="7"/>
  <c r="BF1430" i="7"/>
  <c r="BB1430" i="7"/>
  <c r="AQ1430" i="7"/>
  <c r="AP1430" i="7"/>
  <c r="Y1430" i="7"/>
  <c r="W1430" i="7"/>
  <c r="T1430" i="7"/>
  <c r="S1430" i="7"/>
  <c r="AK1429" i="7"/>
  <c r="AK1428" i="7" s="1"/>
  <c r="AK1427" i="7" s="1"/>
  <c r="BJ1427" i="7" s="1"/>
  <c r="X1429" i="7"/>
  <c r="AT1428" i="7"/>
  <c r="AT1427" i="7" s="1"/>
  <c r="AR1428" i="7"/>
  <c r="AQ1428" i="7"/>
  <c r="AQ1427" i="7" s="1"/>
  <c r="AP1428" i="7"/>
  <c r="AP1427" i="7" s="1"/>
  <c r="AO1428" i="7"/>
  <c r="AO1427" i="7" s="1"/>
  <c r="AN1428" i="7"/>
  <c r="AN1427" i="7" s="1"/>
  <c r="AM1428" i="7"/>
  <c r="AM1427" i="7" s="1"/>
  <c r="AL1428" i="7"/>
  <c r="AL1427" i="7" s="1"/>
  <c r="BM1427" i="7" s="1"/>
  <c r="AJ1428" i="7"/>
  <c r="AJ1427" i="7" s="1"/>
  <c r="AI1428" i="7"/>
  <c r="AI1427" i="7" s="1"/>
  <c r="AH1428" i="7"/>
  <c r="AH1427" i="7" s="1"/>
  <c r="AG1428" i="7"/>
  <c r="AG1427" i="7" s="1"/>
  <c r="AF1428" i="7"/>
  <c r="AF1427" i="7" s="1"/>
  <c r="AE1428" i="7"/>
  <c r="AE1427" i="7" s="1"/>
  <c r="AD1428" i="7"/>
  <c r="AD1427" i="7" s="1"/>
  <c r="AC1428" i="7"/>
  <c r="AC1427" i="7" s="1"/>
  <c r="AB1428" i="7"/>
  <c r="AB1427" i="7" s="1"/>
  <c r="AA1428" i="7"/>
  <c r="AA1427" i="7" s="1"/>
  <c r="Z1428" i="7"/>
  <c r="Z1427" i="7" s="1"/>
  <c r="Y1428" i="7"/>
  <c r="Y1427" i="7" s="1"/>
  <c r="W1428" i="7"/>
  <c r="W1427" i="7" s="1"/>
  <c r="V1428" i="7"/>
  <c r="V1427" i="7" s="1"/>
  <c r="U1428" i="7"/>
  <c r="BL1427" i="7"/>
  <c r="BI1427" i="7"/>
  <c r="BH1427" i="7"/>
  <c r="BG1427" i="7"/>
  <c r="BF1427" i="7"/>
  <c r="BB1427" i="7"/>
  <c r="AR1427" i="7"/>
  <c r="T1427" i="7"/>
  <c r="S1427" i="7"/>
  <c r="AK1426" i="7"/>
  <c r="AS1426" i="7" s="1"/>
  <c r="AU1426" i="7" s="1"/>
  <c r="AW1426" i="7" s="1"/>
  <c r="X1426" i="7"/>
  <c r="AK1425" i="7"/>
  <c r="AS1425" i="7" s="1"/>
  <c r="AU1425" i="7" s="1"/>
  <c r="AW1425" i="7" s="1"/>
  <c r="X1425" i="7"/>
  <c r="AK1424" i="7"/>
  <c r="AS1424" i="7" s="1"/>
  <c r="AU1424" i="7" s="1"/>
  <c r="AW1424" i="7" s="1"/>
  <c r="X1424" i="7"/>
  <c r="AK1423" i="7"/>
  <c r="AS1423" i="7" s="1"/>
  <c r="AU1423" i="7" s="1"/>
  <c r="AW1423" i="7" s="1"/>
  <c r="X1423" i="7"/>
  <c r="AK1422" i="7"/>
  <c r="AS1422" i="7" s="1"/>
  <c r="AU1422" i="7" s="1"/>
  <c r="AW1422" i="7" s="1"/>
  <c r="X1422" i="7"/>
  <c r="AK1421" i="7"/>
  <c r="AS1421" i="7" s="1"/>
  <c r="AU1421" i="7" s="1"/>
  <c r="AW1421" i="7" s="1"/>
  <c r="X1421" i="7"/>
  <c r="AK1420" i="7"/>
  <c r="AS1420" i="7" s="1"/>
  <c r="AU1420" i="7" s="1"/>
  <c r="AW1420" i="7" s="1"/>
  <c r="X1420" i="7"/>
  <c r="AK1419" i="7"/>
  <c r="AS1419" i="7" s="1"/>
  <c r="AU1419" i="7" s="1"/>
  <c r="AW1419" i="7" s="1"/>
  <c r="X1419" i="7"/>
  <c r="AK1418" i="7"/>
  <c r="AS1418" i="7" s="1"/>
  <c r="AU1418" i="7" s="1"/>
  <c r="AW1418" i="7" s="1"/>
  <c r="X1418" i="7"/>
  <c r="AK1417" i="7"/>
  <c r="AS1417" i="7" s="1"/>
  <c r="AU1417" i="7" s="1"/>
  <c r="AW1417" i="7" s="1"/>
  <c r="X1417" i="7"/>
  <c r="AK1416" i="7"/>
  <c r="AS1416" i="7" s="1"/>
  <c r="AU1416" i="7" s="1"/>
  <c r="AW1416" i="7" s="1"/>
  <c r="X1416" i="7"/>
  <c r="AK1415" i="7"/>
  <c r="AS1415" i="7" s="1"/>
  <c r="AU1415" i="7" s="1"/>
  <c r="AW1415" i="7" s="1"/>
  <c r="X1415" i="7"/>
  <c r="AK1414" i="7"/>
  <c r="AS1414" i="7" s="1"/>
  <c r="AU1414" i="7" s="1"/>
  <c r="AW1414" i="7" s="1"/>
  <c r="X1414" i="7"/>
  <c r="AK1413" i="7"/>
  <c r="AS1413" i="7" s="1"/>
  <c r="AU1413" i="7" s="1"/>
  <c r="AW1413" i="7" s="1"/>
  <c r="X1413" i="7"/>
  <c r="AK1412" i="7"/>
  <c r="AS1412" i="7" s="1"/>
  <c r="AU1412" i="7" s="1"/>
  <c r="AW1412" i="7" s="1"/>
  <c r="X1412" i="7"/>
  <c r="AK1411" i="7"/>
  <c r="AS1411" i="7" s="1"/>
  <c r="AU1411" i="7" s="1"/>
  <c r="AW1411" i="7" s="1"/>
  <c r="X1411" i="7"/>
  <c r="AK1410" i="7"/>
  <c r="AS1410" i="7" s="1"/>
  <c r="AU1410" i="7" s="1"/>
  <c r="AW1410" i="7" s="1"/>
  <c r="X1410" i="7"/>
  <c r="AK1409" i="7"/>
  <c r="AS1409" i="7" s="1"/>
  <c r="AU1409" i="7" s="1"/>
  <c r="AW1409" i="7" s="1"/>
  <c r="X1409" i="7"/>
  <c r="AK1408" i="7"/>
  <c r="AS1408" i="7" s="1"/>
  <c r="AU1408" i="7" s="1"/>
  <c r="AW1408" i="7" s="1"/>
  <c r="X1408" i="7"/>
  <c r="AK1407" i="7"/>
  <c r="AS1407" i="7" s="1"/>
  <c r="AU1407" i="7" s="1"/>
  <c r="AW1407" i="7" s="1"/>
  <c r="X1407" i="7"/>
  <c r="AK1406" i="7"/>
  <c r="AS1406" i="7" s="1"/>
  <c r="AU1406" i="7" s="1"/>
  <c r="AW1406" i="7" s="1"/>
  <c r="X1406" i="7"/>
  <c r="AK1405" i="7"/>
  <c r="AS1405" i="7" s="1"/>
  <c r="AU1405" i="7" s="1"/>
  <c r="AW1405" i="7" s="1"/>
  <c r="X1405" i="7"/>
  <c r="AK1404" i="7"/>
  <c r="AS1404" i="7" s="1"/>
  <c r="AU1404" i="7" s="1"/>
  <c r="AW1404" i="7" s="1"/>
  <c r="X1404" i="7"/>
  <c r="AK1403" i="7"/>
  <c r="AS1403" i="7" s="1"/>
  <c r="AU1403" i="7" s="1"/>
  <c r="AW1403" i="7" s="1"/>
  <c r="X1403" i="7"/>
  <c r="AK1402" i="7"/>
  <c r="AS1402" i="7" s="1"/>
  <c r="AU1402" i="7" s="1"/>
  <c r="AW1402" i="7" s="1"/>
  <c r="X1402" i="7"/>
  <c r="AK1401" i="7"/>
  <c r="AS1401" i="7" s="1"/>
  <c r="AU1401" i="7" s="1"/>
  <c r="AW1401" i="7" s="1"/>
  <c r="X1401" i="7"/>
  <c r="AK1400" i="7"/>
  <c r="AS1400" i="7" s="1"/>
  <c r="AU1400" i="7" s="1"/>
  <c r="AW1400" i="7" s="1"/>
  <c r="X1400" i="7"/>
  <c r="AK1399" i="7"/>
  <c r="AS1399" i="7" s="1"/>
  <c r="AU1399" i="7" s="1"/>
  <c r="AW1399" i="7" s="1"/>
  <c r="X1399" i="7"/>
  <c r="AK1398" i="7"/>
  <c r="AS1398" i="7" s="1"/>
  <c r="AU1398" i="7" s="1"/>
  <c r="AW1398" i="7" s="1"/>
  <c r="X1398" i="7"/>
  <c r="AK1397" i="7"/>
  <c r="AS1397" i="7" s="1"/>
  <c r="AU1397" i="7" s="1"/>
  <c r="AW1397" i="7" s="1"/>
  <c r="X1397" i="7"/>
  <c r="AK1396" i="7"/>
  <c r="AS1396" i="7" s="1"/>
  <c r="AU1396" i="7" s="1"/>
  <c r="AW1396" i="7" s="1"/>
  <c r="X1396" i="7"/>
  <c r="AK1395" i="7"/>
  <c r="AS1395" i="7" s="1"/>
  <c r="AU1395" i="7" s="1"/>
  <c r="AW1395" i="7" s="1"/>
  <c r="X1395" i="7"/>
  <c r="AK1394" i="7"/>
  <c r="AS1394" i="7" s="1"/>
  <c r="AU1394" i="7" s="1"/>
  <c r="AW1394" i="7" s="1"/>
  <c r="X1394" i="7"/>
  <c r="AK1393" i="7"/>
  <c r="AS1393" i="7" s="1"/>
  <c r="AU1393" i="7" s="1"/>
  <c r="AW1393" i="7" s="1"/>
  <c r="X1393" i="7"/>
  <c r="AK1392" i="7"/>
  <c r="AS1392" i="7" s="1"/>
  <c r="AU1392" i="7" s="1"/>
  <c r="AW1392" i="7" s="1"/>
  <c r="X1392" i="7"/>
  <c r="AK1391" i="7"/>
  <c r="AS1391" i="7" s="1"/>
  <c r="AU1391" i="7" s="1"/>
  <c r="AW1391" i="7" s="1"/>
  <c r="X1391" i="7"/>
  <c r="AK1390" i="7"/>
  <c r="AS1390" i="7" s="1"/>
  <c r="AU1390" i="7" s="1"/>
  <c r="AW1390" i="7" s="1"/>
  <c r="X1390" i="7"/>
  <c r="AK1389" i="7"/>
  <c r="AS1389" i="7" s="1"/>
  <c r="AU1389" i="7" s="1"/>
  <c r="AW1389" i="7" s="1"/>
  <c r="X1389" i="7"/>
  <c r="AK1388" i="7"/>
  <c r="AS1388" i="7" s="1"/>
  <c r="AU1388" i="7" s="1"/>
  <c r="AW1388" i="7" s="1"/>
  <c r="X1388" i="7"/>
  <c r="AK1387" i="7"/>
  <c r="AS1387" i="7" s="1"/>
  <c r="AU1387" i="7" s="1"/>
  <c r="AW1387" i="7" s="1"/>
  <c r="X1387" i="7"/>
  <c r="AK1386" i="7"/>
  <c r="AS1386" i="7" s="1"/>
  <c r="AU1386" i="7" s="1"/>
  <c r="AW1386" i="7" s="1"/>
  <c r="X1386" i="7"/>
  <c r="AK1385" i="7"/>
  <c r="AS1385" i="7" s="1"/>
  <c r="AU1385" i="7" s="1"/>
  <c r="AW1385" i="7" s="1"/>
  <c r="X1385" i="7"/>
  <c r="AK1384" i="7"/>
  <c r="AS1384" i="7" s="1"/>
  <c r="AU1384" i="7" s="1"/>
  <c r="AW1384" i="7" s="1"/>
  <c r="X1384" i="7"/>
  <c r="AK1383" i="7"/>
  <c r="AS1383" i="7" s="1"/>
  <c r="AU1383" i="7" s="1"/>
  <c r="AW1383" i="7" s="1"/>
  <c r="X1383" i="7"/>
  <c r="AK1382" i="7"/>
  <c r="AS1382" i="7" s="1"/>
  <c r="AU1382" i="7" s="1"/>
  <c r="AW1382" i="7" s="1"/>
  <c r="X1382" i="7"/>
  <c r="AK1381" i="7"/>
  <c r="AS1381" i="7" s="1"/>
  <c r="AU1381" i="7" s="1"/>
  <c r="AW1381" i="7" s="1"/>
  <c r="X1381" i="7"/>
  <c r="AK1380" i="7"/>
  <c r="AS1380" i="7" s="1"/>
  <c r="AU1380" i="7" s="1"/>
  <c r="AW1380" i="7" s="1"/>
  <c r="X1380" i="7"/>
  <c r="AK1379" i="7"/>
  <c r="AS1379" i="7" s="1"/>
  <c r="AU1379" i="7" s="1"/>
  <c r="AW1379" i="7" s="1"/>
  <c r="X1379" i="7"/>
  <c r="AK1378" i="7"/>
  <c r="AS1378" i="7" s="1"/>
  <c r="AU1378" i="7" s="1"/>
  <c r="AW1378" i="7" s="1"/>
  <c r="X1378" i="7"/>
  <c r="AK1377" i="7"/>
  <c r="AS1377" i="7" s="1"/>
  <c r="AU1377" i="7" s="1"/>
  <c r="AW1377" i="7" s="1"/>
  <c r="X1377" i="7"/>
  <c r="AK1376" i="7"/>
  <c r="AS1376" i="7" s="1"/>
  <c r="AU1376" i="7" s="1"/>
  <c r="AW1376" i="7" s="1"/>
  <c r="X1376" i="7"/>
  <c r="AK1375" i="7"/>
  <c r="AS1375" i="7" s="1"/>
  <c r="AU1375" i="7" s="1"/>
  <c r="AW1375" i="7" s="1"/>
  <c r="X1375" i="7"/>
  <c r="AK1374" i="7"/>
  <c r="AS1374" i="7" s="1"/>
  <c r="AU1374" i="7" s="1"/>
  <c r="AW1374" i="7" s="1"/>
  <c r="X1374" i="7"/>
  <c r="AK1373" i="7"/>
  <c r="AS1373" i="7" s="1"/>
  <c r="AU1373" i="7" s="1"/>
  <c r="AW1373" i="7" s="1"/>
  <c r="X1373" i="7"/>
  <c r="AK1372" i="7"/>
  <c r="AS1372" i="7" s="1"/>
  <c r="AU1372" i="7" s="1"/>
  <c r="AW1372" i="7" s="1"/>
  <c r="X1372" i="7"/>
  <c r="AK1371" i="7"/>
  <c r="AS1371" i="7" s="1"/>
  <c r="AU1371" i="7" s="1"/>
  <c r="AW1371" i="7" s="1"/>
  <c r="X1371" i="7"/>
  <c r="AK1370" i="7"/>
  <c r="AS1370" i="7" s="1"/>
  <c r="AU1370" i="7" s="1"/>
  <c r="AW1370" i="7" s="1"/>
  <c r="X1370" i="7"/>
  <c r="AK1369" i="7"/>
  <c r="AS1369" i="7" s="1"/>
  <c r="AU1369" i="7" s="1"/>
  <c r="AW1369" i="7" s="1"/>
  <c r="X1369" i="7"/>
  <c r="AK1368" i="7"/>
  <c r="AS1368" i="7" s="1"/>
  <c r="AU1368" i="7" s="1"/>
  <c r="AW1368" i="7" s="1"/>
  <c r="X1368" i="7"/>
  <c r="AK1367" i="7"/>
  <c r="AS1367" i="7" s="1"/>
  <c r="AU1367" i="7" s="1"/>
  <c r="AW1367" i="7" s="1"/>
  <c r="X1367" i="7"/>
  <c r="AK1366" i="7"/>
  <c r="AS1366" i="7" s="1"/>
  <c r="AU1366" i="7" s="1"/>
  <c r="AW1366" i="7" s="1"/>
  <c r="X1366" i="7"/>
  <c r="AK1365" i="7"/>
  <c r="AS1365" i="7" s="1"/>
  <c r="AU1365" i="7" s="1"/>
  <c r="AW1365" i="7" s="1"/>
  <c r="X1365" i="7"/>
  <c r="AK1364" i="7"/>
  <c r="AS1364" i="7" s="1"/>
  <c r="AU1364" i="7" s="1"/>
  <c r="AW1364" i="7" s="1"/>
  <c r="X1364" i="7"/>
  <c r="AK1363" i="7"/>
  <c r="AS1363" i="7" s="1"/>
  <c r="AU1363" i="7" s="1"/>
  <c r="AW1363" i="7" s="1"/>
  <c r="X1363" i="7"/>
  <c r="AK1362" i="7"/>
  <c r="AS1362" i="7" s="1"/>
  <c r="AU1362" i="7" s="1"/>
  <c r="AW1362" i="7" s="1"/>
  <c r="X1362" i="7"/>
  <c r="AK1361" i="7"/>
  <c r="AS1361" i="7" s="1"/>
  <c r="AU1361" i="7" s="1"/>
  <c r="AW1361" i="7" s="1"/>
  <c r="X1361" i="7"/>
  <c r="AK1360" i="7"/>
  <c r="AS1360" i="7" s="1"/>
  <c r="AU1360" i="7" s="1"/>
  <c r="AW1360" i="7" s="1"/>
  <c r="X1360" i="7"/>
  <c r="AK1359" i="7"/>
  <c r="AS1359" i="7" s="1"/>
  <c r="AU1359" i="7" s="1"/>
  <c r="AW1359" i="7" s="1"/>
  <c r="X1359" i="7"/>
  <c r="AK1358" i="7"/>
  <c r="AS1358" i="7" s="1"/>
  <c r="AU1358" i="7" s="1"/>
  <c r="AW1358" i="7" s="1"/>
  <c r="X1358" i="7"/>
  <c r="AK1357" i="7"/>
  <c r="AS1357" i="7" s="1"/>
  <c r="AU1357" i="7" s="1"/>
  <c r="AW1357" i="7" s="1"/>
  <c r="X1357" i="7"/>
  <c r="AK1356" i="7"/>
  <c r="AS1356" i="7" s="1"/>
  <c r="AU1356" i="7" s="1"/>
  <c r="AW1356" i="7" s="1"/>
  <c r="X1356" i="7"/>
  <c r="AK1355" i="7"/>
  <c r="AS1355" i="7" s="1"/>
  <c r="AU1355" i="7" s="1"/>
  <c r="AW1355" i="7" s="1"/>
  <c r="X1355" i="7"/>
  <c r="AK1354" i="7"/>
  <c r="AS1354" i="7" s="1"/>
  <c r="AU1354" i="7" s="1"/>
  <c r="AW1354" i="7" s="1"/>
  <c r="X1354" i="7"/>
  <c r="AK1353" i="7"/>
  <c r="AS1353" i="7" s="1"/>
  <c r="AU1353" i="7" s="1"/>
  <c r="AW1353" i="7" s="1"/>
  <c r="X1353" i="7"/>
  <c r="AK1352" i="7"/>
  <c r="AS1352" i="7" s="1"/>
  <c r="AU1352" i="7" s="1"/>
  <c r="AW1352" i="7" s="1"/>
  <c r="X1352" i="7"/>
  <c r="AK1351" i="7"/>
  <c r="AS1351" i="7" s="1"/>
  <c r="AU1351" i="7" s="1"/>
  <c r="AW1351" i="7" s="1"/>
  <c r="X1351" i="7"/>
  <c r="AK1350" i="7"/>
  <c r="AS1350" i="7" s="1"/>
  <c r="AU1350" i="7" s="1"/>
  <c r="AW1350" i="7" s="1"/>
  <c r="X1350" i="7"/>
  <c r="AK1349" i="7"/>
  <c r="AS1349" i="7" s="1"/>
  <c r="AU1349" i="7" s="1"/>
  <c r="AW1349" i="7" s="1"/>
  <c r="X1349" i="7"/>
  <c r="AK1348" i="7"/>
  <c r="AS1348" i="7" s="1"/>
  <c r="AU1348" i="7" s="1"/>
  <c r="AW1348" i="7" s="1"/>
  <c r="X1348" i="7"/>
  <c r="AK1347" i="7"/>
  <c r="AS1347" i="7" s="1"/>
  <c r="AU1347" i="7" s="1"/>
  <c r="AW1347" i="7" s="1"/>
  <c r="X1347" i="7"/>
  <c r="AK1346" i="7"/>
  <c r="AS1346" i="7" s="1"/>
  <c r="AU1346" i="7" s="1"/>
  <c r="AW1346" i="7" s="1"/>
  <c r="X1346" i="7"/>
  <c r="AK1345" i="7"/>
  <c r="AS1345" i="7" s="1"/>
  <c r="AU1345" i="7" s="1"/>
  <c r="AW1345" i="7" s="1"/>
  <c r="X1345" i="7"/>
  <c r="AK1344" i="7"/>
  <c r="AS1344" i="7" s="1"/>
  <c r="AU1344" i="7" s="1"/>
  <c r="AW1344" i="7" s="1"/>
  <c r="X1344" i="7"/>
  <c r="AK1343" i="7"/>
  <c r="AS1343" i="7" s="1"/>
  <c r="AU1343" i="7" s="1"/>
  <c r="AW1343" i="7" s="1"/>
  <c r="X1343" i="7"/>
  <c r="AK1342" i="7"/>
  <c r="AS1342" i="7" s="1"/>
  <c r="AU1342" i="7" s="1"/>
  <c r="AW1342" i="7" s="1"/>
  <c r="X1342" i="7"/>
  <c r="AK1341" i="7"/>
  <c r="AS1341" i="7" s="1"/>
  <c r="AU1341" i="7" s="1"/>
  <c r="AW1341" i="7" s="1"/>
  <c r="X1341" i="7"/>
  <c r="AK1340" i="7"/>
  <c r="AS1340" i="7" s="1"/>
  <c r="AU1340" i="7" s="1"/>
  <c r="AW1340" i="7" s="1"/>
  <c r="X1340" i="7"/>
  <c r="AK1339" i="7"/>
  <c r="AS1339" i="7" s="1"/>
  <c r="AU1339" i="7" s="1"/>
  <c r="AW1339" i="7" s="1"/>
  <c r="X1339" i="7"/>
  <c r="AK1338" i="7"/>
  <c r="AS1338" i="7" s="1"/>
  <c r="AU1338" i="7" s="1"/>
  <c r="AW1338" i="7" s="1"/>
  <c r="X1338" i="7"/>
  <c r="AK1337" i="7"/>
  <c r="AS1337" i="7" s="1"/>
  <c r="AU1337" i="7" s="1"/>
  <c r="AW1337" i="7" s="1"/>
  <c r="X1337" i="7"/>
  <c r="AK1336" i="7"/>
  <c r="AS1336" i="7" s="1"/>
  <c r="AU1336" i="7" s="1"/>
  <c r="AW1336" i="7" s="1"/>
  <c r="X1336" i="7"/>
  <c r="AK1335" i="7"/>
  <c r="AS1335" i="7" s="1"/>
  <c r="AU1335" i="7" s="1"/>
  <c r="AW1335" i="7" s="1"/>
  <c r="X1335" i="7"/>
  <c r="AK1334" i="7"/>
  <c r="AS1334" i="7" s="1"/>
  <c r="AU1334" i="7" s="1"/>
  <c r="AW1334" i="7" s="1"/>
  <c r="X1334" i="7"/>
  <c r="AK1333" i="7"/>
  <c r="AS1333" i="7" s="1"/>
  <c r="AU1333" i="7" s="1"/>
  <c r="AW1333" i="7" s="1"/>
  <c r="X1333" i="7"/>
  <c r="AK1332" i="7"/>
  <c r="AS1332" i="7" s="1"/>
  <c r="AU1332" i="7" s="1"/>
  <c r="AW1332" i="7" s="1"/>
  <c r="X1332" i="7"/>
  <c r="AK1331" i="7"/>
  <c r="AS1331" i="7" s="1"/>
  <c r="AU1331" i="7" s="1"/>
  <c r="AW1331" i="7" s="1"/>
  <c r="X1331" i="7"/>
  <c r="AK1330" i="7"/>
  <c r="AS1330" i="7" s="1"/>
  <c r="AU1330" i="7" s="1"/>
  <c r="AW1330" i="7" s="1"/>
  <c r="X1330" i="7"/>
  <c r="AK1329" i="7"/>
  <c r="AS1329" i="7" s="1"/>
  <c r="AU1329" i="7" s="1"/>
  <c r="AW1329" i="7" s="1"/>
  <c r="X1329" i="7"/>
  <c r="AK1328" i="7"/>
  <c r="AS1328" i="7" s="1"/>
  <c r="AU1328" i="7" s="1"/>
  <c r="AW1328" i="7" s="1"/>
  <c r="X1328" i="7"/>
  <c r="AK1327" i="7"/>
  <c r="AS1327" i="7" s="1"/>
  <c r="AU1327" i="7" s="1"/>
  <c r="AW1327" i="7" s="1"/>
  <c r="X1327" i="7"/>
  <c r="AK1326" i="7"/>
  <c r="AS1326" i="7" s="1"/>
  <c r="AU1326" i="7" s="1"/>
  <c r="AW1326" i="7" s="1"/>
  <c r="X1326" i="7"/>
  <c r="AK1325" i="7"/>
  <c r="AS1325" i="7" s="1"/>
  <c r="AU1325" i="7" s="1"/>
  <c r="AW1325" i="7" s="1"/>
  <c r="X1325" i="7"/>
  <c r="AK1324" i="7"/>
  <c r="AS1324" i="7" s="1"/>
  <c r="AU1324" i="7" s="1"/>
  <c r="AW1324" i="7" s="1"/>
  <c r="X1324" i="7"/>
  <c r="AK1323" i="7"/>
  <c r="AS1323" i="7" s="1"/>
  <c r="AU1323" i="7" s="1"/>
  <c r="AW1323" i="7" s="1"/>
  <c r="X1323" i="7"/>
  <c r="AK1322" i="7"/>
  <c r="AS1322" i="7" s="1"/>
  <c r="AU1322" i="7" s="1"/>
  <c r="AW1322" i="7" s="1"/>
  <c r="X1322" i="7"/>
  <c r="AK1321" i="7"/>
  <c r="AS1321" i="7" s="1"/>
  <c r="AU1321" i="7" s="1"/>
  <c r="AW1321" i="7" s="1"/>
  <c r="X1321" i="7"/>
  <c r="AK1320" i="7"/>
  <c r="AS1320" i="7" s="1"/>
  <c r="AU1320" i="7" s="1"/>
  <c r="AW1320" i="7" s="1"/>
  <c r="X1320" i="7"/>
  <c r="AK1319" i="7"/>
  <c r="AS1319" i="7" s="1"/>
  <c r="AU1319" i="7" s="1"/>
  <c r="AW1319" i="7" s="1"/>
  <c r="X1319" i="7"/>
  <c r="AK1318" i="7"/>
  <c r="AS1318" i="7" s="1"/>
  <c r="AU1318" i="7" s="1"/>
  <c r="AW1318" i="7" s="1"/>
  <c r="X1318" i="7"/>
  <c r="AK1317" i="7"/>
  <c r="AS1317" i="7" s="1"/>
  <c r="AU1317" i="7" s="1"/>
  <c r="AW1317" i="7" s="1"/>
  <c r="X1317" i="7"/>
  <c r="AK1316" i="7"/>
  <c r="AS1316" i="7" s="1"/>
  <c r="AU1316" i="7" s="1"/>
  <c r="AW1316" i="7" s="1"/>
  <c r="X1316" i="7"/>
  <c r="AK1315" i="7"/>
  <c r="AS1315" i="7" s="1"/>
  <c r="AU1315" i="7" s="1"/>
  <c r="AW1315" i="7" s="1"/>
  <c r="X1315" i="7"/>
  <c r="AK1314" i="7"/>
  <c r="AS1314" i="7" s="1"/>
  <c r="AU1314" i="7" s="1"/>
  <c r="AW1314" i="7" s="1"/>
  <c r="X1314" i="7"/>
  <c r="AT1313" i="7"/>
  <c r="AR1313" i="7"/>
  <c r="AQ1313" i="7"/>
  <c r="AP1313" i="7"/>
  <c r="AO1313" i="7"/>
  <c r="AN1313" i="7"/>
  <c r="AM1313" i="7"/>
  <c r="AL1313" i="7"/>
  <c r="AJ1313" i="7"/>
  <c r="AI1313" i="7"/>
  <c r="AH1313" i="7"/>
  <c r="AG1313" i="7"/>
  <c r="AF1313" i="7"/>
  <c r="AE1313" i="7"/>
  <c r="AD1313" i="7"/>
  <c r="AC1313" i="7"/>
  <c r="AB1313" i="7"/>
  <c r="AA1313" i="7"/>
  <c r="Z1313" i="7"/>
  <c r="Y1313" i="7"/>
  <c r="W1313" i="7"/>
  <c r="V1313" i="7"/>
  <c r="U1313" i="7"/>
  <c r="AK1312" i="7"/>
  <c r="X1312" i="7"/>
  <c r="S1312" i="7"/>
  <c r="AY1312" i="7" s="1"/>
  <c r="AY1186" i="7" s="1"/>
  <c r="AK1311" i="7"/>
  <c r="AS1311" i="7" s="1"/>
  <c r="X1311" i="7"/>
  <c r="AK1310" i="7"/>
  <c r="AS1310" i="7" s="1"/>
  <c r="X1310" i="7"/>
  <c r="AK1309" i="7"/>
  <c r="AS1309" i="7" s="1"/>
  <c r="X1309" i="7"/>
  <c r="AK1308" i="7"/>
  <c r="AS1308" i="7" s="1"/>
  <c r="X1308" i="7"/>
  <c r="AK1307" i="7"/>
  <c r="AS1307" i="7" s="1"/>
  <c r="X1307" i="7"/>
  <c r="AK1306" i="7"/>
  <c r="AS1306" i="7" s="1"/>
  <c r="X1306" i="7"/>
  <c r="AK1305" i="7"/>
  <c r="AS1305" i="7" s="1"/>
  <c r="AX1305" i="7" s="1"/>
  <c r="X1305" i="7"/>
  <c r="AK1304" i="7"/>
  <c r="AS1304" i="7" s="1"/>
  <c r="X1304" i="7"/>
  <c r="AX1303" i="7"/>
  <c r="AK1303" i="7"/>
  <c r="AT1303" i="7" s="1"/>
  <c r="X1303" i="7"/>
  <c r="AK1302" i="7"/>
  <c r="AS1302" i="7" s="1"/>
  <c r="X1302" i="7"/>
  <c r="AK1301" i="7"/>
  <c r="AS1301" i="7" s="1"/>
  <c r="X1301" i="7"/>
  <c r="AK1300" i="7"/>
  <c r="AS1300" i="7" s="1"/>
  <c r="AX1300" i="7" s="1"/>
  <c r="AK1299" i="7"/>
  <c r="AS1299" i="7" s="1"/>
  <c r="X1299" i="7"/>
  <c r="AK1298" i="7"/>
  <c r="AS1298" i="7" s="1"/>
  <c r="X1298" i="7"/>
  <c r="AK1297" i="7"/>
  <c r="AS1297" i="7" s="1"/>
  <c r="X1297" i="7"/>
  <c r="AK1296" i="7"/>
  <c r="AS1296" i="7" s="1"/>
  <c r="X1296" i="7"/>
  <c r="AK1295" i="7"/>
  <c r="AS1295" i="7" s="1"/>
  <c r="X1295" i="7"/>
  <c r="AK1294" i="7"/>
  <c r="AS1294" i="7" s="1"/>
  <c r="X1294" i="7"/>
  <c r="AK1293" i="7"/>
  <c r="AS1293" i="7" s="1"/>
  <c r="X1293" i="7"/>
  <c r="AK1292" i="7"/>
  <c r="AS1292" i="7" s="1"/>
  <c r="AU1292" i="7" s="1"/>
  <c r="AW1292" i="7" s="1"/>
  <c r="X1292" i="7"/>
  <c r="AK1291" i="7"/>
  <c r="AS1291" i="7" s="1"/>
  <c r="AX1291" i="7" s="1"/>
  <c r="X1291" i="7"/>
  <c r="AK1290" i="7"/>
  <c r="AS1290" i="7" s="1"/>
  <c r="X1290" i="7"/>
  <c r="AX1289" i="7"/>
  <c r="AK1289" i="7"/>
  <c r="AT1289" i="7" s="1"/>
  <c r="X1289" i="7"/>
  <c r="AK1288" i="7"/>
  <c r="AS1288" i="7" s="1"/>
  <c r="AU1288" i="7" s="1"/>
  <c r="AW1288" i="7" s="1"/>
  <c r="X1288" i="7"/>
  <c r="AK1287" i="7"/>
  <c r="AS1287" i="7" s="1"/>
  <c r="AU1287" i="7" s="1"/>
  <c r="AW1287" i="7" s="1"/>
  <c r="X1287" i="7"/>
  <c r="AK1286" i="7"/>
  <c r="AS1286" i="7" s="1"/>
  <c r="X1286" i="7"/>
  <c r="AK1285" i="7"/>
  <c r="AS1285" i="7" s="1"/>
  <c r="X1285" i="7"/>
  <c r="AK1284" i="7"/>
  <c r="AS1284" i="7" s="1"/>
  <c r="X1284" i="7"/>
  <c r="AK1283" i="7"/>
  <c r="AS1283" i="7" s="1"/>
  <c r="X1283" i="7"/>
  <c r="AK1282" i="7"/>
  <c r="AS1282" i="7" s="1"/>
  <c r="X1282" i="7"/>
  <c r="AK1281" i="7"/>
  <c r="AS1281" i="7" s="1"/>
  <c r="AX1281" i="7" s="1"/>
  <c r="X1281" i="7"/>
  <c r="AK1280" i="7"/>
  <c r="AS1280" i="7" s="1"/>
  <c r="X1280" i="7"/>
  <c r="AK1279" i="7"/>
  <c r="AS1279" i="7" s="1"/>
  <c r="AU1279" i="7" s="1"/>
  <c r="AW1279" i="7" s="1"/>
  <c r="X1279" i="7"/>
  <c r="AK1278" i="7"/>
  <c r="AS1278" i="7" s="1"/>
  <c r="X1278" i="7"/>
  <c r="AK1277" i="7"/>
  <c r="AX1277" i="7" s="1"/>
  <c r="X1277" i="7"/>
  <c r="AK1276" i="7"/>
  <c r="AS1276" i="7" s="1"/>
  <c r="AU1276" i="7" s="1"/>
  <c r="AW1276" i="7" s="1"/>
  <c r="X1276" i="7"/>
  <c r="AK1275" i="7"/>
  <c r="AS1275" i="7" s="1"/>
  <c r="X1275" i="7"/>
  <c r="AK1274" i="7"/>
  <c r="AS1274" i="7" s="1"/>
  <c r="X1274" i="7"/>
  <c r="AK1273" i="7"/>
  <c r="AS1273" i="7" s="1"/>
  <c r="X1273" i="7"/>
  <c r="AK1272" i="7"/>
  <c r="AS1272" i="7" s="1"/>
  <c r="X1272" i="7"/>
  <c r="AK1271" i="7"/>
  <c r="AS1271" i="7" s="1"/>
  <c r="X1271" i="7"/>
  <c r="AK1270" i="7"/>
  <c r="AS1270" i="7" s="1"/>
  <c r="X1270" i="7"/>
  <c r="AX1269" i="7"/>
  <c r="AK1269" i="7"/>
  <c r="AT1269" i="7" s="1"/>
  <c r="X1269" i="7"/>
  <c r="AK1268" i="7"/>
  <c r="AS1268" i="7" s="1"/>
  <c r="X1268" i="7"/>
  <c r="AK1267" i="7"/>
  <c r="AS1267" i="7" s="1"/>
  <c r="AU1267" i="7" s="1"/>
  <c r="AW1267" i="7" s="1"/>
  <c r="X1267" i="7"/>
  <c r="AK1266" i="7"/>
  <c r="AS1266" i="7" s="1"/>
  <c r="AU1266" i="7" s="1"/>
  <c r="AW1266" i="7" s="1"/>
  <c r="X1266" i="7"/>
  <c r="AK1265" i="7"/>
  <c r="AS1265" i="7" s="1"/>
  <c r="X1265" i="7"/>
  <c r="AK1264" i="7"/>
  <c r="AS1264" i="7" s="1"/>
  <c r="X1264" i="7"/>
  <c r="AK1263" i="7"/>
  <c r="AS1263" i="7" s="1"/>
  <c r="X1263" i="7"/>
  <c r="AK1262" i="7"/>
  <c r="AS1262" i="7" s="1"/>
  <c r="AU1262" i="7" s="1"/>
  <c r="AW1262" i="7" s="1"/>
  <c r="X1262" i="7"/>
  <c r="AK1261" i="7"/>
  <c r="AS1261" i="7" s="1"/>
  <c r="X1261" i="7"/>
  <c r="AK1260" i="7"/>
  <c r="AS1260" i="7" s="1"/>
  <c r="X1260" i="7"/>
  <c r="AK1259" i="7"/>
  <c r="AS1259" i="7" s="1"/>
  <c r="AX1259" i="7" s="1"/>
  <c r="X1259" i="7"/>
  <c r="AX1258" i="7"/>
  <c r="AK1258" i="7"/>
  <c r="AT1258" i="7" s="1"/>
  <c r="X1258" i="7"/>
  <c r="AK1257" i="7"/>
  <c r="AS1257" i="7" s="1"/>
  <c r="X1257" i="7"/>
  <c r="AK1256" i="7"/>
  <c r="AS1256" i="7" s="1"/>
  <c r="X1256" i="7"/>
  <c r="AK1255" i="7"/>
  <c r="AS1255" i="7" s="1"/>
  <c r="AX1255" i="7" s="1"/>
  <c r="X1255" i="7"/>
  <c r="AK1254" i="7"/>
  <c r="AS1254" i="7" s="1"/>
  <c r="X1254" i="7"/>
  <c r="AK1253" i="7"/>
  <c r="AS1253" i="7" s="1"/>
  <c r="AU1253" i="7" s="1"/>
  <c r="AW1253" i="7" s="1"/>
  <c r="X1253" i="7"/>
  <c r="AK1252" i="7"/>
  <c r="AS1252" i="7" s="1"/>
  <c r="X1252" i="7"/>
  <c r="AX1251" i="7"/>
  <c r="AK1251" i="7"/>
  <c r="AT1251" i="7" s="1"/>
  <c r="X1251" i="7"/>
  <c r="AK1250" i="7"/>
  <c r="AS1250" i="7" s="1"/>
  <c r="AX1250" i="7" s="1"/>
  <c r="X1250" i="7"/>
  <c r="AK1249" i="7"/>
  <c r="AS1249" i="7" s="1"/>
  <c r="X1249" i="7"/>
  <c r="AK1248" i="7"/>
  <c r="AS1248" i="7" s="1"/>
  <c r="AU1248" i="7" s="1"/>
  <c r="AW1248" i="7" s="1"/>
  <c r="X1248" i="7"/>
  <c r="AK1247" i="7"/>
  <c r="AS1247" i="7" s="1"/>
  <c r="X1247" i="7"/>
  <c r="AK1246" i="7"/>
  <c r="AS1246" i="7" s="1"/>
  <c r="X1246" i="7"/>
  <c r="AL1245" i="7"/>
  <c r="AK1245" i="7"/>
  <c r="X1245" i="7"/>
  <c r="AK1244" i="7"/>
  <c r="AS1244" i="7" s="1"/>
  <c r="X1244" i="7"/>
  <c r="AK1243" i="7"/>
  <c r="AS1243" i="7" s="1"/>
  <c r="X1243" i="7"/>
  <c r="AX1242" i="7"/>
  <c r="AK1242" i="7"/>
  <c r="AT1242" i="7" s="1"/>
  <c r="X1242" i="7"/>
  <c r="AK1241" i="7"/>
  <c r="AS1241" i="7" s="1"/>
  <c r="X1241" i="7"/>
  <c r="AX1240" i="7"/>
  <c r="AK1240" i="7"/>
  <c r="AT1240" i="7" s="1"/>
  <c r="X1240" i="7"/>
  <c r="AK1239" i="7"/>
  <c r="AS1239" i="7" s="1"/>
  <c r="AU1239" i="7" s="1"/>
  <c r="AW1239" i="7" s="1"/>
  <c r="X1239" i="7"/>
  <c r="AK1238" i="7"/>
  <c r="AS1238" i="7" s="1"/>
  <c r="X1238" i="7"/>
  <c r="AK1237" i="7"/>
  <c r="AS1237" i="7" s="1"/>
  <c r="X1237" i="7"/>
  <c r="AX1236" i="7"/>
  <c r="AK1236" i="7"/>
  <c r="AT1236" i="7" s="1"/>
  <c r="X1236" i="7"/>
  <c r="AK1235" i="7"/>
  <c r="AS1235" i="7" s="1"/>
  <c r="X1235" i="7"/>
  <c r="AK1234" i="7"/>
  <c r="AS1234" i="7" s="1"/>
  <c r="X1234" i="7"/>
  <c r="AX1233" i="7"/>
  <c r="AK1233" i="7"/>
  <c r="AT1233" i="7" s="1"/>
  <c r="X1233" i="7"/>
  <c r="AK1232" i="7"/>
  <c r="AS1232" i="7" s="1"/>
  <c r="X1232" i="7"/>
  <c r="AK1231" i="7"/>
  <c r="AS1231" i="7" s="1"/>
  <c r="X1231" i="7"/>
  <c r="AK1230" i="7"/>
  <c r="AS1230" i="7" s="1"/>
  <c r="X1230" i="7"/>
  <c r="AK1229" i="7"/>
  <c r="AS1229" i="7" s="1"/>
  <c r="X1229" i="7"/>
  <c r="AK1228" i="7"/>
  <c r="AS1228" i="7" s="1"/>
  <c r="X1228" i="7"/>
  <c r="AK1227" i="7"/>
  <c r="AS1227" i="7" s="1"/>
  <c r="X1227" i="7"/>
  <c r="AK1226" i="7"/>
  <c r="AS1226" i="7" s="1"/>
  <c r="X1226" i="7"/>
  <c r="AK1225" i="7"/>
  <c r="AS1225" i="7" s="1"/>
  <c r="AU1225" i="7" s="1"/>
  <c r="AW1225" i="7" s="1"/>
  <c r="X1225" i="7"/>
  <c r="AK1224" i="7"/>
  <c r="AS1224" i="7" s="1"/>
  <c r="X1224" i="7"/>
  <c r="AK1223" i="7"/>
  <c r="AS1223" i="7" s="1"/>
  <c r="AX1223" i="7" s="1"/>
  <c r="X1223" i="7"/>
  <c r="AK1222" i="7"/>
  <c r="AS1222" i="7" s="1"/>
  <c r="X1222" i="7"/>
  <c r="AK1221" i="7"/>
  <c r="AS1221" i="7" s="1"/>
  <c r="X1221" i="7"/>
  <c r="AK1219" i="7"/>
  <c r="AS1219" i="7" s="1"/>
  <c r="X1219" i="7"/>
  <c r="AX1218" i="7"/>
  <c r="AK1218" i="7"/>
  <c r="AT1218" i="7" s="1"/>
  <c r="X1218" i="7"/>
  <c r="AK1217" i="7"/>
  <c r="AS1217" i="7" s="1"/>
  <c r="X1217" i="7"/>
  <c r="AX1216" i="7"/>
  <c r="AK1216" i="7"/>
  <c r="AT1216" i="7" s="1"/>
  <c r="X1216" i="7"/>
  <c r="AK1215" i="7"/>
  <c r="AS1215" i="7" s="1"/>
  <c r="X1215" i="7"/>
  <c r="AX1214" i="7"/>
  <c r="AK1214" i="7"/>
  <c r="AT1214" i="7" s="1"/>
  <c r="X1214" i="7"/>
  <c r="AK1213" i="7"/>
  <c r="AS1213" i="7" s="1"/>
  <c r="X1213" i="7"/>
  <c r="AX1212" i="7"/>
  <c r="AK1212" i="7"/>
  <c r="AT1212" i="7" s="1"/>
  <c r="X1212" i="7"/>
  <c r="AK1211" i="7"/>
  <c r="AS1211" i="7" s="1"/>
  <c r="X1211" i="7"/>
  <c r="AK1210" i="7"/>
  <c r="AS1210" i="7" s="1"/>
  <c r="X1210" i="7"/>
  <c r="AK1209" i="7"/>
  <c r="AS1209" i="7" s="1"/>
  <c r="AX1209" i="7" s="1"/>
  <c r="X1209" i="7"/>
  <c r="AX1208" i="7"/>
  <c r="AK1208" i="7"/>
  <c r="AT1208" i="7" s="1"/>
  <c r="X1208" i="7"/>
  <c r="AK1207" i="7"/>
  <c r="AS1207" i="7" s="1"/>
  <c r="X1207" i="7"/>
  <c r="AX1206" i="7"/>
  <c r="AK1206" i="7"/>
  <c r="AT1206" i="7" s="1"/>
  <c r="X1206" i="7"/>
  <c r="AK1205" i="7"/>
  <c r="AS1205" i="7" s="1"/>
  <c r="X1205" i="7"/>
  <c r="AK1204" i="7"/>
  <c r="AS1204" i="7" s="1"/>
  <c r="X1204" i="7"/>
  <c r="AK1203" i="7"/>
  <c r="AS1203" i="7" s="1"/>
  <c r="X1203" i="7"/>
  <c r="AK1202" i="7"/>
  <c r="AS1202" i="7" s="1"/>
  <c r="AU1202" i="7" s="1"/>
  <c r="AW1202" i="7" s="1"/>
  <c r="X1202" i="7"/>
  <c r="AX1201" i="7"/>
  <c r="AK1201" i="7"/>
  <c r="AT1201" i="7" s="1"/>
  <c r="X1201" i="7"/>
  <c r="AK1200" i="7"/>
  <c r="AS1200" i="7" s="1"/>
  <c r="X1200" i="7"/>
  <c r="AX1199" i="7"/>
  <c r="AK1199" i="7"/>
  <c r="AT1199" i="7" s="1"/>
  <c r="X1199" i="7"/>
  <c r="AK1198" i="7"/>
  <c r="AS1198" i="7" s="1"/>
  <c r="X1198" i="7"/>
  <c r="AK1197" i="7"/>
  <c r="AS1197" i="7" s="1"/>
  <c r="X1197" i="7"/>
  <c r="AX1196" i="7"/>
  <c r="AK1196" i="7"/>
  <c r="AT1196" i="7" s="1"/>
  <c r="X1196" i="7"/>
  <c r="AK1195" i="7"/>
  <c r="X1195" i="7"/>
  <c r="AX1194" i="7"/>
  <c r="AK1194" i="7"/>
  <c r="AT1194" i="7" s="1"/>
  <c r="X1194" i="7"/>
  <c r="AK1193" i="7"/>
  <c r="AS1193" i="7" s="1"/>
  <c r="X1193" i="7"/>
  <c r="AX1192" i="7"/>
  <c r="AK1192" i="7"/>
  <c r="AT1192" i="7" s="1"/>
  <c r="X1192" i="7"/>
  <c r="AK1191" i="7"/>
  <c r="AS1191" i="7" s="1"/>
  <c r="X1191" i="7"/>
  <c r="AX1190" i="7"/>
  <c r="AK1190" i="7"/>
  <c r="AT1190" i="7" s="1"/>
  <c r="X1190" i="7"/>
  <c r="AK1189" i="7"/>
  <c r="AS1189" i="7" s="1"/>
  <c r="X1189" i="7"/>
  <c r="AX1188" i="7"/>
  <c r="AK1188" i="7"/>
  <c r="AT1188" i="7" s="1"/>
  <c r="X1188" i="7"/>
  <c r="AK1187" i="7"/>
  <c r="AS1187" i="7" s="1"/>
  <c r="AU1187" i="7" s="1"/>
  <c r="AW1187" i="7" s="1"/>
  <c r="X1187" i="7"/>
  <c r="AR1186" i="7"/>
  <c r="AQ1186" i="7"/>
  <c r="AP1186" i="7"/>
  <c r="AO1186" i="7"/>
  <c r="AN1186" i="7"/>
  <c r="AM1186" i="7"/>
  <c r="AL1186" i="7"/>
  <c r="AJ1186" i="7"/>
  <c r="AI1186" i="7"/>
  <c r="AH1186" i="7"/>
  <c r="AG1186" i="7"/>
  <c r="AF1186" i="7"/>
  <c r="AE1186" i="7"/>
  <c r="AD1186" i="7"/>
  <c r="AC1186" i="7"/>
  <c r="AB1186" i="7"/>
  <c r="AA1186" i="7"/>
  <c r="Z1186" i="7"/>
  <c r="Y1186" i="7"/>
  <c r="W1186" i="7"/>
  <c r="V1186" i="7"/>
  <c r="U1186" i="7"/>
  <c r="AK1185" i="7"/>
  <c r="AK1184" i="7" s="1"/>
  <c r="X1185" i="7"/>
  <c r="AT1184" i="7"/>
  <c r="AR1184" i="7"/>
  <c r="AQ1184" i="7"/>
  <c r="AP1184" i="7"/>
  <c r="AO1184" i="7"/>
  <c r="AN1184" i="7"/>
  <c r="AM1184" i="7"/>
  <c r="AL1184" i="7"/>
  <c r="AJ1184" i="7"/>
  <c r="AI1184" i="7"/>
  <c r="AH1184" i="7"/>
  <c r="AG1184" i="7"/>
  <c r="AF1184" i="7"/>
  <c r="AE1184" i="7"/>
  <c r="AD1184" i="7"/>
  <c r="AC1184" i="7"/>
  <c r="AB1184" i="7"/>
  <c r="AA1184" i="7"/>
  <c r="Z1184" i="7"/>
  <c r="Y1184" i="7"/>
  <c r="W1184" i="7"/>
  <c r="V1184" i="7"/>
  <c r="U1184" i="7"/>
  <c r="BL1183" i="7"/>
  <c r="BI1183" i="7"/>
  <c r="BH1183" i="7"/>
  <c r="BG1183" i="7"/>
  <c r="BF1183" i="7"/>
  <c r="BB1183" i="7"/>
  <c r="T1183" i="7"/>
  <c r="S1183" i="7"/>
  <c r="AK1182" i="7"/>
  <c r="AK1181" i="7" s="1"/>
  <c r="AK1180" i="7" s="1"/>
  <c r="BJ1180" i="7" s="1"/>
  <c r="AT1181" i="7"/>
  <c r="AT1180" i="7" s="1"/>
  <c r="AR1181" i="7"/>
  <c r="AR1180" i="7" s="1"/>
  <c r="AQ1181" i="7"/>
  <c r="AQ1180" i="7" s="1"/>
  <c r="AP1181" i="7"/>
  <c r="AP1180" i="7" s="1"/>
  <c r="AO1181" i="7"/>
  <c r="AO1180" i="7" s="1"/>
  <c r="AN1181" i="7"/>
  <c r="AN1180" i="7" s="1"/>
  <c r="AM1181" i="7"/>
  <c r="AM1180" i="7" s="1"/>
  <c r="AL1181" i="7"/>
  <c r="AL1180" i="7" s="1"/>
  <c r="AJ1181" i="7"/>
  <c r="AJ1180" i="7" s="1"/>
  <c r="AI1181" i="7"/>
  <c r="AI1180" i="7" s="1"/>
  <c r="AH1181" i="7"/>
  <c r="AH1180" i="7" s="1"/>
  <c r="AG1181" i="7"/>
  <c r="AG1180" i="7" s="1"/>
  <c r="AF1181" i="7"/>
  <c r="AF1180" i="7" s="1"/>
  <c r="AE1181" i="7"/>
  <c r="AE1180" i="7" s="1"/>
  <c r="AD1181" i="7"/>
  <c r="AD1180" i="7" s="1"/>
  <c r="AC1181" i="7"/>
  <c r="AC1180" i="7" s="1"/>
  <c r="AB1181" i="7"/>
  <c r="AB1180" i="7" s="1"/>
  <c r="AA1181" i="7"/>
  <c r="AA1180" i="7" s="1"/>
  <c r="Z1181" i="7"/>
  <c r="Z1180" i="7" s="1"/>
  <c r="Y1181" i="7"/>
  <c r="Y1180" i="7" s="1"/>
  <c r="W1181" i="7"/>
  <c r="W1180" i="7" s="1"/>
  <c r="V1181" i="7"/>
  <c r="V1180" i="7" s="1"/>
  <c r="U1181" i="7"/>
  <c r="U1180" i="7" s="1"/>
  <c r="BM1180" i="7"/>
  <c r="BL1180" i="7"/>
  <c r="BI1180" i="7"/>
  <c r="BH1180" i="7"/>
  <c r="BG1180" i="7"/>
  <c r="BF1180" i="7"/>
  <c r="BB1180" i="7"/>
  <c r="T1180" i="7"/>
  <c r="S1180" i="7"/>
  <c r="AK1179" i="7"/>
  <c r="X1179" i="7"/>
  <c r="AT1178" i="7"/>
  <c r="AR1178" i="7"/>
  <c r="AQ1178" i="7"/>
  <c r="AP1178" i="7"/>
  <c r="AO1178" i="7"/>
  <c r="AN1178" i="7"/>
  <c r="AM1178" i="7"/>
  <c r="AL1178" i="7"/>
  <c r="AJ1178" i="7"/>
  <c r="AI1178" i="7"/>
  <c r="AH1178" i="7"/>
  <c r="AG1178" i="7"/>
  <c r="AF1178" i="7"/>
  <c r="AE1178" i="7"/>
  <c r="AD1178" i="7"/>
  <c r="AC1178" i="7"/>
  <c r="AB1178" i="7"/>
  <c r="AA1178" i="7"/>
  <c r="Z1178" i="7"/>
  <c r="Y1178" i="7"/>
  <c r="W1178" i="7"/>
  <c r="V1178" i="7"/>
  <c r="U1178" i="7"/>
  <c r="AK1177" i="7"/>
  <c r="AS1177" i="7" s="1"/>
  <c r="AU1177" i="7" s="1"/>
  <c r="AW1177" i="7" s="1"/>
  <c r="X1177" i="7"/>
  <c r="AK1176" i="7"/>
  <c r="AS1176" i="7" s="1"/>
  <c r="AU1176" i="7" s="1"/>
  <c r="AW1176" i="7" s="1"/>
  <c r="X1176" i="7"/>
  <c r="AK1175" i="7"/>
  <c r="AS1175" i="7" s="1"/>
  <c r="AU1175" i="7" s="1"/>
  <c r="AW1175" i="7" s="1"/>
  <c r="X1175" i="7"/>
  <c r="AK1174" i="7"/>
  <c r="AS1174" i="7" s="1"/>
  <c r="AU1174" i="7" s="1"/>
  <c r="AW1174" i="7" s="1"/>
  <c r="X1174" i="7"/>
  <c r="AK1173" i="7"/>
  <c r="X1173" i="7"/>
  <c r="AT1172" i="7"/>
  <c r="AR1172" i="7"/>
  <c r="AQ1172" i="7"/>
  <c r="AP1172" i="7"/>
  <c r="AO1172" i="7"/>
  <c r="AN1172" i="7"/>
  <c r="AM1172" i="7"/>
  <c r="AL1172" i="7"/>
  <c r="AJ1172" i="7"/>
  <c r="AI1172" i="7"/>
  <c r="AH1172" i="7"/>
  <c r="AG1172" i="7"/>
  <c r="AF1172" i="7"/>
  <c r="AE1172" i="7"/>
  <c r="AD1172" i="7"/>
  <c r="AC1172" i="7"/>
  <c r="AB1172" i="7"/>
  <c r="AA1172" i="7"/>
  <c r="Z1172" i="7"/>
  <c r="Y1172" i="7"/>
  <c r="W1172" i="7"/>
  <c r="V1172" i="7"/>
  <c r="U1172" i="7"/>
  <c r="BL1171" i="7"/>
  <c r="BI1171" i="7"/>
  <c r="BH1171" i="7"/>
  <c r="BG1171" i="7"/>
  <c r="BF1171" i="7"/>
  <c r="BB1171" i="7"/>
  <c r="T1171" i="7"/>
  <c r="S1171" i="7"/>
  <c r="AK1170" i="7"/>
  <c r="X1170" i="7"/>
  <c r="AT1169" i="7"/>
  <c r="AR1169" i="7"/>
  <c r="AQ1169" i="7"/>
  <c r="AP1169" i="7"/>
  <c r="AO1169" i="7"/>
  <c r="AN1169" i="7"/>
  <c r="AM1169" i="7"/>
  <c r="AL1169" i="7"/>
  <c r="AJ1169" i="7"/>
  <c r="AI1169" i="7"/>
  <c r="AH1169" i="7"/>
  <c r="AG1169" i="7"/>
  <c r="AF1169" i="7"/>
  <c r="AE1169" i="7"/>
  <c r="AD1169" i="7"/>
  <c r="AC1169" i="7"/>
  <c r="AB1169" i="7"/>
  <c r="AA1169" i="7"/>
  <c r="Z1169" i="7"/>
  <c r="Y1169" i="7"/>
  <c r="W1169" i="7"/>
  <c r="V1169" i="7"/>
  <c r="U1169" i="7"/>
  <c r="AK1168" i="7"/>
  <c r="X1168" i="7"/>
  <c r="AT1167" i="7"/>
  <c r="AR1167" i="7"/>
  <c r="AQ1167" i="7"/>
  <c r="AP1167" i="7"/>
  <c r="AO1167" i="7"/>
  <c r="AN1167" i="7"/>
  <c r="AM1167" i="7"/>
  <c r="AL1167" i="7"/>
  <c r="AJ1167" i="7"/>
  <c r="AI1167" i="7"/>
  <c r="AH1167" i="7"/>
  <c r="AG1167" i="7"/>
  <c r="AF1167" i="7"/>
  <c r="AE1167" i="7"/>
  <c r="AD1167" i="7"/>
  <c r="AC1167" i="7"/>
  <c r="AB1167" i="7"/>
  <c r="AA1167" i="7"/>
  <c r="Z1167" i="7"/>
  <c r="Y1167" i="7"/>
  <c r="W1167" i="7"/>
  <c r="V1167" i="7"/>
  <c r="U1167" i="7"/>
  <c r="AK1166" i="7"/>
  <c r="X1166" i="7"/>
  <c r="AT1165" i="7"/>
  <c r="AR1165" i="7"/>
  <c r="AQ1165" i="7"/>
  <c r="AP1165" i="7"/>
  <c r="AO1165" i="7"/>
  <c r="AN1165" i="7"/>
  <c r="AM1165" i="7"/>
  <c r="AL1165" i="7"/>
  <c r="AJ1165" i="7"/>
  <c r="AI1165" i="7"/>
  <c r="AH1165" i="7"/>
  <c r="AG1165" i="7"/>
  <c r="AF1165" i="7"/>
  <c r="AE1165" i="7"/>
  <c r="AD1165" i="7"/>
  <c r="AC1165" i="7"/>
  <c r="AB1165" i="7"/>
  <c r="AA1165" i="7"/>
  <c r="Z1165" i="7"/>
  <c r="Y1165" i="7"/>
  <c r="W1165" i="7"/>
  <c r="V1165" i="7"/>
  <c r="U1165" i="7"/>
  <c r="BL1164" i="7"/>
  <c r="BI1164" i="7"/>
  <c r="BH1164" i="7"/>
  <c r="BG1164" i="7"/>
  <c r="BF1164" i="7"/>
  <c r="BB1164" i="7"/>
  <c r="AY1164" i="7"/>
  <c r="T1164" i="7"/>
  <c r="S1164" i="7"/>
  <c r="AK1163" i="7"/>
  <c r="X1163" i="7"/>
  <c r="AT1162" i="7"/>
  <c r="AR1162" i="7"/>
  <c r="AQ1162" i="7"/>
  <c r="AP1162" i="7"/>
  <c r="AO1162" i="7"/>
  <c r="AN1162" i="7"/>
  <c r="AM1162" i="7"/>
  <c r="AL1162" i="7"/>
  <c r="AJ1162" i="7"/>
  <c r="AI1162" i="7"/>
  <c r="AH1162" i="7"/>
  <c r="AG1162" i="7"/>
  <c r="AF1162" i="7"/>
  <c r="AE1162" i="7"/>
  <c r="AD1162" i="7"/>
  <c r="AC1162" i="7"/>
  <c r="AB1162" i="7"/>
  <c r="AA1162" i="7"/>
  <c r="Z1162" i="7"/>
  <c r="Y1162" i="7"/>
  <c r="W1162" i="7"/>
  <c r="V1162" i="7"/>
  <c r="U1162" i="7"/>
  <c r="AK1161" i="7"/>
  <c r="X1161" i="7"/>
  <c r="AT1160" i="7"/>
  <c r="AR1160" i="7"/>
  <c r="AQ1160" i="7"/>
  <c r="AP1160" i="7"/>
  <c r="AO1160" i="7"/>
  <c r="AN1160" i="7"/>
  <c r="AM1160" i="7"/>
  <c r="AL1160" i="7"/>
  <c r="AJ1160" i="7"/>
  <c r="AI1160" i="7"/>
  <c r="AH1160" i="7"/>
  <c r="AG1160" i="7"/>
  <c r="AF1160" i="7"/>
  <c r="AE1160" i="7"/>
  <c r="AD1160" i="7"/>
  <c r="AC1160" i="7"/>
  <c r="AB1160" i="7"/>
  <c r="AA1160" i="7"/>
  <c r="Z1160" i="7"/>
  <c r="Y1160" i="7"/>
  <c r="W1160" i="7"/>
  <c r="V1160" i="7"/>
  <c r="U1160" i="7"/>
  <c r="AK1159" i="7"/>
  <c r="AT1159" i="7" s="1"/>
  <c r="X1159" i="7"/>
  <c r="AK1158" i="7"/>
  <c r="AS1158" i="7" s="1"/>
  <c r="AU1158" i="7" s="1"/>
  <c r="AW1158" i="7" s="1"/>
  <c r="X1158" i="7"/>
  <c r="AT1157" i="7"/>
  <c r="AR1157" i="7"/>
  <c r="AQ1157" i="7"/>
  <c r="AP1157" i="7"/>
  <c r="AO1157" i="7"/>
  <c r="AN1157" i="7"/>
  <c r="AM1157" i="7"/>
  <c r="AL1157" i="7"/>
  <c r="AJ1157" i="7"/>
  <c r="AI1157" i="7"/>
  <c r="AH1157" i="7"/>
  <c r="AG1157" i="7"/>
  <c r="AF1157" i="7"/>
  <c r="AE1157" i="7"/>
  <c r="AD1157" i="7"/>
  <c r="AC1157" i="7"/>
  <c r="AB1157" i="7"/>
  <c r="AA1157" i="7"/>
  <c r="Z1157" i="7"/>
  <c r="Y1157" i="7"/>
  <c r="W1157" i="7"/>
  <c r="V1157" i="7"/>
  <c r="U1157" i="7"/>
  <c r="AK1156" i="7"/>
  <c r="X1156" i="7"/>
  <c r="AT1155" i="7"/>
  <c r="AR1155" i="7"/>
  <c r="AQ1155" i="7"/>
  <c r="AP1155" i="7"/>
  <c r="AO1155" i="7"/>
  <c r="AN1155" i="7"/>
  <c r="AM1155" i="7"/>
  <c r="AL1155" i="7"/>
  <c r="AJ1155" i="7"/>
  <c r="AI1155" i="7"/>
  <c r="AH1155" i="7"/>
  <c r="AG1155" i="7"/>
  <c r="AF1155" i="7"/>
  <c r="AE1155" i="7"/>
  <c r="AD1155" i="7"/>
  <c r="AC1155" i="7"/>
  <c r="AB1155" i="7"/>
  <c r="AA1155" i="7"/>
  <c r="Z1155" i="7"/>
  <c r="Y1155" i="7"/>
  <c r="W1155" i="7"/>
  <c r="V1155" i="7"/>
  <c r="U1155" i="7"/>
  <c r="BL1154" i="7"/>
  <c r="BI1154" i="7"/>
  <c r="BH1154" i="7"/>
  <c r="BG1154" i="7"/>
  <c r="BF1154" i="7"/>
  <c r="BB1154" i="7"/>
  <c r="AY1154" i="7"/>
  <c r="T1154" i="7"/>
  <c r="S1154" i="7"/>
  <c r="AK1153" i="7"/>
  <c r="AS1153" i="7" s="1"/>
  <c r="AU1153" i="7" s="1"/>
  <c r="AW1153" i="7" s="1"/>
  <c r="X1153" i="7"/>
  <c r="AT1152" i="7"/>
  <c r="AT1151" i="7" s="1"/>
  <c r="AR1152" i="7"/>
  <c r="AR1151" i="7" s="1"/>
  <c r="AQ1152" i="7"/>
  <c r="AQ1151" i="7" s="1"/>
  <c r="AP1152" i="7"/>
  <c r="AP1151" i="7" s="1"/>
  <c r="AO1152" i="7"/>
  <c r="AO1151" i="7" s="1"/>
  <c r="AN1152" i="7"/>
  <c r="AN1151" i="7" s="1"/>
  <c r="AM1152" i="7"/>
  <c r="AM1151" i="7" s="1"/>
  <c r="AL1152" i="7"/>
  <c r="AL1151" i="7" s="1"/>
  <c r="BM1151" i="7" s="1"/>
  <c r="AJ1152" i="7"/>
  <c r="AJ1151" i="7" s="1"/>
  <c r="AI1152" i="7"/>
  <c r="AI1151" i="7" s="1"/>
  <c r="AH1152" i="7"/>
  <c r="AH1151" i="7" s="1"/>
  <c r="AG1152" i="7"/>
  <c r="AG1151" i="7" s="1"/>
  <c r="AF1152" i="7"/>
  <c r="AF1151" i="7" s="1"/>
  <c r="AE1152" i="7"/>
  <c r="AE1151" i="7" s="1"/>
  <c r="AD1152" i="7"/>
  <c r="AD1151" i="7" s="1"/>
  <c r="AC1152" i="7"/>
  <c r="AC1151" i="7" s="1"/>
  <c r="AB1152" i="7"/>
  <c r="AB1151" i="7" s="1"/>
  <c r="AA1152" i="7"/>
  <c r="AA1151" i="7" s="1"/>
  <c r="Z1152" i="7"/>
  <c r="Z1151" i="7" s="1"/>
  <c r="Y1152" i="7"/>
  <c r="Y1151" i="7" s="1"/>
  <c r="W1152" i="7"/>
  <c r="W1151" i="7" s="1"/>
  <c r="V1152" i="7"/>
  <c r="V1151" i="7" s="1"/>
  <c r="U1152" i="7"/>
  <c r="BL1151" i="7"/>
  <c r="BI1151" i="7"/>
  <c r="BH1151" i="7"/>
  <c r="BG1151" i="7"/>
  <c r="BF1151" i="7"/>
  <c r="BB1151" i="7"/>
  <c r="T1151" i="7"/>
  <c r="S1151" i="7"/>
  <c r="AK1150" i="7"/>
  <c r="X1150" i="7"/>
  <c r="AT1149" i="7"/>
  <c r="AT1148" i="7" s="1"/>
  <c r="AR1149" i="7"/>
  <c r="AR1148" i="7" s="1"/>
  <c r="AQ1149" i="7"/>
  <c r="AQ1148" i="7" s="1"/>
  <c r="AP1149" i="7"/>
  <c r="AP1148" i="7" s="1"/>
  <c r="AO1149" i="7"/>
  <c r="AO1148" i="7" s="1"/>
  <c r="AN1149" i="7"/>
  <c r="AN1148" i="7" s="1"/>
  <c r="AM1149" i="7"/>
  <c r="AM1148" i="7" s="1"/>
  <c r="AL1149" i="7"/>
  <c r="AL1148" i="7" s="1"/>
  <c r="BM1148" i="7" s="1"/>
  <c r="AJ1149" i="7"/>
  <c r="AJ1148" i="7" s="1"/>
  <c r="AI1149" i="7"/>
  <c r="AI1148" i="7" s="1"/>
  <c r="AH1149" i="7"/>
  <c r="AH1148" i="7" s="1"/>
  <c r="AG1149" i="7"/>
  <c r="AG1148" i="7" s="1"/>
  <c r="AF1149" i="7"/>
  <c r="AF1148" i="7" s="1"/>
  <c r="AE1149" i="7"/>
  <c r="AE1148" i="7" s="1"/>
  <c r="AD1149" i="7"/>
  <c r="AD1148" i="7" s="1"/>
  <c r="AC1149" i="7"/>
  <c r="AC1148" i="7" s="1"/>
  <c r="AB1149" i="7"/>
  <c r="AB1148" i="7" s="1"/>
  <c r="AA1149" i="7"/>
  <c r="AA1148" i="7" s="1"/>
  <c r="Z1149" i="7"/>
  <c r="Z1148" i="7" s="1"/>
  <c r="Y1149" i="7"/>
  <c r="Y1148" i="7" s="1"/>
  <c r="W1149" i="7"/>
  <c r="W1148" i="7" s="1"/>
  <c r="V1149" i="7"/>
  <c r="V1148" i="7" s="1"/>
  <c r="U1149" i="7"/>
  <c r="BL1148" i="7"/>
  <c r="BI1148" i="7"/>
  <c r="BH1148" i="7"/>
  <c r="BG1148" i="7"/>
  <c r="BF1148" i="7"/>
  <c r="BB1148" i="7"/>
  <c r="T1148" i="7"/>
  <c r="S1148" i="7"/>
  <c r="AK1147" i="7"/>
  <c r="AK1146" i="7" s="1"/>
  <c r="X1147" i="7"/>
  <c r="AT1146" i="7"/>
  <c r="AR1146" i="7"/>
  <c r="AQ1146" i="7"/>
  <c r="AP1146" i="7"/>
  <c r="AO1146" i="7"/>
  <c r="AN1146" i="7"/>
  <c r="AM1146" i="7"/>
  <c r="AL1146" i="7"/>
  <c r="AJ1146" i="7"/>
  <c r="AI1146" i="7"/>
  <c r="AH1146" i="7"/>
  <c r="AG1146" i="7"/>
  <c r="AF1146" i="7"/>
  <c r="AE1146" i="7"/>
  <c r="AD1146" i="7"/>
  <c r="AC1146" i="7"/>
  <c r="AB1146" i="7"/>
  <c r="AA1146" i="7"/>
  <c r="Z1146" i="7"/>
  <c r="Y1146" i="7"/>
  <c r="W1146" i="7"/>
  <c r="V1146" i="7"/>
  <c r="U1146" i="7"/>
  <c r="AK1145" i="7"/>
  <c r="X1145" i="7"/>
  <c r="AT1144" i="7"/>
  <c r="AR1144" i="7"/>
  <c r="AQ1144" i="7"/>
  <c r="AP1144" i="7"/>
  <c r="AO1144" i="7"/>
  <c r="AN1144" i="7"/>
  <c r="AM1144" i="7"/>
  <c r="AL1144" i="7"/>
  <c r="AJ1144" i="7"/>
  <c r="AI1144" i="7"/>
  <c r="AH1144" i="7"/>
  <c r="AG1144" i="7"/>
  <c r="AF1144" i="7"/>
  <c r="AE1144" i="7"/>
  <c r="AD1144" i="7"/>
  <c r="AC1144" i="7"/>
  <c r="AB1144" i="7"/>
  <c r="AA1144" i="7"/>
  <c r="Z1144" i="7"/>
  <c r="Y1144" i="7"/>
  <c r="W1144" i="7"/>
  <c r="V1144" i="7"/>
  <c r="U1144" i="7"/>
  <c r="AK1143" i="7"/>
  <c r="AK1142" i="7" s="1"/>
  <c r="X1143" i="7"/>
  <c r="AT1142" i="7"/>
  <c r="AR1142" i="7"/>
  <c r="AQ1142" i="7"/>
  <c r="AP1142" i="7"/>
  <c r="AO1142" i="7"/>
  <c r="AN1142" i="7"/>
  <c r="AM1142" i="7"/>
  <c r="AL1142" i="7"/>
  <c r="AJ1142" i="7"/>
  <c r="AI1142" i="7"/>
  <c r="AH1142" i="7"/>
  <c r="AG1142" i="7"/>
  <c r="AF1142" i="7"/>
  <c r="AE1142" i="7"/>
  <c r="AD1142" i="7"/>
  <c r="AC1142" i="7"/>
  <c r="AB1142" i="7"/>
  <c r="AA1142" i="7"/>
  <c r="Z1142" i="7"/>
  <c r="Y1142" i="7"/>
  <c r="W1142" i="7"/>
  <c r="V1142" i="7"/>
  <c r="U1142" i="7"/>
  <c r="BL1141" i="7"/>
  <c r="BI1141" i="7"/>
  <c r="BH1141" i="7"/>
  <c r="BG1141" i="7"/>
  <c r="BF1141" i="7"/>
  <c r="BB1141" i="7"/>
  <c r="AY1141" i="7"/>
  <c r="T1141" i="7"/>
  <c r="S1141" i="7"/>
  <c r="AK1136" i="7"/>
  <c r="X1136" i="7"/>
  <c r="AT1135" i="7"/>
  <c r="AT1134" i="7" s="1"/>
  <c r="AR1135" i="7"/>
  <c r="AR1134" i="7" s="1"/>
  <c r="AQ1135" i="7"/>
  <c r="AQ1134" i="7" s="1"/>
  <c r="AP1135" i="7"/>
  <c r="AP1134" i="7" s="1"/>
  <c r="AO1135" i="7"/>
  <c r="AO1134" i="7" s="1"/>
  <c r="AN1135" i="7"/>
  <c r="AN1134" i="7" s="1"/>
  <c r="AM1135" i="7"/>
  <c r="AM1134" i="7" s="1"/>
  <c r="AL1135" i="7"/>
  <c r="AL1134" i="7" s="1"/>
  <c r="BM1134" i="7" s="1"/>
  <c r="AJ1135" i="7"/>
  <c r="AJ1134" i="7" s="1"/>
  <c r="AI1135" i="7"/>
  <c r="AI1134" i="7" s="1"/>
  <c r="AH1135" i="7"/>
  <c r="AH1134" i="7" s="1"/>
  <c r="AG1135" i="7"/>
  <c r="AG1134" i="7" s="1"/>
  <c r="AF1135" i="7"/>
  <c r="AF1134" i="7" s="1"/>
  <c r="AE1135" i="7"/>
  <c r="AE1134" i="7" s="1"/>
  <c r="AD1135" i="7"/>
  <c r="AD1134" i="7" s="1"/>
  <c r="AC1135" i="7"/>
  <c r="AC1134" i="7" s="1"/>
  <c r="AB1135" i="7"/>
  <c r="AB1134" i="7" s="1"/>
  <c r="AA1135" i="7"/>
  <c r="AA1134" i="7" s="1"/>
  <c r="Z1135" i="7"/>
  <c r="Z1134" i="7" s="1"/>
  <c r="Y1135" i="7"/>
  <c r="Y1134" i="7" s="1"/>
  <c r="W1135" i="7"/>
  <c r="W1134" i="7" s="1"/>
  <c r="V1135" i="7"/>
  <c r="V1134" i="7" s="1"/>
  <c r="U1135" i="7"/>
  <c r="BL1134" i="7"/>
  <c r="BI1134" i="7"/>
  <c r="BH1134" i="7"/>
  <c r="BG1134" i="7"/>
  <c r="BF1134" i="7"/>
  <c r="BB1134" i="7"/>
  <c r="T1134" i="7"/>
  <c r="S1134" i="7"/>
  <c r="AK1133" i="7"/>
  <c r="X1133" i="7"/>
  <c r="AT1132" i="7"/>
  <c r="AT1131" i="7" s="1"/>
  <c r="AR1132" i="7"/>
  <c r="AQ1132" i="7"/>
  <c r="AP1132" i="7"/>
  <c r="AP1131" i="7" s="1"/>
  <c r="AO1132" i="7"/>
  <c r="AO1131" i="7" s="1"/>
  <c r="AN1132" i="7"/>
  <c r="AN1131" i="7" s="1"/>
  <c r="AM1132" i="7"/>
  <c r="AM1131" i="7" s="1"/>
  <c r="AL1132" i="7"/>
  <c r="AL1131" i="7" s="1"/>
  <c r="BM1131" i="7" s="1"/>
  <c r="AJ1132" i="7"/>
  <c r="AJ1131" i="7" s="1"/>
  <c r="AI1132" i="7"/>
  <c r="AI1131" i="7" s="1"/>
  <c r="AH1132" i="7"/>
  <c r="AH1131" i="7" s="1"/>
  <c r="AG1132" i="7"/>
  <c r="AG1131" i="7" s="1"/>
  <c r="AF1132" i="7"/>
  <c r="AF1131" i="7" s="1"/>
  <c r="AE1132" i="7"/>
  <c r="AE1131" i="7" s="1"/>
  <c r="AD1132" i="7"/>
  <c r="AD1131" i="7" s="1"/>
  <c r="AC1132" i="7"/>
  <c r="AC1131" i="7" s="1"/>
  <c r="AB1132" i="7"/>
  <c r="AB1131" i="7" s="1"/>
  <c r="AA1132" i="7"/>
  <c r="AA1131" i="7" s="1"/>
  <c r="Z1132" i="7"/>
  <c r="Z1131" i="7" s="1"/>
  <c r="Y1132" i="7"/>
  <c r="Y1131" i="7" s="1"/>
  <c r="W1132" i="7"/>
  <c r="W1131" i="7" s="1"/>
  <c r="V1132" i="7"/>
  <c r="V1131" i="7" s="1"/>
  <c r="U1132" i="7"/>
  <c r="U1131" i="7" s="1"/>
  <c r="BL1131" i="7"/>
  <c r="BI1131" i="7"/>
  <c r="BH1131" i="7"/>
  <c r="BG1131" i="7"/>
  <c r="BF1131" i="7"/>
  <c r="BB1131" i="7"/>
  <c r="AR1131" i="7"/>
  <c r="AQ1131" i="7"/>
  <c r="T1131" i="7"/>
  <c r="S1131" i="7"/>
  <c r="AK1130" i="7"/>
  <c r="AT1130" i="7" s="1"/>
  <c r="X1130" i="7"/>
  <c r="AK1129" i="7"/>
  <c r="X1129" i="7"/>
  <c r="AT1128" i="7"/>
  <c r="AT1127" i="7" s="1"/>
  <c r="AR1128" i="7"/>
  <c r="AR1127" i="7" s="1"/>
  <c r="AQ1128" i="7"/>
  <c r="AP1128" i="7"/>
  <c r="AP1127" i="7" s="1"/>
  <c r="AO1128" i="7"/>
  <c r="AO1127" i="7" s="1"/>
  <c r="AN1128" i="7"/>
  <c r="AN1127" i="7" s="1"/>
  <c r="AM1128" i="7"/>
  <c r="AM1127" i="7" s="1"/>
  <c r="AL1128" i="7"/>
  <c r="AL1127" i="7" s="1"/>
  <c r="AJ1128" i="7"/>
  <c r="AJ1127" i="7" s="1"/>
  <c r="AI1128" i="7"/>
  <c r="AI1127" i="7" s="1"/>
  <c r="AH1128" i="7"/>
  <c r="AH1127" i="7" s="1"/>
  <c r="AG1128" i="7"/>
  <c r="AF1128" i="7"/>
  <c r="AF1127" i="7" s="1"/>
  <c r="AE1128" i="7"/>
  <c r="AE1127" i="7" s="1"/>
  <c r="AD1128" i="7"/>
  <c r="AD1127" i="7" s="1"/>
  <c r="AC1128" i="7"/>
  <c r="AC1127" i="7" s="1"/>
  <c r="AB1128" i="7"/>
  <c r="AB1127" i="7" s="1"/>
  <c r="AA1128" i="7"/>
  <c r="AA1127" i="7" s="1"/>
  <c r="Z1128" i="7"/>
  <c r="Z1127" i="7" s="1"/>
  <c r="Y1128" i="7"/>
  <c r="Y1127" i="7" s="1"/>
  <c r="W1128" i="7"/>
  <c r="V1128" i="7"/>
  <c r="V1127" i="7" s="1"/>
  <c r="U1128" i="7"/>
  <c r="U1127" i="7" s="1"/>
  <c r="BM1127" i="7"/>
  <c r="BL1127" i="7"/>
  <c r="BI1127" i="7"/>
  <c r="BH1127" i="7"/>
  <c r="BG1127" i="7"/>
  <c r="BF1127" i="7"/>
  <c r="BB1127" i="7"/>
  <c r="AQ1127" i="7"/>
  <c r="AG1127" i="7"/>
  <c r="T1127" i="7"/>
  <c r="S1127" i="7"/>
  <c r="AK1126" i="7"/>
  <c r="AS1126" i="7" s="1"/>
  <c r="X1126" i="7"/>
  <c r="AT1125" i="7"/>
  <c r="AR1125" i="7"/>
  <c r="AR1124" i="7" s="1"/>
  <c r="AQ1125" i="7"/>
  <c r="AQ1124" i="7" s="1"/>
  <c r="AP1125" i="7"/>
  <c r="AP1124" i="7" s="1"/>
  <c r="AO1125" i="7"/>
  <c r="AO1124" i="7" s="1"/>
  <c r="AN1125" i="7"/>
  <c r="AN1124" i="7" s="1"/>
  <c r="AM1125" i="7"/>
  <c r="AM1124" i="7" s="1"/>
  <c r="AL1125" i="7"/>
  <c r="AL1124" i="7" s="1"/>
  <c r="BM1124" i="7" s="1"/>
  <c r="AJ1125" i="7"/>
  <c r="AJ1124" i="7" s="1"/>
  <c r="AI1125" i="7"/>
  <c r="AI1124" i="7" s="1"/>
  <c r="AH1125" i="7"/>
  <c r="AH1124" i="7" s="1"/>
  <c r="AG1125" i="7"/>
  <c r="AG1124" i="7" s="1"/>
  <c r="AF1125" i="7"/>
  <c r="AF1124" i="7" s="1"/>
  <c r="AE1125" i="7"/>
  <c r="AE1124" i="7" s="1"/>
  <c r="AD1125" i="7"/>
  <c r="AD1124" i="7" s="1"/>
  <c r="AC1125" i="7"/>
  <c r="AC1124" i="7" s="1"/>
  <c r="AB1125" i="7"/>
  <c r="AB1124" i="7" s="1"/>
  <c r="AA1125" i="7"/>
  <c r="AA1124" i="7" s="1"/>
  <c r="Z1125" i="7"/>
  <c r="Z1124" i="7" s="1"/>
  <c r="Y1125" i="7"/>
  <c r="Y1124" i="7" s="1"/>
  <c r="W1125" i="7"/>
  <c r="W1124" i="7" s="1"/>
  <c r="V1125" i="7"/>
  <c r="V1124" i="7" s="1"/>
  <c r="U1125" i="7"/>
  <c r="U1124" i="7" s="1"/>
  <c r="BL1124" i="7"/>
  <c r="BI1124" i="7"/>
  <c r="BH1124" i="7"/>
  <c r="BG1124" i="7"/>
  <c r="BF1124" i="7"/>
  <c r="BB1124" i="7"/>
  <c r="T1124" i="7"/>
  <c r="S1124" i="7"/>
  <c r="AP1123" i="7"/>
  <c r="AP1122" i="7" s="1"/>
  <c r="AO1123" i="7"/>
  <c r="X1123" i="7"/>
  <c r="AT1122" i="7"/>
  <c r="AR1122" i="7"/>
  <c r="AQ1122" i="7"/>
  <c r="AN1122" i="7"/>
  <c r="AM1122" i="7"/>
  <c r="AL1122" i="7"/>
  <c r="AK1122" i="7"/>
  <c r="X1122" i="7"/>
  <c r="AU1121" i="7"/>
  <c r="AW1121" i="7" s="1"/>
  <c r="AS1120" i="7"/>
  <c r="AU1120" i="7" s="1"/>
  <c r="AK1120" i="7"/>
  <c r="X1120" i="7"/>
  <c r="AK1119" i="7"/>
  <c r="AS1119" i="7" s="1"/>
  <c r="AU1119" i="7" s="1"/>
  <c r="AW1119" i="7" s="1"/>
  <c r="X1119" i="7"/>
  <c r="AT1118" i="7"/>
  <c r="AR1118" i="7"/>
  <c r="AQ1118" i="7"/>
  <c r="AP1118" i="7"/>
  <c r="AO1118" i="7"/>
  <c r="AN1118" i="7"/>
  <c r="AN1117" i="7" s="1"/>
  <c r="AM1118" i="7"/>
  <c r="AM1117" i="7" s="1"/>
  <c r="AL1118" i="7"/>
  <c r="AL1117" i="7" s="1"/>
  <c r="BM1117" i="7" s="1"/>
  <c r="AJ1118" i="7"/>
  <c r="AJ1117" i="7" s="1"/>
  <c r="AI1118" i="7"/>
  <c r="AI1117" i="7" s="1"/>
  <c r="AH1118" i="7"/>
  <c r="AH1117" i="7" s="1"/>
  <c r="AG1118" i="7"/>
  <c r="AG1117" i="7" s="1"/>
  <c r="AF1118" i="7"/>
  <c r="AF1117" i="7" s="1"/>
  <c r="AE1118" i="7"/>
  <c r="AE1117" i="7" s="1"/>
  <c r="AD1118" i="7"/>
  <c r="AD1117" i="7" s="1"/>
  <c r="AC1118" i="7"/>
  <c r="AC1117" i="7" s="1"/>
  <c r="AB1118" i="7"/>
  <c r="AB1117" i="7" s="1"/>
  <c r="AA1118" i="7"/>
  <c r="AA1117" i="7" s="1"/>
  <c r="Z1118" i="7"/>
  <c r="Z1117" i="7" s="1"/>
  <c r="Y1118" i="7"/>
  <c r="Y1117" i="7" s="1"/>
  <c r="W1118" i="7"/>
  <c r="V1118" i="7"/>
  <c r="V1117" i="7" s="1"/>
  <c r="U1118" i="7"/>
  <c r="U1117" i="7" s="1"/>
  <c r="BL1117" i="7"/>
  <c r="BI1117" i="7"/>
  <c r="BH1117" i="7"/>
  <c r="BG1117" i="7"/>
  <c r="BF1117" i="7"/>
  <c r="BB1117" i="7"/>
  <c r="AY1117" i="7"/>
  <c r="T1117" i="7"/>
  <c r="S1117" i="7"/>
  <c r="AK1116" i="7"/>
  <c r="X1116" i="7"/>
  <c r="AT1115" i="7"/>
  <c r="AT1114" i="7" s="1"/>
  <c r="AR1115" i="7"/>
  <c r="AQ1115" i="7"/>
  <c r="AQ1114" i="7" s="1"/>
  <c r="AP1115" i="7"/>
  <c r="AP1114" i="7" s="1"/>
  <c r="AO1115" i="7"/>
  <c r="AO1114" i="7" s="1"/>
  <c r="AN1115" i="7"/>
  <c r="AN1114" i="7" s="1"/>
  <c r="AM1115" i="7"/>
  <c r="AM1114" i="7" s="1"/>
  <c r="AL1115" i="7"/>
  <c r="AL1114" i="7" s="1"/>
  <c r="BM1114" i="7" s="1"/>
  <c r="AJ1115" i="7"/>
  <c r="AJ1114" i="7" s="1"/>
  <c r="AI1115" i="7"/>
  <c r="AI1114" i="7" s="1"/>
  <c r="AH1115" i="7"/>
  <c r="AH1114" i="7" s="1"/>
  <c r="AG1115" i="7"/>
  <c r="AG1114" i="7" s="1"/>
  <c r="AF1115" i="7"/>
  <c r="AF1114" i="7" s="1"/>
  <c r="AE1115" i="7"/>
  <c r="AE1114" i="7" s="1"/>
  <c r="AD1115" i="7"/>
  <c r="AD1114" i="7" s="1"/>
  <c r="AC1115" i="7"/>
  <c r="AC1114" i="7" s="1"/>
  <c r="AB1115" i="7"/>
  <c r="AB1114" i="7" s="1"/>
  <c r="AA1115" i="7"/>
  <c r="AA1114" i="7" s="1"/>
  <c r="Z1115" i="7"/>
  <c r="Z1114" i="7" s="1"/>
  <c r="Y1115" i="7"/>
  <c r="Y1114" i="7" s="1"/>
  <c r="W1115" i="7"/>
  <c r="W1114" i="7" s="1"/>
  <c r="V1115" i="7"/>
  <c r="V1114" i="7" s="1"/>
  <c r="U1115" i="7"/>
  <c r="BL1114" i="7"/>
  <c r="BI1114" i="7"/>
  <c r="BH1114" i="7"/>
  <c r="BG1114" i="7"/>
  <c r="BF1114" i="7"/>
  <c r="BB1114" i="7"/>
  <c r="AR1114" i="7"/>
  <c r="T1114" i="7"/>
  <c r="S1114" i="7"/>
  <c r="AK1113" i="7"/>
  <c r="AS1113" i="7" s="1"/>
  <c r="AU1113" i="7" s="1"/>
  <c r="AW1113" i="7" s="1"/>
  <c r="X1113" i="7"/>
  <c r="AT1112" i="7"/>
  <c r="AT1111" i="7" s="1"/>
  <c r="AR1112" i="7"/>
  <c r="AR1111" i="7" s="1"/>
  <c r="AQ1112" i="7"/>
  <c r="AQ1111" i="7" s="1"/>
  <c r="AP1112" i="7"/>
  <c r="AP1111" i="7" s="1"/>
  <c r="AO1112" i="7"/>
  <c r="AO1111" i="7" s="1"/>
  <c r="AN1112" i="7"/>
  <c r="AM1112" i="7"/>
  <c r="AM1111" i="7" s="1"/>
  <c r="AL1112" i="7"/>
  <c r="AL1111" i="7" s="1"/>
  <c r="BM1111" i="7" s="1"/>
  <c r="AJ1112" i="7"/>
  <c r="AJ1111" i="7" s="1"/>
  <c r="AI1112" i="7"/>
  <c r="AI1111" i="7" s="1"/>
  <c r="AH1112" i="7"/>
  <c r="AH1111" i="7" s="1"/>
  <c r="AG1112" i="7"/>
  <c r="AG1111" i="7" s="1"/>
  <c r="AF1112" i="7"/>
  <c r="AF1111" i="7" s="1"/>
  <c r="AE1112" i="7"/>
  <c r="AE1111" i="7" s="1"/>
  <c r="AD1112" i="7"/>
  <c r="AD1111" i="7" s="1"/>
  <c r="AC1112" i="7"/>
  <c r="AC1111" i="7" s="1"/>
  <c r="AB1112" i="7"/>
  <c r="AB1111" i="7" s="1"/>
  <c r="AA1112" i="7"/>
  <c r="AA1111" i="7" s="1"/>
  <c r="Z1112" i="7"/>
  <c r="Z1111" i="7" s="1"/>
  <c r="Y1112" i="7"/>
  <c r="Y1111" i="7" s="1"/>
  <c r="W1112" i="7"/>
  <c r="W1111" i="7" s="1"/>
  <c r="V1112" i="7"/>
  <c r="V1111" i="7" s="1"/>
  <c r="U1112" i="7"/>
  <c r="BL1111" i="7"/>
  <c r="BI1111" i="7"/>
  <c r="BH1111" i="7"/>
  <c r="BG1111" i="7"/>
  <c r="BF1111" i="7"/>
  <c r="BB1111" i="7"/>
  <c r="AN1111" i="7"/>
  <c r="T1111" i="7"/>
  <c r="S1111" i="7"/>
  <c r="AK1110" i="7"/>
  <c r="AS1110" i="7" s="1"/>
  <c r="AU1110" i="7" s="1"/>
  <c r="AW1110" i="7" s="1"/>
  <c r="X1110" i="7"/>
  <c r="AT1109" i="7"/>
  <c r="AT1108" i="7" s="1"/>
  <c r="AR1109" i="7"/>
  <c r="AR1108" i="7" s="1"/>
  <c r="AQ1109" i="7"/>
  <c r="AQ1108" i="7" s="1"/>
  <c r="AP1109" i="7"/>
  <c r="AP1108" i="7" s="1"/>
  <c r="AO1109" i="7"/>
  <c r="AO1108" i="7" s="1"/>
  <c r="AN1109" i="7"/>
  <c r="AN1108" i="7" s="1"/>
  <c r="AM1109" i="7"/>
  <c r="AM1108" i="7" s="1"/>
  <c r="AL1109" i="7"/>
  <c r="AL1108" i="7" s="1"/>
  <c r="BM1108" i="7" s="1"/>
  <c r="AJ1109" i="7"/>
  <c r="AJ1108" i="7" s="1"/>
  <c r="AI1109" i="7"/>
  <c r="AI1108" i="7" s="1"/>
  <c r="AH1109" i="7"/>
  <c r="AH1108" i="7" s="1"/>
  <c r="AG1109" i="7"/>
  <c r="AG1108" i="7" s="1"/>
  <c r="AF1109" i="7"/>
  <c r="AF1108" i="7" s="1"/>
  <c r="AE1109" i="7"/>
  <c r="AE1108" i="7" s="1"/>
  <c r="AD1109" i="7"/>
  <c r="AD1108" i="7" s="1"/>
  <c r="AC1109" i="7"/>
  <c r="AC1108" i="7" s="1"/>
  <c r="AB1109" i="7"/>
  <c r="AB1108" i="7" s="1"/>
  <c r="AA1109" i="7"/>
  <c r="AA1108" i="7" s="1"/>
  <c r="Z1109" i="7"/>
  <c r="Z1108" i="7" s="1"/>
  <c r="Y1109" i="7"/>
  <c r="Y1108" i="7" s="1"/>
  <c r="W1109" i="7"/>
  <c r="V1109" i="7"/>
  <c r="V1108" i="7" s="1"/>
  <c r="U1109" i="7"/>
  <c r="U1108" i="7" s="1"/>
  <c r="BL1108" i="7"/>
  <c r="BI1108" i="7"/>
  <c r="BH1108" i="7"/>
  <c r="BG1108" i="7"/>
  <c r="BF1108" i="7"/>
  <c r="BB1108" i="7"/>
  <c r="AY1108" i="7"/>
  <c r="T1108" i="7"/>
  <c r="S1108" i="7"/>
  <c r="AK1107" i="7"/>
  <c r="X1107" i="7"/>
  <c r="AT1106" i="7"/>
  <c r="AR1106" i="7"/>
  <c r="AQ1106" i="7"/>
  <c r="AP1106" i="7"/>
  <c r="AO1106" i="7"/>
  <c r="AN1106" i="7"/>
  <c r="AM1106" i="7"/>
  <c r="AL1106" i="7"/>
  <c r="AJ1106" i="7"/>
  <c r="AI1106" i="7"/>
  <c r="AH1106" i="7"/>
  <c r="AG1106" i="7"/>
  <c r="AF1106" i="7"/>
  <c r="AE1106" i="7"/>
  <c r="AD1106" i="7"/>
  <c r="AC1106" i="7"/>
  <c r="AB1106" i="7"/>
  <c r="AA1106" i="7"/>
  <c r="Z1106" i="7"/>
  <c r="Y1106" i="7"/>
  <c r="W1106" i="7"/>
  <c r="V1106" i="7"/>
  <c r="U1106" i="7"/>
  <c r="AK1105" i="7"/>
  <c r="AS1105" i="7" s="1"/>
  <c r="AU1105" i="7" s="1"/>
  <c r="AW1105" i="7" s="1"/>
  <c r="X1105" i="7"/>
  <c r="AT1104" i="7"/>
  <c r="AR1104" i="7"/>
  <c r="AQ1104" i="7"/>
  <c r="AP1104" i="7"/>
  <c r="AO1104" i="7"/>
  <c r="AN1104" i="7"/>
  <c r="AM1104" i="7"/>
  <c r="AL1104" i="7"/>
  <c r="AJ1104" i="7"/>
  <c r="AI1104" i="7"/>
  <c r="AH1104" i="7"/>
  <c r="AG1104" i="7"/>
  <c r="AF1104" i="7"/>
  <c r="AE1104" i="7"/>
  <c r="AD1104" i="7"/>
  <c r="AC1104" i="7"/>
  <c r="AB1104" i="7"/>
  <c r="AA1104" i="7"/>
  <c r="Z1104" i="7"/>
  <c r="Y1104" i="7"/>
  <c r="W1104" i="7"/>
  <c r="V1104" i="7"/>
  <c r="U1104" i="7"/>
  <c r="BL1103" i="7"/>
  <c r="BI1103" i="7"/>
  <c r="BH1103" i="7"/>
  <c r="BG1103" i="7"/>
  <c r="BF1103" i="7"/>
  <c r="BB1103" i="7"/>
  <c r="T1103" i="7"/>
  <c r="S1103" i="7"/>
  <c r="AK1102" i="7"/>
  <c r="X1102" i="7"/>
  <c r="AT1101" i="7"/>
  <c r="AR1101" i="7"/>
  <c r="AR1100" i="7" s="1"/>
  <c r="AQ1101" i="7"/>
  <c r="AQ1100" i="7" s="1"/>
  <c r="AP1101" i="7"/>
  <c r="AP1100" i="7" s="1"/>
  <c r="AO1101" i="7"/>
  <c r="AO1100" i="7" s="1"/>
  <c r="AN1101" i="7"/>
  <c r="AN1100" i="7" s="1"/>
  <c r="AM1101" i="7"/>
  <c r="AM1100" i="7" s="1"/>
  <c r="AL1101" i="7"/>
  <c r="AL1100" i="7" s="1"/>
  <c r="AJ1101" i="7"/>
  <c r="AJ1100" i="7" s="1"/>
  <c r="AI1101" i="7"/>
  <c r="AI1100" i="7" s="1"/>
  <c r="AH1101" i="7"/>
  <c r="AH1100" i="7" s="1"/>
  <c r="AG1101" i="7"/>
  <c r="AG1100" i="7" s="1"/>
  <c r="AF1101" i="7"/>
  <c r="AF1100" i="7" s="1"/>
  <c r="AE1101" i="7"/>
  <c r="AE1100" i="7" s="1"/>
  <c r="AD1101" i="7"/>
  <c r="AD1100" i="7" s="1"/>
  <c r="AC1101" i="7"/>
  <c r="AC1100" i="7" s="1"/>
  <c r="AB1101" i="7"/>
  <c r="AB1100" i="7" s="1"/>
  <c r="AA1101" i="7"/>
  <c r="AA1100" i="7" s="1"/>
  <c r="Z1101" i="7"/>
  <c r="Z1100" i="7" s="1"/>
  <c r="Y1101" i="7"/>
  <c r="Y1100" i="7" s="1"/>
  <c r="W1101" i="7"/>
  <c r="W1100" i="7" s="1"/>
  <c r="V1101" i="7"/>
  <c r="U1101" i="7"/>
  <c r="BN1100" i="7"/>
  <c r="BM1100" i="7"/>
  <c r="BL1100" i="7"/>
  <c r="BK1100" i="7"/>
  <c r="BJ1100" i="7"/>
  <c r="BI1100" i="7"/>
  <c r="BH1100" i="7"/>
  <c r="BG1100" i="7"/>
  <c r="BF1100" i="7"/>
  <c r="BD1100" i="7"/>
  <c r="BB1100" i="7"/>
  <c r="BA1100" i="7"/>
  <c r="BA987" i="7" s="1"/>
  <c r="AY1100" i="7"/>
  <c r="AT1100" i="7"/>
  <c r="V1100" i="7"/>
  <c r="T1100" i="7"/>
  <c r="S1100" i="7"/>
  <c r="AK1099" i="7"/>
  <c r="AT1099" i="7" s="1"/>
  <c r="X1099" i="7"/>
  <c r="AK1098" i="7"/>
  <c r="AS1098" i="7" s="1"/>
  <c r="AU1098" i="7" s="1"/>
  <c r="AW1098" i="7" s="1"/>
  <c r="X1098" i="7"/>
  <c r="AT1097" i="7"/>
  <c r="AT1096" i="7" s="1"/>
  <c r="AR1097" i="7"/>
  <c r="AR1096" i="7" s="1"/>
  <c r="AQ1097" i="7"/>
  <c r="AQ1096" i="7" s="1"/>
  <c r="AP1097" i="7"/>
  <c r="AP1096" i="7" s="1"/>
  <c r="AO1097" i="7"/>
  <c r="AO1096" i="7" s="1"/>
  <c r="AN1097" i="7"/>
  <c r="AN1096" i="7" s="1"/>
  <c r="AM1097" i="7"/>
  <c r="AM1096" i="7" s="1"/>
  <c r="AL1097" i="7"/>
  <c r="AL1096" i="7" s="1"/>
  <c r="AJ1097" i="7"/>
  <c r="AJ1096" i="7" s="1"/>
  <c r="AI1097" i="7"/>
  <c r="AI1096" i="7" s="1"/>
  <c r="AH1097" i="7"/>
  <c r="AH1096" i="7" s="1"/>
  <c r="AG1097" i="7"/>
  <c r="AG1096" i="7" s="1"/>
  <c r="AF1097" i="7"/>
  <c r="AF1096" i="7" s="1"/>
  <c r="AE1097" i="7"/>
  <c r="AE1096" i="7" s="1"/>
  <c r="AD1097" i="7"/>
  <c r="AD1096" i="7" s="1"/>
  <c r="AC1097" i="7"/>
  <c r="AC1096" i="7" s="1"/>
  <c r="AB1097" i="7"/>
  <c r="AB1096" i="7" s="1"/>
  <c r="AA1097" i="7"/>
  <c r="AA1096" i="7" s="1"/>
  <c r="Z1097" i="7"/>
  <c r="Z1096" i="7" s="1"/>
  <c r="Y1097" i="7"/>
  <c r="Y1096" i="7" s="1"/>
  <c r="W1097" i="7"/>
  <c r="W1096" i="7" s="1"/>
  <c r="V1097" i="7"/>
  <c r="U1097" i="7"/>
  <c r="BL1096" i="7"/>
  <c r="BI1096" i="7"/>
  <c r="BH1096" i="7"/>
  <c r="BG1096" i="7"/>
  <c r="BF1096" i="7"/>
  <c r="BB1096" i="7"/>
  <c r="AY1096" i="7"/>
  <c r="T1096" i="7"/>
  <c r="S1096" i="7"/>
  <c r="AK1095" i="7"/>
  <c r="AS1095" i="7" s="1"/>
  <c r="AU1095" i="7" s="1"/>
  <c r="AW1095" i="7" s="1"/>
  <c r="X1095" i="7"/>
  <c r="AK1094" i="7"/>
  <c r="AS1094" i="7" s="1"/>
  <c r="AU1094" i="7" s="1"/>
  <c r="AW1094" i="7" s="1"/>
  <c r="X1094" i="7"/>
  <c r="AK1093" i="7"/>
  <c r="AS1093" i="7" s="1"/>
  <c r="AU1093" i="7" s="1"/>
  <c r="AW1093" i="7" s="1"/>
  <c r="X1093" i="7"/>
  <c r="AK1092" i="7"/>
  <c r="AS1092" i="7" s="1"/>
  <c r="AU1092" i="7" s="1"/>
  <c r="AW1092" i="7" s="1"/>
  <c r="X1092" i="7"/>
  <c r="AK1091" i="7"/>
  <c r="AS1091" i="7" s="1"/>
  <c r="AU1091" i="7" s="1"/>
  <c r="AW1091" i="7" s="1"/>
  <c r="X1091" i="7"/>
  <c r="AK1090" i="7"/>
  <c r="AS1090" i="7" s="1"/>
  <c r="AU1090" i="7" s="1"/>
  <c r="AW1090" i="7" s="1"/>
  <c r="X1090" i="7"/>
  <c r="AK1089" i="7"/>
  <c r="AS1089" i="7" s="1"/>
  <c r="AU1089" i="7" s="1"/>
  <c r="AW1089" i="7" s="1"/>
  <c r="X1089" i="7"/>
  <c r="AK1088" i="7"/>
  <c r="AS1088" i="7" s="1"/>
  <c r="AU1088" i="7" s="1"/>
  <c r="AW1088" i="7" s="1"/>
  <c r="X1088" i="7"/>
  <c r="AK1087" i="7"/>
  <c r="X1087" i="7"/>
  <c r="AT1086" i="7"/>
  <c r="AT1085" i="7" s="1"/>
  <c r="AR1086" i="7"/>
  <c r="AR1085" i="7" s="1"/>
  <c r="AQ1086" i="7"/>
  <c r="AQ1085" i="7" s="1"/>
  <c r="AP1086" i="7"/>
  <c r="AP1085" i="7" s="1"/>
  <c r="AO1086" i="7"/>
  <c r="AO1085" i="7" s="1"/>
  <c r="AN1086" i="7"/>
  <c r="AN1085" i="7" s="1"/>
  <c r="AM1086" i="7"/>
  <c r="AM1085" i="7" s="1"/>
  <c r="AL1086" i="7"/>
  <c r="AL1085" i="7" s="1"/>
  <c r="BM1085" i="7" s="1"/>
  <c r="AJ1086" i="7"/>
  <c r="AJ1085" i="7" s="1"/>
  <c r="AI1086" i="7"/>
  <c r="AI1085" i="7" s="1"/>
  <c r="AH1086" i="7"/>
  <c r="AH1085" i="7" s="1"/>
  <c r="AG1086" i="7"/>
  <c r="AG1085" i="7" s="1"/>
  <c r="AF1086" i="7"/>
  <c r="AF1085" i="7" s="1"/>
  <c r="AE1086" i="7"/>
  <c r="AE1085" i="7" s="1"/>
  <c r="AD1086" i="7"/>
  <c r="AD1085" i="7" s="1"/>
  <c r="AC1086" i="7"/>
  <c r="AC1085" i="7" s="1"/>
  <c r="AB1086" i="7"/>
  <c r="AB1085" i="7" s="1"/>
  <c r="AA1086" i="7"/>
  <c r="AA1085" i="7" s="1"/>
  <c r="Z1086" i="7"/>
  <c r="Z1085" i="7" s="1"/>
  <c r="Y1086" i="7"/>
  <c r="Y1085" i="7" s="1"/>
  <c r="W1086" i="7"/>
  <c r="V1086" i="7"/>
  <c r="V1085" i="7" s="1"/>
  <c r="U1086" i="7"/>
  <c r="U1085" i="7" s="1"/>
  <c r="BL1085" i="7"/>
  <c r="BI1085" i="7"/>
  <c r="BH1085" i="7"/>
  <c r="BG1085" i="7"/>
  <c r="BF1085" i="7"/>
  <c r="BB1085" i="7"/>
  <c r="T1085" i="7"/>
  <c r="S1085" i="7"/>
  <c r="AK1084" i="7"/>
  <c r="AS1084" i="7" s="1"/>
  <c r="AU1084" i="7" s="1"/>
  <c r="AW1084" i="7" s="1"/>
  <c r="X1084" i="7"/>
  <c r="AU1083" i="7"/>
  <c r="AW1083" i="7" s="1"/>
  <c r="AK1083" i="7"/>
  <c r="X1083" i="7"/>
  <c r="AK1082" i="7"/>
  <c r="AS1082" i="7" s="1"/>
  <c r="AU1082" i="7" s="1"/>
  <c r="AW1082" i="7" s="1"/>
  <c r="X1082" i="7"/>
  <c r="AK1081" i="7"/>
  <c r="AS1081" i="7" s="1"/>
  <c r="AU1081" i="7" s="1"/>
  <c r="AW1081" i="7" s="1"/>
  <c r="X1081" i="7"/>
  <c r="AK1080" i="7"/>
  <c r="AS1080" i="7" s="1"/>
  <c r="AU1080" i="7" s="1"/>
  <c r="AW1080" i="7" s="1"/>
  <c r="X1080" i="7"/>
  <c r="AK1079" i="7"/>
  <c r="AS1079" i="7" s="1"/>
  <c r="AU1079" i="7" s="1"/>
  <c r="AW1079" i="7" s="1"/>
  <c r="X1079" i="7"/>
  <c r="AK1078" i="7"/>
  <c r="X1078" i="7"/>
  <c r="AY1077" i="7"/>
  <c r="AT1077" i="7"/>
  <c r="AR1077" i="7"/>
  <c r="AQ1077" i="7"/>
  <c r="AP1077" i="7"/>
  <c r="AO1077" i="7"/>
  <c r="AN1077" i="7"/>
  <c r="AM1077" i="7"/>
  <c r="AL1077" i="7"/>
  <c r="AJ1077" i="7"/>
  <c r="AI1077" i="7"/>
  <c r="AH1077" i="7"/>
  <c r="AG1077" i="7"/>
  <c r="AF1077" i="7"/>
  <c r="AE1077" i="7"/>
  <c r="AD1077" i="7"/>
  <c r="AC1077" i="7"/>
  <c r="AB1077" i="7"/>
  <c r="AA1077" i="7"/>
  <c r="Z1077" i="7"/>
  <c r="Y1077" i="7"/>
  <c r="W1077" i="7"/>
  <c r="V1077" i="7"/>
  <c r="U1077" i="7"/>
  <c r="AK1076" i="7"/>
  <c r="AS1076" i="7" s="1"/>
  <c r="AU1076" i="7" s="1"/>
  <c r="AW1076" i="7" s="1"/>
  <c r="X1076" i="7"/>
  <c r="AK1075" i="7"/>
  <c r="AS1075" i="7" s="1"/>
  <c r="AU1075" i="7" s="1"/>
  <c r="AW1075" i="7" s="1"/>
  <c r="X1075" i="7"/>
  <c r="AK1074" i="7"/>
  <c r="AS1074" i="7" s="1"/>
  <c r="AU1074" i="7" s="1"/>
  <c r="AW1074" i="7" s="1"/>
  <c r="X1074" i="7"/>
  <c r="AK1073" i="7"/>
  <c r="AS1073" i="7" s="1"/>
  <c r="AU1073" i="7" s="1"/>
  <c r="AW1073" i="7" s="1"/>
  <c r="X1073" i="7"/>
  <c r="AK1072" i="7"/>
  <c r="AS1072" i="7" s="1"/>
  <c r="AU1072" i="7" s="1"/>
  <c r="AW1072" i="7" s="1"/>
  <c r="X1072" i="7"/>
  <c r="AK1071" i="7"/>
  <c r="AS1071" i="7" s="1"/>
  <c r="AU1071" i="7" s="1"/>
  <c r="AW1071" i="7" s="1"/>
  <c r="X1071" i="7"/>
  <c r="AK1070" i="7"/>
  <c r="AS1070" i="7" s="1"/>
  <c r="AU1070" i="7" s="1"/>
  <c r="AW1070" i="7" s="1"/>
  <c r="X1070" i="7"/>
  <c r="AK1069" i="7"/>
  <c r="AS1069" i="7" s="1"/>
  <c r="AU1069" i="7" s="1"/>
  <c r="AW1069" i="7" s="1"/>
  <c r="X1069" i="7"/>
  <c r="AK1068" i="7"/>
  <c r="AS1068" i="7" s="1"/>
  <c r="AU1068" i="7" s="1"/>
  <c r="AW1068" i="7" s="1"/>
  <c r="X1068" i="7"/>
  <c r="AK1067" i="7"/>
  <c r="AS1067" i="7" s="1"/>
  <c r="AU1067" i="7" s="1"/>
  <c r="AW1067" i="7" s="1"/>
  <c r="X1067" i="7"/>
  <c r="AK1066" i="7"/>
  <c r="AS1066" i="7" s="1"/>
  <c r="AU1066" i="7" s="1"/>
  <c r="AW1066" i="7" s="1"/>
  <c r="X1066" i="7"/>
  <c r="AK1065" i="7"/>
  <c r="AS1065" i="7" s="1"/>
  <c r="AU1065" i="7" s="1"/>
  <c r="AW1065" i="7" s="1"/>
  <c r="X1065" i="7"/>
  <c r="AK1064" i="7"/>
  <c r="AS1064" i="7" s="1"/>
  <c r="AU1064" i="7" s="1"/>
  <c r="AW1064" i="7" s="1"/>
  <c r="X1064" i="7"/>
  <c r="AK1063" i="7"/>
  <c r="AS1063" i="7" s="1"/>
  <c r="AU1063" i="7" s="1"/>
  <c r="AW1063" i="7" s="1"/>
  <c r="X1063" i="7"/>
  <c r="AK1062" i="7"/>
  <c r="AS1062" i="7" s="1"/>
  <c r="AU1062" i="7" s="1"/>
  <c r="AW1062" i="7" s="1"/>
  <c r="X1062" i="7"/>
  <c r="AK1061" i="7"/>
  <c r="AS1061" i="7" s="1"/>
  <c r="AU1061" i="7" s="1"/>
  <c r="AW1061" i="7" s="1"/>
  <c r="X1061" i="7"/>
  <c r="AK1060" i="7"/>
  <c r="AS1060" i="7" s="1"/>
  <c r="AU1060" i="7" s="1"/>
  <c r="AW1060" i="7" s="1"/>
  <c r="X1060" i="7"/>
  <c r="AK1059" i="7"/>
  <c r="AS1059" i="7" s="1"/>
  <c r="AU1059" i="7" s="1"/>
  <c r="AW1059" i="7" s="1"/>
  <c r="X1059" i="7"/>
  <c r="AK1058" i="7"/>
  <c r="AS1058" i="7" s="1"/>
  <c r="AU1058" i="7" s="1"/>
  <c r="AW1058" i="7" s="1"/>
  <c r="X1058" i="7"/>
  <c r="AY1057" i="7"/>
  <c r="AT1057" i="7"/>
  <c r="AR1057" i="7"/>
  <c r="AQ1057" i="7"/>
  <c r="AP1057" i="7"/>
  <c r="AO1057" i="7"/>
  <c r="AN1057" i="7"/>
  <c r="AM1057" i="7"/>
  <c r="AL1057" i="7"/>
  <c r="AJ1057" i="7"/>
  <c r="AI1057" i="7"/>
  <c r="AH1057" i="7"/>
  <c r="AG1057" i="7"/>
  <c r="AF1057" i="7"/>
  <c r="AE1057" i="7"/>
  <c r="AD1057" i="7"/>
  <c r="AC1057" i="7"/>
  <c r="AB1057" i="7"/>
  <c r="AA1057" i="7"/>
  <c r="Z1057" i="7"/>
  <c r="Y1057" i="7"/>
  <c r="W1057" i="7"/>
  <c r="V1057" i="7"/>
  <c r="U1057" i="7"/>
  <c r="BL1056" i="7"/>
  <c r="BI1056" i="7"/>
  <c r="BH1056" i="7"/>
  <c r="BG1056" i="7"/>
  <c r="BF1056" i="7"/>
  <c r="BB1056" i="7"/>
  <c r="T1056" i="7"/>
  <c r="S1056" i="7"/>
  <c r="AU1055" i="7"/>
  <c r="AW1055" i="7" s="1"/>
  <c r="X1055" i="7"/>
  <c r="AT1054" i="7"/>
  <c r="AS1054" i="7"/>
  <c r="X1054" i="7"/>
  <c r="BC1054" i="7" s="1"/>
  <c r="BE1054" i="7" s="1"/>
  <c r="AK1053" i="7"/>
  <c r="AS1053" i="7" s="1"/>
  <c r="AU1053" i="7" s="1"/>
  <c r="AW1053" i="7" s="1"/>
  <c r="X1053" i="7"/>
  <c r="AK1052" i="7"/>
  <c r="AS1052" i="7" s="1"/>
  <c r="AU1052" i="7" s="1"/>
  <c r="AW1052" i="7" s="1"/>
  <c r="X1052" i="7"/>
  <c r="AK1051" i="7"/>
  <c r="AS1051" i="7" s="1"/>
  <c r="AU1051" i="7" s="1"/>
  <c r="AW1051" i="7" s="1"/>
  <c r="X1051" i="7"/>
  <c r="AK1050" i="7"/>
  <c r="AS1050" i="7" s="1"/>
  <c r="AU1050" i="7" s="1"/>
  <c r="AW1050" i="7" s="1"/>
  <c r="X1050" i="7"/>
  <c r="AK1049" i="7"/>
  <c r="AS1049" i="7" s="1"/>
  <c r="AU1049" i="7" s="1"/>
  <c r="AW1049" i="7" s="1"/>
  <c r="X1049" i="7"/>
  <c r="AK1048" i="7"/>
  <c r="AS1048" i="7" s="1"/>
  <c r="AU1048" i="7" s="1"/>
  <c r="AW1048" i="7" s="1"/>
  <c r="X1048" i="7"/>
  <c r="AK1047" i="7"/>
  <c r="AS1047" i="7" s="1"/>
  <c r="AU1047" i="7" s="1"/>
  <c r="AW1047" i="7" s="1"/>
  <c r="X1047" i="7"/>
  <c r="AK1046" i="7"/>
  <c r="AS1046" i="7" s="1"/>
  <c r="AU1046" i="7" s="1"/>
  <c r="AW1046" i="7" s="1"/>
  <c r="X1046" i="7"/>
  <c r="AT1045" i="7"/>
  <c r="AR1045" i="7"/>
  <c r="AQ1045" i="7"/>
  <c r="AP1045" i="7"/>
  <c r="AO1045" i="7"/>
  <c r="AN1045" i="7"/>
  <c r="AM1045" i="7"/>
  <c r="AL1045" i="7"/>
  <c r="AJ1045" i="7"/>
  <c r="AI1045" i="7"/>
  <c r="AH1045" i="7"/>
  <c r="AG1045" i="7"/>
  <c r="AF1045" i="7"/>
  <c r="AE1045" i="7"/>
  <c r="AD1045" i="7"/>
  <c r="AC1045" i="7"/>
  <c r="AB1045" i="7"/>
  <c r="AA1045" i="7"/>
  <c r="Z1045" i="7"/>
  <c r="Y1045" i="7"/>
  <c r="W1045" i="7"/>
  <c r="V1045" i="7"/>
  <c r="U1045" i="7"/>
  <c r="AK1044" i="7"/>
  <c r="AS1044" i="7" s="1"/>
  <c r="AU1044" i="7" s="1"/>
  <c r="AW1044" i="7" s="1"/>
  <c r="X1044" i="7"/>
  <c r="AK1043" i="7"/>
  <c r="AS1043" i="7" s="1"/>
  <c r="AU1043" i="7" s="1"/>
  <c r="AW1043" i="7" s="1"/>
  <c r="X1043" i="7"/>
  <c r="AK1042" i="7"/>
  <c r="AS1042" i="7" s="1"/>
  <c r="AU1042" i="7" s="1"/>
  <c r="AW1042" i="7" s="1"/>
  <c r="X1042" i="7"/>
  <c r="AK1041" i="7"/>
  <c r="AS1041" i="7" s="1"/>
  <c r="AU1041" i="7" s="1"/>
  <c r="AW1041" i="7" s="1"/>
  <c r="X1041" i="7"/>
  <c r="AK1040" i="7"/>
  <c r="X1040" i="7"/>
  <c r="AK1039" i="7"/>
  <c r="AS1039" i="7" s="1"/>
  <c r="AU1039" i="7" s="1"/>
  <c r="AW1039" i="7" s="1"/>
  <c r="X1039" i="7"/>
  <c r="AK1038" i="7"/>
  <c r="AS1038" i="7" s="1"/>
  <c r="AU1038" i="7" s="1"/>
  <c r="AW1038" i="7" s="1"/>
  <c r="X1038" i="7"/>
  <c r="AK1037" i="7"/>
  <c r="AS1037" i="7" s="1"/>
  <c r="AU1037" i="7" s="1"/>
  <c r="AW1037" i="7" s="1"/>
  <c r="X1037" i="7"/>
  <c r="AK1036" i="7"/>
  <c r="AS1036" i="7" s="1"/>
  <c r="AU1036" i="7" s="1"/>
  <c r="AW1036" i="7" s="1"/>
  <c r="X1036" i="7"/>
  <c r="AK1035" i="7"/>
  <c r="AS1035" i="7" s="1"/>
  <c r="AU1035" i="7" s="1"/>
  <c r="AW1035" i="7" s="1"/>
  <c r="X1035" i="7"/>
  <c r="AK1034" i="7"/>
  <c r="AS1034" i="7" s="1"/>
  <c r="AU1034" i="7" s="1"/>
  <c r="AW1034" i="7" s="1"/>
  <c r="X1034" i="7"/>
  <c r="AK1033" i="7"/>
  <c r="AS1033" i="7" s="1"/>
  <c r="AU1033" i="7" s="1"/>
  <c r="AW1033" i="7" s="1"/>
  <c r="X1033" i="7"/>
  <c r="AK1032" i="7"/>
  <c r="AS1032" i="7" s="1"/>
  <c r="AU1032" i="7" s="1"/>
  <c r="AW1032" i="7" s="1"/>
  <c r="X1032" i="7"/>
  <c r="AK1031" i="7"/>
  <c r="AS1031" i="7" s="1"/>
  <c r="AU1031" i="7" s="1"/>
  <c r="AW1031" i="7" s="1"/>
  <c r="X1031" i="7"/>
  <c r="AK1030" i="7"/>
  <c r="AS1030" i="7" s="1"/>
  <c r="AU1030" i="7" s="1"/>
  <c r="AW1030" i="7" s="1"/>
  <c r="X1030" i="7"/>
  <c r="AK1029" i="7"/>
  <c r="AS1029" i="7" s="1"/>
  <c r="AU1029" i="7" s="1"/>
  <c r="AW1029" i="7" s="1"/>
  <c r="X1029" i="7"/>
  <c r="AK1028" i="7"/>
  <c r="AS1028" i="7" s="1"/>
  <c r="AU1028" i="7" s="1"/>
  <c r="AW1028" i="7" s="1"/>
  <c r="X1028" i="7"/>
  <c r="AK1027" i="7"/>
  <c r="AS1027" i="7" s="1"/>
  <c r="AU1027" i="7" s="1"/>
  <c r="AW1027" i="7" s="1"/>
  <c r="X1027" i="7"/>
  <c r="AK1026" i="7"/>
  <c r="AS1026" i="7" s="1"/>
  <c r="AU1026" i="7" s="1"/>
  <c r="AW1026" i="7" s="1"/>
  <c r="X1026" i="7"/>
  <c r="AK1025" i="7"/>
  <c r="AS1025" i="7" s="1"/>
  <c r="AU1025" i="7" s="1"/>
  <c r="AW1025" i="7" s="1"/>
  <c r="X1025" i="7"/>
  <c r="AK1024" i="7"/>
  <c r="AS1024" i="7" s="1"/>
  <c r="AU1024" i="7" s="1"/>
  <c r="AW1024" i="7" s="1"/>
  <c r="X1024" i="7"/>
  <c r="AY1023" i="7"/>
  <c r="AT1023" i="7"/>
  <c r="AR1023" i="7"/>
  <c r="AQ1023" i="7"/>
  <c r="AP1023" i="7"/>
  <c r="AO1023" i="7"/>
  <c r="AN1023" i="7"/>
  <c r="AM1023" i="7"/>
  <c r="AL1023" i="7"/>
  <c r="AJ1023" i="7"/>
  <c r="AI1023" i="7"/>
  <c r="AH1023" i="7"/>
  <c r="AG1023" i="7"/>
  <c r="AF1023" i="7"/>
  <c r="AE1023" i="7"/>
  <c r="AD1023" i="7"/>
  <c r="AC1023" i="7"/>
  <c r="AB1023" i="7"/>
  <c r="AA1023" i="7"/>
  <c r="Z1023" i="7"/>
  <c r="Y1023" i="7"/>
  <c r="W1023" i="7"/>
  <c r="V1023" i="7"/>
  <c r="U1023" i="7"/>
  <c r="AK1022" i="7"/>
  <c r="AS1022" i="7" s="1"/>
  <c r="AU1022" i="7" s="1"/>
  <c r="AW1022" i="7" s="1"/>
  <c r="X1022" i="7"/>
  <c r="AK1021" i="7"/>
  <c r="AS1021" i="7" s="1"/>
  <c r="AU1021" i="7" s="1"/>
  <c r="AW1021" i="7" s="1"/>
  <c r="X1021" i="7"/>
  <c r="AK1020" i="7"/>
  <c r="AS1020" i="7" s="1"/>
  <c r="AU1020" i="7" s="1"/>
  <c r="AW1020" i="7" s="1"/>
  <c r="X1020" i="7"/>
  <c r="AK1019" i="7"/>
  <c r="AS1019" i="7" s="1"/>
  <c r="AU1019" i="7" s="1"/>
  <c r="AW1019" i="7" s="1"/>
  <c r="X1019" i="7"/>
  <c r="AK1018" i="7"/>
  <c r="AS1018" i="7" s="1"/>
  <c r="AU1018" i="7" s="1"/>
  <c r="AW1018" i="7" s="1"/>
  <c r="X1018" i="7"/>
  <c r="AK1017" i="7"/>
  <c r="AS1017" i="7" s="1"/>
  <c r="AU1017" i="7" s="1"/>
  <c r="AW1017" i="7" s="1"/>
  <c r="X1017" i="7"/>
  <c r="AK1016" i="7"/>
  <c r="AS1016" i="7" s="1"/>
  <c r="AU1016" i="7" s="1"/>
  <c r="AW1016" i="7" s="1"/>
  <c r="X1016" i="7"/>
  <c r="AK1015" i="7"/>
  <c r="AS1015" i="7" s="1"/>
  <c r="AU1015" i="7" s="1"/>
  <c r="AW1015" i="7" s="1"/>
  <c r="X1015" i="7"/>
  <c r="AK1014" i="7"/>
  <c r="AS1014" i="7" s="1"/>
  <c r="AU1014" i="7" s="1"/>
  <c r="AW1014" i="7" s="1"/>
  <c r="X1014" i="7"/>
  <c r="AK1013" i="7"/>
  <c r="AS1013" i="7" s="1"/>
  <c r="AU1013" i="7" s="1"/>
  <c r="AW1013" i="7" s="1"/>
  <c r="X1013" i="7"/>
  <c r="AK1012" i="7"/>
  <c r="AS1012" i="7" s="1"/>
  <c r="AU1012" i="7" s="1"/>
  <c r="AW1012" i="7" s="1"/>
  <c r="X1012" i="7"/>
  <c r="AK1011" i="7"/>
  <c r="AS1011" i="7" s="1"/>
  <c r="AU1011" i="7" s="1"/>
  <c r="AW1011" i="7" s="1"/>
  <c r="X1011" i="7"/>
  <c r="AK1010" i="7"/>
  <c r="AS1010" i="7" s="1"/>
  <c r="AU1010" i="7" s="1"/>
  <c r="AW1010" i="7" s="1"/>
  <c r="X1010" i="7"/>
  <c r="AK1009" i="7"/>
  <c r="AS1009" i="7" s="1"/>
  <c r="AU1009" i="7" s="1"/>
  <c r="AW1009" i="7" s="1"/>
  <c r="X1009" i="7"/>
  <c r="AK1008" i="7"/>
  <c r="AS1008" i="7" s="1"/>
  <c r="AU1008" i="7" s="1"/>
  <c r="AW1008" i="7" s="1"/>
  <c r="X1008" i="7"/>
  <c r="AK1007" i="7"/>
  <c r="AS1007" i="7" s="1"/>
  <c r="AU1007" i="7" s="1"/>
  <c r="AW1007" i="7" s="1"/>
  <c r="X1007" i="7"/>
  <c r="AK1006" i="7"/>
  <c r="X1006" i="7"/>
  <c r="AY1005" i="7"/>
  <c r="AT1005" i="7"/>
  <c r="AR1005" i="7"/>
  <c r="AQ1005" i="7"/>
  <c r="AP1005" i="7"/>
  <c r="AO1005" i="7"/>
  <c r="AN1005" i="7"/>
  <c r="AM1005" i="7"/>
  <c r="AL1005" i="7"/>
  <c r="AJ1005" i="7"/>
  <c r="AI1005" i="7"/>
  <c r="AH1005" i="7"/>
  <c r="AG1005" i="7"/>
  <c r="AF1005" i="7"/>
  <c r="AE1005" i="7"/>
  <c r="AD1005" i="7"/>
  <c r="AC1005" i="7"/>
  <c r="AB1005" i="7"/>
  <c r="AA1005" i="7"/>
  <c r="Z1005" i="7"/>
  <c r="Y1005" i="7"/>
  <c r="W1005" i="7"/>
  <c r="V1005" i="7"/>
  <c r="U1005" i="7"/>
  <c r="T1005" i="7"/>
  <c r="T1004" i="7" s="1"/>
  <c r="BL1004" i="7"/>
  <c r="BI1004" i="7"/>
  <c r="BH1004" i="7"/>
  <c r="BG1004" i="7"/>
  <c r="BF1004" i="7"/>
  <c r="BB1004" i="7"/>
  <c r="S1004" i="7"/>
  <c r="AK1003" i="7"/>
  <c r="AS1003" i="7" s="1"/>
  <c r="AU1003" i="7" s="1"/>
  <c r="AW1003" i="7" s="1"/>
  <c r="X1003" i="7"/>
  <c r="AK1002" i="7"/>
  <c r="AS1002" i="7" s="1"/>
  <c r="AU1002" i="7" s="1"/>
  <c r="AW1002" i="7" s="1"/>
  <c r="X1002" i="7"/>
  <c r="AK1001" i="7"/>
  <c r="AS1001" i="7" s="1"/>
  <c r="AU1001" i="7" s="1"/>
  <c r="AW1001" i="7" s="1"/>
  <c r="X1001" i="7"/>
  <c r="AK1000" i="7"/>
  <c r="AS1000" i="7" s="1"/>
  <c r="AU1000" i="7" s="1"/>
  <c r="AW1000" i="7" s="1"/>
  <c r="X1000" i="7"/>
  <c r="AK999" i="7"/>
  <c r="AS999" i="7" s="1"/>
  <c r="AU999" i="7" s="1"/>
  <c r="AW999" i="7" s="1"/>
  <c r="X999" i="7"/>
  <c r="AK998" i="7"/>
  <c r="AS998" i="7" s="1"/>
  <c r="AU998" i="7" s="1"/>
  <c r="AW998" i="7" s="1"/>
  <c r="X998" i="7"/>
  <c r="AK997" i="7"/>
  <c r="AS997" i="7" s="1"/>
  <c r="AU997" i="7" s="1"/>
  <c r="AW997" i="7" s="1"/>
  <c r="X997" i="7"/>
  <c r="AK996" i="7"/>
  <c r="AS996" i="7" s="1"/>
  <c r="AU996" i="7" s="1"/>
  <c r="AW996" i="7" s="1"/>
  <c r="X996" i="7"/>
  <c r="AK995" i="7"/>
  <c r="AS995" i="7" s="1"/>
  <c r="AU995" i="7" s="1"/>
  <c r="AW995" i="7" s="1"/>
  <c r="X995" i="7"/>
  <c r="AK994" i="7"/>
  <c r="AS994" i="7" s="1"/>
  <c r="AU994" i="7" s="1"/>
  <c r="AW994" i="7" s="1"/>
  <c r="X994" i="7"/>
  <c r="AK993" i="7"/>
  <c r="X993" i="7"/>
  <c r="AK992" i="7"/>
  <c r="AS992" i="7" s="1"/>
  <c r="AU992" i="7" s="1"/>
  <c r="AW992" i="7" s="1"/>
  <c r="X992" i="7"/>
  <c r="AK991" i="7"/>
  <c r="AS991" i="7" s="1"/>
  <c r="AU991" i="7" s="1"/>
  <c r="AW991" i="7" s="1"/>
  <c r="X991" i="7"/>
  <c r="AK990" i="7"/>
  <c r="AS990" i="7" s="1"/>
  <c r="AU990" i="7" s="1"/>
  <c r="AW990" i="7" s="1"/>
  <c r="X990" i="7"/>
  <c r="AT989" i="7"/>
  <c r="AT988" i="7" s="1"/>
  <c r="AR989" i="7"/>
  <c r="AR988" i="7" s="1"/>
  <c r="AQ989" i="7"/>
  <c r="AQ988" i="7" s="1"/>
  <c r="AP989" i="7"/>
  <c r="AP988" i="7" s="1"/>
  <c r="AO989" i="7"/>
  <c r="AO988" i="7" s="1"/>
  <c r="AN989" i="7"/>
  <c r="AN988" i="7" s="1"/>
  <c r="AM989" i="7"/>
  <c r="AM988" i="7" s="1"/>
  <c r="AL989" i="7"/>
  <c r="AL988" i="7" s="1"/>
  <c r="AJ989" i="7"/>
  <c r="AJ988" i="7" s="1"/>
  <c r="AI989" i="7"/>
  <c r="AI988" i="7" s="1"/>
  <c r="AH989" i="7"/>
  <c r="AH988" i="7" s="1"/>
  <c r="AG989" i="7"/>
  <c r="AG988" i="7" s="1"/>
  <c r="AF989" i="7"/>
  <c r="AF988" i="7" s="1"/>
  <c r="AE989" i="7"/>
  <c r="AE988" i="7" s="1"/>
  <c r="AD989" i="7"/>
  <c r="AD988" i="7" s="1"/>
  <c r="AC989" i="7"/>
  <c r="AC988" i="7" s="1"/>
  <c r="AB989" i="7"/>
  <c r="AB988" i="7" s="1"/>
  <c r="AA989" i="7"/>
  <c r="AA988" i="7" s="1"/>
  <c r="Z989" i="7"/>
  <c r="Z988" i="7" s="1"/>
  <c r="Y989" i="7"/>
  <c r="Y988" i="7" s="1"/>
  <c r="W989" i="7"/>
  <c r="W988" i="7" s="1"/>
  <c r="V989" i="7"/>
  <c r="V988" i="7" s="1"/>
  <c r="U989" i="7"/>
  <c r="U988" i="7" s="1"/>
  <c r="BL988" i="7"/>
  <c r="BI988" i="7"/>
  <c r="BH988" i="7"/>
  <c r="BG988" i="7"/>
  <c r="BF988" i="7"/>
  <c r="BB988" i="7"/>
  <c r="AY988" i="7"/>
  <c r="T988" i="7"/>
  <c r="S988" i="7"/>
  <c r="AK983" i="7"/>
  <c r="AK982" i="7" s="1"/>
  <c r="X983" i="7"/>
  <c r="AT982" i="7"/>
  <c r="AT981" i="7" s="1"/>
  <c r="AR982" i="7"/>
  <c r="AR981" i="7" s="1"/>
  <c r="AQ982" i="7"/>
  <c r="AQ981" i="7" s="1"/>
  <c r="AP982" i="7"/>
  <c r="AP981" i="7" s="1"/>
  <c r="AO982" i="7"/>
  <c r="AO981" i="7" s="1"/>
  <c r="AN982" i="7"/>
  <c r="AN981" i="7" s="1"/>
  <c r="AM982" i="7"/>
  <c r="AM981" i="7" s="1"/>
  <c r="AL982" i="7"/>
  <c r="AL981" i="7" s="1"/>
  <c r="BM981" i="7" s="1"/>
  <c r="AJ982" i="7"/>
  <c r="AJ981" i="7" s="1"/>
  <c r="AI982" i="7"/>
  <c r="AI981" i="7" s="1"/>
  <c r="AH982" i="7"/>
  <c r="AH981" i="7" s="1"/>
  <c r="AG982" i="7"/>
  <c r="AG981" i="7" s="1"/>
  <c r="AF982" i="7"/>
  <c r="AF981" i="7" s="1"/>
  <c r="AE982" i="7"/>
  <c r="AE981" i="7" s="1"/>
  <c r="AD982" i="7"/>
  <c r="AD981" i="7" s="1"/>
  <c r="AC982" i="7"/>
  <c r="AC981" i="7" s="1"/>
  <c r="AB982" i="7"/>
  <c r="AB981" i="7" s="1"/>
  <c r="AA982" i="7"/>
  <c r="AA981" i="7" s="1"/>
  <c r="Z982" i="7"/>
  <c r="Z981" i="7" s="1"/>
  <c r="Y982" i="7"/>
  <c r="Y981" i="7" s="1"/>
  <c r="W982" i="7"/>
  <c r="W981" i="7" s="1"/>
  <c r="V982" i="7"/>
  <c r="V981" i="7" s="1"/>
  <c r="U982" i="7"/>
  <c r="U981" i="7" s="1"/>
  <c r="BL981" i="7"/>
  <c r="BI981" i="7"/>
  <c r="BH981" i="7"/>
  <c r="BG981" i="7"/>
  <c r="BF981" i="7"/>
  <c r="BB981" i="7"/>
  <c r="AY981" i="7"/>
  <c r="T981" i="7"/>
  <c r="S981" i="7"/>
  <c r="AK980" i="7"/>
  <c r="X980" i="7"/>
  <c r="AT979" i="7"/>
  <c r="AT978" i="7" s="1"/>
  <c r="AR979" i="7"/>
  <c r="AR978" i="7" s="1"/>
  <c r="AQ979" i="7"/>
  <c r="AQ978" i="7" s="1"/>
  <c r="AP979" i="7"/>
  <c r="AP978" i="7" s="1"/>
  <c r="AO979" i="7"/>
  <c r="AO978" i="7" s="1"/>
  <c r="AN979" i="7"/>
  <c r="AN978" i="7" s="1"/>
  <c r="AM979" i="7"/>
  <c r="AM978" i="7" s="1"/>
  <c r="AL979" i="7"/>
  <c r="AL978" i="7" s="1"/>
  <c r="AJ979" i="7"/>
  <c r="AJ978" i="7" s="1"/>
  <c r="AI979" i="7"/>
  <c r="AI978" i="7" s="1"/>
  <c r="AH979" i="7"/>
  <c r="AH978" i="7" s="1"/>
  <c r="AG979" i="7"/>
  <c r="AG978" i="7" s="1"/>
  <c r="AF979" i="7"/>
  <c r="AF978" i="7" s="1"/>
  <c r="AE979" i="7"/>
  <c r="AE978" i="7" s="1"/>
  <c r="AD979" i="7"/>
  <c r="AD978" i="7" s="1"/>
  <c r="AC979" i="7"/>
  <c r="AC978" i="7" s="1"/>
  <c r="AB979" i="7"/>
  <c r="AB978" i="7" s="1"/>
  <c r="AA979" i="7"/>
  <c r="AA978" i="7" s="1"/>
  <c r="Z979" i="7"/>
  <c r="Z978" i="7" s="1"/>
  <c r="Y979" i="7"/>
  <c r="Y978" i="7" s="1"/>
  <c r="W979" i="7"/>
  <c r="W978" i="7" s="1"/>
  <c r="V979" i="7"/>
  <c r="V978" i="7" s="1"/>
  <c r="U979" i="7"/>
  <c r="BL978" i="7"/>
  <c r="BI978" i="7"/>
  <c r="BH978" i="7"/>
  <c r="BG978" i="7"/>
  <c r="BF978" i="7"/>
  <c r="BB978" i="7"/>
  <c r="AY978" i="7"/>
  <c r="T978" i="7"/>
  <c r="S978" i="7"/>
  <c r="AK977" i="7"/>
  <c r="AK976" i="7" s="1"/>
  <c r="BJ976" i="7" s="1"/>
  <c r="BK976" i="7" s="1"/>
  <c r="X977" i="7"/>
  <c r="AT976" i="7"/>
  <c r="AR976" i="7"/>
  <c r="AQ976" i="7"/>
  <c r="AP976" i="7"/>
  <c r="AO976" i="7"/>
  <c r="AN976" i="7"/>
  <c r="AM976" i="7"/>
  <c r="AL976" i="7"/>
  <c r="AJ976" i="7"/>
  <c r="AI976" i="7"/>
  <c r="AH976" i="7"/>
  <c r="AG976" i="7"/>
  <c r="AF976" i="7"/>
  <c r="AE976" i="7"/>
  <c r="AD976" i="7"/>
  <c r="AC976" i="7"/>
  <c r="AB976" i="7"/>
  <c r="AA976" i="7"/>
  <c r="Z976" i="7"/>
  <c r="Y976" i="7"/>
  <c r="W976" i="7"/>
  <c r="V976" i="7"/>
  <c r="U976" i="7"/>
  <c r="BH975" i="7"/>
  <c r="AK975" i="7"/>
  <c r="X975" i="7"/>
  <c r="BH974" i="7"/>
  <c r="BH973" i="7" s="1"/>
  <c r="AK974" i="7"/>
  <c r="AS974" i="7" s="1"/>
  <c r="X974" i="7"/>
  <c r="BL973" i="7"/>
  <c r="BI973" i="7"/>
  <c r="BG973" i="7"/>
  <c r="BF973" i="7"/>
  <c r="BB973" i="7"/>
  <c r="AT973" i="7"/>
  <c r="AR973" i="7"/>
  <c r="AQ973" i="7"/>
  <c r="AP973" i="7"/>
  <c r="AO973" i="7"/>
  <c r="AN973" i="7"/>
  <c r="AM973" i="7"/>
  <c r="AL973" i="7"/>
  <c r="AJ973" i="7"/>
  <c r="AI973" i="7"/>
  <c r="AH973" i="7"/>
  <c r="AG973" i="7"/>
  <c r="AF973" i="7"/>
  <c r="AE973" i="7"/>
  <c r="AD973" i="7"/>
  <c r="AC973" i="7"/>
  <c r="AB973" i="7"/>
  <c r="AA973" i="7"/>
  <c r="Z973" i="7"/>
  <c r="Y973" i="7"/>
  <c r="W973" i="7"/>
  <c r="V973" i="7"/>
  <c r="U973" i="7"/>
  <c r="T973" i="7"/>
  <c r="S973" i="7"/>
  <c r="AK972" i="7"/>
  <c r="AS972" i="7" s="1"/>
  <c r="X972" i="7"/>
  <c r="AK971" i="7"/>
  <c r="X971" i="7"/>
  <c r="BL970" i="7"/>
  <c r="BH970" i="7"/>
  <c r="BG970" i="7"/>
  <c r="BF970" i="7"/>
  <c r="BB970" i="7"/>
  <c r="AT970" i="7"/>
  <c r="AR970" i="7"/>
  <c r="AQ970" i="7"/>
  <c r="AP970" i="7"/>
  <c r="AO970" i="7"/>
  <c r="AN970" i="7"/>
  <c r="AM970" i="7"/>
  <c r="AL970" i="7"/>
  <c r="AJ970" i="7"/>
  <c r="AI970" i="7"/>
  <c r="AH970" i="7"/>
  <c r="AG970" i="7"/>
  <c r="AF970" i="7"/>
  <c r="AE970" i="7"/>
  <c r="AD970" i="7"/>
  <c r="AC970" i="7"/>
  <c r="AB970" i="7"/>
  <c r="AA970" i="7"/>
  <c r="Z970" i="7"/>
  <c r="Y970" i="7"/>
  <c r="W970" i="7"/>
  <c r="V970" i="7"/>
  <c r="U970" i="7"/>
  <c r="T970" i="7"/>
  <c r="S970" i="7"/>
  <c r="AY969" i="7"/>
  <c r="AS968" i="7"/>
  <c r="AU968" i="7" s="1"/>
  <c r="AW968" i="7" s="1"/>
  <c r="X968" i="7"/>
  <c r="AT967" i="7"/>
  <c r="AR967" i="7"/>
  <c r="AQ967" i="7"/>
  <c r="AP967" i="7"/>
  <c r="AO967" i="7"/>
  <c r="AN967" i="7"/>
  <c r="AM967" i="7"/>
  <c r="AL967" i="7"/>
  <c r="AK967" i="7"/>
  <c r="BJ967" i="7" s="1"/>
  <c r="BK967" i="7" s="1"/>
  <c r="AJ967" i="7"/>
  <c r="AI967" i="7"/>
  <c r="AH967" i="7"/>
  <c r="AG967" i="7"/>
  <c r="AF967" i="7"/>
  <c r="AE967" i="7"/>
  <c r="AD967" i="7"/>
  <c r="AC967" i="7"/>
  <c r="AB967" i="7"/>
  <c r="AA967" i="7"/>
  <c r="Z967" i="7"/>
  <c r="Y967" i="7"/>
  <c r="W967" i="7"/>
  <c r="V967" i="7"/>
  <c r="U967" i="7"/>
  <c r="AK966" i="7"/>
  <c r="X966" i="7"/>
  <c r="AT965" i="7"/>
  <c r="AR965" i="7"/>
  <c r="AQ965" i="7"/>
  <c r="AP965" i="7"/>
  <c r="AO965" i="7"/>
  <c r="AN965" i="7"/>
  <c r="AM965" i="7"/>
  <c r="AL965" i="7"/>
  <c r="AJ965" i="7"/>
  <c r="AI965" i="7"/>
  <c r="AH965" i="7"/>
  <c r="AG965" i="7"/>
  <c r="AF965" i="7"/>
  <c r="AE965" i="7"/>
  <c r="AD965" i="7"/>
  <c r="AC965" i="7"/>
  <c r="AB965" i="7"/>
  <c r="AA965" i="7"/>
  <c r="Z965" i="7"/>
  <c r="Y965" i="7"/>
  <c r="W965" i="7"/>
  <c r="V965" i="7"/>
  <c r="U965" i="7"/>
  <c r="BL964" i="7"/>
  <c r="BI964" i="7"/>
  <c r="BH964" i="7"/>
  <c r="BG964" i="7"/>
  <c r="BF964" i="7"/>
  <c r="BB964" i="7"/>
  <c r="AY964" i="7"/>
  <c r="T964" i="7"/>
  <c r="S964" i="7"/>
  <c r="AK963" i="7"/>
  <c r="AS963" i="7" s="1"/>
  <c r="AU963" i="7" s="1"/>
  <c r="AW963" i="7" s="1"/>
  <c r="X963" i="7"/>
  <c r="AT962" i="7"/>
  <c r="AT961" i="7" s="1"/>
  <c r="AR962" i="7"/>
  <c r="AR961" i="7" s="1"/>
  <c r="AQ962" i="7"/>
  <c r="AQ961" i="7" s="1"/>
  <c r="AP962" i="7"/>
  <c r="AP961" i="7" s="1"/>
  <c r="AO962" i="7"/>
  <c r="AO961" i="7" s="1"/>
  <c r="AN962" i="7"/>
  <c r="AN961" i="7" s="1"/>
  <c r="AM962" i="7"/>
  <c r="AM961" i="7" s="1"/>
  <c r="AL962" i="7"/>
  <c r="AL961" i="7" s="1"/>
  <c r="BM961" i="7" s="1"/>
  <c r="AJ962" i="7"/>
  <c r="AJ961" i="7" s="1"/>
  <c r="AI962" i="7"/>
  <c r="AI961" i="7" s="1"/>
  <c r="AH962" i="7"/>
  <c r="AH961" i="7" s="1"/>
  <c r="AG962" i="7"/>
  <c r="AG961" i="7" s="1"/>
  <c r="AF962" i="7"/>
  <c r="AF961" i="7" s="1"/>
  <c r="AE962" i="7"/>
  <c r="AE961" i="7" s="1"/>
  <c r="AD962" i="7"/>
  <c r="AD961" i="7" s="1"/>
  <c r="AC962" i="7"/>
  <c r="AC961" i="7" s="1"/>
  <c r="AB962" i="7"/>
  <c r="AB961" i="7" s="1"/>
  <c r="AA962" i="7"/>
  <c r="AA961" i="7" s="1"/>
  <c r="Z962" i="7"/>
  <c r="Z961" i="7" s="1"/>
  <c r="Y962" i="7"/>
  <c r="Y961" i="7" s="1"/>
  <c r="W962" i="7"/>
  <c r="W961" i="7" s="1"/>
  <c r="V962" i="7"/>
  <c r="V961" i="7" s="1"/>
  <c r="U962" i="7"/>
  <c r="BL961" i="7"/>
  <c r="BI961" i="7"/>
  <c r="BH961" i="7"/>
  <c r="BG961" i="7"/>
  <c r="BF961" i="7"/>
  <c r="BB961" i="7"/>
  <c r="AY961" i="7"/>
  <c r="T961" i="7"/>
  <c r="S961" i="7"/>
  <c r="BN960" i="7"/>
  <c r="BN9" i="7" s="1"/>
  <c r="BM960" i="7"/>
  <c r="BL960" i="7"/>
  <c r="BL9" i="7" s="1"/>
  <c r="BI960" i="7"/>
  <c r="BI9" i="7" s="1"/>
  <c r="BH960" i="7"/>
  <c r="BH9" i="7" s="1"/>
  <c r="AY960" i="7"/>
  <c r="AY9" i="7" s="1"/>
  <c r="AT960" i="7"/>
  <c r="AT9" i="7" s="1"/>
  <c r="AR960" i="7"/>
  <c r="AR9" i="7" s="1"/>
  <c r="AQ960" i="7"/>
  <c r="AQ9" i="7" s="1"/>
  <c r="AP960" i="7"/>
  <c r="AP9" i="7" s="1"/>
  <c r="AO960" i="7"/>
  <c r="AO9" i="7" s="1"/>
  <c r="AN960" i="7"/>
  <c r="AN9" i="7" s="1"/>
  <c r="AM960" i="7"/>
  <c r="AM9" i="7" s="1"/>
  <c r="AL960" i="7"/>
  <c r="AL9" i="7" s="1"/>
  <c r="AJ960" i="7"/>
  <c r="AJ9" i="7" s="1"/>
  <c r="AI960" i="7"/>
  <c r="AI9" i="7" s="1"/>
  <c r="AH960" i="7"/>
  <c r="AH9" i="7" s="1"/>
  <c r="AG960" i="7"/>
  <c r="AF960" i="7"/>
  <c r="AF9" i="7" s="1"/>
  <c r="AE960" i="7"/>
  <c r="AE9" i="7" s="1"/>
  <c r="AD960" i="7"/>
  <c r="AD9" i="7" s="1"/>
  <c r="AC960" i="7"/>
  <c r="AC9" i="7" s="1"/>
  <c r="AB960" i="7"/>
  <c r="AB9" i="7" s="1"/>
  <c r="AA960" i="7"/>
  <c r="AA9" i="7" s="1"/>
  <c r="Z960" i="7"/>
  <c r="Z9" i="7" s="1"/>
  <c r="Y960" i="7"/>
  <c r="Y9" i="7" s="1"/>
  <c r="W960" i="7"/>
  <c r="W9" i="7" s="1"/>
  <c r="V960" i="7"/>
  <c r="V9" i="7" s="1"/>
  <c r="U960" i="7"/>
  <c r="U9" i="7" s="1"/>
  <c r="T960" i="7"/>
  <c r="T9" i="7" s="1"/>
  <c r="S960" i="7"/>
  <c r="S9" i="7" s="1"/>
  <c r="BB959" i="7"/>
  <c r="S958" i="7"/>
  <c r="AY958" i="7" s="1"/>
  <c r="AY897" i="7" s="1"/>
  <c r="AY896" i="7" s="1"/>
  <c r="AY815" i="7" s="1"/>
  <c r="AK957" i="7"/>
  <c r="AS957" i="7" s="1"/>
  <c r="AU957" i="7" s="1"/>
  <c r="AW957" i="7" s="1"/>
  <c r="X957" i="7"/>
  <c r="AK956" i="7"/>
  <c r="AS956" i="7" s="1"/>
  <c r="AU956" i="7" s="1"/>
  <c r="AW956" i="7" s="1"/>
  <c r="X956" i="7"/>
  <c r="AK955" i="7"/>
  <c r="AS955" i="7" s="1"/>
  <c r="AU955" i="7" s="1"/>
  <c r="AW955" i="7" s="1"/>
  <c r="X955" i="7"/>
  <c r="AK954" i="7"/>
  <c r="AS954" i="7" s="1"/>
  <c r="AU954" i="7" s="1"/>
  <c r="AW954" i="7" s="1"/>
  <c r="X954" i="7"/>
  <c r="AK953" i="7"/>
  <c r="AS953" i="7" s="1"/>
  <c r="AU953" i="7" s="1"/>
  <c r="AW953" i="7" s="1"/>
  <c r="X953" i="7"/>
  <c r="AK952" i="7"/>
  <c r="AS952" i="7" s="1"/>
  <c r="AU952" i="7" s="1"/>
  <c r="AW952" i="7" s="1"/>
  <c r="X952" i="7"/>
  <c r="AK951" i="7"/>
  <c r="AS951" i="7" s="1"/>
  <c r="AU951" i="7" s="1"/>
  <c r="AW951" i="7" s="1"/>
  <c r="X951" i="7"/>
  <c r="AK950" i="7"/>
  <c r="AS950" i="7" s="1"/>
  <c r="AU950" i="7" s="1"/>
  <c r="AW950" i="7" s="1"/>
  <c r="X950" i="7"/>
  <c r="AK949" i="7"/>
  <c r="AS949" i="7" s="1"/>
  <c r="AU949" i="7" s="1"/>
  <c r="AW949" i="7" s="1"/>
  <c r="X949" i="7"/>
  <c r="AK948" i="7"/>
  <c r="AS948" i="7" s="1"/>
  <c r="AU948" i="7" s="1"/>
  <c r="AW948" i="7" s="1"/>
  <c r="X948" i="7"/>
  <c r="AK947" i="7"/>
  <c r="AS947" i="7" s="1"/>
  <c r="AU947" i="7" s="1"/>
  <c r="AW947" i="7" s="1"/>
  <c r="X947" i="7"/>
  <c r="AK946" i="7"/>
  <c r="AS946" i="7" s="1"/>
  <c r="AU946" i="7" s="1"/>
  <c r="AW946" i="7" s="1"/>
  <c r="X946" i="7"/>
  <c r="AK945" i="7"/>
  <c r="AS945" i="7" s="1"/>
  <c r="AU945" i="7" s="1"/>
  <c r="AW945" i="7" s="1"/>
  <c r="X945" i="7"/>
  <c r="AK944" i="7"/>
  <c r="AS944" i="7" s="1"/>
  <c r="AU944" i="7" s="1"/>
  <c r="AW944" i="7" s="1"/>
  <c r="X944" i="7"/>
  <c r="AK943" i="7"/>
  <c r="AS943" i="7" s="1"/>
  <c r="AU943" i="7" s="1"/>
  <c r="AW943" i="7" s="1"/>
  <c r="X943" i="7"/>
  <c r="AK942" i="7"/>
  <c r="AS942" i="7" s="1"/>
  <c r="AU942" i="7" s="1"/>
  <c r="AW942" i="7" s="1"/>
  <c r="X942" i="7"/>
  <c r="AK941" i="7"/>
  <c r="AS941" i="7" s="1"/>
  <c r="AU941" i="7" s="1"/>
  <c r="AW941" i="7" s="1"/>
  <c r="X941" i="7"/>
  <c r="AK940" i="7"/>
  <c r="AS940" i="7" s="1"/>
  <c r="AU940" i="7" s="1"/>
  <c r="AW940" i="7" s="1"/>
  <c r="X940" i="7"/>
  <c r="AK939" i="7"/>
  <c r="AS939" i="7" s="1"/>
  <c r="AU939" i="7" s="1"/>
  <c r="AW939" i="7" s="1"/>
  <c r="X939" i="7"/>
  <c r="AK938" i="7"/>
  <c r="AS938" i="7" s="1"/>
  <c r="AU938" i="7" s="1"/>
  <c r="AW938" i="7" s="1"/>
  <c r="X938" i="7"/>
  <c r="AK937" i="7"/>
  <c r="AS937" i="7" s="1"/>
  <c r="AU937" i="7" s="1"/>
  <c r="AW937" i="7" s="1"/>
  <c r="X937" i="7"/>
  <c r="AK936" i="7"/>
  <c r="AS936" i="7" s="1"/>
  <c r="AU936" i="7" s="1"/>
  <c r="AW936" i="7" s="1"/>
  <c r="X936" i="7"/>
  <c r="AK935" i="7"/>
  <c r="AS935" i="7" s="1"/>
  <c r="AU935" i="7" s="1"/>
  <c r="AW935" i="7" s="1"/>
  <c r="X935" i="7"/>
  <c r="AK934" i="7"/>
  <c r="AS934" i="7" s="1"/>
  <c r="AU934" i="7" s="1"/>
  <c r="AW934" i="7" s="1"/>
  <c r="X934" i="7"/>
  <c r="AK933" i="7"/>
  <c r="AS933" i="7" s="1"/>
  <c r="AU933" i="7" s="1"/>
  <c r="AW933" i="7" s="1"/>
  <c r="X933" i="7"/>
  <c r="AK932" i="7"/>
  <c r="AS932" i="7" s="1"/>
  <c r="AU932" i="7" s="1"/>
  <c r="AW932" i="7" s="1"/>
  <c r="X932" i="7"/>
  <c r="AK931" i="7"/>
  <c r="AS931" i="7" s="1"/>
  <c r="AU931" i="7" s="1"/>
  <c r="AW931" i="7" s="1"/>
  <c r="X931" i="7"/>
  <c r="AK930" i="7"/>
  <c r="AS930" i="7" s="1"/>
  <c r="AU930" i="7" s="1"/>
  <c r="AW930" i="7" s="1"/>
  <c r="X930" i="7"/>
  <c r="AK929" i="7"/>
  <c r="AS929" i="7" s="1"/>
  <c r="AU929" i="7" s="1"/>
  <c r="AW929" i="7" s="1"/>
  <c r="X929" i="7"/>
  <c r="AK928" i="7"/>
  <c r="AS928" i="7" s="1"/>
  <c r="AU928" i="7" s="1"/>
  <c r="AW928" i="7" s="1"/>
  <c r="X928" i="7"/>
  <c r="AK927" i="7"/>
  <c r="AS927" i="7" s="1"/>
  <c r="AU927" i="7" s="1"/>
  <c r="AW927" i="7" s="1"/>
  <c r="X927" i="7"/>
  <c r="AK926" i="7"/>
  <c r="AS926" i="7" s="1"/>
  <c r="AU926" i="7" s="1"/>
  <c r="AW926" i="7" s="1"/>
  <c r="X926" i="7"/>
  <c r="AK925" i="7"/>
  <c r="AS925" i="7" s="1"/>
  <c r="AU925" i="7" s="1"/>
  <c r="AW925" i="7" s="1"/>
  <c r="X925" i="7"/>
  <c r="AK924" i="7"/>
  <c r="AS924" i="7" s="1"/>
  <c r="AU924" i="7" s="1"/>
  <c r="AW924" i="7" s="1"/>
  <c r="X924" i="7"/>
  <c r="AK923" i="7"/>
  <c r="AS923" i="7" s="1"/>
  <c r="AU923" i="7" s="1"/>
  <c r="AW923" i="7" s="1"/>
  <c r="X923" i="7"/>
  <c r="AK922" i="7"/>
  <c r="AS922" i="7" s="1"/>
  <c r="AU922" i="7" s="1"/>
  <c r="AW922" i="7" s="1"/>
  <c r="X922" i="7"/>
  <c r="AK921" i="7"/>
  <c r="AS921" i="7" s="1"/>
  <c r="AU921" i="7" s="1"/>
  <c r="AW921" i="7" s="1"/>
  <c r="X921" i="7"/>
  <c r="AK920" i="7"/>
  <c r="AS920" i="7" s="1"/>
  <c r="AU920" i="7" s="1"/>
  <c r="AW920" i="7" s="1"/>
  <c r="X920" i="7"/>
  <c r="AK919" i="7"/>
  <c r="AS919" i="7" s="1"/>
  <c r="AU919" i="7" s="1"/>
  <c r="AW919" i="7" s="1"/>
  <c r="X919" i="7"/>
  <c r="AK918" i="7"/>
  <c r="AS918" i="7" s="1"/>
  <c r="AU918" i="7" s="1"/>
  <c r="AW918" i="7" s="1"/>
  <c r="X918" i="7"/>
  <c r="AK917" i="7"/>
  <c r="AS917" i="7" s="1"/>
  <c r="AU917" i="7" s="1"/>
  <c r="AW917" i="7" s="1"/>
  <c r="X917" i="7"/>
  <c r="AK916" i="7"/>
  <c r="AS916" i="7" s="1"/>
  <c r="AU916" i="7" s="1"/>
  <c r="AW916" i="7" s="1"/>
  <c r="X916" i="7"/>
  <c r="AK915" i="7"/>
  <c r="AS915" i="7" s="1"/>
  <c r="AU915" i="7" s="1"/>
  <c r="AW915" i="7" s="1"/>
  <c r="X915" i="7"/>
  <c r="AK914" i="7"/>
  <c r="AS914" i="7" s="1"/>
  <c r="AU914" i="7" s="1"/>
  <c r="AW914" i="7" s="1"/>
  <c r="X914" i="7"/>
  <c r="AK913" i="7"/>
  <c r="AS913" i="7" s="1"/>
  <c r="AU913" i="7" s="1"/>
  <c r="AW913" i="7" s="1"/>
  <c r="X913" i="7"/>
  <c r="AK912" i="7"/>
  <c r="AS912" i="7" s="1"/>
  <c r="AU912" i="7" s="1"/>
  <c r="AW912" i="7" s="1"/>
  <c r="X912" i="7"/>
  <c r="AK911" i="7"/>
  <c r="AS911" i="7" s="1"/>
  <c r="AU911" i="7" s="1"/>
  <c r="AW911" i="7" s="1"/>
  <c r="X911" i="7"/>
  <c r="AK910" i="7"/>
  <c r="AS910" i="7" s="1"/>
  <c r="AU910" i="7" s="1"/>
  <c r="AW910" i="7" s="1"/>
  <c r="X910" i="7"/>
  <c r="AK909" i="7"/>
  <c r="AS909" i="7" s="1"/>
  <c r="AU909" i="7" s="1"/>
  <c r="AW909" i="7" s="1"/>
  <c r="X909" i="7"/>
  <c r="AK908" i="7"/>
  <c r="AS908" i="7" s="1"/>
  <c r="AU908" i="7" s="1"/>
  <c r="AW908" i="7" s="1"/>
  <c r="X908" i="7"/>
  <c r="AK907" i="7"/>
  <c r="AS907" i="7" s="1"/>
  <c r="AU907" i="7" s="1"/>
  <c r="AW907" i="7" s="1"/>
  <c r="X907" i="7"/>
  <c r="AK906" i="7"/>
  <c r="AS906" i="7" s="1"/>
  <c r="AU906" i="7" s="1"/>
  <c r="AW906" i="7" s="1"/>
  <c r="X906" i="7"/>
  <c r="AK905" i="7"/>
  <c r="AS905" i="7" s="1"/>
  <c r="AU905" i="7" s="1"/>
  <c r="AW905" i="7" s="1"/>
  <c r="X905" i="7"/>
  <c r="AK904" i="7"/>
  <c r="AS904" i="7" s="1"/>
  <c r="AU904" i="7" s="1"/>
  <c r="AW904" i="7" s="1"/>
  <c r="X904" i="7"/>
  <c r="AK903" i="7"/>
  <c r="AS903" i="7" s="1"/>
  <c r="AU903" i="7" s="1"/>
  <c r="AW903" i="7" s="1"/>
  <c r="X903" i="7"/>
  <c r="AK902" i="7"/>
  <c r="AS902" i="7" s="1"/>
  <c r="AU902" i="7" s="1"/>
  <c r="AW902" i="7" s="1"/>
  <c r="X902" i="7"/>
  <c r="AK901" i="7"/>
  <c r="AS901" i="7" s="1"/>
  <c r="AU901" i="7" s="1"/>
  <c r="AW901" i="7" s="1"/>
  <c r="X901" i="7"/>
  <c r="AK900" i="7"/>
  <c r="X900" i="7"/>
  <c r="AK899" i="7"/>
  <c r="AS899" i="7" s="1"/>
  <c r="AU899" i="7" s="1"/>
  <c r="AW899" i="7" s="1"/>
  <c r="X899" i="7"/>
  <c r="AK898" i="7"/>
  <c r="AS898" i="7" s="1"/>
  <c r="AU898" i="7" s="1"/>
  <c r="AW898" i="7" s="1"/>
  <c r="X898" i="7"/>
  <c r="AT897" i="7"/>
  <c r="AT896" i="7" s="1"/>
  <c r="AT815" i="7" s="1"/>
  <c r="AR897" i="7"/>
  <c r="AR896" i="7" s="1"/>
  <c r="AR815" i="7" s="1"/>
  <c r="AQ897" i="7"/>
  <c r="AQ896" i="7" s="1"/>
  <c r="AQ815" i="7" s="1"/>
  <c r="AP897" i="7"/>
  <c r="AP896" i="7" s="1"/>
  <c r="AP815" i="7" s="1"/>
  <c r="AO897" i="7"/>
  <c r="AO896" i="7" s="1"/>
  <c r="AO815" i="7" s="1"/>
  <c r="AN897" i="7"/>
  <c r="AN896" i="7" s="1"/>
  <c r="AN815" i="7" s="1"/>
  <c r="AM897" i="7"/>
  <c r="AM896" i="7" s="1"/>
  <c r="AM815" i="7" s="1"/>
  <c r="AL897" i="7"/>
  <c r="AL896" i="7" s="1"/>
  <c r="AL815" i="7" s="1"/>
  <c r="AJ897" i="7"/>
  <c r="AJ896" i="7" s="1"/>
  <c r="AJ815" i="7" s="1"/>
  <c r="AI897" i="7"/>
  <c r="AI896" i="7" s="1"/>
  <c r="AI815" i="7" s="1"/>
  <c r="AH897" i="7"/>
  <c r="AH896" i="7" s="1"/>
  <c r="AH815" i="7" s="1"/>
  <c r="AG897" i="7"/>
  <c r="AG896" i="7" s="1"/>
  <c r="AG815" i="7" s="1"/>
  <c r="AF897" i="7"/>
  <c r="AF896" i="7" s="1"/>
  <c r="AF815" i="7" s="1"/>
  <c r="AE897" i="7"/>
  <c r="AE896" i="7" s="1"/>
  <c r="AE815" i="7" s="1"/>
  <c r="AD897" i="7"/>
  <c r="AD896" i="7" s="1"/>
  <c r="AD815" i="7" s="1"/>
  <c r="AC897" i="7"/>
  <c r="AC896" i="7" s="1"/>
  <c r="AC815" i="7" s="1"/>
  <c r="AB897" i="7"/>
  <c r="AB896" i="7" s="1"/>
  <c r="AB815" i="7" s="1"/>
  <c r="AA897" i="7"/>
  <c r="AA896" i="7" s="1"/>
  <c r="AA815" i="7" s="1"/>
  <c r="Z897" i="7"/>
  <c r="Z896" i="7" s="1"/>
  <c r="Z815" i="7" s="1"/>
  <c r="Y897" i="7"/>
  <c r="Y896" i="7" s="1"/>
  <c r="Y815" i="7" s="1"/>
  <c r="W897" i="7"/>
  <c r="W896" i="7" s="1"/>
  <c r="W815" i="7" s="1"/>
  <c r="V897" i="7"/>
  <c r="V896" i="7" s="1"/>
  <c r="V815" i="7" s="1"/>
  <c r="U897" i="7"/>
  <c r="U896" i="7" s="1"/>
  <c r="U815" i="7" s="1"/>
  <c r="BM896" i="7"/>
  <c r="BL896" i="7"/>
  <c r="BL815" i="7" s="1"/>
  <c r="BI896" i="7"/>
  <c r="BI815" i="7" s="1"/>
  <c r="BH896" i="7"/>
  <c r="BH815" i="7" s="1"/>
  <c r="BG896" i="7"/>
  <c r="BG815" i="7" s="1"/>
  <c r="BF896" i="7"/>
  <c r="BF815" i="7" s="1"/>
  <c r="BB896" i="7"/>
  <c r="T896" i="7"/>
  <c r="T815" i="7" s="1"/>
  <c r="S896" i="7"/>
  <c r="S815" i="7" s="1"/>
  <c r="AK895" i="7"/>
  <c r="AS895" i="7" s="1"/>
  <c r="AU895" i="7" s="1"/>
  <c r="AW895" i="7" s="1"/>
  <c r="X895" i="7"/>
  <c r="AK894" i="7"/>
  <c r="AS894" i="7" s="1"/>
  <c r="AU894" i="7" s="1"/>
  <c r="AW894" i="7" s="1"/>
  <c r="X894" i="7"/>
  <c r="AK893" i="7"/>
  <c r="AS893" i="7" s="1"/>
  <c r="AU893" i="7" s="1"/>
  <c r="AW893" i="7" s="1"/>
  <c r="X893" i="7"/>
  <c r="AK892" i="7"/>
  <c r="X892" i="7"/>
  <c r="AK891" i="7"/>
  <c r="AS891" i="7" s="1"/>
  <c r="AU891" i="7" s="1"/>
  <c r="AW891" i="7" s="1"/>
  <c r="X891" i="7"/>
  <c r="AT890" i="7"/>
  <c r="AR890" i="7"/>
  <c r="AQ890" i="7"/>
  <c r="AP890" i="7"/>
  <c r="AO890" i="7"/>
  <c r="AN890" i="7"/>
  <c r="AM890" i="7"/>
  <c r="AL890" i="7"/>
  <c r="AJ890" i="7"/>
  <c r="AI890" i="7"/>
  <c r="AH890" i="7"/>
  <c r="AG890" i="7"/>
  <c r="AF890" i="7"/>
  <c r="AE890" i="7"/>
  <c r="AD890" i="7"/>
  <c r="AC890" i="7"/>
  <c r="AB890" i="7"/>
  <c r="AA890" i="7"/>
  <c r="Z890" i="7"/>
  <c r="Y890" i="7"/>
  <c r="W890" i="7"/>
  <c r="V890" i="7"/>
  <c r="U890" i="7"/>
  <c r="AK889" i="7"/>
  <c r="X889" i="7"/>
  <c r="AT888" i="7"/>
  <c r="AR888" i="7"/>
  <c r="AQ888" i="7"/>
  <c r="AP888" i="7"/>
  <c r="AO888" i="7"/>
  <c r="AN888" i="7"/>
  <c r="AM888" i="7"/>
  <c r="AL888" i="7"/>
  <c r="AJ888" i="7"/>
  <c r="AI888" i="7"/>
  <c r="AH888" i="7"/>
  <c r="AG888" i="7"/>
  <c r="AF888" i="7"/>
  <c r="AE888" i="7"/>
  <c r="AD888" i="7"/>
  <c r="AC888" i="7"/>
  <c r="AB888" i="7"/>
  <c r="AA888" i="7"/>
  <c r="Z888" i="7"/>
  <c r="Y888" i="7"/>
  <c r="W888" i="7"/>
  <c r="V888" i="7"/>
  <c r="U888" i="7"/>
  <c r="BL887" i="7"/>
  <c r="BI887" i="7"/>
  <c r="BH887" i="7"/>
  <c r="BG887" i="7"/>
  <c r="BF887" i="7"/>
  <c r="BB887" i="7"/>
  <c r="AY887" i="7"/>
  <c r="T887" i="7"/>
  <c r="S887" i="7"/>
  <c r="X886" i="7"/>
  <c r="S886" i="7"/>
  <c r="AK885" i="7"/>
  <c r="AS885" i="7" s="1"/>
  <c r="AU885" i="7" s="1"/>
  <c r="AW885" i="7" s="1"/>
  <c r="X885" i="7"/>
  <c r="AK884" i="7"/>
  <c r="AS884" i="7" s="1"/>
  <c r="AU884" i="7" s="1"/>
  <c r="AW884" i="7" s="1"/>
  <c r="X884" i="7"/>
  <c r="AK883" i="7"/>
  <c r="AS883" i="7" s="1"/>
  <c r="AU883" i="7" s="1"/>
  <c r="AW883" i="7" s="1"/>
  <c r="X883" i="7"/>
  <c r="AK882" i="7"/>
  <c r="AS882" i="7" s="1"/>
  <c r="AU882" i="7" s="1"/>
  <c r="AW882" i="7" s="1"/>
  <c r="X882" i="7"/>
  <c r="AK881" i="7"/>
  <c r="AS881" i="7" s="1"/>
  <c r="AU881" i="7" s="1"/>
  <c r="AW881" i="7" s="1"/>
  <c r="X881" i="7"/>
  <c r="AK880" i="7"/>
  <c r="AS880" i="7" s="1"/>
  <c r="AU880" i="7" s="1"/>
  <c r="AW880" i="7" s="1"/>
  <c r="X880" i="7"/>
  <c r="AK879" i="7"/>
  <c r="AS879" i="7" s="1"/>
  <c r="AU879" i="7" s="1"/>
  <c r="AW879" i="7" s="1"/>
  <c r="X879" i="7"/>
  <c r="AK878" i="7"/>
  <c r="AS878" i="7" s="1"/>
  <c r="AU878" i="7" s="1"/>
  <c r="AW878" i="7" s="1"/>
  <c r="X878" i="7"/>
  <c r="AK877" i="7"/>
  <c r="AS877" i="7" s="1"/>
  <c r="AU877" i="7" s="1"/>
  <c r="AW877" i="7" s="1"/>
  <c r="X877" i="7"/>
  <c r="AK876" i="7"/>
  <c r="AS876" i="7" s="1"/>
  <c r="AU876" i="7" s="1"/>
  <c r="AW876" i="7" s="1"/>
  <c r="X876" i="7"/>
  <c r="AK875" i="7"/>
  <c r="AS875" i="7" s="1"/>
  <c r="AU875" i="7" s="1"/>
  <c r="AW875" i="7" s="1"/>
  <c r="X875" i="7"/>
  <c r="AK874" i="7"/>
  <c r="AS874" i="7" s="1"/>
  <c r="AU874" i="7" s="1"/>
  <c r="AW874" i="7" s="1"/>
  <c r="X874" i="7"/>
  <c r="AK873" i="7"/>
  <c r="AS873" i="7" s="1"/>
  <c r="AU873" i="7" s="1"/>
  <c r="AW873" i="7" s="1"/>
  <c r="X873" i="7"/>
  <c r="AK872" i="7"/>
  <c r="AS872" i="7" s="1"/>
  <c r="AU872" i="7" s="1"/>
  <c r="AW872" i="7" s="1"/>
  <c r="X872" i="7"/>
  <c r="AK871" i="7"/>
  <c r="AS871" i="7" s="1"/>
  <c r="X871" i="7"/>
  <c r="AK870" i="7"/>
  <c r="AS870" i="7" s="1"/>
  <c r="AU870" i="7" s="1"/>
  <c r="AW870" i="7" s="1"/>
  <c r="X870" i="7"/>
  <c r="AK869" i="7"/>
  <c r="AS869" i="7" s="1"/>
  <c r="AU869" i="7" s="1"/>
  <c r="AW869" i="7" s="1"/>
  <c r="X869" i="7"/>
  <c r="AK868" i="7"/>
  <c r="AS868" i="7" s="1"/>
  <c r="AU868" i="7" s="1"/>
  <c r="AW868" i="7" s="1"/>
  <c r="X868" i="7"/>
  <c r="AK867" i="7"/>
  <c r="AS867" i="7" s="1"/>
  <c r="AU867" i="7" s="1"/>
  <c r="AW867" i="7" s="1"/>
  <c r="X867" i="7"/>
  <c r="AK866" i="7"/>
  <c r="AS866" i="7" s="1"/>
  <c r="AU866" i="7" s="1"/>
  <c r="AW866" i="7" s="1"/>
  <c r="X866" i="7"/>
  <c r="AK865" i="7"/>
  <c r="AS865" i="7" s="1"/>
  <c r="AU865" i="7" s="1"/>
  <c r="AW865" i="7" s="1"/>
  <c r="X865" i="7"/>
  <c r="AK864" i="7"/>
  <c r="AS864" i="7" s="1"/>
  <c r="AU864" i="7" s="1"/>
  <c r="AW864" i="7" s="1"/>
  <c r="X864" i="7"/>
  <c r="AK863" i="7"/>
  <c r="AS863" i="7" s="1"/>
  <c r="AU863" i="7" s="1"/>
  <c r="AW863" i="7" s="1"/>
  <c r="X863" i="7"/>
  <c r="AK862" i="7"/>
  <c r="AS862" i="7" s="1"/>
  <c r="AU862" i="7" s="1"/>
  <c r="AW862" i="7" s="1"/>
  <c r="X862" i="7"/>
  <c r="AK861" i="7"/>
  <c r="X861" i="7"/>
  <c r="AK860" i="7"/>
  <c r="AS860" i="7" s="1"/>
  <c r="AU860" i="7" s="1"/>
  <c r="AW860" i="7" s="1"/>
  <c r="X860" i="7"/>
  <c r="AK859" i="7"/>
  <c r="AS859" i="7" s="1"/>
  <c r="AU859" i="7" s="1"/>
  <c r="AW859" i="7" s="1"/>
  <c r="X859" i="7"/>
  <c r="AT858" i="7"/>
  <c r="AT857" i="7" s="1"/>
  <c r="AR858" i="7"/>
  <c r="AR857" i="7" s="1"/>
  <c r="AQ858" i="7"/>
  <c r="AQ857" i="7" s="1"/>
  <c r="AP858" i="7"/>
  <c r="AP857" i="7" s="1"/>
  <c r="AO858" i="7"/>
  <c r="AO857" i="7" s="1"/>
  <c r="AN858" i="7"/>
  <c r="AN857" i="7" s="1"/>
  <c r="AM858" i="7"/>
  <c r="AM857" i="7" s="1"/>
  <c r="AL858" i="7"/>
  <c r="AL857" i="7" s="1"/>
  <c r="BM857" i="7" s="1"/>
  <c r="AJ858" i="7"/>
  <c r="AJ857" i="7" s="1"/>
  <c r="AI858" i="7"/>
  <c r="AI857" i="7" s="1"/>
  <c r="AH858" i="7"/>
  <c r="AH857" i="7" s="1"/>
  <c r="AG858" i="7"/>
  <c r="AG857" i="7" s="1"/>
  <c r="AF858" i="7"/>
  <c r="AF857" i="7" s="1"/>
  <c r="AE858" i="7"/>
  <c r="AE857" i="7" s="1"/>
  <c r="AD858" i="7"/>
  <c r="AD857" i="7" s="1"/>
  <c r="AC858" i="7"/>
  <c r="AC857" i="7" s="1"/>
  <c r="AB858" i="7"/>
  <c r="AB857" i="7" s="1"/>
  <c r="AA858" i="7"/>
  <c r="AA857" i="7" s="1"/>
  <c r="Z858" i="7"/>
  <c r="Z857" i="7" s="1"/>
  <c r="Y858" i="7"/>
  <c r="Y857" i="7" s="1"/>
  <c r="W858" i="7"/>
  <c r="W857" i="7" s="1"/>
  <c r="V858" i="7"/>
  <c r="V857" i="7" s="1"/>
  <c r="U858" i="7"/>
  <c r="BL857" i="7"/>
  <c r="BI857" i="7"/>
  <c r="BH857" i="7"/>
  <c r="BG857" i="7"/>
  <c r="BF857" i="7"/>
  <c r="BB857" i="7"/>
  <c r="AY857" i="7"/>
  <c r="T857" i="7"/>
  <c r="S857" i="7"/>
  <c r="AK856" i="7"/>
  <c r="AS856" i="7" s="1"/>
  <c r="X856" i="7"/>
  <c r="AK855" i="7"/>
  <c r="AS855" i="7" s="1"/>
  <c r="X855" i="7"/>
  <c r="AK854" i="7"/>
  <c r="AS854" i="7" s="1"/>
  <c r="X854" i="7"/>
  <c r="AK853" i="7"/>
  <c r="AS853" i="7" s="1"/>
  <c r="X853" i="7"/>
  <c r="AK852" i="7"/>
  <c r="AS852" i="7" s="1"/>
  <c r="X852" i="7"/>
  <c r="AK851" i="7"/>
  <c r="AS851" i="7" s="1"/>
  <c r="AY851" i="7" s="1"/>
  <c r="X851" i="7"/>
  <c r="AK850" i="7"/>
  <c r="AS850" i="7" s="1"/>
  <c r="X850" i="7"/>
  <c r="AK849" i="7"/>
  <c r="X849" i="7"/>
  <c r="AT847" i="7"/>
  <c r="AR847" i="7"/>
  <c r="AQ847" i="7"/>
  <c r="AP847" i="7"/>
  <c r="AO847" i="7"/>
  <c r="AN847" i="7"/>
  <c r="AM847" i="7"/>
  <c r="AL847" i="7"/>
  <c r="AJ847" i="7"/>
  <c r="AI847" i="7"/>
  <c r="AH847" i="7"/>
  <c r="AG847" i="7"/>
  <c r="AF847" i="7"/>
  <c r="AE847" i="7"/>
  <c r="AD847" i="7"/>
  <c r="AC847" i="7"/>
  <c r="AB847" i="7"/>
  <c r="AA847" i="7"/>
  <c r="Z847" i="7"/>
  <c r="Y847" i="7"/>
  <c r="W847" i="7"/>
  <c r="V847" i="7"/>
  <c r="U847" i="7"/>
  <c r="AR846" i="7"/>
  <c r="AS846" i="7" s="1"/>
  <c r="AU846" i="7" s="1"/>
  <c r="AW846" i="7" s="1"/>
  <c r="X846" i="7"/>
  <c r="AK845" i="7"/>
  <c r="X845" i="7"/>
  <c r="T845" i="7"/>
  <c r="AT843" i="7"/>
  <c r="AR843" i="7"/>
  <c r="AQ843" i="7"/>
  <c r="AP843" i="7"/>
  <c r="AO843" i="7"/>
  <c r="AN843" i="7"/>
  <c r="AM843" i="7"/>
  <c r="AL843" i="7"/>
  <c r="AJ843" i="7"/>
  <c r="AI843" i="7"/>
  <c r="AH843" i="7"/>
  <c r="AG843" i="7"/>
  <c r="AF843" i="7"/>
  <c r="AE843" i="7"/>
  <c r="AD843" i="7"/>
  <c r="AC843" i="7"/>
  <c r="AB843" i="7"/>
  <c r="AA843" i="7"/>
  <c r="Z843" i="7"/>
  <c r="Y843" i="7"/>
  <c r="W843" i="7"/>
  <c r="V843" i="7"/>
  <c r="U843" i="7"/>
  <c r="BL842" i="7"/>
  <c r="BI842" i="7"/>
  <c r="BH842" i="7"/>
  <c r="BG842" i="7"/>
  <c r="BF842" i="7"/>
  <c r="BB842" i="7"/>
  <c r="T842" i="7"/>
  <c r="S842" i="7"/>
  <c r="AK841" i="7"/>
  <c r="X841" i="7"/>
  <c r="AT840" i="7"/>
  <c r="AR840" i="7"/>
  <c r="AQ840" i="7"/>
  <c r="AP840" i="7"/>
  <c r="AO840" i="7"/>
  <c r="AN840" i="7"/>
  <c r="AM840" i="7"/>
  <c r="AL840" i="7"/>
  <c r="AJ840" i="7"/>
  <c r="AI840" i="7"/>
  <c r="AH840" i="7"/>
  <c r="AG840" i="7"/>
  <c r="AF840" i="7"/>
  <c r="AE840" i="7"/>
  <c r="AD840" i="7"/>
  <c r="AC840" i="7"/>
  <c r="AB840" i="7"/>
  <c r="AA840" i="7"/>
  <c r="Z840" i="7"/>
  <c r="Y840" i="7"/>
  <c r="W840" i="7"/>
  <c r="V840" i="7"/>
  <c r="U840" i="7"/>
  <c r="U834" i="7" s="1"/>
  <c r="AK839" i="7"/>
  <c r="AS839" i="7" s="1"/>
  <c r="AU839" i="7" s="1"/>
  <c r="AW839" i="7" s="1"/>
  <c r="X839" i="7"/>
  <c r="AK838" i="7"/>
  <c r="AS838" i="7" s="1"/>
  <c r="AU838" i="7" s="1"/>
  <c r="AW838" i="7" s="1"/>
  <c r="X838" i="7"/>
  <c r="AK837" i="7"/>
  <c r="AS837" i="7" s="1"/>
  <c r="AU837" i="7" s="1"/>
  <c r="AW837" i="7" s="1"/>
  <c r="X837" i="7"/>
  <c r="AK836" i="7"/>
  <c r="AS836" i="7" s="1"/>
  <c r="AU836" i="7" s="1"/>
  <c r="AW836" i="7" s="1"/>
  <c r="X836" i="7"/>
  <c r="AK835" i="7"/>
  <c r="AT835" i="7" s="1"/>
  <c r="AT833" i="7" s="1"/>
  <c r="X835" i="7"/>
  <c r="AK834" i="7"/>
  <c r="AR833" i="7"/>
  <c r="AQ833" i="7"/>
  <c r="AP833" i="7"/>
  <c r="AO833" i="7"/>
  <c r="AN833" i="7"/>
  <c r="AM833" i="7"/>
  <c r="AL833" i="7"/>
  <c r="AJ833" i="7"/>
  <c r="AI833" i="7"/>
  <c r="AH833" i="7"/>
  <c r="AG833" i="7"/>
  <c r="AF833" i="7"/>
  <c r="AE833" i="7"/>
  <c r="AD833" i="7"/>
  <c r="AC833" i="7"/>
  <c r="AB833" i="7"/>
  <c r="AA833" i="7"/>
  <c r="Z833" i="7"/>
  <c r="Y833" i="7"/>
  <c r="W833" i="7"/>
  <c r="V833" i="7"/>
  <c r="BL832" i="7"/>
  <c r="BI832" i="7"/>
  <c r="BH832" i="7"/>
  <c r="BG832" i="7"/>
  <c r="BF832" i="7"/>
  <c r="BB832" i="7"/>
  <c r="T832" i="7"/>
  <c r="S832" i="7"/>
  <c r="AK831" i="7"/>
  <c r="AS831" i="7" s="1"/>
  <c r="AU831" i="7" s="1"/>
  <c r="AW831" i="7" s="1"/>
  <c r="X831" i="7"/>
  <c r="AT830" i="7"/>
  <c r="AT829" i="7" s="1"/>
  <c r="AR830" i="7"/>
  <c r="AR829" i="7" s="1"/>
  <c r="AQ830" i="7"/>
  <c r="AQ829" i="7" s="1"/>
  <c r="AP830" i="7"/>
  <c r="AP829" i="7" s="1"/>
  <c r="AO830" i="7"/>
  <c r="AO829" i="7" s="1"/>
  <c r="AN830" i="7"/>
  <c r="AN829" i="7" s="1"/>
  <c r="AM830" i="7"/>
  <c r="AM829" i="7" s="1"/>
  <c r="AL830" i="7"/>
  <c r="AL829" i="7" s="1"/>
  <c r="BM829" i="7" s="1"/>
  <c r="AJ830" i="7"/>
  <c r="AJ829" i="7" s="1"/>
  <c r="AI830" i="7"/>
  <c r="AI829" i="7" s="1"/>
  <c r="AH830" i="7"/>
  <c r="AH829" i="7" s="1"/>
  <c r="AG830" i="7"/>
  <c r="AG829" i="7" s="1"/>
  <c r="AF830" i="7"/>
  <c r="AF829" i="7" s="1"/>
  <c r="AE830" i="7"/>
  <c r="AE829" i="7" s="1"/>
  <c r="AD830" i="7"/>
  <c r="AD829" i="7" s="1"/>
  <c r="AC830" i="7"/>
  <c r="AC829" i="7" s="1"/>
  <c r="AB830" i="7"/>
  <c r="AB829" i="7" s="1"/>
  <c r="AA830" i="7"/>
  <c r="AA829" i="7" s="1"/>
  <c r="Z830" i="7"/>
  <c r="Z829" i="7" s="1"/>
  <c r="Y830" i="7"/>
  <c r="Y829" i="7" s="1"/>
  <c r="W830" i="7"/>
  <c r="W829" i="7" s="1"/>
  <c r="V830" i="7"/>
  <c r="U830" i="7"/>
  <c r="BL829" i="7"/>
  <c r="BI829" i="7"/>
  <c r="BH829" i="7"/>
  <c r="BG829" i="7"/>
  <c r="BF829" i="7"/>
  <c r="BB829" i="7"/>
  <c r="T829" i="7"/>
  <c r="S829" i="7"/>
  <c r="X828" i="7"/>
  <c r="AK827" i="7"/>
  <c r="AS827" i="7" s="1"/>
  <c r="AU827" i="7" s="1"/>
  <c r="AW827" i="7" s="1"/>
  <c r="X827" i="7"/>
  <c r="AK826" i="7"/>
  <c r="AS826" i="7" s="1"/>
  <c r="AU826" i="7" s="1"/>
  <c r="AW826" i="7" s="1"/>
  <c r="X826" i="7"/>
  <c r="AK825" i="7"/>
  <c r="AS825" i="7" s="1"/>
  <c r="AU825" i="7" s="1"/>
  <c r="AW825" i="7" s="1"/>
  <c r="X825" i="7"/>
  <c r="AK824" i="7"/>
  <c r="AS824" i="7" s="1"/>
  <c r="AU824" i="7" s="1"/>
  <c r="AW824" i="7" s="1"/>
  <c r="X824" i="7"/>
  <c r="X823" i="7"/>
  <c r="AK822" i="7"/>
  <c r="AS822" i="7" s="1"/>
  <c r="AU822" i="7" s="1"/>
  <c r="AW822" i="7" s="1"/>
  <c r="X822" i="7"/>
  <c r="AK821" i="7"/>
  <c r="AT821" i="7" s="1"/>
  <c r="AT818" i="7" s="1"/>
  <c r="AT817" i="7" s="1"/>
  <c r="X821" i="7"/>
  <c r="AK820" i="7"/>
  <c r="AS820" i="7" s="1"/>
  <c r="AU820" i="7" s="1"/>
  <c r="AW820" i="7" s="1"/>
  <c r="X820" i="7"/>
  <c r="AY818" i="7"/>
  <c r="AY817" i="7" s="1"/>
  <c r="AR818" i="7"/>
  <c r="AQ818" i="7"/>
  <c r="AP818" i="7"/>
  <c r="AP817" i="7" s="1"/>
  <c r="AO818" i="7"/>
  <c r="AO817" i="7" s="1"/>
  <c r="AN818" i="7"/>
  <c r="AN817" i="7" s="1"/>
  <c r="AM818" i="7"/>
  <c r="AM817" i="7" s="1"/>
  <c r="AL818" i="7"/>
  <c r="AJ818" i="7"/>
  <c r="AJ817" i="7" s="1"/>
  <c r="AI818" i="7"/>
  <c r="AI817" i="7" s="1"/>
  <c r="AH818" i="7"/>
  <c r="AH817" i="7" s="1"/>
  <c r="AG818" i="7"/>
  <c r="AG817" i="7" s="1"/>
  <c r="AF818" i="7"/>
  <c r="AF817" i="7" s="1"/>
  <c r="AE818" i="7"/>
  <c r="AE817" i="7" s="1"/>
  <c r="AD818" i="7"/>
  <c r="AD817" i="7" s="1"/>
  <c r="AC818" i="7"/>
  <c r="AC817" i="7" s="1"/>
  <c r="AB818" i="7"/>
  <c r="AB817" i="7" s="1"/>
  <c r="AA818" i="7"/>
  <c r="AA817" i="7" s="1"/>
  <c r="Z818" i="7"/>
  <c r="Z817" i="7" s="1"/>
  <c r="Y818" i="7"/>
  <c r="Y817" i="7" s="1"/>
  <c r="W818" i="7"/>
  <c r="W817" i="7" s="1"/>
  <c r="V818" i="7"/>
  <c r="V817" i="7" s="1"/>
  <c r="U818" i="7"/>
  <c r="U817" i="7" s="1"/>
  <c r="BL817" i="7"/>
  <c r="BI817" i="7"/>
  <c r="BH817" i="7"/>
  <c r="BG817" i="7"/>
  <c r="BF817" i="7"/>
  <c r="BB817" i="7"/>
  <c r="AR817" i="7"/>
  <c r="AQ817" i="7"/>
  <c r="AL817" i="7"/>
  <c r="BM817" i="7" s="1"/>
  <c r="T817" i="7"/>
  <c r="S817" i="7"/>
  <c r="AK814" i="7"/>
  <c r="X814" i="7"/>
  <c r="AT813" i="7"/>
  <c r="AT812" i="7" s="1"/>
  <c r="AR813" i="7"/>
  <c r="AR812" i="7" s="1"/>
  <c r="AQ813" i="7"/>
  <c r="AQ812" i="7" s="1"/>
  <c r="AP813" i="7"/>
  <c r="AP812" i="7" s="1"/>
  <c r="AO813" i="7"/>
  <c r="AO812" i="7" s="1"/>
  <c r="AN813" i="7"/>
  <c r="AN812" i="7" s="1"/>
  <c r="AM813" i="7"/>
  <c r="AM812" i="7" s="1"/>
  <c r="AL813" i="7"/>
  <c r="AL812" i="7" s="1"/>
  <c r="BM812" i="7" s="1"/>
  <c r="AJ813" i="7"/>
  <c r="AJ812" i="7" s="1"/>
  <c r="AI813" i="7"/>
  <c r="AI812" i="7" s="1"/>
  <c r="AH813" i="7"/>
  <c r="AH812" i="7" s="1"/>
  <c r="AG813" i="7"/>
  <c r="AG812" i="7" s="1"/>
  <c r="AF813" i="7"/>
  <c r="AF812" i="7" s="1"/>
  <c r="AE813" i="7"/>
  <c r="AE812" i="7" s="1"/>
  <c r="AD813" i="7"/>
  <c r="AD812" i="7" s="1"/>
  <c r="AC813" i="7"/>
  <c r="AC812" i="7" s="1"/>
  <c r="AB813" i="7"/>
  <c r="AB812" i="7" s="1"/>
  <c r="AA813" i="7"/>
  <c r="AA812" i="7" s="1"/>
  <c r="Z813" i="7"/>
  <c r="Z812" i="7" s="1"/>
  <c r="Y813" i="7"/>
  <c r="Y812" i="7" s="1"/>
  <c r="W813" i="7"/>
  <c r="W812" i="7" s="1"/>
  <c r="V813" i="7"/>
  <c r="V812" i="7" s="1"/>
  <c r="U813" i="7"/>
  <c r="BL812" i="7"/>
  <c r="BI812" i="7"/>
  <c r="BH812" i="7"/>
  <c r="BG812" i="7"/>
  <c r="BF812" i="7"/>
  <c r="BB812" i="7"/>
  <c r="AY812" i="7"/>
  <c r="T812" i="7"/>
  <c r="S812" i="7"/>
  <c r="AK811" i="7"/>
  <c r="AS811" i="7" s="1"/>
  <c r="AU811" i="7" s="1"/>
  <c r="AW811" i="7" s="1"/>
  <c r="X811" i="7"/>
  <c r="AK810" i="7"/>
  <c r="AS810" i="7" s="1"/>
  <c r="AU810" i="7" s="1"/>
  <c r="AW810" i="7" s="1"/>
  <c r="X810" i="7"/>
  <c r="AK809" i="7"/>
  <c r="AS809" i="7" s="1"/>
  <c r="X809" i="7"/>
  <c r="AK808" i="7"/>
  <c r="AS808" i="7" s="1"/>
  <c r="AU808" i="7" s="1"/>
  <c r="AW808" i="7" s="1"/>
  <c r="X808" i="7"/>
  <c r="AK807" i="7"/>
  <c r="AT807" i="7" s="1"/>
  <c r="X807" i="7"/>
  <c r="AK806" i="7"/>
  <c r="AS806" i="7" s="1"/>
  <c r="X806" i="7"/>
  <c r="AK805" i="7"/>
  <c r="AS805" i="7" s="1"/>
  <c r="AU805" i="7" s="1"/>
  <c r="AW805" i="7" s="1"/>
  <c r="X805" i="7"/>
  <c r="AK804" i="7"/>
  <c r="AS804" i="7" s="1"/>
  <c r="AU804" i="7" s="1"/>
  <c r="AW804" i="7" s="1"/>
  <c r="X804" i="7"/>
  <c r="AK803" i="7"/>
  <c r="AS803" i="7" s="1"/>
  <c r="AU803" i="7" s="1"/>
  <c r="AW803" i="7" s="1"/>
  <c r="X803" i="7"/>
  <c r="AK802" i="7"/>
  <c r="AS802" i="7" s="1"/>
  <c r="AU802" i="7" s="1"/>
  <c r="AW802" i="7" s="1"/>
  <c r="X802" i="7"/>
  <c r="AK801" i="7"/>
  <c r="AS801" i="7" s="1"/>
  <c r="AU801" i="7" s="1"/>
  <c r="AW801" i="7" s="1"/>
  <c r="X801" i="7"/>
  <c r="AK800" i="7"/>
  <c r="AS800" i="7" s="1"/>
  <c r="AU800" i="7" s="1"/>
  <c r="AW800" i="7" s="1"/>
  <c r="X800" i="7"/>
  <c r="AK799" i="7"/>
  <c r="AS799" i="7" s="1"/>
  <c r="AU799" i="7" s="1"/>
  <c r="AW799" i="7" s="1"/>
  <c r="X799" i="7"/>
  <c r="AK798" i="7"/>
  <c r="AS798" i="7" s="1"/>
  <c r="X798" i="7"/>
  <c r="AK797" i="7"/>
  <c r="AS797" i="7" s="1"/>
  <c r="AU797" i="7" s="1"/>
  <c r="AW797" i="7" s="1"/>
  <c r="X797" i="7"/>
  <c r="AU796" i="7"/>
  <c r="AW796" i="7" s="1"/>
  <c r="X796" i="7"/>
  <c r="AK795" i="7"/>
  <c r="AT795" i="7" s="1"/>
  <c r="X795" i="7"/>
  <c r="AK794" i="7"/>
  <c r="X794" i="7"/>
  <c r="AR793" i="7"/>
  <c r="AQ793" i="7"/>
  <c r="AP793" i="7"/>
  <c r="AO793" i="7"/>
  <c r="AN793" i="7"/>
  <c r="AM793" i="7"/>
  <c r="AL793" i="7"/>
  <c r="AJ793" i="7"/>
  <c r="AI793" i="7"/>
  <c r="AH793" i="7"/>
  <c r="AG793" i="7"/>
  <c r="AF793" i="7"/>
  <c r="AE793" i="7"/>
  <c r="AD793" i="7"/>
  <c r="AC793" i="7"/>
  <c r="AB793" i="7"/>
  <c r="AA793" i="7"/>
  <c r="Z793" i="7"/>
  <c r="Y793" i="7"/>
  <c r="W793" i="7"/>
  <c r="V793" i="7"/>
  <c r="U793" i="7"/>
  <c r="AK792" i="7"/>
  <c r="AS792" i="7" s="1"/>
  <c r="AU792" i="7" s="1"/>
  <c r="AW792" i="7" s="1"/>
  <c r="X792" i="7"/>
  <c r="AK791" i="7"/>
  <c r="AS791" i="7" s="1"/>
  <c r="AU791" i="7" s="1"/>
  <c r="AW791" i="7" s="1"/>
  <c r="X791" i="7"/>
  <c r="AK790" i="7"/>
  <c r="AS790" i="7" s="1"/>
  <c r="AU790" i="7" s="1"/>
  <c r="AW790" i="7" s="1"/>
  <c r="X790" i="7"/>
  <c r="X789" i="7"/>
  <c r="AK788" i="7"/>
  <c r="AS788" i="7" s="1"/>
  <c r="AU788" i="7" s="1"/>
  <c r="AW788" i="7" s="1"/>
  <c r="X788" i="7"/>
  <c r="AK787" i="7"/>
  <c r="AS787" i="7" s="1"/>
  <c r="AU787" i="7" s="1"/>
  <c r="AW787" i="7" s="1"/>
  <c r="X787" i="7"/>
  <c r="AK786" i="7"/>
  <c r="AS786" i="7" s="1"/>
  <c r="AU786" i="7" s="1"/>
  <c r="AW786" i="7" s="1"/>
  <c r="X786" i="7"/>
  <c r="AK785" i="7"/>
  <c r="AS785" i="7" s="1"/>
  <c r="AU785" i="7" s="1"/>
  <c r="AW785" i="7" s="1"/>
  <c r="X785" i="7"/>
  <c r="AK784" i="7"/>
  <c r="AS784" i="7" s="1"/>
  <c r="AU784" i="7" s="1"/>
  <c r="AW784" i="7" s="1"/>
  <c r="X784" i="7"/>
  <c r="AK782" i="7"/>
  <c r="AS782" i="7" s="1"/>
  <c r="AU782" i="7" s="1"/>
  <c r="AW782" i="7" s="1"/>
  <c r="X782" i="7"/>
  <c r="AK781" i="7"/>
  <c r="AS781" i="7" s="1"/>
  <c r="AU781" i="7" s="1"/>
  <c r="AW781" i="7" s="1"/>
  <c r="X781" i="7"/>
  <c r="AK780" i="7"/>
  <c r="AS780" i="7" s="1"/>
  <c r="AU780" i="7" s="1"/>
  <c r="AW780" i="7" s="1"/>
  <c r="X780" i="7"/>
  <c r="AK779" i="7"/>
  <c r="AS779" i="7" s="1"/>
  <c r="AU779" i="7" s="1"/>
  <c r="AW779" i="7" s="1"/>
  <c r="X779" i="7"/>
  <c r="AK778" i="7"/>
  <c r="AS778" i="7" s="1"/>
  <c r="AU778" i="7" s="1"/>
  <c r="AW778" i="7" s="1"/>
  <c r="X778" i="7"/>
  <c r="AK777" i="7"/>
  <c r="AS777" i="7" s="1"/>
  <c r="AU777" i="7" s="1"/>
  <c r="AW777" i="7" s="1"/>
  <c r="X777" i="7"/>
  <c r="AK776" i="7"/>
  <c r="AS776" i="7" s="1"/>
  <c r="AU776" i="7" s="1"/>
  <c r="AW776" i="7" s="1"/>
  <c r="X776" i="7"/>
  <c r="AK775" i="7"/>
  <c r="AS775" i="7" s="1"/>
  <c r="AU775" i="7" s="1"/>
  <c r="AW775" i="7" s="1"/>
  <c r="X775" i="7"/>
  <c r="AK774" i="7"/>
  <c r="AS774" i="7" s="1"/>
  <c r="AU774" i="7" s="1"/>
  <c r="AW774" i="7" s="1"/>
  <c r="X774" i="7"/>
  <c r="AK773" i="7"/>
  <c r="AS773" i="7" s="1"/>
  <c r="AU773" i="7" s="1"/>
  <c r="AW773" i="7" s="1"/>
  <c r="X773" i="7"/>
  <c r="AK772" i="7"/>
  <c r="AS772" i="7" s="1"/>
  <c r="AU772" i="7" s="1"/>
  <c r="AW772" i="7" s="1"/>
  <c r="X772" i="7"/>
  <c r="AK771" i="7"/>
  <c r="AS771" i="7" s="1"/>
  <c r="AU771" i="7" s="1"/>
  <c r="AW771" i="7" s="1"/>
  <c r="X771" i="7"/>
  <c r="AK770" i="7"/>
  <c r="AS770" i="7" s="1"/>
  <c r="X770" i="7"/>
  <c r="AK769" i="7"/>
  <c r="AS769" i="7" s="1"/>
  <c r="AU769" i="7" s="1"/>
  <c r="AW769" i="7" s="1"/>
  <c r="X769" i="7"/>
  <c r="AK768" i="7"/>
  <c r="AS768" i="7" s="1"/>
  <c r="AU768" i="7" s="1"/>
  <c r="AW768" i="7" s="1"/>
  <c r="X768" i="7"/>
  <c r="AK767" i="7"/>
  <c r="AS767" i="7" s="1"/>
  <c r="AU767" i="7" s="1"/>
  <c r="AW767" i="7" s="1"/>
  <c r="X767" i="7"/>
  <c r="AK766" i="7"/>
  <c r="AS766" i="7" s="1"/>
  <c r="AU766" i="7" s="1"/>
  <c r="AW766" i="7" s="1"/>
  <c r="X766" i="7"/>
  <c r="AK765" i="7"/>
  <c r="AS765" i="7" s="1"/>
  <c r="AU765" i="7" s="1"/>
  <c r="AW765" i="7" s="1"/>
  <c r="X765" i="7"/>
  <c r="AK764" i="7"/>
  <c r="AS764" i="7" s="1"/>
  <c r="AU764" i="7" s="1"/>
  <c r="AW764" i="7" s="1"/>
  <c r="X764" i="7"/>
  <c r="AK763" i="7"/>
  <c r="AS763" i="7" s="1"/>
  <c r="AU763" i="7" s="1"/>
  <c r="AW763" i="7" s="1"/>
  <c r="X763" i="7"/>
  <c r="AK762" i="7"/>
  <c r="AS762" i="7" s="1"/>
  <c r="AU762" i="7" s="1"/>
  <c r="AW762" i="7" s="1"/>
  <c r="X762" i="7"/>
  <c r="AK761" i="7"/>
  <c r="AS761" i="7" s="1"/>
  <c r="AU761" i="7" s="1"/>
  <c r="AW761" i="7" s="1"/>
  <c r="X761" i="7"/>
  <c r="AU760" i="7"/>
  <c r="AW760" i="7" s="1"/>
  <c r="X760" i="7"/>
  <c r="AK759" i="7"/>
  <c r="AS759" i="7" s="1"/>
  <c r="AU759" i="7" s="1"/>
  <c r="AW759" i="7" s="1"/>
  <c r="X759" i="7"/>
  <c r="AK758" i="7"/>
  <c r="AS758" i="7" s="1"/>
  <c r="AU758" i="7" s="1"/>
  <c r="AW758" i="7" s="1"/>
  <c r="X758" i="7"/>
  <c r="AK757" i="7"/>
  <c r="AS757" i="7" s="1"/>
  <c r="AU757" i="7" s="1"/>
  <c r="AW757" i="7" s="1"/>
  <c r="X757" i="7"/>
  <c r="AK756" i="7"/>
  <c r="AS756" i="7" s="1"/>
  <c r="AU756" i="7" s="1"/>
  <c r="AW756" i="7" s="1"/>
  <c r="X756" i="7"/>
  <c r="AK755" i="7"/>
  <c r="AS755" i="7" s="1"/>
  <c r="AU755" i="7" s="1"/>
  <c r="AW755" i="7" s="1"/>
  <c r="X755" i="7"/>
  <c r="AK754" i="7"/>
  <c r="AS754" i="7" s="1"/>
  <c r="AU754" i="7" s="1"/>
  <c r="AW754" i="7" s="1"/>
  <c r="X754" i="7"/>
  <c r="AK753" i="7"/>
  <c r="AS753" i="7" s="1"/>
  <c r="AU753" i="7" s="1"/>
  <c r="AW753" i="7" s="1"/>
  <c r="X753" i="7"/>
  <c r="AK752" i="7"/>
  <c r="AS752" i="7" s="1"/>
  <c r="AU752" i="7" s="1"/>
  <c r="AW752" i="7" s="1"/>
  <c r="X752" i="7"/>
  <c r="AK751" i="7"/>
  <c r="AS751" i="7" s="1"/>
  <c r="AU751" i="7" s="1"/>
  <c r="AW751" i="7" s="1"/>
  <c r="X751" i="7"/>
  <c r="AK750" i="7"/>
  <c r="AS750" i="7" s="1"/>
  <c r="AU750" i="7" s="1"/>
  <c r="AW750" i="7" s="1"/>
  <c r="X750" i="7"/>
  <c r="AK749" i="7"/>
  <c r="AS749" i="7" s="1"/>
  <c r="AU749" i="7" s="1"/>
  <c r="AW749" i="7" s="1"/>
  <c r="X749" i="7"/>
  <c r="AK748" i="7"/>
  <c r="AS748" i="7" s="1"/>
  <c r="AU748" i="7" s="1"/>
  <c r="AW748" i="7" s="1"/>
  <c r="X748" i="7"/>
  <c r="AU747" i="7"/>
  <c r="AW747" i="7" s="1"/>
  <c r="X747" i="7"/>
  <c r="AK746" i="7"/>
  <c r="AS746" i="7" s="1"/>
  <c r="AU746" i="7" s="1"/>
  <c r="AW746" i="7" s="1"/>
  <c r="X746" i="7"/>
  <c r="AK745" i="7"/>
  <c r="AS745" i="7" s="1"/>
  <c r="AU745" i="7" s="1"/>
  <c r="AW745" i="7" s="1"/>
  <c r="X745" i="7"/>
  <c r="AK744" i="7"/>
  <c r="AS744" i="7" s="1"/>
  <c r="AU744" i="7" s="1"/>
  <c r="AW744" i="7" s="1"/>
  <c r="X744" i="7"/>
  <c r="AK743" i="7"/>
  <c r="AS743" i="7" s="1"/>
  <c r="AU743" i="7" s="1"/>
  <c r="AW743" i="7" s="1"/>
  <c r="X743" i="7"/>
  <c r="AK742" i="7"/>
  <c r="AS742" i="7" s="1"/>
  <c r="AU742" i="7" s="1"/>
  <c r="AW742" i="7" s="1"/>
  <c r="X742" i="7"/>
  <c r="AK741" i="7"/>
  <c r="AS741" i="7" s="1"/>
  <c r="AU741" i="7" s="1"/>
  <c r="AW741" i="7" s="1"/>
  <c r="X741" i="7"/>
  <c r="AK740" i="7"/>
  <c r="AS740" i="7" s="1"/>
  <c r="AU740" i="7" s="1"/>
  <c r="AW740" i="7" s="1"/>
  <c r="X740" i="7"/>
  <c r="AK739" i="7"/>
  <c r="AS739" i="7" s="1"/>
  <c r="AU739" i="7" s="1"/>
  <c r="AW739" i="7" s="1"/>
  <c r="X739" i="7"/>
  <c r="X738" i="7"/>
  <c r="AK737" i="7"/>
  <c r="AS737" i="7" s="1"/>
  <c r="AU737" i="7" s="1"/>
  <c r="AW737" i="7" s="1"/>
  <c r="X737" i="7"/>
  <c r="AK736" i="7"/>
  <c r="AS736" i="7" s="1"/>
  <c r="AU736" i="7" s="1"/>
  <c r="AW736" i="7" s="1"/>
  <c r="X736" i="7"/>
  <c r="AK735" i="7"/>
  <c r="AS735" i="7" s="1"/>
  <c r="AU735" i="7" s="1"/>
  <c r="AW735" i="7" s="1"/>
  <c r="X735" i="7"/>
  <c r="AK734" i="7"/>
  <c r="AS734" i="7" s="1"/>
  <c r="AU734" i="7" s="1"/>
  <c r="AW734" i="7" s="1"/>
  <c r="X734" i="7"/>
  <c r="AK733" i="7"/>
  <c r="AS733" i="7" s="1"/>
  <c r="AU733" i="7" s="1"/>
  <c r="AW733" i="7" s="1"/>
  <c r="X733" i="7"/>
  <c r="AK732" i="7"/>
  <c r="AS732" i="7" s="1"/>
  <c r="AU732" i="7" s="1"/>
  <c r="AW732" i="7" s="1"/>
  <c r="X732" i="7"/>
  <c r="AK731" i="7"/>
  <c r="AS731" i="7" s="1"/>
  <c r="AU731" i="7" s="1"/>
  <c r="AW731" i="7" s="1"/>
  <c r="X731" i="7"/>
  <c r="AK730" i="7"/>
  <c r="AS730" i="7" s="1"/>
  <c r="AU730" i="7" s="1"/>
  <c r="AW730" i="7" s="1"/>
  <c r="X730" i="7"/>
  <c r="AK729" i="7"/>
  <c r="AS729" i="7" s="1"/>
  <c r="AU729" i="7" s="1"/>
  <c r="AW729" i="7" s="1"/>
  <c r="X729" i="7"/>
  <c r="AK728" i="7"/>
  <c r="AS728" i="7" s="1"/>
  <c r="AU728" i="7" s="1"/>
  <c r="AW728" i="7" s="1"/>
  <c r="X728" i="7"/>
  <c r="AK727" i="7"/>
  <c r="AS727" i="7" s="1"/>
  <c r="AU727" i="7" s="1"/>
  <c r="AW727" i="7" s="1"/>
  <c r="X727" i="7"/>
  <c r="AK726" i="7"/>
  <c r="AS726" i="7" s="1"/>
  <c r="AU726" i="7" s="1"/>
  <c r="AW726" i="7" s="1"/>
  <c r="X726" i="7"/>
  <c r="AK725" i="7"/>
  <c r="AS725" i="7" s="1"/>
  <c r="AU725" i="7" s="1"/>
  <c r="AW725" i="7" s="1"/>
  <c r="X725" i="7"/>
  <c r="AK724" i="7"/>
  <c r="AS724" i="7" s="1"/>
  <c r="AU724" i="7" s="1"/>
  <c r="AW724" i="7" s="1"/>
  <c r="X724" i="7"/>
  <c r="AS723" i="7"/>
  <c r="AU723" i="7" s="1"/>
  <c r="AW723" i="7" s="1"/>
  <c r="X723" i="7"/>
  <c r="AK722" i="7"/>
  <c r="AS722" i="7" s="1"/>
  <c r="AU722" i="7" s="1"/>
  <c r="AW722" i="7" s="1"/>
  <c r="X722" i="7"/>
  <c r="AK721" i="7"/>
  <c r="AS721" i="7" s="1"/>
  <c r="X721" i="7"/>
  <c r="AT720" i="7"/>
  <c r="AR720" i="7"/>
  <c r="AQ720" i="7"/>
  <c r="AP720" i="7"/>
  <c r="AO720" i="7"/>
  <c r="AN720" i="7"/>
  <c r="AM720" i="7"/>
  <c r="AL720" i="7"/>
  <c r="AJ720" i="7"/>
  <c r="AI720" i="7"/>
  <c r="AH720" i="7"/>
  <c r="AG720" i="7"/>
  <c r="AF720" i="7"/>
  <c r="AE720" i="7"/>
  <c r="AD720" i="7"/>
  <c r="AC720" i="7"/>
  <c r="AB720" i="7"/>
  <c r="AA720" i="7"/>
  <c r="Z720" i="7"/>
  <c r="Y720" i="7"/>
  <c r="W720" i="7"/>
  <c r="V720" i="7"/>
  <c r="U720" i="7"/>
  <c r="AK719" i="7"/>
  <c r="AS719" i="7" s="1"/>
  <c r="AU719" i="7" s="1"/>
  <c r="AW719" i="7" s="1"/>
  <c r="X719" i="7"/>
  <c r="AK718" i="7"/>
  <c r="AS718" i="7" s="1"/>
  <c r="AU718" i="7" s="1"/>
  <c r="AW718" i="7" s="1"/>
  <c r="X718" i="7"/>
  <c r="AK717" i="7"/>
  <c r="AS717" i="7" s="1"/>
  <c r="AU717" i="7" s="1"/>
  <c r="AW717" i="7" s="1"/>
  <c r="X717" i="7"/>
  <c r="AK716" i="7"/>
  <c r="AS716" i="7" s="1"/>
  <c r="AU716" i="7" s="1"/>
  <c r="AW716" i="7" s="1"/>
  <c r="X716" i="7"/>
  <c r="AK715" i="7"/>
  <c r="AS715" i="7" s="1"/>
  <c r="AU715" i="7" s="1"/>
  <c r="AW715" i="7" s="1"/>
  <c r="X715" i="7"/>
  <c r="AK714" i="7"/>
  <c r="AS714" i="7" s="1"/>
  <c r="AU714" i="7" s="1"/>
  <c r="AW714" i="7" s="1"/>
  <c r="X714" i="7"/>
  <c r="AK713" i="7"/>
  <c r="AS713" i="7" s="1"/>
  <c r="AU713" i="7" s="1"/>
  <c r="AW713" i="7" s="1"/>
  <c r="X713" i="7"/>
  <c r="AK712" i="7"/>
  <c r="AS712" i="7" s="1"/>
  <c r="AU712" i="7" s="1"/>
  <c r="AW712" i="7" s="1"/>
  <c r="X712" i="7"/>
  <c r="AK711" i="7"/>
  <c r="AS711" i="7" s="1"/>
  <c r="AU711" i="7" s="1"/>
  <c r="AW711" i="7" s="1"/>
  <c r="X711" i="7"/>
  <c r="AK710" i="7"/>
  <c r="AS710" i="7" s="1"/>
  <c r="AU710" i="7" s="1"/>
  <c r="AW710" i="7" s="1"/>
  <c r="X710" i="7"/>
  <c r="AK709" i="7"/>
  <c r="AS709" i="7" s="1"/>
  <c r="AU709" i="7" s="1"/>
  <c r="AW709" i="7" s="1"/>
  <c r="X709" i="7"/>
  <c r="AK708" i="7"/>
  <c r="AS708" i="7" s="1"/>
  <c r="AU708" i="7" s="1"/>
  <c r="AW708" i="7" s="1"/>
  <c r="X708" i="7"/>
  <c r="AK707" i="7"/>
  <c r="AS707" i="7" s="1"/>
  <c r="AU707" i="7" s="1"/>
  <c r="AW707" i="7" s="1"/>
  <c r="X707" i="7"/>
  <c r="AK706" i="7"/>
  <c r="AS706" i="7" s="1"/>
  <c r="AU706" i="7" s="1"/>
  <c r="AW706" i="7" s="1"/>
  <c r="X706" i="7"/>
  <c r="AK705" i="7"/>
  <c r="AS705" i="7" s="1"/>
  <c r="AU705" i="7" s="1"/>
  <c r="AW705" i="7" s="1"/>
  <c r="X705" i="7"/>
  <c r="AK704" i="7"/>
  <c r="AS704" i="7" s="1"/>
  <c r="AU704" i="7" s="1"/>
  <c r="AW704" i="7" s="1"/>
  <c r="X704" i="7"/>
  <c r="AK703" i="7"/>
  <c r="AS703" i="7" s="1"/>
  <c r="AU703" i="7" s="1"/>
  <c r="AW703" i="7" s="1"/>
  <c r="X703" i="7"/>
  <c r="AK702" i="7"/>
  <c r="AS702" i="7" s="1"/>
  <c r="AU702" i="7" s="1"/>
  <c r="AW702" i="7" s="1"/>
  <c r="X702" i="7"/>
  <c r="AK701" i="7"/>
  <c r="AS701" i="7" s="1"/>
  <c r="X701" i="7"/>
  <c r="AK700" i="7"/>
  <c r="AS700" i="7" s="1"/>
  <c r="AX700" i="7" s="1"/>
  <c r="X700" i="7"/>
  <c r="AK699" i="7"/>
  <c r="AS699" i="7" s="1"/>
  <c r="AU699" i="7" s="1"/>
  <c r="AW699" i="7" s="1"/>
  <c r="X699" i="7"/>
  <c r="AK698" i="7"/>
  <c r="AS698" i="7" s="1"/>
  <c r="AU698" i="7" s="1"/>
  <c r="AW698" i="7" s="1"/>
  <c r="X698" i="7"/>
  <c r="AK697" i="7"/>
  <c r="AS697" i="7" s="1"/>
  <c r="AU697" i="7" s="1"/>
  <c r="AW697" i="7" s="1"/>
  <c r="X697" i="7"/>
  <c r="AK696" i="7"/>
  <c r="AS696" i="7" s="1"/>
  <c r="AU696" i="7" s="1"/>
  <c r="AW696" i="7" s="1"/>
  <c r="X696" i="7"/>
  <c r="AK695" i="7"/>
  <c r="AS695" i="7" s="1"/>
  <c r="AU695" i="7" s="1"/>
  <c r="AW695" i="7" s="1"/>
  <c r="X695" i="7"/>
  <c r="AK694" i="7"/>
  <c r="AS694" i="7" s="1"/>
  <c r="AU694" i="7" s="1"/>
  <c r="AW694" i="7" s="1"/>
  <c r="X694" i="7"/>
  <c r="AT693" i="7"/>
  <c r="AR693" i="7"/>
  <c r="AQ693" i="7"/>
  <c r="AP693" i="7"/>
  <c r="AO693" i="7"/>
  <c r="AN693" i="7"/>
  <c r="AM693" i="7"/>
  <c r="AL693" i="7"/>
  <c r="AJ693" i="7"/>
  <c r="AI693" i="7"/>
  <c r="AH693" i="7"/>
  <c r="AG693" i="7"/>
  <c r="AF693" i="7"/>
  <c r="AE693" i="7"/>
  <c r="AD693" i="7"/>
  <c r="AC693" i="7"/>
  <c r="AB693" i="7"/>
  <c r="AA693" i="7"/>
  <c r="Z693" i="7"/>
  <c r="Y693" i="7"/>
  <c r="W693" i="7"/>
  <c r="V693" i="7"/>
  <c r="U693" i="7"/>
  <c r="BL692" i="7"/>
  <c r="BI692" i="7"/>
  <c r="BH692" i="7"/>
  <c r="BG692" i="7"/>
  <c r="BF692" i="7"/>
  <c r="BB692" i="7"/>
  <c r="AY692" i="7"/>
  <c r="T692" i="7"/>
  <c r="S692" i="7"/>
  <c r="AP691" i="7"/>
  <c r="AP686" i="7" s="1"/>
  <c r="AP685" i="7" s="1"/>
  <c r="AK691" i="7"/>
  <c r="X691" i="7"/>
  <c r="AK690" i="7"/>
  <c r="AS690" i="7" s="1"/>
  <c r="AU690" i="7" s="1"/>
  <c r="AW690" i="7" s="1"/>
  <c r="X690" i="7"/>
  <c r="AK689" i="7"/>
  <c r="AS689" i="7" s="1"/>
  <c r="AU689" i="7" s="1"/>
  <c r="AW689" i="7" s="1"/>
  <c r="X689" i="7"/>
  <c r="AK688" i="7"/>
  <c r="AS688" i="7" s="1"/>
  <c r="AU688" i="7" s="1"/>
  <c r="AW688" i="7" s="1"/>
  <c r="X688" i="7"/>
  <c r="AK687" i="7"/>
  <c r="X687" i="7"/>
  <c r="AT686" i="7"/>
  <c r="AT685" i="7" s="1"/>
  <c r="AR686" i="7"/>
  <c r="AR685" i="7" s="1"/>
  <c r="AQ686" i="7"/>
  <c r="AQ685" i="7" s="1"/>
  <c r="AO686" i="7"/>
  <c r="AO685" i="7" s="1"/>
  <c r="AN686" i="7"/>
  <c r="AN685" i="7" s="1"/>
  <c r="AM686" i="7"/>
  <c r="AM685" i="7" s="1"/>
  <c r="AL686" i="7"/>
  <c r="AL685" i="7" s="1"/>
  <c r="BM685" i="7" s="1"/>
  <c r="AJ686" i="7"/>
  <c r="AJ685" i="7" s="1"/>
  <c r="AI686" i="7"/>
  <c r="AI685" i="7" s="1"/>
  <c r="AH686" i="7"/>
  <c r="AH685" i="7" s="1"/>
  <c r="AG686" i="7"/>
  <c r="AG685" i="7" s="1"/>
  <c r="AF686" i="7"/>
  <c r="AF685" i="7" s="1"/>
  <c r="AE686" i="7"/>
  <c r="AE685" i="7" s="1"/>
  <c r="AD686" i="7"/>
  <c r="AD685" i="7" s="1"/>
  <c r="AC686" i="7"/>
  <c r="AC685" i="7" s="1"/>
  <c r="AB686" i="7"/>
  <c r="AB685" i="7" s="1"/>
  <c r="AA686" i="7"/>
  <c r="AA685" i="7" s="1"/>
  <c r="Z686" i="7"/>
  <c r="Z685" i="7" s="1"/>
  <c r="Y686" i="7"/>
  <c r="Y685" i="7" s="1"/>
  <c r="W686" i="7"/>
  <c r="W685" i="7" s="1"/>
  <c r="V686" i="7"/>
  <c r="V685" i="7" s="1"/>
  <c r="U686" i="7"/>
  <c r="U685" i="7" s="1"/>
  <c r="BL685" i="7"/>
  <c r="BI685" i="7"/>
  <c r="BH685" i="7"/>
  <c r="BG685" i="7"/>
  <c r="BF685" i="7"/>
  <c r="BB685" i="7"/>
  <c r="AY685" i="7"/>
  <c r="T685" i="7"/>
  <c r="S685" i="7"/>
  <c r="AU684" i="7"/>
  <c r="AW684" i="7" s="1"/>
  <c r="X684" i="7"/>
  <c r="AK683" i="7"/>
  <c r="AS683" i="7" s="1"/>
  <c r="AU683" i="7" s="1"/>
  <c r="AW683" i="7" s="1"/>
  <c r="X683" i="7"/>
  <c r="AK682" i="7"/>
  <c r="AS682" i="7" s="1"/>
  <c r="AU682" i="7" s="1"/>
  <c r="AW682" i="7" s="1"/>
  <c r="X682" i="7"/>
  <c r="AK681" i="7"/>
  <c r="AS681" i="7" s="1"/>
  <c r="AU681" i="7" s="1"/>
  <c r="AW681" i="7" s="1"/>
  <c r="X681" i="7"/>
  <c r="AK680" i="7"/>
  <c r="X680" i="7"/>
  <c r="AT679" i="7"/>
  <c r="AR679" i="7"/>
  <c r="AQ679" i="7"/>
  <c r="AP679" i="7"/>
  <c r="AO679" i="7"/>
  <c r="AN679" i="7"/>
  <c r="AM679" i="7"/>
  <c r="AL679" i="7"/>
  <c r="AJ679" i="7"/>
  <c r="AI679" i="7"/>
  <c r="AH679" i="7"/>
  <c r="AG679" i="7"/>
  <c r="AF679" i="7"/>
  <c r="AE679" i="7"/>
  <c r="AD679" i="7"/>
  <c r="AC679" i="7"/>
  <c r="AB679" i="7"/>
  <c r="AA679" i="7"/>
  <c r="Z679" i="7"/>
  <c r="Y679" i="7"/>
  <c r="W679" i="7"/>
  <c r="V679" i="7"/>
  <c r="U679" i="7"/>
  <c r="AM678" i="7"/>
  <c r="AM672" i="7" s="1"/>
  <c r="AK678" i="7"/>
  <c r="X678" i="7"/>
  <c r="AK677" i="7"/>
  <c r="AS677" i="7" s="1"/>
  <c r="AU677" i="7" s="1"/>
  <c r="AW677" i="7" s="1"/>
  <c r="X677" i="7"/>
  <c r="AN676" i="7"/>
  <c r="AN672" i="7" s="1"/>
  <c r="AK676" i="7"/>
  <c r="X676" i="7"/>
  <c r="AN675" i="7"/>
  <c r="AK675" i="7"/>
  <c r="X675" i="7"/>
  <c r="AK674" i="7"/>
  <c r="AS674" i="7" s="1"/>
  <c r="AU674" i="7" s="1"/>
  <c r="AW674" i="7" s="1"/>
  <c r="X674" i="7"/>
  <c r="AK673" i="7"/>
  <c r="AS673" i="7" s="1"/>
  <c r="AU673" i="7" s="1"/>
  <c r="AW673" i="7" s="1"/>
  <c r="X673" i="7"/>
  <c r="AT672" i="7"/>
  <c r="AR672" i="7"/>
  <c r="AQ672" i="7"/>
  <c r="AP672" i="7"/>
  <c r="AO672" i="7"/>
  <c r="AL672" i="7"/>
  <c r="AJ672" i="7"/>
  <c r="AI672" i="7"/>
  <c r="AH672" i="7"/>
  <c r="AG672" i="7"/>
  <c r="AF672" i="7"/>
  <c r="AE672" i="7"/>
  <c r="AD672" i="7"/>
  <c r="AC672" i="7"/>
  <c r="AB672" i="7"/>
  <c r="AA672" i="7"/>
  <c r="Z672" i="7"/>
  <c r="Y672" i="7"/>
  <c r="W672" i="7"/>
  <c r="V672" i="7"/>
  <c r="U672" i="7"/>
  <c r="BL671" i="7"/>
  <c r="BI671" i="7"/>
  <c r="BH671" i="7"/>
  <c r="BG671" i="7"/>
  <c r="BF671" i="7"/>
  <c r="BB671" i="7"/>
  <c r="AY671" i="7"/>
  <c r="T671" i="7"/>
  <c r="S671" i="7"/>
  <c r="AK670" i="7"/>
  <c r="AK669" i="7" s="1"/>
  <c r="AK668" i="7" s="1"/>
  <c r="BJ668" i="7" s="1"/>
  <c r="X670" i="7"/>
  <c r="AT669" i="7"/>
  <c r="AT668" i="7" s="1"/>
  <c r="AR669" i="7"/>
  <c r="AR668" i="7" s="1"/>
  <c r="AQ669" i="7"/>
  <c r="AQ668" i="7" s="1"/>
  <c r="AP669" i="7"/>
  <c r="AP668" i="7" s="1"/>
  <c r="AO669" i="7"/>
  <c r="AO668" i="7" s="1"/>
  <c r="AN669" i="7"/>
  <c r="AN668" i="7" s="1"/>
  <c r="AM669" i="7"/>
  <c r="AM668" i="7" s="1"/>
  <c r="AL669" i="7"/>
  <c r="AL668" i="7" s="1"/>
  <c r="BM668" i="7" s="1"/>
  <c r="AJ669" i="7"/>
  <c r="AJ668" i="7" s="1"/>
  <c r="AI669" i="7"/>
  <c r="AI668" i="7" s="1"/>
  <c r="AH669" i="7"/>
  <c r="AH668" i="7" s="1"/>
  <c r="AG669" i="7"/>
  <c r="AG668" i="7" s="1"/>
  <c r="AF669" i="7"/>
  <c r="AF668" i="7" s="1"/>
  <c r="AE669" i="7"/>
  <c r="AE668" i="7" s="1"/>
  <c r="AD669" i="7"/>
  <c r="AD668" i="7" s="1"/>
  <c r="AC669" i="7"/>
  <c r="AC668" i="7" s="1"/>
  <c r="AB669" i="7"/>
  <c r="AB668" i="7" s="1"/>
  <c r="AA669" i="7"/>
  <c r="AA668" i="7" s="1"/>
  <c r="Z669" i="7"/>
  <c r="Z668" i="7" s="1"/>
  <c r="Y669" i="7"/>
  <c r="Y668" i="7" s="1"/>
  <c r="W669" i="7"/>
  <c r="W668" i="7" s="1"/>
  <c r="V669" i="7"/>
  <c r="V668" i="7" s="1"/>
  <c r="U669" i="7"/>
  <c r="U668" i="7" s="1"/>
  <c r="BL668" i="7"/>
  <c r="BI668" i="7"/>
  <c r="BH668" i="7"/>
  <c r="BG668" i="7"/>
  <c r="BF668" i="7"/>
  <c r="BB668" i="7"/>
  <c r="AY668" i="7"/>
  <c r="T668" i="7"/>
  <c r="S668" i="7"/>
  <c r="AK667" i="7"/>
  <c r="AS667" i="7" s="1"/>
  <c r="X667" i="7"/>
  <c r="AK666" i="7"/>
  <c r="X666" i="7"/>
  <c r="AK665" i="7"/>
  <c r="AS665" i="7" s="1"/>
  <c r="X665" i="7"/>
  <c r="AY664" i="7"/>
  <c r="AY661" i="7" s="1"/>
  <c r="AT664" i="7"/>
  <c r="AR664" i="7"/>
  <c r="AQ664" i="7"/>
  <c r="AP664" i="7"/>
  <c r="AO664" i="7"/>
  <c r="AN664" i="7"/>
  <c r="AM664" i="7"/>
  <c r="AL664" i="7"/>
  <c r="AJ664" i="7"/>
  <c r="AH664" i="7"/>
  <c r="AG664" i="7"/>
  <c r="AF664" i="7"/>
  <c r="AE664" i="7"/>
  <c r="AD664" i="7"/>
  <c r="AC664" i="7"/>
  <c r="AB664" i="7"/>
  <c r="AA664" i="7"/>
  <c r="Z664" i="7"/>
  <c r="Y664" i="7"/>
  <c r="W664" i="7"/>
  <c r="V664" i="7"/>
  <c r="U664" i="7"/>
  <c r="AK663" i="7"/>
  <c r="X663" i="7"/>
  <c r="AT662" i="7"/>
  <c r="AT661" i="7" s="1"/>
  <c r="AR662" i="7"/>
  <c r="AR661" i="7" s="1"/>
  <c r="AQ662" i="7"/>
  <c r="AP662" i="7"/>
  <c r="AP661" i="7" s="1"/>
  <c r="AO662" i="7"/>
  <c r="AO661" i="7" s="1"/>
  <c r="AN662" i="7"/>
  <c r="AN661" i="7" s="1"/>
  <c r="AM662" i="7"/>
  <c r="AL662" i="7"/>
  <c r="AL661" i="7" s="1"/>
  <c r="BM661" i="7" s="1"/>
  <c r="AJ662" i="7"/>
  <c r="AJ661" i="7" s="1"/>
  <c r="AI662" i="7"/>
  <c r="AI661" i="7" s="1"/>
  <c r="AH662" i="7"/>
  <c r="AG662" i="7"/>
  <c r="AF662" i="7"/>
  <c r="AE662" i="7"/>
  <c r="AD662" i="7"/>
  <c r="AC662" i="7"/>
  <c r="AB662" i="7"/>
  <c r="AA662" i="7"/>
  <c r="Z662" i="7"/>
  <c r="Y662" i="7"/>
  <c r="W662" i="7"/>
  <c r="V662" i="7"/>
  <c r="U662" i="7"/>
  <c r="BL661" i="7"/>
  <c r="BI661" i="7"/>
  <c r="BH661" i="7"/>
  <c r="BG661" i="7"/>
  <c r="BF661" i="7"/>
  <c r="BB661" i="7"/>
  <c r="T661" i="7"/>
  <c r="S661" i="7"/>
  <c r="AU660" i="7"/>
  <c r="AW660" i="7" s="1"/>
  <c r="X660" i="7"/>
  <c r="BC660" i="7" s="1"/>
  <c r="BE660" i="7" s="1"/>
  <c r="AK659" i="7"/>
  <c r="AS659" i="7" s="1"/>
  <c r="AU659" i="7" s="1"/>
  <c r="AW659" i="7" s="1"/>
  <c r="X659" i="7"/>
  <c r="AK658" i="7"/>
  <c r="X658" i="7"/>
  <c r="AT657" i="7"/>
  <c r="AR657" i="7"/>
  <c r="AQ657" i="7"/>
  <c r="AP657" i="7"/>
  <c r="AO657" i="7"/>
  <c r="AN657" i="7"/>
  <c r="AM657" i="7"/>
  <c r="AL657" i="7"/>
  <c r="AJ657" i="7"/>
  <c r="AI657" i="7"/>
  <c r="AH657" i="7"/>
  <c r="AG657" i="7"/>
  <c r="AF657" i="7"/>
  <c r="AE657" i="7"/>
  <c r="AD657" i="7"/>
  <c r="AC657" i="7"/>
  <c r="AB657" i="7"/>
  <c r="AA657" i="7"/>
  <c r="Z657" i="7"/>
  <c r="Y657" i="7"/>
  <c r="W657" i="7"/>
  <c r="V657" i="7"/>
  <c r="U657" i="7"/>
  <c r="X656" i="7"/>
  <c r="S656" i="7"/>
  <c r="AY656" i="7" s="1"/>
  <c r="AY619" i="7" s="1"/>
  <c r="AK655" i="7"/>
  <c r="AS655" i="7" s="1"/>
  <c r="AU655" i="7" s="1"/>
  <c r="AW655" i="7" s="1"/>
  <c r="X655" i="7"/>
  <c r="AK654" i="7"/>
  <c r="AS654" i="7" s="1"/>
  <c r="AU654" i="7" s="1"/>
  <c r="AW654" i="7" s="1"/>
  <c r="X654" i="7"/>
  <c r="AK653" i="7"/>
  <c r="AS653" i="7" s="1"/>
  <c r="AU653" i="7" s="1"/>
  <c r="AW653" i="7" s="1"/>
  <c r="X653" i="7"/>
  <c r="AK652" i="7"/>
  <c r="AS652" i="7" s="1"/>
  <c r="AU652" i="7" s="1"/>
  <c r="AW652" i="7" s="1"/>
  <c r="X652" i="7"/>
  <c r="AK651" i="7"/>
  <c r="AS651" i="7" s="1"/>
  <c r="AU651" i="7" s="1"/>
  <c r="AW651" i="7" s="1"/>
  <c r="X651" i="7"/>
  <c r="AK650" i="7"/>
  <c r="AS650" i="7" s="1"/>
  <c r="AU650" i="7" s="1"/>
  <c r="AW650" i="7" s="1"/>
  <c r="X650" i="7"/>
  <c r="AK649" i="7"/>
  <c r="AS649" i="7" s="1"/>
  <c r="AU649" i="7" s="1"/>
  <c r="AW649" i="7" s="1"/>
  <c r="X649" i="7"/>
  <c r="AK648" i="7"/>
  <c r="AS648" i="7" s="1"/>
  <c r="AU648" i="7" s="1"/>
  <c r="AW648" i="7" s="1"/>
  <c r="X648" i="7"/>
  <c r="AK647" i="7"/>
  <c r="AS647" i="7" s="1"/>
  <c r="AU647" i="7" s="1"/>
  <c r="AW647" i="7" s="1"/>
  <c r="X647" i="7"/>
  <c r="AK646" i="7"/>
  <c r="AS646" i="7" s="1"/>
  <c r="AU646" i="7" s="1"/>
  <c r="AW646" i="7" s="1"/>
  <c r="X646" i="7"/>
  <c r="AK645" i="7"/>
  <c r="AS645" i="7" s="1"/>
  <c r="AU645" i="7" s="1"/>
  <c r="AW645" i="7" s="1"/>
  <c r="X645" i="7"/>
  <c r="AK644" i="7"/>
  <c r="AS644" i="7" s="1"/>
  <c r="AU644" i="7" s="1"/>
  <c r="AW644" i="7" s="1"/>
  <c r="X644" i="7"/>
  <c r="AK643" i="7"/>
  <c r="AS643" i="7" s="1"/>
  <c r="AU643" i="7" s="1"/>
  <c r="AW643" i="7" s="1"/>
  <c r="X643" i="7"/>
  <c r="AK642" i="7"/>
  <c r="AS642" i="7" s="1"/>
  <c r="AU642" i="7" s="1"/>
  <c r="AW642" i="7" s="1"/>
  <c r="X642" i="7"/>
  <c r="AK641" i="7"/>
  <c r="AS641" i="7" s="1"/>
  <c r="AU641" i="7" s="1"/>
  <c r="AW641" i="7" s="1"/>
  <c r="X641" i="7"/>
  <c r="AK640" i="7"/>
  <c r="AS640" i="7" s="1"/>
  <c r="AU640" i="7" s="1"/>
  <c r="AW640" i="7" s="1"/>
  <c r="X640" i="7"/>
  <c r="AK639" i="7"/>
  <c r="AS639" i="7" s="1"/>
  <c r="AU639" i="7" s="1"/>
  <c r="AW639" i="7" s="1"/>
  <c r="X639" i="7"/>
  <c r="AK638" i="7"/>
  <c r="AS638" i="7" s="1"/>
  <c r="AU638" i="7" s="1"/>
  <c r="AW638" i="7" s="1"/>
  <c r="X638" i="7"/>
  <c r="AK637" i="7"/>
  <c r="AS637" i="7" s="1"/>
  <c r="AU637" i="7" s="1"/>
  <c r="AW637" i="7" s="1"/>
  <c r="X637" i="7"/>
  <c r="AK636" i="7"/>
  <c r="AS636" i="7" s="1"/>
  <c r="AU636" i="7" s="1"/>
  <c r="AW636" i="7" s="1"/>
  <c r="X636" i="7"/>
  <c r="AK635" i="7"/>
  <c r="AS635" i="7" s="1"/>
  <c r="AU635" i="7" s="1"/>
  <c r="AW635" i="7" s="1"/>
  <c r="X635" i="7"/>
  <c r="AK634" i="7"/>
  <c r="AS634" i="7" s="1"/>
  <c r="AU634" i="7" s="1"/>
  <c r="AW634" i="7" s="1"/>
  <c r="X634" i="7"/>
  <c r="AK633" i="7"/>
  <c r="AS633" i="7" s="1"/>
  <c r="AU633" i="7" s="1"/>
  <c r="AW633" i="7" s="1"/>
  <c r="X633" i="7"/>
  <c r="AK632" i="7"/>
  <c r="AS632" i="7" s="1"/>
  <c r="AU632" i="7" s="1"/>
  <c r="AW632" i="7" s="1"/>
  <c r="X632" i="7"/>
  <c r="AK631" i="7"/>
  <c r="AS631" i="7" s="1"/>
  <c r="AU631" i="7" s="1"/>
  <c r="AW631" i="7" s="1"/>
  <c r="X631" i="7"/>
  <c r="AK630" i="7"/>
  <c r="AS630" i="7" s="1"/>
  <c r="AU630" i="7" s="1"/>
  <c r="AW630" i="7" s="1"/>
  <c r="X630" i="7"/>
  <c r="AK629" i="7"/>
  <c r="AS629" i="7" s="1"/>
  <c r="AU629" i="7" s="1"/>
  <c r="AW629" i="7" s="1"/>
  <c r="X629" i="7"/>
  <c r="AK628" i="7"/>
  <c r="AS628" i="7" s="1"/>
  <c r="AU628" i="7" s="1"/>
  <c r="AW628" i="7" s="1"/>
  <c r="X628" i="7"/>
  <c r="AK627" i="7"/>
  <c r="AS627" i="7" s="1"/>
  <c r="AU627" i="7" s="1"/>
  <c r="AW627" i="7" s="1"/>
  <c r="X627" i="7"/>
  <c r="AK626" i="7"/>
  <c r="AS626" i="7" s="1"/>
  <c r="AU626" i="7" s="1"/>
  <c r="AW626" i="7" s="1"/>
  <c r="X626" i="7"/>
  <c r="AK625" i="7"/>
  <c r="AS625" i="7" s="1"/>
  <c r="AU625" i="7" s="1"/>
  <c r="AW625" i="7" s="1"/>
  <c r="X625" i="7"/>
  <c r="AK624" i="7"/>
  <c r="AS624" i="7" s="1"/>
  <c r="AU624" i="7" s="1"/>
  <c r="AW624" i="7" s="1"/>
  <c r="X624" i="7"/>
  <c r="AK623" i="7"/>
  <c r="AS623" i="7" s="1"/>
  <c r="AU623" i="7" s="1"/>
  <c r="AW623" i="7" s="1"/>
  <c r="X623" i="7"/>
  <c r="AK622" i="7"/>
  <c r="AS622" i="7" s="1"/>
  <c r="AU622" i="7" s="1"/>
  <c r="AW622" i="7" s="1"/>
  <c r="X622" i="7"/>
  <c r="AK621" i="7"/>
  <c r="X621" i="7"/>
  <c r="AK620" i="7"/>
  <c r="AS620" i="7" s="1"/>
  <c r="AU620" i="7" s="1"/>
  <c r="AW620" i="7" s="1"/>
  <c r="X620" i="7"/>
  <c r="AT619" i="7"/>
  <c r="AR619" i="7"/>
  <c r="AQ619" i="7"/>
  <c r="AP619" i="7"/>
  <c r="AO619" i="7"/>
  <c r="AN619" i="7"/>
  <c r="AM619" i="7"/>
  <c r="AL619" i="7"/>
  <c r="AJ619" i="7"/>
  <c r="AI619" i="7"/>
  <c r="AH619" i="7"/>
  <c r="AG619" i="7"/>
  <c r="AF619" i="7"/>
  <c r="AE619" i="7"/>
  <c r="AD619" i="7"/>
  <c r="AC619" i="7"/>
  <c r="AB619" i="7"/>
  <c r="AA619" i="7"/>
  <c r="Z619" i="7"/>
  <c r="Y619" i="7"/>
  <c r="W619" i="7"/>
  <c r="V619" i="7"/>
  <c r="U619" i="7"/>
  <c r="X618" i="7"/>
  <c r="S618" i="7"/>
  <c r="AY618" i="7" s="1"/>
  <c r="AY592" i="7" s="1"/>
  <c r="AK617" i="7"/>
  <c r="AT617" i="7" s="1"/>
  <c r="X617" i="7"/>
  <c r="AK616" i="7"/>
  <c r="AS616" i="7" s="1"/>
  <c r="AU616" i="7" s="1"/>
  <c r="AW616" i="7" s="1"/>
  <c r="X616" i="7"/>
  <c r="AK615" i="7"/>
  <c r="AS615" i="7" s="1"/>
  <c r="AU615" i="7" s="1"/>
  <c r="AW615" i="7" s="1"/>
  <c r="X615" i="7"/>
  <c r="AK614" i="7"/>
  <c r="AT614" i="7" s="1"/>
  <c r="X614" i="7"/>
  <c r="AK613" i="7"/>
  <c r="AS613" i="7" s="1"/>
  <c r="AU613" i="7" s="1"/>
  <c r="AW613" i="7" s="1"/>
  <c r="X613" i="7"/>
  <c r="AK612" i="7"/>
  <c r="AT612" i="7" s="1"/>
  <c r="X612" i="7"/>
  <c r="AK611" i="7"/>
  <c r="AS611" i="7" s="1"/>
  <c r="AU611" i="7" s="1"/>
  <c r="AW611" i="7" s="1"/>
  <c r="X611" i="7"/>
  <c r="AK610" i="7"/>
  <c r="AS610" i="7" s="1"/>
  <c r="AU610" i="7" s="1"/>
  <c r="AW610" i="7" s="1"/>
  <c r="X610" i="7"/>
  <c r="AK609" i="7"/>
  <c r="AT609" i="7" s="1"/>
  <c r="X609" i="7"/>
  <c r="AK608" i="7"/>
  <c r="AS608" i="7" s="1"/>
  <c r="AU608" i="7" s="1"/>
  <c r="AW608" i="7" s="1"/>
  <c r="X608" i="7"/>
  <c r="AK607" i="7"/>
  <c r="AS607" i="7" s="1"/>
  <c r="AU607" i="7" s="1"/>
  <c r="AW607" i="7" s="1"/>
  <c r="X607" i="7"/>
  <c r="X606" i="7"/>
  <c r="AK605" i="7"/>
  <c r="AS605" i="7" s="1"/>
  <c r="AU605" i="7" s="1"/>
  <c r="AW605" i="7" s="1"/>
  <c r="X605" i="7"/>
  <c r="AK604" i="7"/>
  <c r="AT604" i="7" s="1"/>
  <c r="X604" i="7"/>
  <c r="AK603" i="7"/>
  <c r="AS603" i="7" s="1"/>
  <c r="AU603" i="7" s="1"/>
  <c r="AW603" i="7" s="1"/>
  <c r="X603" i="7"/>
  <c r="AK602" i="7"/>
  <c r="AT602" i="7" s="1"/>
  <c r="X602" i="7"/>
  <c r="AK601" i="7"/>
  <c r="X601" i="7"/>
  <c r="AK600" i="7"/>
  <c r="AS600" i="7" s="1"/>
  <c r="AU600" i="7" s="1"/>
  <c r="AW600" i="7" s="1"/>
  <c r="X600" i="7"/>
  <c r="AK599" i="7"/>
  <c r="AT599" i="7" s="1"/>
  <c r="X599" i="7"/>
  <c r="AK598" i="7"/>
  <c r="AS598" i="7" s="1"/>
  <c r="AU598" i="7" s="1"/>
  <c r="AW598" i="7" s="1"/>
  <c r="X598" i="7"/>
  <c r="AK597" i="7"/>
  <c r="AT597" i="7" s="1"/>
  <c r="X597" i="7"/>
  <c r="AK596" i="7"/>
  <c r="AS596" i="7" s="1"/>
  <c r="AU596" i="7" s="1"/>
  <c r="AW596" i="7" s="1"/>
  <c r="X596" i="7"/>
  <c r="AK595" i="7"/>
  <c r="AS595" i="7" s="1"/>
  <c r="AU595" i="7" s="1"/>
  <c r="AW595" i="7" s="1"/>
  <c r="X595" i="7"/>
  <c r="AK594" i="7"/>
  <c r="X594" i="7"/>
  <c r="AK593" i="7"/>
  <c r="AS593" i="7" s="1"/>
  <c r="AU593" i="7" s="1"/>
  <c r="AW593" i="7" s="1"/>
  <c r="X593" i="7"/>
  <c r="AR592" i="7"/>
  <c r="AQ592" i="7"/>
  <c r="AP592" i="7"/>
  <c r="AO592" i="7"/>
  <c r="AN592" i="7"/>
  <c r="AM592" i="7"/>
  <c r="AL592" i="7"/>
  <c r="AJ592" i="7"/>
  <c r="AI592" i="7"/>
  <c r="AH592" i="7"/>
  <c r="AG592" i="7"/>
  <c r="AF592" i="7"/>
  <c r="AE592" i="7"/>
  <c r="AD592" i="7"/>
  <c r="AC592" i="7"/>
  <c r="AB592" i="7"/>
  <c r="AA592" i="7"/>
  <c r="Z592" i="7"/>
  <c r="Y592" i="7"/>
  <c r="W592" i="7"/>
  <c r="V592" i="7"/>
  <c r="U592" i="7"/>
  <c r="BL591" i="7"/>
  <c r="BI591" i="7"/>
  <c r="BH591" i="7"/>
  <c r="BG591" i="7"/>
  <c r="BF591" i="7"/>
  <c r="BB591" i="7"/>
  <c r="T591" i="7"/>
  <c r="S591" i="7"/>
  <c r="AK590" i="7"/>
  <c r="AS590" i="7" s="1"/>
  <c r="AU590" i="7" s="1"/>
  <c r="AW590" i="7" s="1"/>
  <c r="X590" i="7"/>
  <c r="AK589" i="7"/>
  <c r="AS589" i="7" s="1"/>
  <c r="AU589" i="7" s="1"/>
  <c r="AW589" i="7" s="1"/>
  <c r="X589" i="7"/>
  <c r="AK588" i="7"/>
  <c r="AS588" i="7" s="1"/>
  <c r="AU588" i="7" s="1"/>
  <c r="AW588" i="7" s="1"/>
  <c r="X588" i="7"/>
  <c r="AK587" i="7"/>
  <c r="AS587" i="7" s="1"/>
  <c r="AU587" i="7" s="1"/>
  <c r="AW587" i="7" s="1"/>
  <c r="X587" i="7"/>
  <c r="AK586" i="7"/>
  <c r="AS586" i="7" s="1"/>
  <c r="AU586" i="7" s="1"/>
  <c r="AW586" i="7" s="1"/>
  <c r="X586" i="7"/>
  <c r="AK585" i="7"/>
  <c r="AS585" i="7" s="1"/>
  <c r="AU585" i="7" s="1"/>
  <c r="AW585" i="7" s="1"/>
  <c r="X585" i="7"/>
  <c r="AK584" i="7"/>
  <c r="AS584" i="7" s="1"/>
  <c r="AU584" i="7" s="1"/>
  <c r="AW584" i="7" s="1"/>
  <c r="X584" i="7"/>
  <c r="AK583" i="7"/>
  <c r="AS583" i="7" s="1"/>
  <c r="AU583" i="7" s="1"/>
  <c r="AW583" i="7" s="1"/>
  <c r="X583" i="7"/>
  <c r="AK582" i="7"/>
  <c r="AS582" i="7" s="1"/>
  <c r="AU582" i="7" s="1"/>
  <c r="AW582" i="7" s="1"/>
  <c r="X582" i="7"/>
  <c r="AK581" i="7"/>
  <c r="AS581" i="7" s="1"/>
  <c r="AU581" i="7" s="1"/>
  <c r="AW581" i="7" s="1"/>
  <c r="X581" i="7"/>
  <c r="AK580" i="7"/>
  <c r="AS580" i="7" s="1"/>
  <c r="AU580" i="7" s="1"/>
  <c r="AW580" i="7" s="1"/>
  <c r="X580" i="7"/>
  <c r="AK579" i="7"/>
  <c r="AS579" i="7" s="1"/>
  <c r="AU579" i="7" s="1"/>
  <c r="AW579" i="7" s="1"/>
  <c r="X579" i="7"/>
  <c r="AK578" i="7"/>
  <c r="AS578" i="7" s="1"/>
  <c r="AU578" i="7" s="1"/>
  <c r="AW578" i="7" s="1"/>
  <c r="X578" i="7"/>
  <c r="AK577" i="7"/>
  <c r="AS577" i="7" s="1"/>
  <c r="AU577" i="7" s="1"/>
  <c r="AW577" i="7" s="1"/>
  <c r="X577" i="7"/>
  <c r="AK576" i="7"/>
  <c r="AS576" i="7" s="1"/>
  <c r="AU576" i="7" s="1"/>
  <c r="AW576" i="7" s="1"/>
  <c r="X576" i="7"/>
  <c r="AK575" i="7"/>
  <c r="AS575" i="7" s="1"/>
  <c r="AU575" i="7" s="1"/>
  <c r="AW575" i="7" s="1"/>
  <c r="X575" i="7"/>
  <c r="AK574" i="7"/>
  <c r="AS574" i="7" s="1"/>
  <c r="AU574" i="7" s="1"/>
  <c r="AW574" i="7" s="1"/>
  <c r="X574" i="7"/>
  <c r="AK573" i="7"/>
  <c r="AS573" i="7" s="1"/>
  <c r="AU573" i="7" s="1"/>
  <c r="AW573" i="7" s="1"/>
  <c r="X573" i="7"/>
  <c r="AK572" i="7"/>
  <c r="AS572" i="7" s="1"/>
  <c r="AU572" i="7" s="1"/>
  <c r="AW572" i="7" s="1"/>
  <c r="X572" i="7"/>
  <c r="AK571" i="7"/>
  <c r="AS571" i="7" s="1"/>
  <c r="AU571" i="7" s="1"/>
  <c r="AW571" i="7" s="1"/>
  <c r="X571" i="7"/>
  <c r="AK570" i="7"/>
  <c r="AS570" i="7" s="1"/>
  <c r="AU570" i="7" s="1"/>
  <c r="AW570" i="7" s="1"/>
  <c r="X570" i="7"/>
  <c r="AK569" i="7"/>
  <c r="AS569" i="7" s="1"/>
  <c r="X569" i="7"/>
  <c r="AK568" i="7"/>
  <c r="AS568" i="7" s="1"/>
  <c r="AU568" i="7" s="1"/>
  <c r="AW568" i="7" s="1"/>
  <c r="X568" i="7"/>
  <c r="AK567" i="7"/>
  <c r="AS567" i="7" s="1"/>
  <c r="AU567" i="7" s="1"/>
  <c r="AW567" i="7" s="1"/>
  <c r="X567" i="7"/>
  <c r="AK566" i="7"/>
  <c r="AS566" i="7" s="1"/>
  <c r="AX566" i="7" s="1"/>
  <c r="X566" i="7"/>
  <c r="AK565" i="7"/>
  <c r="AS565" i="7" s="1"/>
  <c r="AU565" i="7" s="1"/>
  <c r="AW565" i="7" s="1"/>
  <c r="X565" i="7"/>
  <c r="AK564" i="7"/>
  <c r="AS564" i="7" s="1"/>
  <c r="AU564" i="7" s="1"/>
  <c r="AW564" i="7" s="1"/>
  <c r="X564" i="7"/>
  <c r="AK563" i="7"/>
  <c r="AS563" i="7" s="1"/>
  <c r="AU563" i="7" s="1"/>
  <c r="AW563" i="7" s="1"/>
  <c r="X563" i="7"/>
  <c r="AK562" i="7"/>
  <c r="AS562" i="7" s="1"/>
  <c r="X562" i="7"/>
  <c r="AK561" i="7"/>
  <c r="AS561" i="7" s="1"/>
  <c r="AU561" i="7" s="1"/>
  <c r="AW561" i="7" s="1"/>
  <c r="X561" i="7"/>
  <c r="AK560" i="7"/>
  <c r="AS560" i="7" s="1"/>
  <c r="AU560" i="7" s="1"/>
  <c r="AW560" i="7" s="1"/>
  <c r="X560" i="7"/>
  <c r="AK559" i="7"/>
  <c r="AS559" i="7" s="1"/>
  <c r="AU559" i="7" s="1"/>
  <c r="AW559" i="7" s="1"/>
  <c r="X559" i="7"/>
  <c r="AK558" i="7"/>
  <c r="AS558" i="7" s="1"/>
  <c r="AU558" i="7" s="1"/>
  <c r="AW558" i="7" s="1"/>
  <c r="X558" i="7"/>
  <c r="AK557" i="7"/>
  <c r="AS557" i="7" s="1"/>
  <c r="AU557" i="7" s="1"/>
  <c r="AW557" i="7" s="1"/>
  <c r="X557" i="7"/>
  <c r="AK556" i="7"/>
  <c r="AS556" i="7" s="1"/>
  <c r="AU556" i="7" s="1"/>
  <c r="AW556" i="7" s="1"/>
  <c r="X556" i="7"/>
  <c r="AK555" i="7"/>
  <c r="AS555" i="7" s="1"/>
  <c r="X555" i="7"/>
  <c r="AK554" i="7"/>
  <c r="AS554" i="7" s="1"/>
  <c r="AU554" i="7" s="1"/>
  <c r="AW554" i="7" s="1"/>
  <c r="X554" i="7"/>
  <c r="AK553" i="7"/>
  <c r="AT553" i="7" s="1"/>
  <c r="X553" i="7"/>
  <c r="AK552" i="7"/>
  <c r="AS552" i="7" s="1"/>
  <c r="X552" i="7"/>
  <c r="AK551" i="7"/>
  <c r="AT551" i="7" s="1"/>
  <c r="X551" i="7"/>
  <c r="AK550" i="7"/>
  <c r="AS550" i="7" s="1"/>
  <c r="X550" i="7"/>
  <c r="AK549" i="7"/>
  <c r="AT549" i="7" s="1"/>
  <c r="X549" i="7"/>
  <c r="AK548" i="7"/>
  <c r="AS548" i="7" s="1"/>
  <c r="X548" i="7"/>
  <c r="AK547" i="7"/>
  <c r="AT547" i="7" s="1"/>
  <c r="X547" i="7"/>
  <c r="AK546" i="7"/>
  <c r="AS546" i="7" s="1"/>
  <c r="X546" i="7"/>
  <c r="AK545" i="7"/>
  <c r="AT545" i="7" s="1"/>
  <c r="X545" i="7"/>
  <c r="AK544" i="7"/>
  <c r="AS544" i="7" s="1"/>
  <c r="X544" i="7"/>
  <c r="AK543" i="7"/>
  <c r="AT543" i="7" s="1"/>
  <c r="X543" i="7"/>
  <c r="AK542" i="7"/>
  <c r="AS542" i="7" s="1"/>
  <c r="X542" i="7"/>
  <c r="AR541" i="7"/>
  <c r="AR540" i="7" s="1"/>
  <c r="AQ541" i="7"/>
  <c r="AP541" i="7"/>
  <c r="AO541" i="7"/>
  <c r="AO540" i="7" s="1"/>
  <c r="AN541" i="7"/>
  <c r="AN540" i="7" s="1"/>
  <c r="AM541" i="7"/>
  <c r="AM540" i="7" s="1"/>
  <c r="AL541" i="7"/>
  <c r="AL540" i="7" s="1"/>
  <c r="BM540" i="7" s="1"/>
  <c r="AJ541" i="7"/>
  <c r="AJ540" i="7" s="1"/>
  <c r="AI541" i="7"/>
  <c r="AI540" i="7" s="1"/>
  <c r="AH541" i="7"/>
  <c r="AH540" i="7" s="1"/>
  <c r="AG541" i="7"/>
  <c r="AG540" i="7" s="1"/>
  <c r="AF541" i="7"/>
  <c r="AF540" i="7" s="1"/>
  <c r="AE541" i="7"/>
  <c r="AE540" i="7" s="1"/>
  <c r="AD541" i="7"/>
  <c r="AD540" i="7" s="1"/>
  <c r="AE539" i="7" s="1"/>
  <c r="AC541" i="7"/>
  <c r="AC540" i="7" s="1"/>
  <c r="AB541" i="7"/>
  <c r="AB540" i="7" s="1"/>
  <c r="AA541" i="7"/>
  <c r="AA540" i="7" s="1"/>
  <c r="Z541" i="7"/>
  <c r="Z540" i="7" s="1"/>
  <c r="Y541" i="7"/>
  <c r="Y540" i="7" s="1"/>
  <c r="W541" i="7"/>
  <c r="W540" i="7" s="1"/>
  <c r="V541" i="7"/>
  <c r="V540" i="7" s="1"/>
  <c r="U541" i="7"/>
  <c r="U540" i="7" s="1"/>
  <c r="BL540" i="7"/>
  <c r="BI540" i="7"/>
  <c r="BH540" i="7"/>
  <c r="BG540" i="7"/>
  <c r="BF540" i="7"/>
  <c r="BB540" i="7"/>
  <c r="AY540" i="7"/>
  <c r="AQ540" i="7"/>
  <c r="AP540" i="7"/>
  <c r="T540" i="7"/>
  <c r="S540" i="7"/>
  <c r="AU539" i="7"/>
  <c r="AW539" i="7" s="1"/>
  <c r="X539" i="7"/>
  <c r="AK538" i="7"/>
  <c r="AS538" i="7" s="1"/>
  <c r="AU538" i="7" s="1"/>
  <c r="AW538" i="7" s="1"/>
  <c r="X538" i="7"/>
  <c r="AK537" i="7"/>
  <c r="X537" i="7"/>
  <c r="AT536" i="7"/>
  <c r="AR536" i="7"/>
  <c r="AQ536" i="7"/>
  <c r="AP536" i="7"/>
  <c r="AO536" i="7"/>
  <c r="AN536" i="7"/>
  <c r="AM536" i="7"/>
  <c r="AL536" i="7"/>
  <c r="AJ536" i="7"/>
  <c r="AI536" i="7"/>
  <c r="AH536" i="7"/>
  <c r="AG536" i="7"/>
  <c r="AF536" i="7"/>
  <c r="AE536" i="7"/>
  <c r="AD536" i="7"/>
  <c r="AC536" i="7"/>
  <c r="AB536" i="7"/>
  <c r="AA536" i="7"/>
  <c r="Z536" i="7"/>
  <c r="Y536" i="7"/>
  <c r="W536" i="7"/>
  <c r="V536" i="7"/>
  <c r="U536" i="7"/>
  <c r="AK535" i="7"/>
  <c r="AS535" i="7" s="1"/>
  <c r="AU535" i="7" s="1"/>
  <c r="AW535" i="7" s="1"/>
  <c r="X535" i="7"/>
  <c r="AK534" i="7"/>
  <c r="AS534" i="7" s="1"/>
  <c r="AU534" i="7" s="1"/>
  <c r="AW534" i="7" s="1"/>
  <c r="X534" i="7"/>
  <c r="AK533" i="7"/>
  <c r="AS533" i="7" s="1"/>
  <c r="AU533" i="7" s="1"/>
  <c r="AW533" i="7" s="1"/>
  <c r="X533" i="7"/>
  <c r="AK532" i="7"/>
  <c r="X532" i="7"/>
  <c r="AK531" i="7"/>
  <c r="AS531" i="7" s="1"/>
  <c r="AU531" i="7" s="1"/>
  <c r="AW531" i="7" s="1"/>
  <c r="X531" i="7"/>
  <c r="AK530" i="7"/>
  <c r="AS530" i="7" s="1"/>
  <c r="AU530" i="7" s="1"/>
  <c r="AW530" i="7" s="1"/>
  <c r="X530" i="7"/>
  <c r="AK529" i="7"/>
  <c r="AS529" i="7" s="1"/>
  <c r="AU529" i="7" s="1"/>
  <c r="AW529" i="7" s="1"/>
  <c r="X529" i="7"/>
  <c r="AK528" i="7"/>
  <c r="AS528" i="7" s="1"/>
  <c r="AU528" i="7" s="1"/>
  <c r="AW528" i="7" s="1"/>
  <c r="X528" i="7"/>
  <c r="AK527" i="7"/>
  <c r="AS527" i="7" s="1"/>
  <c r="AU527" i="7" s="1"/>
  <c r="AW527" i="7" s="1"/>
  <c r="X527" i="7"/>
  <c r="AT526" i="7"/>
  <c r="AR526" i="7"/>
  <c r="AQ526" i="7"/>
  <c r="AP526" i="7"/>
  <c r="AO526" i="7"/>
  <c r="AN526" i="7"/>
  <c r="AM526" i="7"/>
  <c r="AL526" i="7"/>
  <c r="AJ526" i="7"/>
  <c r="AI526" i="7"/>
  <c r="AH526" i="7"/>
  <c r="AG526" i="7"/>
  <c r="AF526" i="7"/>
  <c r="AE526" i="7"/>
  <c r="AD526" i="7"/>
  <c r="AC526" i="7"/>
  <c r="AB526" i="7"/>
  <c r="AA526" i="7"/>
  <c r="Z526" i="7"/>
  <c r="Y526" i="7"/>
  <c r="W526" i="7"/>
  <c r="V526" i="7"/>
  <c r="U526" i="7"/>
  <c r="AK525" i="7"/>
  <c r="X525" i="7"/>
  <c r="AT524" i="7"/>
  <c r="AR524" i="7"/>
  <c r="AQ524" i="7"/>
  <c r="AP524" i="7"/>
  <c r="AO524" i="7"/>
  <c r="AN524" i="7"/>
  <c r="AM524" i="7"/>
  <c r="AL524" i="7"/>
  <c r="AJ524" i="7"/>
  <c r="AI524" i="7"/>
  <c r="AH524" i="7"/>
  <c r="AG524" i="7"/>
  <c r="AF524" i="7"/>
  <c r="AE524" i="7"/>
  <c r="AD524" i="7"/>
  <c r="AC524" i="7"/>
  <c r="AB524" i="7"/>
  <c r="AA524" i="7"/>
  <c r="Z524" i="7"/>
  <c r="Y524" i="7"/>
  <c r="W524" i="7"/>
  <c r="V524" i="7"/>
  <c r="U524" i="7"/>
  <c r="BL523" i="7"/>
  <c r="BI523" i="7"/>
  <c r="BH523" i="7"/>
  <c r="BG523" i="7"/>
  <c r="BF523" i="7"/>
  <c r="BB523" i="7"/>
  <c r="AY523" i="7"/>
  <c r="T523" i="7"/>
  <c r="S523" i="7"/>
  <c r="AK520" i="7"/>
  <c r="AS520" i="7" s="1"/>
  <c r="X520" i="7"/>
  <c r="AK519" i="7"/>
  <c r="AS519" i="7" s="1"/>
  <c r="X519" i="7"/>
  <c r="AK518" i="7"/>
  <c r="AS518" i="7" s="1"/>
  <c r="AU518" i="7" s="1"/>
  <c r="AW518" i="7" s="1"/>
  <c r="X518" i="7"/>
  <c r="AK517" i="7"/>
  <c r="AS517" i="7" s="1"/>
  <c r="AU517" i="7" s="1"/>
  <c r="AW517" i="7" s="1"/>
  <c r="X517" i="7"/>
  <c r="AK516" i="7"/>
  <c r="X516" i="7"/>
  <c r="AK515" i="7"/>
  <c r="AS515" i="7" s="1"/>
  <c r="AX515" i="7" s="1"/>
  <c r="X515" i="7"/>
  <c r="AT514" i="7"/>
  <c r="AR514" i="7"/>
  <c r="AQ514" i="7"/>
  <c r="AP514" i="7"/>
  <c r="AO514" i="7"/>
  <c r="AN514" i="7"/>
  <c r="AM514" i="7"/>
  <c r="AL514" i="7"/>
  <c r="AJ514" i="7"/>
  <c r="AI514" i="7"/>
  <c r="AH514" i="7"/>
  <c r="AG514" i="7"/>
  <c r="AF514" i="7"/>
  <c r="AE514" i="7"/>
  <c r="AD514" i="7"/>
  <c r="AC514" i="7"/>
  <c r="AB514" i="7"/>
  <c r="AA514" i="7"/>
  <c r="Z514" i="7"/>
  <c r="Y514" i="7"/>
  <c r="W514" i="7"/>
  <c r="V514" i="7"/>
  <c r="U514" i="7"/>
  <c r="S513" i="7"/>
  <c r="AY513" i="7" s="1"/>
  <c r="AY507" i="7" s="1"/>
  <c r="AY506" i="7" s="1"/>
  <c r="AY280" i="7" s="1"/>
  <c r="X512" i="7"/>
  <c r="AK511" i="7"/>
  <c r="AS511" i="7" s="1"/>
  <c r="AU511" i="7" s="1"/>
  <c r="AW511" i="7" s="1"/>
  <c r="X511" i="7"/>
  <c r="AT510" i="7"/>
  <c r="AT507" i="7" s="1"/>
  <c r="X510" i="7"/>
  <c r="AK509" i="7"/>
  <c r="AS509" i="7" s="1"/>
  <c r="AU509" i="7" s="1"/>
  <c r="AW509" i="7" s="1"/>
  <c r="X509" i="7"/>
  <c r="AK508" i="7"/>
  <c r="AS508" i="7" s="1"/>
  <c r="AU508" i="7" s="1"/>
  <c r="AW508" i="7" s="1"/>
  <c r="X508" i="7"/>
  <c r="AR507" i="7"/>
  <c r="AR506" i="7" s="1"/>
  <c r="AR280" i="7" s="1"/>
  <c r="AQ507" i="7"/>
  <c r="AP507" i="7"/>
  <c r="AP506" i="7" s="1"/>
  <c r="AP280" i="7" s="1"/>
  <c r="AO507" i="7"/>
  <c r="AN507" i="7"/>
  <c r="AN506" i="7" s="1"/>
  <c r="AN280" i="7" s="1"/>
  <c r="AM507" i="7"/>
  <c r="AL507" i="7"/>
  <c r="AL506" i="7" s="1"/>
  <c r="AJ507" i="7"/>
  <c r="AI507" i="7"/>
  <c r="AI506" i="7" s="1"/>
  <c r="AI280" i="7" s="1"/>
  <c r="AH507" i="7"/>
  <c r="AH506" i="7" s="1"/>
  <c r="AH280" i="7" s="1"/>
  <c r="AG507" i="7"/>
  <c r="AG506" i="7" s="1"/>
  <c r="AG280" i="7" s="1"/>
  <c r="AF507" i="7"/>
  <c r="AE507" i="7"/>
  <c r="AE506" i="7" s="1"/>
  <c r="AE280" i="7" s="1"/>
  <c r="AD507" i="7"/>
  <c r="AC507" i="7"/>
  <c r="AC506" i="7" s="1"/>
  <c r="AC280" i="7" s="1"/>
  <c r="AB507" i="7"/>
  <c r="AA507" i="7"/>
  <c r="AA506" i="7" s="1"/>
  <c r="AA280" i="7" s="1"/>
  <c r="Z507" i="7"/>
  <c r="Y507" i="7"/>
  <c r="Y506" i="7" s="1"/>
  <c r="Y280" i="7" s="1"/>
  <c r="W507" i="7"/>
  <c r="V507" i="7"/>
  <c r="V506" i="7" s="1"/>
  <c r="V280" i="7" s="1"/>
  <c r="U507" i="7"/>
  <c r="BL506" i="7"/>
  <c r="BL280" i="7" s="1"/>
  <c r="BI506" i="7"/>
  <c r="BI280" i="7" s="1"/>
  <c r="BH506" i="7"/>
  <c r="BH280" i="7" s="1"/>
  <c r="BG506" i="7"/>
  <c r="BG280" i="7" s="1"/>
  <c r="BF506" i="7"/>
  <c r="BF280" i="7" s="1"/>
  <c r="BB506" i="7"/>
  <c r="T506" i="7"/>
  <c r="T280" i="7" s="1"/>
  <c r="S506" i="7"/>
  <c r="S280" i="7" s="1"/>
  <c r="AK505" i="7"/>
  <c r="X505" i="7"/>
  <c r="AT504" i="7"/>
  <c r="AT503" i="7" s="1"/>
  <c r="AR504" i="7"/>
  <c r="AQ504" i="7"/>
  <c r="AQ503" i="7" s="1"/>
  <c r="AP504" i="7"/>
  <c r="AP503" i="7" s="1"/>
  <c r="AO504" i="7"/>
  <c r="AO503" i="7" s="1"/>
  <c r="AN504" i="7"/>
  <c r="AN503" i="7" s="1"/>
  <c r="AM504" i="7"/>
  <c r="AM503" i="7" s="1"/>
  <c r="AL504" i="7"/>
  <c r="AL503" i="7" s="1"/>
  <c r="BM503" i="7" s="1"/>
  <c r="BN503" i="7" s="1"/>
  <c r="AJ504" i="7"/>
  <c r="AJ503" i="7" s="1"/>
  <c r="AI504" i="7"/>
  <c r="AI503" i="7" s="1"/>
  <c r="AH504" i="7"/>
  <c r="AH503" i="7" s="1"/>
  <c r="AG504" i="7"/>
  <c r="AG503" i="7" s="1"/>
  <c r="AF504" i="7"/>
  <c r="AF503" i="7" s="1"/>
  <c r="AE504" i="7"/>
  <c r="AE503" i="7" s="1"/>
  <c r="AD504" i="7"/>
  <c r="AD503" i="7" s="1"/>
  <c r="AC504" i="7"/>
  <c r="AC503" i="7" s="1"/>
  <c r="AB504" i="7"/>
  <c r="AB503" i="7" s="1"/>
  <c r="AA504" i="7"/>
  <c r="AA503" i="7" s="1"/>
  <c r="Z504" i="7"/>
  <c r="Z503" i="7" s="1"/>
  <c r="Y504" i="7"/>
  <c r="Y503" i="7" s="1"/>
  <c r="W504" i="7"/>
  <c r="W503" i="7" s="1"/>
  <c r="V504" i="7"/>
  <c r="V503" i="7" s="1"/>
  <c r="U504" i="7"/>
  <c r="U503" i="7" s="1"/>
  <c r="BI503" i="7"/>
  <c r="BH503" i="7"/>
  <c r="BG503" i="7"/>
  <c r="BF503" i="7"/>
  <c r="BB503" i="7"/>
  <c r="AY503" i="7"/>
  <c r="AR503" i="7"/>
  <c r="T503" i="7"/>
  <c r="S503" i="7"/>
  <c r="AK502" i="7"/>
  <c r="AS502" i="7" s="1"/>
  <c r="AX502" i="7" s="1"/>
  <c r="X502" i="7"/>
  <c r="AK501" i="7"/>
  <c r="AS501" i="7" s="1"/>
  <c r="AX501" i="7" s="1"/>
  <c r="X501" i="7"/>
  <c r="AK500" i="7"/>
  <c r="AS500" i="7" s="1"/>
  <c r="AU500" i="7" s="1"/>
  <c r="AW500" i="7" s="1"/>
  <c r="X500" i="7"/>
  <c r="AK499" i="7"/>
  <c r="AS499" i="7" s="1"/>
  <c r="X499" i="7"/>
  <c r="AK498" i="7"/>
  <c r="AS498" i="7" s="1"/>
  <c r="X498" i="7"/>
  <c r="AK497" i="7"/>
  <c r="AS497" i="7" s="1"/>
  <c r="AX497" i="7" s="1"/>
  <c r="X497" i="7"/>
  <c r="AK496" i="7"/>
  <c r="AS496" i="7" s="1"/>
  <c r="X496" i="7"/>
  <c r="AK495" i="7"/>
  <c r="AS495" i="7" s="1"/>
  <c r="X495" i="7"/>
  <c r="AK494" i="7"/>
  <c r="AS494" i="7" s="1"/>
  <c r="X494" i="7"/>
  <c r="AK493" i="7"/>
  <c r="AS493" i="7" s="1"/>
  <c r="AX493" i="7" s="1"/>
  <c r="X493" i="7"/>
  <c r="AK492" i="7"/>
  <c r="AS492" i="7" s="1"/>
  <c r="AU492" i="7" s="1"/>
  <c r="AW492" i="7" s="1"/>
  <c r="X492" i="7"/>
  <c r="AK491" i="7"/>
  <c r="AS491" i="7" s="1"/>
  <c r="X491" i="7"/>
  <c r="AK490" i="7"/>
  <c r="AS490" i="7" s="1"/>
  <c r="X490" i="7"/>
  <c r="AK489" i="7"/>
  <c r="AS489" i="7" s="1"/>
  <c r="AX489" i="7" s="1"/>
  <c r="X489" i="7"/>
  <c r="AK488" i="7"/>
  <c r="AS488" i="7" s="1"/>
  <c r="X488" i="7"/>
  <c r="AK487" i="7"/>
  <c r="AS487" i="7" s="1"/>
  <c r="X487" i="7"/>
  <c r="AK486" i="7"/>
  <c r="AS486" i="7" s="1"/>
  <c r="X486" i="7"/>
  <c r="AK485" i="7"/>
  <c r="AS485" i="7" s="1"/>
  <c r="AX485" i="7" s="1"/>
  <c r="X485" i="7"/>
  <c r="AK484" i="7"/>
  <c r="AS484" i="7" s="1"/>
  <c r="AU484" i="7" s="1"/>
  <c r="AW484" i="7" s="1"/>
  <c r="X484" i="7"/>
  <c r="AK483" i="7"/>
  <c r="AS483" i="7" s="1"/>
  <c r="X483" i="7"/>
  <c r="AK482" i="7"/>
  <c r="AS482" i="7" s="1"/>
  <c r="X482" i="7"/>
  <c r="AK481" i="7"/>
  <c r="AS481" i="7" s="1"/>
  <c r="AX481" i="7" s="1"/>
  <c r="X481" i="7"/>
  <c r="AK480" i="7"/>
  <c r="AS480" i="7" s="1"/>
  <c r="X480" i="7"/>
  <c r="AK479" i="7"/>
  <c r="AS479" i="7" s="1"/>
  <c r="X479" i="7"/>
  <c r="AK478" i="7"/>
  <c r="AS478" i="7" s="1"/>
  <c r="AX478" i="7" s="1"/>
  <c r="X478" i="7"/>
  <c r="AK477" i="7"/>
  <c r="AS477" i="7" s="1"/>
  <c r="X477" i="7"/>
  <c r="AK476" i="7"/>
  <c r="AS476" i="7" s="1"/>
  <c r="AU476" i="7" s="1"/>
  <c r="AW476" i="7" s="1"/>
  <c r="X476" i="7"/>
  <c r="AK475" i="7"/>
  <c r="AS475" i="7" s="1"/>
  <c r="X475" i="7"/>
  <c r="AK474" i="7"/>
  <c r="AS474" i="7" s="1"/>
  <c r="X474" i="7"/>
  <c r="AK473" i="7"/>
  <c r="AS473" i="7" s="1"/>
  <c r="AX473" i="7" s="1"/>
  <c r="X473" i="7"/>
  <c r="AK472" i="7"/>
  <c r="AS472" i="7" s="1"/>
  <c r="X472" i="7"/>
  <c r="AK471" i="7"/>
  <c r="AS471" i="7" s="1"/>
  <c r="X471" i="7"/>
  <c r="AK470" i="7"/>
  <c r="AS470" i="7" s="1"/>
  <c r="AX470" i="7" s="1"/>
  <c r="X470" i="7"/>
  <c r="AK469" i="7"/>
  <c r="AS469" i="7" s="1"/>
  <c r="X469" i="7"/>
  <c r="AK468" i="7"/>
  <c r="AS468" i="7" s="1"/>
  <c r="AU468" i="7" s="1"/>
  <c r="AW468" i="7" s="1"/>
  <c r="X468" i="7"/>
  <c r="AK467" i="7"/>
  <c r="AS467" i="7" s="1"/>
  <c r="X467" i="7"/>
  <c r="AK466" i="7"/>
  <c r="AS466" i="7" s="1"/>
  <c r="X466" i="7"/>
  <c r="AK465" i="7"/>
  <c r="AS465" i="7" s="1"/>
  <c r="AX465" i="7" s="1"/>
  <c r="X465" i="7"/>
  <c r="AK464" i="7"/>
  <c r="AS464" i="7" s="1"/>
  <c r="X464" i="7"/>
  <c r="AK463" i="7"/>
  <c r="AS463" i="7" s="1"/>
  <c r="X463" i="7"/>
  <c r="AK462" i="7"/>
  <c r="AS462" i="7" s="1"/>
  <c r="X462" i="7"/>
  <c r="AK461" i="7"/>
  <c r="AS461" i="7" s="1"/>
  <c r="AX461" i="7" s="1"/>
  <c r="X461" i="7"/>
  <c r="AK460" i="7"/>
  <c r="AS460" i="7" s="1"/>
  <c r="X460" i="7"/>
  <c r="AK459" i="7"/>
  <c r="AS459" i="7" s="1"/>
  <c r="X459" i="7"/>
  <c r="AK458" i="7"/>
  <c r="AS458" i="7" s="1"/>
  <c r="X458" i="7"/>
  <c r="AK457" i="7"/>
  <c r="AS457" i="7" s="1"/>
  <c r="AX457" i="7" s="1"/>
  <c r="X457" i="7"/>
  <c r="AK456" i="7"/>
  <c r="AS456" i="7" s="1"/>
  <c r="X456" i="7"/>
  <c r="AK455" i="7"/>
  <c r="AS455" i="7" s="1"/>
  <c r="X455" i="7"/>
  <c r="AK454" i="7"/>
  <c r="AS454" i="7" s="1"/>
  <c r="X454" i="7"/>
  <c r="AK453" i="7"/>
  <c r="AS453" i="7" s="1"/>
  <c r="AX453" i="7" s="1"/>
  <c r="X453" i="7"/>
  <c r="AK452" i="7"/>
  <c r="AS452" i="7" s="1"/>
  <c r="AU452" i="7" s="1"/>
  <c r="AW452" i="7" s="1"/>
  <c r="X452" i="7"/>
  <c r="AK451" i="7"/>
  <c r="AS451" i="7" s="1"/>
  <c r="X451" i="7"/>
  <c r="AK450" i="7"/>
  <c r="AS450" i="7" s="1"/>
  <c r="X450" i="7"/>
  <c r="AK449" i="7"/>
  <c r="AS449" i="7" s="1"/>
  <c r="AX449" i="7" s="1"/>
  <c r="X449" i="7"/>
  <c r="AK448" i="7"/>
  <c r="AS448" i="7" s="1"/>
  <c r="X448" i="7"/>
  <c r="AK447" i="7"/>
  <c r="AS447" i="7" s="1"/>
  <c r="X447" i="7"/>
  <c r="AK446" i="7"/>
  <c r="AS446" i="7" s="1"/>
  <c r="AX446" i="7" s="1"/>
  <c r="X446" i="7"/>
  <c r="AK445" i="7"/>
  <c r="AS445" i="7" s="1"/>
  <c r="AX445" i="7" s="1"/>
  <c r="X445" i="7"/>
  <c r="AK444" i="7"/>
  <c r="AS444" i="7" s="1"/>
  <c r="AU444" i="7" s="1"/>
  <c r="AW444" i="7" s="1"/>
  <c r="X444" i="7"/>
  <c r="AK443" i="7"/>
  <c r="AS443" i="7" s="1"/>
  <c r="X443" i="7"/>
  <c r="AK442" i="7"/>
  <c r="AS442" i="7" s="1"/>
  <c r="X442" i="7"/>
  <c r="AK441" i="7"/>
  <c r="AS441" i="7" s="1"/>
  <c r="AX441" i="7" s="1"/>
  <c r="X441" i="7"/>
  <c r="AK440" i="7"/>
  <c r="AS440" i="7" s="1"/>
  <c r="X440" i="7"/>
  <c r="AK439" i="7"/>
  <c r="AS439" i="7" s="1"/>
  <c r="X439" i="7"/>
  <c r="AK438" i="7"/>
  <c r="AS438" i="7" s="1"/>
  <c r="X438" i="7"/>
  <c r="AU437" i="7"/>
  <c r="AW437" i="7" s="1"/>
  <c r="X437" i="7"/>
  <c r="AK436" i="7"/>
  <c r="AS436" i="7" s="1"/>
  <c r="X436" i="7"/>
  <c r="AU435" i="7"/>
  <c r="AW435" i="7" s="1"/>
  <c r="X435" i="7"/>
  <c r="S435" i="7"/>
  <c r="AY435" i="7" s="1"/>
  <c r="AT434" i="7"/>
  <c r="AR434" i="7"/>
  <c r="AQ434" i="7"/>
  <c r="AP434" i="7"/>
  <c r="AO434" i="7"/>
  <c r="AN434" i="7"/>
  <c r="AM434" i="7"/>
  <c r="AL434" i="7"/>
  <c r="AJ434" i="7"/>
  <c r="AI434" i="7"/>
  <c r="AH434" i="7"/>
  <c r="AG434" i="7"/>
  <c r="AF434" i="7"/>
  <c r="AE434" i="7"/>
  <c r="AD434" i="7"/>
  <c r="AC434" i="7"/>
  <c r="AB434" i="7"/>
  <c r="AA434" i="7"/>
  <c r="Z434" i="7"/>
  <c r="Y434" i="7"/>
  <c r="W434" i="7"/>
  <c r="V434" i="7"/>
  <c r="U434" i="7"/>
  <c r="AK433" i="7"/>
  <c r="AS433" i="7" s="1"/>
  <c r="AU433" i="7" s="1"/>
  <c r="AW433" i="7" s="1"/>
  <c r="X433" i="7"/>
  <c r="AK432" i="7"/>
  <c r="AS432" i="7" s="1"/>
  <c r="X432" i="7"/>
  <c r="AK431" i="7"/>
  <c r="AS431" i="7" s="1"/>
  <c r="X431" i="7"/>
  <c r="AK430" i="7"/>
  <c r="AS430" i="7" s="1"/>
  <c r="AX430" i="7" s="1"/>
  <c r="X430" i="7"/>
  <c r="AK429" i="7"/>
  <c r="AS429" i="7" s="1"/>
  <c r="X429" i="7"/>
  <c r="AK428" i="7"/>
  <c r="AS428" i="7" s="1"/>
  <c r="X428" i="7"/>
  <c r="AK427" i="7"/>
  <c r="AS427" i="7" s="1"/>
  <c r="X427" i="7"/>
  <c r="AK426" i="7"/>
  <c r="AS426" i="7" s="1"/>
  <c r="AX426" i="7" s="1"/>
  <c r="X426" i="7"/>
  <c r="AK425" i="7"/>
  <c r="AS425" i="7" s="1"/>
  <c r="X425" i="7"/>
  <c r="AK424" i="7"/>
  <c r="AS424" i="7" s="1"/>
  <c r="X424" i="7"/>
  <c r="AK423" i="7"/>
  <c r="AS423" i="7" s="1"/>
  <c r="X423" i="7"/>
  <c r="AK422" i="7"/>
  <c r="AS422" i="7" s="1"/>
  <c r="AX422" i="7" s="1"/>
  <c r="X422" i="7"/>
  <c r="AK421" i="7"/>
  <c r="AS421" i="7" s="1"/>
  <c r="AU421" i="7" s="1"/>
  <c r="AW421" i="7" s="1"/>
  <c r="X421" i="7"/>
  <c r="AK420" i="7"/>
  <c r="AS420" i="7" s="1"/>
  <c r="X420" i="7"/>
  <c r="AK419" i="7"/>
  <c r="AS419" i="7" s="1"/>
  <c r="AX419" i="7" s="1"/>
  <c r="X419" i="7"/>
  <c r="AK418" i="7"/>
  <c r="AS418" i="7" s="1"/>
  <c r="AU418" i="7" s="1"/>
  <c r="AW418" i="7" s="1"/>
  <c r="X418" i="7"/>
  <c r="AK417" i="7"/>
  <c r="AS417" i="7" s="1"/>
  <c r="X417" i="7"/>
  <c r="AK416" i="7"/>
  <c r="AS416" i="7" s="1"/>
  <c r="X416" i="7"/>
  <c r="AK415" i="7"/>
  <c r="AS415" i="7" s="1"/>
  <c r="AX415" i="7" s="1"/>
  <c r="X415" i="7"/>
  <c r="AK414" i="7"/>
  <c r="AS414" i="7" s="1"/>
  <c r="AU414" i="7" s="1"/>
  <c r="AW414" i="7" s="1"/>
  <c r="X414" i="7"/>
  <c r="AK413" i="7"/>
  <c r="AS413" i="7" s="1"/>
  <c r="X413" i="7"/>
  <c r="AK412" i="7"/>
  <c r="AS412" i="7" s="1"/>
  <c r="X412" i="7"/>
  <c r="AK411" i="7"/>
  <c r="AS411" i="7" s="1"/>
  <c r="AX411" i="7" s="1"/>
  <c r="X411" i="7"/>
  <c r="AK410" i="7"/>
  <c r="AS410" i="7" s="1"/>
  <c r="X410" i="7"/>
  <c r="AK409" i="7"/>
  <c r="AS409" i="7" s="1"/>
  <c r="X409" i="7"/>
  <c r="AK408" i="7"/>
  <c r="AS408" i="7" s="1"/>
  <c r="X408" i="7"/>
  <c r="AK407" i="7"/>
  <c r="AS407" i="7" s="1"/>
  <c r="X407" i="7"/>
  <c r="AK406" i="7"/>
  <c r="AS406" i="7" s="1"/>
  <c r="AX406" i="7" s="1"/>
  <c r="X406" i="7"/>
  <c r="AK405" i="7"/>
  <c r="AS405" i="7" s="1"/>
  <c r="X405" i="7"/>
  <c r="AK404" i="7"/>
  <c r="AS404" i="7" s="1"/>
  <c r="X404" i="7"/>
  <c r="AK403" i="7"/>
  <c r="AS403" i="7" s="1"/>
  <c r="AX403" i="7" s="1"/>
  <c r="X403" i="7"/>
  <c r="AK402" i="7"/>
  <c r="AS402" i="7" s="1"/>
  <c r="AU402" i="7" s="1"/>
  <c r="AW402" i="7" s="1"/>
  <c r="X402" i="7"/>
  <c r="AK401" i="7"/>
  <c r="AS401" i="7" s="1"/>
  <c r="AU401" i="7" s="1"/>
  <c r="AW401" i="7" s="1"/>
  <c r="X401" i="7"/>
  <c r="AK400" i="7"/>
  <c r="AS400" i="7" s="1"/>
  <c r="X400" i="7"/>
  <c r="AK399" i="7"/>
  <c r="AS399" i="7" s="1"/>
  <c r="X399" i="7"/>
  <c r="AK398" i="7"/>
  <c r="AS398" i="7" s="1"/>
  <c r="AX398" i="7" s="1"/>
  <c r="X398" i="7"/>
  <c r="AK397" i="7"/>
  <c r="AS397" i="7" s="1"/>
  <c r="X397" i="7"/>
  <c r="AK396" i="7"/>
  <c r="AS396" i="7" s="1"/>
  <c r="X396" i="7"/>
  <c r="AK395" i="7"/>
  <c r="AS395" i="7" s="1"/>
  <c r="AX395" i="7" s="1"/>
  <c r="X395" i="7"/>
  <c r="AK394" i="7"/>
  <c r="AS394" i="7" s="1"/>
  <c r="X394" i="7"/>
  <c r="AK393" i="7"/>
  <c r="AS393" i="7" s="1"/>
  <c r="X393" i="7"/>
  <c r="AK392" i="7"/>
  <c r="AS392" i="7" s="1"/>
  <c r="X392" i="7"/>
  <c r="AK391" i="7"/>
  <c r="AS391" i="7" s="1"/>
  <c r="X391" i="7"/>
  <c r="AK390" i="7"/>
  <c r="AS390" i="7" s="1"/>
  <c r="AX390" i="7" s="1"/>
  <c r="X390" i="7"/>
  <c r="AK389" i="7"/>
  <c r="AS389" i="7" s="1"/>
  <c r="X389" i="7"/>
  <c r="AK388" i="7"/>
  <c r="AS388" i="7" s="1"/>
  <c r="X388" i="7"/>
  <c r="AK387" i="7"/>
  <c r="AS387" i="7" s="1"/>
  <c r="X387" i="7"/>
  <c r="AK386" i="7"/>
  <c r="AS386" i="7" s="1"/>
  <c r="AX386" i="7" s="1"/>
  <c r="X386" i="7"/>
  <c r="AK385" i="7"/>
  <c r="AS385" i="7" s="1"/>
  <c r="X385" i="7"/>
  <c r="AK384" i="7"/>
  <c r="AS384" i="7" s="1"/>
  <c r="X384" i="7"/>
  <c r="AK383" i="7"/>
  <c r="AS383" i="7" s="1"/>
  <c r="X383" i="7"/>
  <c r="AK382" i="7"/>
  <c r="AS382" i="7" s="1"/>
  <c r="X382" i="7"/>
  <c r="AK381" i="7"/>
  <c r="AS381" i="7" s="1"/>
  <c r="X381" i="7"/>
  <c r="AK380" i="7"/>
  <c r="AS380" i="7" s="1"/>
  <c r="X380" i="7"/>
  <c r="AK379" i="7"/>
  <c r="AS379" i="7" s="1"/>
  <c r="X379" i="7"/>
  <c r="AK378" i="7"/>
  <c r="AS378" i="7" s="1"/>
  <c r="AX378" i="7" s="1"/>
  <c r="X378" i="7"/>
  <c r="AK377" i="7"/>
  <c r="AS377" i="7" s="1"/>
  <c r="X377" i="7"/>
  <c r="AK376" i="7"/>
  <c r="AS376" i="7" s="1"/>
  <c r="X376" i="7"/>
  <c r="AK375" i="7"/>
  <c r="AS375" i="7" s="1"/>
  <c r="X375" i="7"/>
  <c r="AK374" i="7"/>
  <c r="AS374" i="7" s="1"/>
  <c r="AX374" i="7" s="1"/>
  <c r="X374" i="7"/>
  <c r="AK373" i="7"/>
  <c r="AS373" i="7" s="1"/>
  <c r="X373" i="7"/>
  <c r="AK372" i="7"/>
  <c r="AS372" i="7" s="1"/>
  <c r="X372" i="7"/>
  <c r="AK371" i="7"/>
  <c r="AS371" i="7" s="1"/>
  <c r="X371" i="7"/>
  <c r="AK370" i="7"/>
  <c r="AS370" i="7" s="1"/>
  <c r="X370" i="7"/>
  <c r="AK369" i="7"/>
  <c r="AS369" i="7" s="1"/>
  <c r="X369" i="7"/>
  <c r="AK368" i="7"/>
  <c r="AS368" i="7" s="1"/>
  <c r="AX368" i="7" s="1"/>
  <c r="X368" i="7"/>
  <c r="AK367" i="7"/>
  <c r="AS367" i="7" s="1"/>
  <c r="AX367" i="7" s="1"/>
  <c r="X367" i="7"/>
  <c r="AK366" i="7"/>
  <c r="AS366" i="7" s="1"/>
  <c r="AX366" i="7" s="1"/>
  <c r="X366" i="7"/>
  <c r="AK365" i="7"/>
  <c r="AS365" i="7" s="1"/>
  <c r="AX365" i="7" s="1"/>
  <c r="X365" i="7"/>
  <c r="AK364" i="7"/>
  <c r="AT364" i="7" s="1"/>
  <c r="AT363" i="7"/>
  <c r="AK363" i="7"/>
  <c r="AS363" i="7" s="1"/>
  <c r="X363" i="7"/>
  <c r="AK362" i="7"/>
  <c r="AT362" i="7" s="1"/>
  <c r="AT361" i="7"/>
  <c r="AK361" i="7"/>
  <c r="AS361" i="7" s="1"/>
  <c r="X361" i="7"/>
  <c r="AK360" i="7"/>
  <c r="AT360" i="7" s="1"/>
  <c r="AT359" i="7"/>
  <c r="AK359" i="7"/>
  <c r="AS359" i="7" s="1"/>
  <c r="X359" i="7"/>
  <c r="AK358" i="7"/>
  <c r="AS358" i="7" s="1"/>
  <c r="AX358" i="7" s="1"/>
  <c r="X358" i="7"/>
  <c r="AK357" i="7"/>
  <c r="AS357" i="7" s="1"/>
  <c r="AX357" i="7" s="1"/>
  <c r="X357" i="7"/>
  <c r="AK356" i="7"/>
  <c r="AS356" i="7" s="1"/>
  <c r="AX356" i="7" s="1"/>
  <c r="X356" i="7"/>
  <c r="AK355" i="7"/>
  <c r="AS355" i="7" s="1"/>
  <c r="AX355" i="7" s="1"/>
  <c r="X355" i="7"/>
  <c r="AK354" i="7"/>
  <c r="AS354" i="7" s="1"/>
  <c r="AX354" i="7" s="1"/>
  <c r="X354" i="7"/>
  <c r="AK353" i="7"/>
  <c r="AS353" i="7" s="1"/>
  <c r="AX353" i="7" s="1"/>
  <c r="X353" i="7"/>
  <c r="AK352" i="7"/>
  <c r="AT352" i="7" s="1"/>
  <c r="AK351" i="7"/>
  <c r="X351" i="7"/>
  <c r="AU350" i="7"/>
  <c r="AW350" i="7" s="1"/>
  <c r="X350" i="7"/>
  <c r="AR349" i="7"/>
  <c r="AQ349" i="7"/>
  <c r="AP349" i="7"/>
  <c r="AO349" i="7"/>
  <c r="AN349" i="7"/>
  <c r="AM349" i="7"/>
  <c r="AL349" i="7"/>
  <c r="AJ349" i="7"/>
  <c r="AI349" i="7"/>
  <c r="AH349" i="7"/>
  <c r="AG349" i="7"/>
  <c r="AF349" i="7"/>
  <c r="AE349" i="7"/>
  <c r="AD349" i="7"/>
  <c r="AC349" i="7"/>
  <c r="AB349" i="7"/>
  <c r="AA349" i="7"/>
  <c r="Z349" i="7"/>
  <c r="Y349" i="7"/>
  <c r="W349" i="7"/>
  <c r="V349" i="7"/>
  <c r="U349" i="7"/>
  <c r="S349" i="7"/>
  <c r="BL348" i="7"/>
  <c r="BI348" i="7"/>
  <c r="BH348" i="7"/>
  <c r="BG348" i="7"/>
  <c r="BF348" i="7"/>
  <c r="BB348" i="7"/>
  <c r="T348" i="7"/>
  <c r="T347" i="7"/>
  <c r="S347" i="7"/>
  <c r="AK346" i="7"/>
  <c r="AS346" i="7" s="1"/>
  <c r="AU346" i="7" s="1"/>
  <c r="AW346" i="7" s="1"/>
  <c r="X346" i="7"/>
  <c r="AK345" i="7"/>
  <c r="AS345" i="7" s="1"/>
  <c r="AU345" i="7" s="1"/>
  <c r="AW345" i="7" s="1"/>
  <c r="X345" i="7"/>
  <c r="AK344" i="7"/>
  <c r="AS344" i="7" s="1"/>
  <c r="AU344" i="7" s="1"/>
  <c r="AW344" i="7" s="1"/>
  <c r="X344" i="7"/>
  <c r="AK343" i="7"/>
  <c r="AS343" i="7" s="1"/>
  <c r="AU343" i="7" s="1"/>
  <c r="AW343" i="7" s="1"/>
  <c r="X343" i="7"/>
  <c r="AK342" i="7"/>
  <c r="AS342" i="7" s="1"/>
  <c r="AU342" i="7" s="1"/>
  <c r="AW342" i="7" s="1"/>
  <c r="X342" i="7"/>
  <c r="AK341" i="7"/>
  <c r="AS341" i="7" s="1"/>
  <c r="AU341" i="7" s="1"/>
  <c r="AW341" i="7" s="1"/>
  <c r="X341" i="7"/>
  <c r="AK340" i="7"/>
  <c r="AS340" i="7" s="1"/>
  <c r="AU340" i="7" s="1"/>
  <c r="AW340" i="7" s="1"/>
  <c r="X340" i="7"/>
  <c r="AK339" i="7"/>
  <c r="AS339" i="7" s="1"/>
  <c r="AU339" i="7" s="1"/>
  <c r="AW339" i="7" s="1"/>
  <c r="X339" i="7"/>
  <c r="AK338" i="7"/>
  <c r="AS338" i="7" s="1"/>
  <c r="AU338" i="7" s="1"/>
  <c r="AW338" i="7" s="1"/>
  <c r="X338" i="7"/>
  <c r="AK337" i="7"/>
  <c r="AS337" i="7" s="1"/>
  <c r="AU337" i="7" s="1"/>
  <c r="AW337" i="7" s="1"/>
  <c r="X337" i="7"/>
  <c r="AK336" i="7"/>
  <c r="AS336" i="7" s="1"/>
  <c r="AU336" i="7" s="1"/>
  <c r="AW336" i="7" s="1"/>
  <c r="X336" i="7"/>
  <c r="AK335" i="7"/>
  <c r="AS335" i="7" s="1"/>
  <c r="AU335" i="7" s="1"/>
  <c r="AW335" i="7" s="1"/>
  <c r="X335" i="7"/>
  <c r="AK334" i="7"/>
  <c r="AS334" i="7" s="1"/>
  <c r="AU334" i="7" s="1"/>
  <c r="AW334" i="7" s="1"/>
  <c r="X334" i="7"/>
  <c r="AK333" i="7"/>
  <c r="AS333" i="7" s="1"/>
  <c r="AU333" i="7" s="1"/>
  <c r="AW333" i="7" s="1"/>
  <c r="X333" i="7"/>
  <c r="AK332" i="7"/>
  <c r="AS332" i="7" s="1"/>
  <c r="AU332" i="7" s="1"/>
  <c r="AW332" i="7" s="1"/>
  <c r="X332" i="7"/>
  <c r="AK331" i="7"/>
  <c r="AS331" i="7" s="1"/>
  <c r="AU331" i="7" s="1"/>
  <c r="AW331" i="7" s="1"/>
  <c r="X331" i="7"/>
  <c r="AK330" i="7"/>
  <c r="AS330" i="7" s="1"/>
  <c r="AU330" i="7" s="1"/>
  <c r="AW330" i="7" s="1"/>
  <c r="X330" i="7"/>
  <c r="AK329" i="7"/>
  <c r="AS329" i="7" s="1"/>
  <c r="AU329" i="7" s="1"/>
  <c r="AW329" i="7" s="1"/>
  <c r="X329" i="7"/>
  <c r="AK328" i="7"/>
  <c r="AS328" i="7" s="1"/>
  <c r="AU328" i="7" s="1"/>
  <c r="AW328" i="7" s="1"/>
  <c r="X328" i="7"/>
  <c r="AK327" i="7"/>
  <c r="AS327" i="7" s="1"/>
  <c r="AU327" i="7" s="1"/>
  <c r="AW327" i="7" s="1"/>
  <c r="X327" i="7"/>
  <c r="AK326" i="7"/>
  <c r="AS326" i="7" s="1"/>
  <c r="AU326" i="7" s="1"/>
  <c r="AW326" i="7" s="1"/>
  <c r="X326" i="7"/>
  <c r="AK325" i="7"/>
  <c r="AS325" i="7" s="1"/>
  <c r="AU325" i="7" s="1"/>
  <c r="AW325" i="7" s="1"/>
  <c r="X325" i="7"/>
  <c r="AK324" i="7"/>
  <c r="AS324" i="7" s="1"/>
  <c r="AU324" i="7" s="1"/>
  <c r="AW324" i="7" s="1"/>
  <c r="X324" i="7"/>
  <c r="AK323" i="7"/>
  <c r="AS323" i="7" s="1"/>
  <c r="AU323" i="7" s="1"/>
  <c r="AW323" i="7" s="1"/>
  <c r="X323" i="7"/>
  <c r="AK322" i="7"/>
  <c r="AS322" i="7" s="1"/>
  <c r="AU322" i="7" s="1"/>
  <c r="AW322" i="7" s="1"/>
  <c r="X322" i="7"/>
  <c r="AK321" i="7"/>
  <c r="AS321" i="7" s="1"/>
  <c r="AU321" i="7" s="1"/>
  <c r="AW321" i="7" s="1"/>
  <c r="X321" i="7"/>
  <c r="AK320" i="7"/>
  <c r="AS320" i="7" s="1"/>
  <c r="AU320" i="7" s="1"/>
  <c r="AW320" i="7" s="1"/>
  <c r="X320" i="7"/>
  <c r="AK319" i="7"/>
  <c r="AS319" i="7" s="1"/>
  <c r="AU319" i="7" s="1"/>
  <c r="AW319" i="7" s="1"/>
  <c r="X319" i="7"/>
  <c r="AK318" i="7"/>
  <c r="AS318" i="7" s="1"/>
  <c r="AU318" i="7" s="1"/>
  <c r="AW318" i="7" s="1"/>
  <c r="X318" i="7"/>
  <c r="AK317" i="7"/>
  <c r="AS317" i="7" s="1"/>
  <c r="AU317" i="7" s="1"/>
  <c r="AW317" i="7" s="1"/>
  <c r="X317" i="7"/>
  <c r="AK316" i="7"/>
  <c r="AS316" i="7" s="1"/>
  <c r="AU316" i="7" s="1"/>
  <c r="AW316" i="7" s="1"/>
  <c r="X316" i="7"/>
  <c r="AK315" i="7"/>
  <c r="AS315" i="7" s="1"/>
  <c r="AU315" i="7" s="1"/>
  <c r="AW315" i="7" s="1"/>
  <c r="X315" i="7"/>
  <c r="AK314" i="7"/>
  <c r="AS314" i="7" s="1"/>
  <c r="AU314" i="7" s="1"/>
  <c r="AW314" i="7" s="1"/>
  <c r="X314" i="7"/>
  <c r="AK313" i="7"/>
  <c r="AS313" i="7" s="1"/>
  <c r="AU313" i="7" s="1"/>
  <c r="AW313" i="7" s="1"/>
  <c r="X313" i="7"/>
  <c r="AK312" i="7"/>
  <c r="AS312" i="7" s="1"/>
  <c r="AU312" i="7" s="1"/>
  <c r="AW312" i="7" s="1"/>
  <c r="X312" i="7"/>
  <c r="AK311" i="7"/>
  <c r="AS311" i="7" s="1"/>
  <c r="AU311" i="7" s="1"/>
  <c r="AW311" i="7" s="1"/>
  <c r="X311" i="7"/>
  <c r="AK310" i="7"/>
  <c r="AS310" i="7" s="1"/>
  <c r="AU310" i="7" s="1"/>
  <c r="AW310" i="7" s="1"/>
  <c r="X310" i="7"/>
  <c r="AK309" i="7"/>
  <c r="AS309" i="7" s="1"/>
  <c r="AU309" i="7" s="1"/>
  <c r="AW309" i="7" s="1"/>
  <c r="X309" i="7"/>
  <c r="AK308" i="7"/>
  <c r="AS308" i="7" s="1"/>
  <c r="AU308" i="7" s="1"/>
  <c r="AW308" i="7" s="1"/>
  <c r="X308" i="7"/>
  <c r="AK307" i="7"/>
  <c r="AS307" i="7" s="1"/>
  <c r="X307" i="7"/>
  <c r="AK306" i="7"/>
  <c r="AS306" i="7" s="1"/>
  <c r="X306" i="7"/>
  <c r="AK305" i="7"/>
  <c r="AS305" i="7" s="1"/>
  <c r="AU305" i="7" s="1"/>
  <c r="AW305" i="7" s="1"/>
  <c r="X305" i="7"/>
  <c r="AK304" i="7"/>
  <c r="AS304" i="7" s="1"/>
  <c r="X304" i="7"/>
  <c r="AK303" i="7"/>
  <c r="AS303" i="7" s="1"/>
  <c r="X303" i="7"/>
  <c r="AK302" i="7"/>
  <c r="AS302" i="7" s="1"/>
  <c r="AX302" i="7" s="1"/>
  <c r="X302" i="7"/>
  <c r="AK301" i="7"/>
  <c r="AS301" i="7" s="1"/>
  <c r="X301" i="7"/>
  <c r="AK300" i="7"/>
  <c r="AS300" i="7" s="1"/>
  <c r="X300" i="7"/>
  <c r="AK299" i="7"/>
  <c r="AS299" i="7" s="1"/>
  <c r="AX299" i="7" s="1"/>
  <c r="X299" i="7"/>
  <c r="AK298" i="7"/>
  <c r="AS298" i="7" s="1"/>
  <c r="X298" i="7"/>
  <c r="AK297" i="7"/>
  <c r="AS297" i="7" s="1"/>
  <c r="AU297" i="7" s="1"/>
  <c r="AW297" i="7" s="1"/>
  <c r="X297" i="7"/>
  <c r="AK296" i="7"/>
  <c r="AS296" i="7" s="1"/>
  <c r="X296" i="7"/>
  <c r="AK295" i="7"/>
  <c r="AS295" i="7" s="1"/>
  <c r="AX295" i="7" s="1"/>
  <c r="X295" i="7"/>
  <c r="AK294" i="7"/>
  <c r="AS294" i="7" s="1"/>
  <c r="X294" i="7"/>
  <c r="AK293" i="7"/>
  <c r="AS293" i="7" s="1"/>
  <c r="AU293" i="7" s="1"/>
  <c r="AW293" i="7" s="1"/>
  <c r="X293" i="7"/>
  <c r="AK292" i="7"/>
  <c r="X292" i="7"/>
  <c r="AK291" i="7"/>
  <c r="AS291" i="7" s="1"/>
  <c r="X291" i="7"/>
  <c r="AS290" i="7"/>
  <c r="AX290" i="7" s="1"/>
  <c r="X290" i="7"/>
  <c r="AK289" i="7"/>
  <c r="AS289" i="7" s="1"/>
  <c r="X289" i="7"/>
  <c r="AT288" i="7"/>
  <c r="AR288" i="7"/>
  <c r="AQ288" i="7"/>
  <c r="AP288" i="7"/>
  <c r="AO288" i="7"/>
  <c r="AN288" i="7"/>
  <c r="AM288" i="7"/>
  <c r="AL288" i="7"/>
  <c r="AJ288" i="7"/>
  <c r="AI288" i="7"/>
  <c r="AH288" i="7"/>
  <c r="AG288" i="7"/>
  <c r="AF288" i="7"/>
  <c r="AE288" i="7"/>
  <c r="AD288" i="7"/>
  <c r="AC288" i="7"/>
  <c r="AB288" i="7"/>
  <c r="AA288" i="7"/>
  <c r="Z288" i="7"/>
  <c r="Y288" i="7"/>
  <c r="W288" i="7"/>
  <c r="V288" i="7"/>
  <c r="U288" i="7"/>
  <c r="AK287" i="7"/>
  <c r="X287" i="7"/>
  <c r="AK286" i="7"/>
  <c r="AS286" i="7" s="1"/>
  <c r="X286" i="7"/>
  <c r="AT285" i="7"/>
  <c r="AK284" i="7"/>
  <c r="AS284" i="7" s="1"/>
  <c r="X284" i="7"/>
  <c r="AU283" i="7"/>
  <c r="AW283" i="7" s="1"/>
  <c r="X283" i="7"/>
  <c r="T283" i="7"/>
  <c r="S283" i="7"/>
  <c r="AY282" i="7"/>
  <c r="AT282" i="7"/>
  <c r="AR282" i="7"/>
  <c r="AQ282" i="7"/>
  <c r="AP282" i="7"/>
  <c r="AO282" i="7"/>
  <c r="AN282" i="7"/>
  <c r="AM282" i="7"/>
  <c r="AL282" i="7"/>
  <c r="AJ282" i="7"/>
  <c r="AI282" i="7"/>
  <c r="AH282" i="7"/>
  <c r="AG282" i="7"/>
  <c r="AF282" i="7"/>
  <c r="AE282" i="7"/>
  <c r="AD282" i="7"/>
  <c r="AC282" i="7"/>
  <c r="AB282" i="7"/>
  <c r="AA282" i="7"/>
  <c r="Z282" i="7"/>
  <c r="Y282" i="7"/>
  <c r="W282" i="7"/>
  <c r="V282" i="7"/>
  <c r="U282" i="7"/>
  <c r="BL281" i="7"/>
  <c r="BI281" i="7"/>
  <c r="BH281" i="7"/>
  <c r="BG281" i="7"/>
  <c r="BF281" i="7"/>
  <c r="BB281" i="7"/>
  <c r="T281" i="7"/>
  <c r="S281" i="7"/>
  <c r="AK278" i="7"/>
  <c r="X278" i="7"/>
  <c r="AK277" i="7"/>
  <c r="AS277" i="7" s="1"/>
  <c r="AU277" i="7" s="1"/>
  <c r="AW277" i="7" s="1"/>
  <c r="X277" i="7"/>
  <c r="AT276" i="7"/>
  <c r="AR276" i="7"/>
  <c r="AQ276" i="7"/>
  <c r="AP276" i="7"/>
  <c r="AO276" i="7"/>
  <c r="AN276" i="7"/>
  <c r="AM276" i="7"/>
  <c r="AL276" i="7"/>
  <c r="AJ276" i="7"/>
  <c r="AI276" i="7"/>
  <c r="AH276" i="7"/>
  <c r="AG276" i="7"/>
  <c r="AF276" i="7"/>
  <c r="AE276" i="7"/>
  <c r="AD276" i="7"/>
  <c r="AC276" i="7"/>
  <c r="AB276" i="7"/>
  <c r="AA276" i="7"/>
  <c r="Z276" i="7"/>
  <c r="Y276" i="7"/>
  <c r="W276" i="7"/>
  <c r="V276" i="7"/>
  <c r="U276" i="7"/>
  <c r="AK275" i="7"/>
  <c r="AS275" i="7" s="1"/>
  <c r="AU275" i="7" s="1"/>
  <c r="AW275" i="7" s="1"/>
  <c r="X275" i="7"/>
  <c r="AK274" i="7"/>
  <c r="AS274" i="7" s="1"/>
  <c r="AU274" i="7" s="1"/>
  <c r="AW274" i="7" s="1"/>
  <c r="X274" i="7"/>
  <c r="AK273" i="7"/>
  <c r="AS273" i="7" s="1"/>
  <c r="AU273" i="7" s="1"/>
  <c r="AW273" i="7" s="1"/>
  <c r="X273" i="7"/>
  <c r="AK272" i="7"/>
  <c r="X272" i="7"/>
  <c r="AT271" i="7"/>
  <c r="AR271" i="7"/>
  <c r="AQ271" i="7"/>
  <c r="AP271" i="7"/>
  <c r="AO271" i="7"/>
  <c r="AN271" i="7"/>
  <c r="AM271" i="7"/>
  <c r="AL271" i="7"/>
  <c r="AJ271" i="7"/>
  <c r="AI271" i="7"/>
  <c r="AH271" i="7"/>
  <c r="AG271" i="7"/>
  <c r="AF271" i="7"/>
  <c r="AE271" i="7"/>
  <c r="AD271" i="7"/>
  <c r="AC271" i="7"/>
  <c r="AB271" i="7"/>
  <c r="AA271" i="7"/>
  <c r="Z271" i="7"/>
  <c r="Y271" i="7"/>
  <c r="W271" i="7"/>
  <c r="V271" i="7"/>
  <c r="U271" i="7"/>
  <c r="BL270" i="7"/>
  <c r="BI270" i="7"/>
  <c r="BH270" i="7"/>
  <c r="BG270" i="7"/>
  <c r="BF270" i="7"/>
  <c r="BB270" i="7"/>
  <c r="AY270" i="7"/>
  <c r="AY150" i="7" s="1"/>
  <c r="T270" i="7"/>
  <c r="S270" i="7"/>
  <c r="AU269" i="7"/>
  <c r="AW269" i="7" s="1"/>
  <c r="AK269" i="7"/>
  <c r="AK268" i="7" s="1"/>
  <c r="AK267" i="7" s="1"/>
  <c r="BJ267" i="7" s="1"/>
  <c r="X269" i="7"/>
  <c r="AT268" i="7"/>
  <c r="AT267" i="7" s="1"/>
  <c r="AR268" i="7"/>
  <c r="AR267" i="7" s="1"/>
  <c r="AQ268" i="7"/>
  <c r="AQ267" i="7" s="1"/>
  <c r="AP268" i="7"/>
  <c r="AP267" i="7" s="1"/>
  <c r="AO268" i="7"/>
  <c r="AO267" i="7" s="1"/>
  <c r="AN268" i="7"/>
  <c r="AN267" i="7" s="1"/>
  <c r="AM268" i="7"/>
  <c r="AM267" i="7" s="1"/>
  <c r="AL268" i="7"/>
  <c r="AL267" i="7" s="1"/>
  <c r="BM267" i="7" s="1"/>
  <c r="AJ268" i="7"/>
  <c r="AJ267" i="7" s="1"/>
  <c r="AI268" i="7"/>
  <c r="AI267" i="7" s="1"/>
  <c r="AH268" i="7"/>
  <c r="AH267" i="7" s="1"/>
  <c r="AG268" i="7"/>
  <c r="AG267" i="7" s="1"/>
  <c r="AF268" i="7"/>
  <c r="AF267" i="7" s="1"/>
  <c r="AE268" i="7"/>
  <c r="AE267" i="7" s="1"/>
  <c r="AD268" i="7"/>
  <c r="AD267" i="7" s="1"/>
  <c r="AC268" i="7"/>
  <c r="AC267" i="7" s="1"/>
  <c r="AB268" i="7"/>
  <c r="AB267" i="7" s="1"/>
  <c r="AA268" i="7"/>
  <c r="AA267" i="7" s="1"/>
  <c r="Z268" i="7"/>
  <c r="Z267" i="7" s="1"/>
  <c r="Y268" i="7"/>
  <c r="Y267" i="7" s="1"/>
  <c r="W268" i="7"/>
  <c r="W267" i="7" s="1"/>
  <c r="V268" i="7"/>
  <c r="V267" i="7" s="1"/>
  <c r="U268" i="7"/>
  <c r="BL267" i="7"/>
  <c r="BI267" i="7"/>
  <c r="BH267" i="7"/>
  <c r="BG267" i="7"/>
  <c r="BF267" i="7"/>
  <c r="BB267" i="7"/>
  <c r="T267" i="7"/>
  <c r="S267" i="7"/>
  <c r="S266" i="7"/>
  <c r="AY266" i="7" s="1"/>
  <c r="AY212" i="7" s="1"/>
  <c r="AK265" i="7"/>
  <c r="AS265" i="7" s="1"/>
  <c r="AU265" i="7" s="1"/>
  <c r="AW265" i="7" s="1"/>
  <c r="X265" i="7"/>
  <c r="AK264" i="7"/>
  <c r="AS264" i="7" s="1"/>
  <c r="AU264" i="7" s="1"/>
  <c r="AW264" i="7" s="1"/>
  <c r="X264" i="7"/>
  <c r="AK263" i="7"/>
  <c r="AS263" i="7" s="1"/>
  <c r="AU263" i="7" s="1"/>
  <c r="AW263" i="7" s="1"/>
  <c r="X263" i="7"/>
  <c r="AK262" i="7"/>
  <c r="AS262" i="7" s="1"/>
  <c r="AU262" i="7" s="1"/>
  <c r="AW262" i="7" s="1"/>
  <c r="X262" i="7"/>
  <c r="AK261" i="7"/>
  <c r="AS261" i="7" s="1"/>
  <c r="AU261" i="7" s="1"/>
  <c r="AW261" i="7" s="1"/>
  <c r="X261" i="7"/>
  <c r="AK260" i="7"/>
  <c r="AS260" i="7" s="1"/>
  <c r="AU260" i="7" s="1"/>
  <c r="AW260" i="7" s="1"/>
  <c r="X260" i="7"/>
  <c r="AK259" i="7"/>
  <c r="AS259" i="7" s="1"/>
  <c r="AU259" i="7" s="1"/>
  <c r="AW259" i="7" s="1"/>
  <c r="X259" i="7"/>
  <c r="AK258" i="7"/>
  <c r="AS258" i="7" s="1"/>
  <c r="AU258" i="7" s="1"/>
  <c r="AW258" i="7" s="1"/>
  <c r="X258" i="7"/>
  <c r="AK257" i="7"/>
  <c r="AS257" i="7" s="1"/>
  <c r="AU257" i="7" s="1"/>
  <c r="AW257" i="7" s="1"/>
  <c r="X257" i="7"/>
  <c r="AK256" i="7"/>
  <c r="AS256" i="7" s="1"/>
  <c r="AU256" i="7" s="1"/>
  <c r="AW256" i="7" s="1"/>
  <c r="X256" i="7"/>
  <c r="AK255" i="7"/>
  <c r="AS255" i="7" s="1"/>
  <c r="AU255" i="7" s="1"/>
  <c r="AW255" i="7" s="1"/>
  <c r="X255" i="7"/>
  <c r="AK254" i="7"/>
  <c r="AS254" i="7" s="1"/>
  <c r="AU254" i="7" s="1"/>
  <c r="AW254" i="7" s="1"/>
  <c r="X254" i="7"/>
  <c r="AK253" i="7"/>
  <c r="AS253" i="7" s="1"/>
  <c r="AU253" i="7" s="1"/>
  <c r="AW253" i="7" s="1"/>
  <c r="X253" i="7"/>
  <c r="AK252" i="7"/>
  <c r="AS252" i="7" s="1"/>
  <c r="AU252" i="7" s="1"/>
  <c r="AW252" i="7" s="1"/>
  <c r="X252" i="7"/>
  <c r="AK251" i="7"/>
  <c r="AS251" i="7" s="1"/>
  <c r="AU251" i="7" s="1"/>
  <c r="AW251" i="7" s="1"/>
  <c r="X251" i="7"/>
  <c r="AK250" i="7"/>
  <c r="AS250" i="7" s="1"/>
  <c r="AU250" i="7" s="1"/>
  <c r="AW250" i="7" s="1"/>
  <c r="X250" i="7"/>
  <c r="AK249" i="7"/>
  <c r="AS249" i="7" s="1"/>
  <c r="AU249" i="7" s="1"/>
  <c r="AW249" i="7" s="1"/>
  <c r="X249" i="7"/>
  <c r="AK248" i="7"/>
  <c r="AS248" i="7" s="1"/>
  <c r="AU248" i="7" s="1"/>
  <c r="AW248" i="7" s="1"/>
  <c r="X248" i="7"/>
  <c r="AK247" i="7"/>
  <c r="AS247" i="7" s="1"/>
  <c r="AU247" i="7" s="1"/>
  <c r="AW247" i="7" s="1"/>
  <c r="X247" i="7"/>
  <c r="AK246" i="7"/>
  <c r="AS246" i="7" s="1"/>
  <c r="AU246" i="7" s="1"/>
  <c r="AW246" i="7" s="1"/>
  <c r="X246" i="7"/>
  <c r="AK245" i="7"/>
  <c r="AS245" i="7" s="1"/>
  <c r="AU245" i="7" s="1"/>
  <c r="AW245" i="7" s="1"/>
  <c r="X245" i="7"/>
  <c r="AK244" i="7"/>
  <c r="AS244" i="7" s="1"/>
  <c r="AU244" i="7" s="1"/>
  <c r="AW244" i="7" s="1"/>
  <c r="X244" i="7"/>
  <c r="AK243" i="7"/>
  <c r="AS243" i="7" s="1"/>
  <c r="AU243" i="7" s="1"/>
  <c r="AW243" i="7" s="1"/>
  <c r="X243" i="7"/>
  <c r="AK242" i="7"/>
  <c r="AS242" i="7" s="1"/>
  <c r="AU242" i="7" s="1"/>
  <c r="AW242" i="7" s="1"/>
  <c r="X242" i="7"/>
  <c r="AK241" i="7"/>
  <c r="AS241" i="7" s="1"/>
  <c r="AU241" i="7" s="1"/>
  <c r="AW241" i="7" s="1"/>
  <c r="X241" i="7"/>
  <c r="AK240" i="7"/>
  <c r="AS240" i="7" s="1"/>
  <c r="AU240" i="7" s="1"/>
  <c r="AW240" i="7" s="1"/>
  <c r="X240" i="7"/>
  <c r="AK239" i="7"/>
  <c r="AS239" i="7" s="1"/>
  <c r="AU239" i="7" s="1"/>
  <c r="AW239" i="7" s="1"/>
  <c r="X239" i="7"/>
  <c r="AK238" i="7"/>
  <c r="AS238" i="7" s="1"/>
  <c r="AU238" i="7" s="1"/>
  <c r="AW238" i="7" s="1"/>
  <c r="X238" i="7"/>
  <c r="AK237" i="7"/>
  <c r="AS237" i="7" s="1"/>
  <c r="AU237" i="7" s="1"/>
  <c r="AW237" i="7" s="1"/>
  <c r="X237" i="7"/>
  <c r="AK236" i="7"/>
  <c r="AS236" i="7" s="1"/>
  <c r="AU236" i="7" s="1"/>
  <c r="AW236" i="7" s="1"/>
  <c r="X236" i="7"/>
  <c r="AK235" i="7"/>
  <c r="AS235" i="7" s="1"/>
  <c r="AU235" i="7" s="1"/>
  <c r="AW235" i="7" s="1"/>
  <c r="X235" i="7"/>
  <c r="AK234" i="7"/>
  <c r="AS234" i="7" s="1"/>
  <c r="AU234" i="7" s="1"/>
  <c r="AW234" i="7" s="1"/>
  <c r="X234" i="7"/>
  <c r="AK233" i="7"/>
  <c r="AS233" i="7" s="1"/>
  <c r="AU233" i="7" s="1"/>
  <c r="AW233" i="7" s="1"/>
  <c r="X233" i="7"/>
  <c r="AK232" i="7"/>
  <c r="AS232" i="7" s="1"/>
  <c r="AU232" i="7" s="1"/>
  <c r="AW232" i="7" s="1"/>
  <c r="X232" i="7"/>
  <c r="AK231" i="7"/>
  <c r="AS231" i="7" s="1"/>
  <c r="AU231" i="7" s="1"/>
  <c r="AW231" i="7" s="1"/>
  <c r="X231" i="7"/>
  <c r="AK230" i="7"/>
  <c r="AS230" i="7" s="1"/>
  <c r="AU230" i="7" s="1"/>
  <c r="AW230" i="7" s="1"/>
  <c r="X230" i="7"/>
  <c r="AK229" i="7"/>
  <c r="AS229" i="7" s="1"/>
  <c r="AU229" i="7" s="1"/>
  <c r="AW229" i="7" s="1"/>
  <c r="X229" i="7"/>
  <c r="AK228" i="7"/>
  <c r="AS228" i="7" s="1"/>
  <c r="AU228" i="7" s="1"/>
  <c r="AW228" i="7" s="1"/>
  <c r="X228" i="7"/>
  <c r="AK227" i="7"/>
  <c r="AS227" i="7" s="1"/>
  <c r="AU227" i="7" s="1"/>
  <c r="AW227" i="7" s="1"/>
  <c r="X227" i="7"/>
  <c r="AK226" i="7"/>
  <c r="AS226" i="7" s="1"/>
  <c r="AU226" i="7" s="1"/>
  <c r="AW226" i="7" s="1"/>
  <c r="X226" i="7"/>
  <c r="AK225" i="7"/>
  <c r="AS225" i="7" s="1"/>
  <c r="AU225" i="7" s="1"/>
  <c r="AW225" i="7" s="1"/>
  <c r="X225" i="7"/>
  <c r="AK224" i="7"/>
  <c r="AS224" i="7" s="1"/>
  <c r="AU224" i="7" s="1"/>
  <c r="AW224" i="7" s="1"/>
  <c r="X224" i="7"/>
  <c r="AK223" i="7"/>
  <c r="AS223" i="7" s="1"/>
  <c r="AU223" i="7" s="1"/>
  <c r="AW223" i="7" s="1"/>
  <c r="X223" i="7"/>
  <c r="AK222" i="7"/>
  <c r="AS222" i="7" s="1"/>
  <c r="AU222" i="7" s="1"/>
  <c r="AW222" i="7" s="1"/>
  <c r="X222" i="7"/>
  <c r="AK221" i="7"/>
  <c r="AS221" i="7" s="1"/>
  <c r="AU221" i="7" s="1"/>
  <c r="AW221" i="7" s="1"/>
  <c r="X221" i="7"/>
  <c r="AK220" i="7"/>
  <c r="AS220" i="7" s="1"/>
  <c r="AU220" i="7" s="1"/>
  <c r="AW220" i="7" s="1"/>
  <c r="X220" i="7"/>
  <c r="AK219" i="7"/>
  <c r="AS219" i="7" s="1"/>
  <c r="AU219" i="7" s="1"/>
  <c r="AW219" i="7" s="1"/>
  <c r="X219" i="7"/>
  <c r="AK218" i="7"/>
  <c r="AS218" i="7" s="1"/>
  <c r="AU218" i="7" s="1"/>
  <c r="AW218" i="7" s="1"/>
  <c r="X218" i="7"/>
  <c r="AK217" i="7"/>
  <c r="AS217" i="7" s="1"/>
  <c r="AU217" i="7" s="1"/>
  <c r="AW217" i="7" s="1"/>
  <c r="X217" i="7"/>
  <c r="AK216" i="7"/>
  <c r="AS216" i="7" s="1"/>
  <c r="AU216" i="7" s="1"/>
  <c r="AW216" i="7" s="1"/>
  <c r="X216" i="7"/>
  <c r="AK215" i="7"/>
  <c r="AS215" i="7" s="1"/>
  <c r="AU215" i="7" s="1"/>
  <c r="AW215" i="7" s="1"/>
  <c r="X215" i="7"/>
  <c r="AK214" i="7"/>
  <c r="AS214" i="7" s="1"/>
  <c r="AU214" i="7" s="1"/>
  <c r="AW214" i="7" s="1"/>
  <c r="X214" i="7"/>
  <c r="AK213" i="7"/>
  <c r="AS213" i="7" s="1"/>
  <c r="AU213" i="7" s="1"/>
  <c r="AW213" i="7" s="1"/>
  <c r="X213" i="7"/>
  <c r="AT212" i="7"/>
  <c r="AR212" i="7"/>
  <c r="AQ212" i="7"/>
  <c r="AP212" i="7"/>
  <c r="AO212" i="7"/>
  <c r="AN212" i="7"/>
  <c r="AM212" i="7"/>
  <c r="AL212" i="7"/>
  <c r="AJ212" i="7"/>
  <c r="AI212" i="7"/>
  <c r="AH212" i="7"/>
  <c r="AG212" i="7"/>
  <c r="AF212" i="7"/>
  <c r="AE212" i="7"/>
  <c r="AD212" i="7"/>
  <c r="AC212" i="7"/>
  <c r="AB212" i="7"/>
  <c r="AA212" i="7"/>
  <c r="Z212" i="7"/>
  <c r="Y212" i="7"/>
  <c r="W212" i="7"/>
  <c r="V212" i="7"/>
  <c r="U212" i="7"/>
  <c r="S211" i="7"/>
  <c r="AY211" i="7" s="1"/>
  <c r="AK210" i="7"/>
  <c r="AS210" i="7" s="1"/>
  <c r="AU210" i="7" s="1"/>
  <c r="AW210" i="7" s="1"/>
  <c r="X210" i="7"/>
  <c r="AK209" i="7"/>
  <c r="AS209" i="7" s="1"/>
  <c r="AU209" i="7" s="1"/>
  <c r="AW209" i="7" s="1"/>
  <c r="X209" i="7"/>
  <c r="AK208" i="7"/>
  <c r="AS208" i="7" s="1"/>
  <c r="AU208" i="7" s="1"/>
  <c r="AW208" i="7" s="1"/>
  <c r="X208" i="7"/>
  <c r="AK207" i="7"/>
  <c r="AS207" i="7" s="1"/>
  <c r="AU207" i="7" s="1"/>
  <c r="AW207" i="7" s="1"/>
  <c r="X207" i="7"/>
  <c r="AK206" i="7"/>
  <c r="AS206" i="7" s="1"/>
  <c r="AU206" i="7" s="1"/>
  <c r="AW206" i="7" s="1"/>
  <c r="X206" i="7"/>
  <c r="AK205" i="7"/>
  <c r="AS205" i="7" s="1"/>
  <c r="AU205" i="7" s="1"/>
  <c r="AW205" i="7" s="1"/>
  <c r="X205" i="7"/>
  <c r="AK204" i="7"/>
  <c r="AS204" i="7" s="1"/>
  <c r="AU204" i="7" s="1"/>
  <c r="AW204" i="7" s="1"/>
  <c r="X204" i="7"/>
  <c r="AK203" i="7"/>
  <c r="AS203" i="7" s="1"/>
  <c r="AU203" i="7" s="1"/>
  <c r="AW203" i="7" s="1"/>
  <c r="X203" i="7"/>
  <c r="AX202" i="7"/>
  <c r="X202" i="7"/>
  <c r="AK201" i="7"/>
  <c r="AS201" i="7" s="1"/>
  <c r="AU201" i="7" s="1"/>
  <c r="AW201" i="7" s="1"/>
  <c r="X201" i="7"/>
  <c r="AK200" i="7"/>
  <c r="AS200" i="7" s="1"/>
  <c r="AU200" i="7" s="1"/>
  <c r="AW200" i="7" s="1"/>
  <c r="X200" i="7"/>
  <c r="AK199" i="7"/>
  <c r="AS199" i="7" s="1"/>
  <c r="AU199" i="7" s="1"/>
  <c r="AW199" i="7" s="1"/>
  <c r="X199" i="7"/>
  <c r="AK198" i="7"/>
  <c r="AS198" i="7" s="1"/>
  <c r="AU198" i="7" s="1"/>
  <c r="AW198" i="7" s="1"/>
  <c r="X198" i="7"/>
  <c r="AK197" i="7"/>
  <c r="AT197" i="7" s="1"/>
  <c r="X197" i="7"/>
  <c r="AK196" i="7"/>
  <c r="AS196" i="7" s="1"/>
  <c r="AU196" i="7" s="1"/>
  <c r="AW196" i="7" s="1"/>
  <c r="X196" i="7"/>
  <c r="AK195" i="7"/>
  <c r="AS195" i="7" s="1"/>
  <c r="AU195" i="7" s="1"/>
  <c r="AW195" i="7" s="1"/>
  <c r="X195" i="7"/>
  <c r="AK194" i="7"/>
  <c r="AS194" i="7" s="1"/>
  <c r="AU194" i="7" s="1"/>
  <c r="AW194" i="7" s="1"/>
  <c r="X194" i="7"/>
  <c r="AX193" i="7"/>
  <c r="X193" i="7"/>
  <c r="AK192" i="7"/>
  <c r="AS192" i="7" s="1"/>
  <c r="AU192" i="7" s="1"/>
  <c r="AW192" i="7" s="1"/>
  <c r="X192" i="7"/>
  <c r="AK191" i="7"/>
  <c r="AS191" i="7" s="1"/>
  <c r="AU191" i="7" s="1"/>
  <c r="AW191" i="7" s="1"/>
  <c r="X191" i="7"/>
  <c r="AK190" i="7"/>
  <c r="AS190" i="7" s="1"/>
  <c r="AU190" i="7" s="1"/>
  <c r="AW190" i="7" s="1"/>
  <c r="X190" i="7"/>
  <c r="AX189" i="7"/>
  <c r="X189" i="7"/>
  <c r="AK188" i="7"/>
  <c r="AS188" i="7" s="1"/>
  <c r="AU188" i="7" s="1"/>
  <c r="AW188" i="7" s="1"/>
  <c r="X188" i="7"/>
  <c r="AK187" i="7"/>
  <c r="AS187" i="7" s="1"/>
  <c r="AU187" i="7" s="1"/>
  <c r="AW187" i="7" s="1"/>
  <c r="X187" i="7"/>
  <c r="AK186" i="7"/>
  <c r="AS186" i="7" s="1"/>
  <c r="AU186" i="7" s="1"/>
  <c r="AW186" i="7" s="1"/>
  <c r="X186" i="7"/>
  <c r="AY185" i="7"/>
  <c r="AK184" i="7"/>
  <c r="AT184" i="7" s="1"/>
  <c r="AK183" i="7"/>
  <c r="AS183" i="7" s="1"/>
  <c r="AU183" i="7" s="1"/>
  <c r="AW183" i="7" s="1"/>
  <c r="X183" i="7"/>
  <c r="X182" i="7"/>
  <c r="AK181" i="7"/>
  <c r="AS181" i="7" s="1"/>
  <c r="AU181" i="7" s="1"/>
  <c r="AW181" i="7" s="1"/>
  <c r="X181" i="7"/>
  <c r="AK180" i="7"/>
  <c r="AS180" i="7" s="1"/>
  <c r="AU180" i="7" s="1"/>
  <c r="AW180" i="7" s="1"/>
  <c r="X180" i="7"/>
  <c r="AR179" i="7"/>
  <c r="AQ179" i="7"/>
  <c r="AP179" i="7"/>
  <c r="AO179" i="7"/>
  <c r="AN179" i="7"/>
  <c r="AM179" i="7"/>
  <c r="AL179" i="7"/>
  <c r="AJ179" i="7"/>
  <c r="AI179" i="7"/>
  <c r="AH179" i="7"/>
  <c r="AG179" i="7"/>
  <c r="AF179" i="7"/>
  <c r="AE179" i="7"/>
  <c r="AD179" i="7"/>
  <c r="AC179" i="7"/>
  <c r="AB179" i="7"/>
  <c r="AA179" i="7"/>
  <c r="Z179" i="7"/>
  <c r="Y179" i="7"/>
  <c r="W179" i="7"/>
  <c r="V179" i="7"/>
  <c r="U179" i="7"/>
  <c r="AU178" i="7"/>
  <c r="AW178" i="7" s="1"/>
  <c r="AK177" i="7"/>
  <c r="AS177" i="7" s="1"/>
  <c r="AU177" i="7" s="1"/>
  <c r="AW177" i="7" s="1"/>
  <c r="X177" i="7"/>
  <c r="AX176" i="7"/>
  <c r="X176" i="7"/>
  <c r="AK175" i="7"/>
  <c r="AS175" i="7" s="1"/>
  <c r="AU175" i="7" s="1"/>
  <c r="AW175" i="7" s="1"/>
  <c r="X175" i="7"/>
  <c r="AK174" i="7"/>
  <c r="AS174" i="7" s="1"/>
  <c r="AU174" i="7" s="1"/>
  <c r="AW174" i="7" s="1"/>
  <c r="X174" i="7"/>
  <c r="AK173" i="7"/>
  <c r="AS173" i="7" s="1"/>
  <c r="AU173" i="7" s="1"/>
  <c r="AW173" i="7" s="1"/>
  <c r="X173" i="7"/>
  <c r="AK172" i="7"/>
  <c r="AS172" i="7" s="1"/>
  <c r="AU172" i="7" s="1"/>
  <c r="AW172" i="7" s="1"/>
  <c r="X172" i="7"/>
  <c r="AK171" i="7"/>
  <c r="AS171" i="7" s="1"/>
  <c r="AU171" i="7" s="1"/>
  <c r="AW171" i="7" s="1"/>
  <c r="X171" i="7"/>
  <c r="AK170" i="7"/>
  <c r="AS170" i="7" s="1"/>
  <c r="AU170" i="7" s="1"/>
  <c r="AW170" i="7" s="1"/>
  <c r="X170" i="7"/>
  <c r="AK169" i="7"/>
  <c r="AS169" i="7" s="1"/>
  <c r="AU169" i="7" s="1"/>
  <c r="AW169" i="7" s="1"/>
  <c r="X169" i="7"/>
  <c r="AK168" i="7"/>
  <c r="AS168" i="7" s="1"/>
  <c r="AU168" i="7" s="1"/>
  <c r="AW168" i="7" s="1"/>
  <c r="X168" i="7"/>
  <c r="AK167" i="7"/>
  <c r="AS167" i="7" s="1"/>
  <c r="AU167" i="7" s="1"/>
  <c r="AW167" i="7" s="1"/>
  <c r="X167" i="7"/>
  <c r="AK166" i="7"/>
  <c r="AS166" i="7" s="1"/>
  <c r="AU166" i="7" s="1"/>
  <c r="AW166" i="7" s="1"/>
  <c r="X166" i="7"/>
  <c r="AK165" i="7"/>
  <c r="AS165" i="7" s="1"/>
  <c r="AU165" i="7" s="1"/>
  <c r="AW165" i="7" s="1"/>
  <c r="X165" i="7"/>
  <c r="AK164" i="7"/>
  <c r="AS164" i="7" s="1"/>
  <c r="AU164" i="7" s="1"/>
  <c r="AW164" i="7" s="1"/>
  <c r="X164" i="7"/>
  <c r="AK163" i="7"/>
  <c r="AS163" i="7" s="1"/>
  <c r="AU163" i="7" s="1"/>
  <c r="AW163" i="7" s="1"/>
  <c r="X163" i="7"/>
  <c r="AY162" i="7"/>
  <c r="AT162" i="7"/>
  <c r="AR162" i="7"/>
  <c r="AQ162" i="7"/>
  <c r="AP162" i="7"/>
  <c r="AO162" i="7"/>
  <c r="AN162" i="7"/>
  <c r="AM162" i="7"/>
  <c r="AL162" i="7"/>
  <c r="AJ162" i="7"/>
  <c r="AI162" i="7"/>
  <c r="AH162" i="7"/>
  <c r="AG162" i="7"/>
  <c r="AF162" i="7"/>
  <c r="AE162" i="7"/>
  <c r="AD162" i="7"/>
  <c r="AC162" i="7"/>
  <c r="AB162" i="7"/>
  <c r="AA162" i="7"/>
  <c r="Z162" i="7"/>
  <c r="Y162" i="7"/>
  <c r="W162" i="7"/>
  <c r="V162" i="7"/>
  <c r="U162" i="7"/>
  <c r="BL161" i="7"/>
  <c r="BI161" i="7"/>
  <c r="BH161" i="7"/>
  <c r="BG161" i="7"/>
  <c r="BF161" i="7"/>
  <c r="BB161" i="7"/>
  <c r="T161" i="7"/>
  <c r="S161" i="7"/>
  <c r="AK160" i="7"/>
  <c r="AS160" i="7" s="1"/>
  <c r="AU160" i="7" s="1"/>
  <c r="AW160" i="7" s="1"/>
  <c r="W160" i="7"/>
  <c r="X160" i="7" s="1"/>
  <c r="AK159" i="7"/>
  <c r="X159" i="7"/>
  <c r="AT158" i="7"/>
  <c r="AT157" i="7" s="1"/>
  <c r="AR158" i="7"/>
  <c r="AR157" i="7" s="1"/>
  <c r="AQ158" i="7"/>
  <c r="AQ157" i="7" s="1"/>
  <c r="AP158" i="7"/>
  <c r="AP157" i="7" s="1"/>
  <c r="AO158" i="7"/>
  <c r="AO157" i="7" s="1"/>
  <c r="AN158" i="7"/>
  <c r="AN157" i="7" s="1"/>
  <c r="AM158" i="7"/>
  <c r="AM157" i="7" s="1"/>
  <c r="AL158" i="7"/>
  <c r="AL157" i="7" s="1"/>
  <c r="AJ158" i="7"/>
  <c r="AJ157" i="7" s="1"/>
  <c r="AI158" i="7"/>
  <c r="AI157" i="7" s="1"/>
  <c r="AH158" i="7"/>
  <c r="AH157" i="7" s="1"/>
  <c r="AG158" i="7"/>
  <c r="AG157" i="7" s="1"/>
  <c r="AF158" i="7"/>
  <c r="AF157" i="7" s="1"/>
  <c r="AE158" i="7"/>
  <c r="AE157" i="7" s="1"/>
  <c r="AD158" i="7"/>
  <c r="AD157" i="7" s="1"/>
  <c r="AC158" i="7"/>
  <c r="AC157" i="7" s="1"/>
  <c r="AB158" i="7"/>
  <c r="AB157" i="7" s="1"/>
  <c r="AA158" i="7"/>
  <c r="AA157" i="7" s="1"/>
  <c r="Z158" i="7"/>
  <c r="Z157" i="7" s="1"/>
  <c r="Y158" i="7"/>
  <c r="Y157" i="7" s="1"/>
  <c r="W158" i="7"/>
  <c r="W157" i="7" s="1"/>
  <c r="V158" i="7"/>
  <c r="V157" i="7" s="1"/>
  <c r="U158" i="7"/>
  <c r="U157" i="7" s="1"/>
  <c r="BN157" i="7"/>
  <c r="BM157" i="7"/>
  <c r="BL157" i="7"/>
  <c r="BK157" i="7"/>
  <c r="BJ157" i="7"/>
  <c r="BI157" i="7"/>
  <c r="BH157" i="7"/>
  <c r="BG157" i="7"/>
  <c r="BF157" i="7"/>
  <c r="BD157" i="7"/>
  <c r="BB157" i="7"/>
  <c r="T157" i="7"/>
  <c r="S157" i="7"/>
  <c r="AT156" i="7"/>
  <c r="BE155" i="7"/>
  <c r="BF155" i="7" s="1"/>
  <c r="BF154" i="7" s="1"/>
  <c r="BD155" i="7"/>
  <c r="BD154" i="7" s="1"/>
  <c r="AK155" i="7"/>
  <c r="BJ155" i="7" s="1"/>
  <c r="X155" i="7"/>
  <c r="X154" i="7" s="1"/>
  <c r="BL154" i="7"/>
  <c r="BI154" i="7"/>
  <c r="BH154" i="7"/>
  <c r="BG154" i="7"/>
  <c r="BC154" i="7"/>
  <c r="BB154" i="7"/>
  <c r="BA154" i="7"/>
  <c r="AY154" i="7"/>
  <c r="AX154" i="7"/>
  <c r="AT154" i="7"/>
  <c r="AR154" i="7"/>
  <c r="AQ154" i="7"/>
  <c r="AP154" i="7"/>
  <c r="AO154" i="7"/>
  <c r="AN154" i="7"/>
  <c r="AM154" i="7"/>
  <c r="AL154" i="7"/>
  <c r="BM154" i="7" s="1"/>
  <c r="AJ154" i="7"/>
  <c r="AI154" i="7"/>
  <c r="AH154" i="7"/>
  <c r="AG154" i="7"/>
  <c r="AF154" i="7"/>
  <c r="AE154" i="7"/>
  <c r="AD154" i="7"/>
  <c r="AC154" i="7"/>
  <c r="AB154" i="7"/>
  <c r="AA154" i="7"/>
  <c r="Z154" i="7"/>
  <c r="Y154" i="7"/>
  <c r="W154" i="7"/>
  <c r="V154" i="7"/>
  <c r="U154" i="7"/>
  <c r="T154" i="7"/>
  <c r="S154" i="7"/>
  <c r="AK153" i="7"/>
  <c r="AS153" i="7" s="1"/>
  <c r="AU153" i="7" s="1"/>
  <c r="AW153" i="7" s="1"/>
  <c r="X153" i="7"/>
  <c r="AT152" i="7"/>
  <c r="AT151" i="7" s="1"/>
  <c r="AR152" i="7"/>
  <c r="AR151" i="7" s="1"/>
  <c r="AQ152" i="7"/>
  <c r="AQ151" i="7" s="1"/>
  <c r="AP152" i="7"/>
  <c r="AP151" i="7" s="1"/>
  <c r="AO152" i="7"/>
  <c r="AO151" i="7" s="1"/>
  <c r="AN152" i="7"/>
  <c r="AN151" i="7" s="1"/>
  <c r="AM152" i="7"/>
  <c r="AM151" i="7" s="1"/>
  <c r="AL152" i="7"/>
  <c r="AL151" i="7" s="1"/>
  <c r="AJ152" i="7"/>
  <c r="AJ151" i="7" s="1"/>
  <c r="AI152" i="7"/>
  <c r="AI151" i="7" s="1"/>
  <c r="AH152" i="7"/>
  <c r="AH151" i="7" s="1"/>
  <c r="AG152" i="7"/>
  <c r="AG151" i="7" s="1"/>
  <c r="AF152" i="7"/>
  <c r="AF151" i="7" s="1"/>
  <c r="AE152" i="7"/>
  <c r="AE151" i="7" s="1"/>
  <c r="AD152" i="7"/>
  <c r="AD151" i="7" s="1"/>
  <c r="AC152" i="7"/>
  <c r="AC151" i="7" s="1"/>
  <c r="AB152" i="7"/>
  <c r="AB151" i="7" s="1"/>
  <c r="AA152" i="7"/>
  <c r="AA151" i="7" s="1"/>
  <c r="Z152" i="7"/>
  <c r="Z151" i="7" s="1"/>
  <c r="Y152" i="7"/>
  <c r="Y151" i="7" s="1"/>
  <c r="W152" i="7"/>
  <c r="W151" i="7" s="1"/>
  <c r="V152" i="7"/>
  <c r="U152" i="7"/>
  <c r="U151" i="7" s="1"/>
  <c r="BN151" i="7"/>
  <c r="BM151" i="7"/>
  <c r="BL151" i="7"/>
  <c r="BK151" i="7"/>
  <c r="BJ151" i="7"/>
  <c r="BI151" i="7"/>
  <c r="BH151" i="7"/>
  <c r="BG151" i="7"/>
  <c r="BB151" i="7"/>
  <c r="AY151" i="7"/>
  <c r="V151" i="7"/>
  <c r="T151" i="7"/>
  <c r="S151" i="7"/>
  <c r="AK148" i="7"/>
  <c r="X148" i="7"/>
  <c r="AT147" i="7"/>
  <c r="AR147" i="7"/>
  <c r="AQ147" i="7"/>
  <c r="AP147" i="7"/>
  <c r="AO147" i="7"/>
  <c r="AN147" i="7"/>
  <c r="AM147" i="7"/>
  <c r="AL147" i="7"/>
  <c r="AJ147" i="7"/>
  <c r="AI147" i="7"/>
  <c r="AH147" i="7"/>
  <c r="AG147" i="7"/>
  <c r="AF147" i="7"/>
  <c r="AE147" i="7"/>
  <c r="AD147" i="7"/>
  <c r="AC147" i="7"/>
  <c r="AB147" i="7"/>
  <c r="AA147" i="7"/>
  <c r="Z147" i="7"/>
  <c r="Y147" i="7"/>
  <c r="W147" i="7"/>
  <c r="V147" i="7"/>
  <c r="U147" i="7"/>
  <c r="AK146" i="7"/>
  <c r="AK145" i="7" s="1"/>
  <c r="X146" i="7"/>
  <c r="AT145" i="7"/>
  <c r="AR145" i="7"/>
  <c r="AQ145" i="7"/>
  <c r="AP145" i="7"/>
  <c r="AO145" i="7"/>
  <c r="AN145" i="7"/>
  <c r="AM145" i="7"/>
  <c r="AL145" i="7"/>
  <c r="AJ145" i="7"/>
  <c r="AI145" i="7"/>
  <c r="AH145" i="7"/>
  <c r="AG145" i="7"/>
  <c r="AF145" i="7"/>
  <c r="AE145" i="7"/>
  <c r="AD145" i="7"/>
  <c r="AC145" i="7"/>
  <c r="AB145" i="7"/>
  <c r="AA145" i="7"/>
  <c r="Z145" i="7"/>
  <c r="Y145" i="7"/>
  <c r="W145" i="7"/>
  <c r="V145" i="7"/>
  <c r="U145" i="7"/>
  <c r="AK144" i="7"/>
  <c r="AS144" i="7" s="1"/>
  <c r="AU144" i="7" s="1"/>
  <c r="AW144" i="7" s="1"/>
  <c r="X144" i="7"/>
  <c r="AK143" i="7"/>
  <c r="AS143" i="7" s="1"/>
  <c r="AU143" i="7" s="1"/>
  <c r="AW143" i="7" s="1"/>
  <c r="X143" i="7"/>
  <c r="AK142" i="7"/>
  <c r="AS142" i="7" s="1"/>
  <c r="AU142" i="7" s="1"/>
  <c r="AW142" i="7" s="1"/>
  <c r="X142" i="7"/>
  <c r="AK141" i="7"/>
  <c r="AS141" i="7" s="1"/>
  <c r="AU141" i="7" s="1"/>
  <c r="AW141" i="7" s="1"/>
  <c r="X141" i="7"/>
  <c r="AK140" i="7"/>
  <c r="AS140" i="7" s="1"/>
  <c r="AU140" i="7" s="1"/>
  <c r="AW140" i="7" s="1"/>
  <c r="X140" i="7"/>
  <c r="AK139" i="7"/>
  <c r="AS139" i="7" s="1"/>
  <c r="AU139" i="7" s="1"/>
  <c r="AW139" i="7" s="1"/>
  <c r="X139" i="7"/>
  <c r="AK138" i="7"/>
  <c r="AS138" i="7" s="1"/>
  <c r="AU138" i="7" s="1"/>
  <c r="AW138" i="7" s="1"/>
  <c r="X138" i="7"/>
  <c r="AK137" i="7"/>
  <c r="AS137" i="7" s="1"/>
  <c r="AU137" i="7" s="1"/>
  <c r="AW137" i="7" s="1"/>
  <c r="X137" i="7"/>
  <c r="AK136" i="7"/>
  <c r="AS136" i="7" s="1"/>
  <c r="AU136" i="7" s="1"/>
  <c r="AW136" i="7" s="1"/>
  <c r="X136" i="7"/>
  <c r="AK135" i="7"/>
  <c r="AS135" i="7" s="1"/>
  <c r="AU135" i="7" s="1"/>
  <c r="AW135" i="7" s="1"/>
  <c r="X135" i="7"/>
  <c r="AK134" i="7"/>
  <c r="AS134" i="7" s="1"/>
  <c r="AU134" i="7" s="1"/>
  <c r="AW134" i="7" s="1"/>
  <c r="X134" i="7"/>
  <c r="AK133" i="7"/>
  <c r="AS133" i="7" s="1"/>
  <c r="AU133" i="7" s="1"/>
  <c r="AW133" i="7" s="1"/>
  <c r="X133" i="7"/>
  <c r="AK132" i="7"/>
  <c r="AS132" i="7" s="1"/>
  <c r="AU132" i="7" s="1"/>
  <c r="AW132" i="7" s="1"/>
  <c r="X132" i="7"/>
  <c r="AK131" i="7"/>
  <c r="AS131" i="7" s="1"/>
  <c r="AU131" i="7" s="1"/>
  <c r="AW131" i="7" s="1"/>
  <c r="X131" i="7"/>
  <c r="AK130" i="7"/>
  <c r="AS130" i="7" s="1"/>
  <c r="AU130" i="7" s="1"/>
  <c r="AW130" i="7" s="1"/>
  <c r="X130" i="7"/>
  <c r="AK129" i="7"/>
  <c r="AS129" i="7" s="1"/>
  <c r="AU129" i="7" s="1"/>
  <c r="AW129" i="7" s="1"/>
  <c r="X129" i="7"/>
  <c r="AK128" i="7"/>
  <c r="AS128" i="7" s="1"/>
  <c r="AU128" i="7" s="1"/>
  <c r="AW128" i="7" s="1"/>
  <c r="X128" i="7"/>
  <c r="AK127" i="7"/>
  <c r="AS127" i="7" s="1"/>
  <c r="AU127" i="7" s="1"/>
  <c r="AW127" i="7" s="1"/>
  <c r="X127" i="7"/>
  <c r="AK126" i="7"/>
  <c r="AS126" i="7" s="1"/>
  <c r="AU126" i="7" s="1"/>
  <c r="AW126" i="7" s="1"/>
  <c r="X126" i="7"/>
  <c r="AK125" i="7"/>
  <c r="AS125" i="7" s="1"/>
  <c r="AU125" i="7" s="1"/>
  <c r="AW125" i="7" s="1"/>
  <c r="X125" i="7"/>
  <c r="AK124" i="7"/>
  <c r="AS124" i="7" s="1"/>
  <c r="AU124" i="7" s="1"/>
  <c r="AW124" i="7" s="1"/>
  <c r="X124" i="7"/>
  <c r="AK123" i="7"/>
  <c r="AS123" i="7" s="1"/>
  <c r="AU123" i="7" s="1"/>
  <c r="AW123" i="7" s="1"/>
  <c r="X123" i="7"/>
  <c r="AK122" i="7"/>
  <c r="AS122" i="7" s="1"/>
  <c r="AU122" i="7" s="1"/>
  <c r="AW122" i="7" s="1"/>
  <c r="X122" i="7"/>
  <c r="AK121" i="7"/>
  <c r="AS121" i="7" s="1"/>
  <c r="AU121" i="7" s="1"/>
  <c r="AW121" i="7" s="1"/>
  <c r="X121" i="7"/>
  <c r="AK120" i="7"/>
  <c r="AS120" i="7" s="1"/>
  <c r="AU120" i="7" s="1"/>
  <c r="AW120" i="7" s="1"/>
  <c r="X120" i="7"/>
  <c r="AK119" i="7"/>
  <c r="X119" i="7"/>
  <c r="AT118" i="7"/>
  <c r="AR118" i="7"/>
  <c r="AQ118" i="7"/>
  <c r="AP118" i="7"/>
  <c r="AO118" i="7"/>
  <c r="AN118" i="7"/>
  <c r="AM118" i="7"/>
  <c r="AL118" i="7"/>
  <c r="AJ118" i="7"/>
  <c r="AI118" i="7"/>
  <c r="AH118" i="7"/>
  <c r="AG118" i="7"/>
  <c r="AF118" i="7"/>
  <c r="AE118" i="7"/>
  <c r="AD118" i="7"/>
  <c r="AC118" i="7"/>
  <c r="AB118" i="7"/>
  <c r="AA118" i="7"/>
  <c r="Z118" i="7"/>
  <c r="Y118" i="7"/>
  <c r="W118" i="7"/>
  <c r="V118" i="7"/>
  <c r="U118" i="7"/>
  <c r="X117" i="7"/>
  <c r="AK116" i="7"/>
  <c r="AS116" i="7" s="1"/>
  <c r="AU116" i="7" s="1"/>
  <c r="AW116" i="7" s="1"/>
  <c r="X116" i="7"/>
  <c r="AK115" i="7"/>
  <c r="AS115" i="7" s="1"/>
  <c r="AU115" i="7" s="1"/>
  <c r="AW115" i="7" s="1"/>
  <c r="X115" i="7"/>
  <c r="AK114" i="7"/>
  <c r="AS114" i="7" s="1"/>
  <c r="AU114" i="7" s="1"/>
  <c r="AW114" i="7" s="1"/>
  <c r="X114" i="7"/>
  <c r="AK113" i="7"/>
  <c r="AS113" i="7" s="1"/>
  <c r="AU113" i="7" s="1"/>
  <c r="AW113" i="7" s="1"/>
  <c r="X113" i="7"/>
  <c r="AK112" i="7"/>
  <c r="AS112" i="7" s="1"/>
  <c r="AU112" i="7" s="1"/>
  <c r="AW112" i="7" s="1"/>
  <c r="X112" i="7"/>
  <c r="AK111" i="7"/>
  <c r="AS111" i="7" s="1"/>
  <c r="AU111" i="7" s="1"/>
  <c r="AW111" i="7" s="1"/>
  <c r="X111" i="7"/>
  <c r="AK110" i="7"/>
  <c r="AS110" i="7" s="1"/>
  <c r="AU110" i="7" s="1"/>
  <c r="AW110" i="7" s="1"/>
  <c r="X110" i="7"/>
  <c r="AK109" i="7"/>
  <c r="AS109" i="7" s="1"/>
  <c r="AU109" i="7" s="1"/>
  <c r="AW109" i="7" s="1"/>
  <c r="X109" i="7"/>
  <c r="AK108" i="7"/>
  <c r="AS108" i="7" s="1"/>
  <c r="AU108" i="7" s="1"/>
  <c r="AW108" i="7" s="1"/>
  <c r="X108" i="7"/>
  <c r="AK107" i="7"/>
  <c r="AS107" i="7" s="1"/>
  <c r="AU107" i="7" s="1"/>
  <c r="AW107" i="7" s="1"/>
  <c r="X107" i="7"/>
  <c r="AK106" i="7"/>
  <c r="AS106" i="7" s="1"/>
  <c r="AU106" i="7" s="1"/>
  <c r="AW106" i="7" s="1"/>
  <c r="X106" i="7"/>
  <c r="AK105" i="7"/>
  <c r="AS105" i="7" s="1"/>
  <c r="AU105" i="7" s="1"/>
  <c r="AW105" i="7" s="1"/>
  <c r="X105" i="7"/>
  <c r="AK104" i="7"/>
  <c r="AS104" i="7" s="1"/>
  <c r="AU104" i="7" s="1"/>
  <c r="AW104" i="7" s="1"/>
  <c r="X104" i="7"/>
  <c r="AK103" i="7"/>
  <c r="AS103" i="7" s="1"/>
  <c r="AU103" i="7" s="1"/>
  <c r="AW103" i="7" s="1"/>
  <c r="X103" i="7"/>
  <c r="AK102" i="7"/>
  <c r="AS102" i="7" s="1"/>
  <c r="AU102" i="7" s="1"/>
  <c r="AW102" i="7" s="1"/>
  <c r="X102" i="7"/>
  <c r="AK101" i="7"/>
  <c r="AS101" i="7" s="1"/>
  <c r="AU101" i="7" s="1"/>
  <c r="AW101" i="7" s="1"/>
  <c r="X101" i="7"/>
  <c r="AK100" i="7"/>
  <c r="AS100" i="7" s="1"/>
  <c r="AU100" i="7" s="1"/>
  <c r="AW100" i="7" s="1"/>
  <c r="X100" i="7"/>
  <c r="AK99" i="7"/>
  <c r="AS99" i="7" s="1"/>
  <c r="AU99" i="7" s="1"/>
  <c r="AW99" i="7" s="1"/>
  <c r="X99" i="7"/>
  <c r="AK98" i="7"/>
  <c r="AS98" i="7" s="1"/>
  <c r="AU98" i="7" s="1"/>
  <c r="AW98" i="7" s="1"/>
  <c r="X98" i="7"/>
  <c r="AK97" i="7"/>
  <c r="AS97" i="7" s="1"/>
  <c r="AU97" i="7" s="1"/>
  <c r="AW97" i="7" s="1"/>
  <c r="X97" i="7"/>
  <c r="AK96" i="7"/>
  <c r="AS96" i="7" s="1"/>
  <c r="AU96" i="7" s="1"/>
  <c r="AW96" i="7" s="1"/>
  <c r="X96" i="7"/>
  <c r="AK95" i="7"/>
  <c r="AS95" i="7" s="1"/>
  <c r="AU95" i="7" s="1"/>
  <c r="AW95" i="7" s="1"/>
  <c r="X95" i="7"/>
  <c r="AK94" i="7"/>
  <c r="AS94" i="7" s="1"/>
  <c r="AU94" i="7" s="1"/>
  <c r="AW94" i="7" s="1"/>
  <c r="X94" i="7"/>
  <c r="AK93" i="7"/>
  <c r="AS93" i="7" s="1"/>
  <c r="AU93" i="7" s="1"/>
  <c r="AW93" i="7" s="1"/>
  <c r="X93" i="7"/>
  <c r="AK92" i="7"/>
  <c r="AS92" i="7" s="1"/>
  <c r="AU92" i="7" s="1"/>
  <c r="AW92" i="7" s="1"/>
  <c r="X92" i="7"/>
  <c r="AK91" i="7"/>
  <c r="AS91" i="7" s="1"/>
  <c r="AU91" i="7" s="1"/>
  <c r="AW91" i="7" s="1"/>
  <c r="X91" i="7"/>
  <c r="AK90" i="7"/>
  <c r="AS90" i="7" s="1"/>
  <c r="AU90" i="7" s="1"/>
  <c r="AW90" i="7" s="1"/>
  <c r="X90" i="7"/>
  <c r="AK89" i="7"/>
  <c r="AS89" i="7" s="1"/>
  <c r="AU89" i="7" s="1"/>
  <c r="AW89" i="7" s="1"/>
  <c r="X89" i="7"/>
  <c r="AK88" i="7"/>
  <c r="AS88" i="7" s="1"/>
  <c r="AU88" i="7" s="1"/>
  <c r="AW88" i="7" s="1"/>
  <c r="X88" i="7"/>
  <c r="AK87" i="7"/>
  <c r="AS87" i="7" s="1"/>
  <c r="AU87" i="7" s="1"/>
  <c r="AW87" i="7" s="1"/>
  <c r="X87" i="7"/>
  <c r="AK86" i="7"/>
  <c r="AS86" i="7" s="1"/>
  <c r="AU86" i="7" s="1"/>
  <c r="AW86" i="7" s="1"/>
  <c r="X86" i="7"/>
  <c r="AK85" i="7"/>
  <c r="AS85" i="7" s="1"/>
  <c r="AU85" i="7" s="1"/>
  <c r="AW85" i="7" s="1"/>
  <c r="X85" i="7"/>
  <c r="AK84" i="7"/>
  <c r="AS84" i="7" s="1"/>
  <c r="AU84" i="7" s="1"/>
  <c r="AW84" i="7" s="1"/>
  <c r="X84" i="7"/>
  <c r="AK83" i="7"/>
  <c r="AS83" i="7" s="1"/>
  <c r="AU83" i="7" s="1"/>
  <c r="AW83" i="7" s="1"/>
  <c r="X83" i="7"/>
  <c r="AK82" i="7"/>
  <c r="AS82" i="7" s="1"/>
  <c r="AU82" i="7" s="1"/>
  <c r="AW82" i="7" s="1"/>
  <c r="X82" i="7"/>
  <c r="AK81" i="7"/>
  <c r="AS81" i="7" s="1"/>
  <c r="AU81" i="7" s="1"/>
  <c r="AW81" i="7" s="1"/>
  <c r="X81" i="7"/>
  <c r="AK80" i="7"/>
  <c r="AS80" i="7" s="1"/>
  <c r="AU80" i="7" s="1"/>
  <c r="AW80" i="7" s="1"/>
  <c r="X80" i="7"/>
  <c r="AK79" i="7"/>
  <c r="AS79" i="7" s="1"/>
  <c r="AU79" i="7" s="1"/>
  <c r="AW79" i="7" s="1"/>
  <c r="X79" i="7"/>
  <c r="AK78" i="7"/>
  <c r="AS78" i="7" s="1"/>
  <c r="AU78" i="7" s="1"/>
  <c r="AW78" i="7" s="1"/>
  <c r="X78" i="7"/>
  <c r="AK77" i="7"/>
  <c r="AS77" i="7" s="1"/>
  <c r="AU77" i="7" s="1"/>
  <c r="AW77" i="7" s="1"/>
  <c r="X77" i="7"/>
  <c r="AT76" i="7"/>
  <c r="AR76" i="7"/>
  <c r="AQ76" i="7"/>
  <c r="AP76" i="7"/>
  <c r="AO76" i="7"/>
  <c r="AN76" i="7"/>
  <c r="AM76" i="7"/>
  <c r="AL76" i="7"/>
  <c r="AJ76" i="7"/>
  <c r="AI76" i="7"/>
  <c r="AH76" i="7"/>
  <c r="AG76" i="7"/>
  <c r="AF76" i="7"/>
  <c r="AE76" i="7"/>
  <c r="AD76" i="7"/>
  <c r="AC76" i="7"/>
  <c r="AB76" i="7"/>
  <c r="AA76" i="7"/>
  <c r="Z76" i="7"/>
  <c r="Y76" i="7"/>
  <c r="W76" i="7"/>
  <c r="V76" i="7"/>
  <c r="U76" i="7"/>
  <c r="BL75" i="7"/>
  <c r="BI75" i="7"/>
  <c r="BH75" i="7"/>
  <c r="BG75" i="7"/>
  <c r="BF75" i="7"/>
  <c r="BB75" i="7"/>
  <c r="T75" i="7"/>
  <c r="S75" i="7"/>
  <c r="AK74" i="7"/>
  <c r="X74" i="7"/>
  <c r="AT73" i="7"/>
  <c r="AR73" i="7"/>
  <c r="AQ73" i="7"/>
  <c r="AP73" i="7"/>
  <c r="AO73" i="7"/>
  <c r="AN73" i="7"/>
  <c r="AM73" i="7"/>
  <c r="AL73" i="7"/>
  <c r="AJ73" i="7"/>
  <c r="AI73" i="7"/>
  <c r="AH73" i="7"/>
  <c r="AG73" i="7"/>
  <c r="AF73" i="7"/>
  <c r="AE73" i="7"/>
  <c r="AD73" i="7"/>
  <c r="AC73" i="7"/>
  <c r="AB73" i="7"/>
  <c r="AA73" i="7"/>
  <c r="Z73" i="7"/>
  <c r="Y73" i="7"/>
  <c r="W73" i="7"/>
  <c r="V73" i="7"/>
  <c r="U73" i="7"/>
  <c r="AK72" i="7"/>
  <c r="X72" i="7"/>
  <c r="AT71" i="7"/>
  <c r="AR71" i="7"/>
  <c r="AQ71" i="7"/>
  <c r="AP71" i="7"/>
  <c r="AO71" i="7"/>
  <c r="AN71" i="7"/>
  <c r="AM71" i="7"/>
  <c r="AL71" i="7"/>
  <c r="AJ71" i="7"/>
  <c r="AI71" i="7"/>
  <c r="AH71" i="7"/>
  <c r="AG71" i="7"/>
  <c r="AF71" i="7"/>
  <c r="AE71" i="7"/>
  <c r="AD71" i="7"/>
  <c r="AC71" i="7"/>
  <c r="AB71" i="7"/>
  <c r="AA71" i="7"/>
  <c r="Z71" i="7"/>
  <c r="Y71" i="7"/>
  <c r="W71" i="7"/>
  <c r="V71" i="7"/>
  <c r="U71" i="7"/>
  <c r="BL70" i="7"/>
  <c r="BI70" i="7"/>
  <c r="BH70" i="7"/>
  <c r="BG70" i="7"/>
  <c r="BF70" i="7"/>
  <c r="BB70" i="7"/>
  <c r="T70" i="7"/>
  <c r="S70" i="7"/>
  <c r="AU68" i="7"/>
  <c r="AW68" i="7" s="1"/>
  <c r="X68" i="7"/>
  <c r="AK67" i="7"/>
  <c r="AS67" i="7" s="1"/>
  <c r="AU67" i="7" s="1"/>
  <c r="AW67" i="7" s="1"/>
  <c r="X67" i="7"/>
  <c r="X66" i="7"/>
  <c r="AK65" i="7"/>
  <c r="AS65" i="7" s="1"/>
  <c r="AU65" i="7" s="1"/>
  <c r="AW65" i="7" s="1"/>
  <c r="X65" i="7"/>
  <c r="AK64" i="7"/>
  <c r="AT64" i="7" s="1"/>
  <c r="AT62" i="7" s="1"/>
  <c r="X64" i="7"/>
  <c r="AK63" i="7"/>
  <c r="AS63" i="7" s="1"/>
  <c r="AU63" i="7" s="1"/>
  <c r="AW63" i="7" s="1"/>
  <c r="X63" i="7"/>
  <c r="AY62" i="7"/>
  <c r="AY59" i="7" s="1"/>
  <c r="AR62" i="7"/>
  <c r="AQ62" i="7"/>
  <c r="AP62" i="7"/>
  <c r="AO62" i="7"/>
  <c r="AN62" i="7"/>
  <c r="AM62" i="7"/>
  <c r="AL62" i="7"/>
  <c r="AJ62" i="7"/>
  <c r="AI62" i="7"/>
  <c r="AH62" i="7"/>
  <c r="AG62" i="7"/>
  <c r="AF62" i="7"/>
  <c r="AE62" i="7"/>
  <c r="AD62" i="7"/>
  <c r="AC62" i="7"/>
  <c r="AB62" i="7"/>
  <c r="AA62" i="7"/>
  <c r="Z62" i="7"/>
  <c r="Y62" i="7"/>
  <c r="W62" i="7"/>
  <c r="V62" i="7"/>
  <c r="U62" i="7"/>
  <c r="AK61" i="7"/>
  <c r="X61" i="7"/>
  <c r="AT60" i="7"/>
  <c r="AR60" i="7"/>
  <c r="AQ60" i="7"/>
  <c r="AP60" i="7"/>
  <c r="AO60" i="7"/>
  <c r="AN60" i="7"/>
  <c r="AM60" i="7"/>
  <c r="AL60" i="7"/>
  <c r="AJ60" i="7"/>
  <c r="AI60" i="7"/>
  <c r="AH60" i="7"/>
  <c r="AG60" i="7"/>
  <c r="AF60" i="7"/>
  <c r="AE60" i="7"/>
  <c r="AD60" i="7"/>
  <c r="AC60" i="7"/>
  <c r="AB60" i="7"/>
  <c r="AA60" i="7"/>
  <c r="Z60" i="7"/>
  <c r="Y60" i="7"/>
  <c r="W60" i="7"/>
  <c r="V60" i="7"/>
  <c r="U60" i="7"/>
  <c r="BL59" i="7"/>
  <c r="BI59" i="7"/>
  <c r="BH59" i="7"/>
  <c r="BG59" i="7"/>
  <c r="BF59" i="7"/>
  <c r="BB59" i="7"/>
  <c r="T59" i="7"/>
  <c r="S59" i="7"/>
  <c r="AK58" i="7"/>
  <c r="X58" i="7"/>
  <c r="AT57" i="7"/>
  <c r="AR57" i="7"/>
  <c r="AQ57" i="7"/>
  <c r="AP57" i="7"/>
  <c r="AO57" i="7"/>
  <c r="AN57" i="7"/>
  <c r="AM57" i="7"/>
  <c r="AL57" i="7"/>
  <c r="AJ57" i="7"/>
  <c r="AI57" i="7"/>
  <c r="AH57" i="7"/>
  <c r="AG57" i="7"/>
  <c r="AF57" i="7"/>
  <c r="AE57" i="7"/>
  <c r="AD57" i="7"/>
  <c r="AC57" i="7"/>
  <c r="AB57" i="7"/>
  <c r="AA57" i="7"/>
  <c r="Z57" i="7"/>
  <c r="Y57" i="7"/>
  <c r="W57" i="7"/>
  <c r="V57" i="7"/>
  <c r="U57" i="7"/>
  <c r="AK56" i="7"/>
  <c r="X56" i="7"/>
  <c r="AT55" i="7"/>
  <c r="AR55" i="7"/>
  <c r="AQ55" i="7"/>
  <c r="AP55" i="7"/>
  <c r="AO55" i="7"/>
  <c r="AN55" i="7"/>
  <c r="AM55" i="7"/>
  <c r="AL55" i="7"/>
  <c r="AJ55" i="7"/>
  <c r="AI55" i="7"/>
  <c r="AH55" i="7"/>
  <c r="AG55" i="7"/>
  <c r="AF55" i="7"/>
  <c r="AE55" i="7"/>
  <c r="AD55" i="7"/>
  <c r="AC55" i="7"/>
  <c r="AB55" i="7"/>
  <c r="AA55" i="7"/>
  <c r="Z55" i="7"/>
  <c r="Y55" i="7"/>
  <c r="W55" i="7"/>
  <c r="V55" i="7"/>
  <c r="U55" i="7"/>
  <c r="BL54" i="7"/>
  <c r="BI54" i="7"/>
  <c r="BH54" i="7"/>
  <c r="BG54" i="7"/>
  <c r="BF54" i="7"/>
  <c r="BB54" i="7"/>
  <c r="AY54" i="7"/>
  <c r="T54" i="7"/>
  <c r="S54" i="7"/>
  <c r="AK53" i="7"/>
  <c r="AS53" i="7" s="1"/>
  <c r="AU53" i="7" s="1"/>
  <c r="AW53" i="7" s="1"/>
  <c r="X53" i="7"/>
  <c r="AK52" i="7"/>
  <c r="AS52" i="7" s="1"/>
  <c r="AU52" i="7" s="1"/>
  <c r="AW52" i="7" s="1"/>
  <c r="X52" i="7"/>
  <c r="AK51" i="7"/>
  <c r="AS51" i="7" s="1"/>
  <c r="AU51" i="7" s="1"/>
  <c r="AW51" i="7" s="1"/>
  <c r="X51" i="7"/>
  <c r="AK50" i="7"/>
  <c r="AS50" i="7" s="1"/>
  <c r="AU50" i="7" s="1"/>
  <c r="AW50" i="7" s="1"/>
  <c r="X50" i="7"/>
  <c r="AK49" i="7"/>
  <c r="AS49" i="7" s="1"/>
  <c r="AU49" i="7" s="1"/>
  <c r="AW49" i="7" s="1"/>
  <c r="X49" i="7"/>
  <c r="AK48" i="7"/>
  <c r="AS48" i="7" s="1"/>
  <c r="AU48" i="7" s="1"/>
  <c r="AW48" i="7" s="1"/>
  <c r="X48" i="7"/>
  <c r="AK47" i="7"/>
  <c r="AS47" i="7" s="1"/>
  <c r="AU47" i="7" s="1"/>
  <c r="AW47" i="7" s="1"/>
  <c r="X47" i="7"/>
  <c r="AK46" i="7"/>
  <c r="AS46" i="7" s="1"/>
  <c r="AU46" i="7" s="1"/>
  <c r="AW46" i="7" s="1"/>
  <c r="X46" i="7"/>
  <c r="AK45" i="7"/>
  <c r="AS45" i="7" s="1"/>
  <c r="AU45" i="7" s="1"/>
  <c r="AW45" i="7" s="1"/>
  <c r="X45" i="7"/>
  <c r="AK44" i="7"/>
  <c r="AS44" i="7" s="1"/>
  <c r="AU44" i="7" s="1"/>
  <c r="AW44" i="7" s="1"/>
  <c r="X44" i="7"/>
  <c r="AK43" i="7"/>
  <c r="AS43" i="7" s="1"/>
  <c r="AU43" i="7" s="1"/>
  <c r="AW43" i="7" s="1"/>
  <c r="X43" i="7"/>
  <c r="AK42" i="7"/>
  <c r="AS42" i="7" s="1"/>
  <c r="AU42" i="7" s="1"/>
  <c r="AW42" i="7" s="1"/>
  <c r="X42" i="7"/>
  <c r="AK41" i="7"/>
  <c r="AS41" i="7" s="1"/>
  <c r="AU41" i="7" s="1"/>
  <c r="AW41" i="7" s="1"/>
  <c r="X41" i="7"/>
  <c r="AK40" i="7"/>
  <c r="AS40" i="7" s="1"/>
  <c r="AU40" i="7" s="1"/>
  <c r="AW40" i="7" s="1"/>
  <c r="X40" i="7"/>
  <c r="AK39" i="7"/>
  <c r="AS39" i="7" s="1"/>
  <c r="AU39" i="7" s="1"/>
  <c r="AW39" i="7" s="1"/>
  <c r="X39" i="7"/>
  <c r="AK38" i="7"/>
  <c r="AS38" i="7" s="1"/>
  <c r="AU38" i="7" s="1"/>
  <c r="AW38" i="7" s="1"/>
  <c r="X38" i="7"/>
  <c r="AK37" i="7"/>
  <c r="AS37" i="7" s="1"/>
  <c r="AU37" i="7" s="1"/>
  <c r="AW37" i="7" s="1"/>
  <c r="X37" i="7"/>
  <c r="AK36" i="7"/>
  <c r="AS36" i="7" s="1"/>
  <c r="AU36" i="7" s="1"/>
  <c r="AW36" i="7" s="1"/>
  <c r="X36" i="7"/>
  <c r="AT35" i="7"/>
  <c r="AR35" i="7"/>
  <c r="AR34" i="7" s="1"/>
  <c r="AQ35" i="7"/>
  <c r="AQ34" i="7" s="1"/>
  <c r="AP35" i="7"/>
  <c r="AP34" i="7" s="1"/>
  <c r="AO35" i="7"/>
  <c r="AO34" i="7" s="1"/>
  <c r="AN35" i="7"/>
  <c r="AN34" i="7" s="1"/>
  <c r="AM35" i="7"/>
  <c r="AM34" i="7" s="1"/>
  <c r="AL35" i="7"/>
  <c r="AL34" i="7" s="1"/>
  <c r="AJ35" i="7"/>
  <c r="AJ34" i="7" s="1"/>
  <c r="AI35" i="7"/>
  <c r="AI34" i="7" s="1"/>
  <c r="AH35" i="7"/>
  <c r="AH34" i="7" s="1"/>
  <c r="AG35" i="7"/>
  <c r="AG34" i="7" s="1"/>
  <c r="AF35" i="7"/>
  <c r="AF34" i="7" s="1"/>
  <c r="AE35" i="7"/>
  <c r="AE34" i="7" s="1"/>
  <c r="AD35" i="7"/>
  <c r="AD34" i="7" s="1"/>
  <c r="AC35" i="7"/>
  <c r="AC34" i="7" s="1"/>
  <c r="AB35" i="7"/>
  <c r="AB34" i="7" s="1"/>
  <c r="AA35" i="7"/>
  <c r="AA34" i="7" s="1"/>
  <c r="Z35" i="7"/>
  <c r="Z34" i="7" s="1"/>
  <c r="Y35" i="7"/>
  <c r="Y34" i="7" s="1"/>
  <c r="W35" i="7"/>
  <c r="V35" i="7"/>
  <c r="V34" i="7" s="1"/>
  <c r="U35" i="7"/>
  <c r="U34" i="7" s="1"/>
  <c r="AK33" i="7"/>
  <c r="AS33" i="7" s="1"/>
  <c r="AU33" i="7" s="1"/>
  <c r="AW33" i="7" s="1"/>
  <c r="X33" i="7"/>
  <c r="AK32" i="7"/>
  <c r="AS32" i="7" s="1"/>
  <c r="AU32" i="7" s="1"/>
  <c r="AW32" i="7" s="1"/>
  <c r="X32" i="7"/>
  <c r="AT31" i="7"/>
  <c r="AR31" i="7"/>
  <c r="AQ31" i="7"/>
  <c r="AP31" i="7"/>
  <c r="AO31" i="7"/>
  <c r="AN31" i="7"/>
  <c r="AM31" i="7"/>
  <c r="AL31" i="7"/>
  <c r="AJ31" i="7"/>
  <c r="AI31" i="7"/>
  <c r="AH31" i="7"/>
  <c r="AG31" i="7"/>
  <c r="AF31" i="7"/>
  <c r="AE31" i="7"/>
  <c r="AD31" i="7"/>
  <c r="AC31" i="7"/>
  <c r="AB31" i="7"/>
  <c r="AA31" i="7"/>
  <c r="Z31" i="7"/>
  <c r="Y31" i="7"/>
  <c r="W31" i="7"/>
  <c r="V31" i="7"/>
  <c r="U31" i="7"/>
  <c r="AK30" i="7"/>
  <c r="AS30" i="7" s="1"/>
  <c r="AU30" i="7" s="1"/>
  <c r="AW30" i="7" s="1"/>
  <c r="X30" i="7"/>
  <c r="AK29" i="7"/>
  <c r="AS29" i="7" s="1"/>
  <c r="AU29" i="7" s="1"/>
  <c r="AW29" i="7" s="1"/>
  <c r="X29" i="7"/>
  <c r="AS28" i="7"/>
  <c r="AU28" i="7" s="1"/>
  <c r="AW28" i="7" s="1"/>
  <c r="X28" i="7"/>
  <c r="AK27" i="7"/>
  <c r="AS27" i="7" s="1"/>
  <c r="AU27" i="7" s="1"/>
  <c r="AW27" i="7" s="1"/>
  <c r="X27" i="7"/>
  <c r="AK26" i="7"/>
  <c r="AS26" i="7" s="1"/>
  <c r="AU26" i="7" s="1"/>
  <c r="AW26" i="7" s="1"/>
  <c r="X26" i="7"/>
  <c r="AK25" i="7"/>
  <c r="AS25" i="7" s="1"/>
  <c r="AU25" i="7" s="1"/>
  <c r="AW25" i="7" s="1"/>
  <c r="X25" i="7"/>
  <c r="AK24" i="7"/>
  <c r="AS24" i="7" s="1"/>
  <c r="AU24" i="7" s="1"/>
  <c r="AW24" i="7" s="1"/>
  <c r="X24" i="7"/>
  <c r="AK23" i="7"/>
  <c r="AS23" i="7" s="1"/>
  <c r="AU23" i="7" s="1"/>
  <c r="AW23" i="7" s="1"/>
  <c r="X23" i="7"/>
  <c r="AK22" i="7"/>
  <c r="AS22" i="7" s="1"/>
  <c r="AU22" i="7" s="1"/>
  <c r="AW22" i="7" s="1"/>
  <c r="X22" i="7"/>
  <c r="AK21" i="7"/>
  <c r="AS21" i="7" s="1"/>
  <c r="AU21" i="7" s="1"/>
  <c r="AW21" i="7" s="1"/>
  <c r="X21" i="7"/>
  <c r="AK20" i="7"/>
  <c r="AS20" i="7" s="1"/>
  <c r="AU20" i="7" s="1"/>
  <c r="AW20" i="7" s="1"/>
  <c r="X20" i="7"/>
  <c r="AK19" i="7"/>
  <c r="AS19" i="7" s="1"/>
  <c r="AU19" i="7" s="1"/>
  <c r="AW19" i="7" s="1"/>
  <c r="X19" i="7"/>
  <c r="AK18" i="7"/>
  <c r="AS18" i="7" s="1"/>
  <c r="AU18" i="7" s="1"/>
  <c r="AW18" i="7" s="1"/>
  <c r="X18" i="7"/>
  <c r="AK17" i="7"/>
  <c r="X17" i="7"/>
  <c r="AT16" i="7"/>
  <c r="AR16" i="7"/>
  <c r="AQ16" i="7"/>
  <c r="AP16" i="7"/>
  <c r="AO16" i="7"/>
  <c r="AN16" i="7"/>
  <c r="AM16" i="7"/>
  <c r="AL16" i="7"/>
  <c r="AJ16" i="7"/>
  <c r="AI16" i="7"/>
  <c r="AH16" i="7"/>
  <c r="AG16" i="7"/>
  <c r="AF16" i="7"/>
  <c r="AE16" i="7"/>
  <c r="AD16" i="7"/>
  <c r="AC16" i="7"/>
  <c r="AB16" i="7"/>
  <c r="AA16" i="7"/>
  <c r="Z16" i="7"/>
  <c r="Y16" i="7"/>
  <c r="W16" i="7"/>
  <c r="V16" i="7"/>
  <c r="U16" i="7"/>
  <c r="AK15" i="7"/>
  <c r="AK14" i="7" s="1"/>
  <c r="X15" i="7"/>
  <c r="AT14" i="7"/>
  <c r="AR14" i="7"/>
  <c r="AQ14" i="7"/>
  <c r="AP14" i="7"/>
  <c r="AO14" i="7"/>
  <c r="AN14" i="7"/>
  <c r="AM14" i="7"/>
  <c r="AL14" i="7"/>
  <c r="AJ14" i="7"/>
  <c r="AI14" i="7"/>
  <c r="AH14" i="7"/>
  <c r="AG14" i="7"/>
  <c r="AF14" i="7"/>
  <c r="AE14" i="7"/>
  <c r="AD14" i="7"/>
  <c r="AC14" i="7"/>
  <c r="AB14" i="7"/>
  <c r="AA14" i="7"/>
  <c r="Z14" i="7"/>
  <c r="Y14" i="7"/>
  <c r="W14" i="7"/>
  <c r="V14" i="7"/>
  <c r="U14" i="7"/>
  <c r="BL13" i="7"/>
  <c r="BI13" i="7"/>
  <c r="BH13" i="7"/>
  <c r="BG13" i="7"/>
  <c r="BF13" i="7"/>
  <c r="BB13" i="7"/>
  <c r="AY13" i="7"/>
  <c r="T13" i="7"/>
  <c r="S13" i="7"/>
  <c r="BM9" i="7"/>
  <c r="BB9" i="7"/>
  <c r="AG9" i="7"/>
  <c r="BB8" i="7"/>
  <c r="BB7" i="7"/>
  <c r="BB6" i="7"/>
  <c r="BA35" i="1"/>
  <c r="AL35" i="1"/>
  <c r="AI35" i="1"/>
  <c r="AF35" i="1"/>
  <c r="AC35" i="1"/>
  <c r="Z35" i="1"/>
  <c r="W35" i="1"/>
  <c r="T35" i="1"/>
  <c r="Q35" i="1"/>
  <c r="BA414" i="1"/>
  <c r="AL414" i="1"/>
  <c r="AI414" i="1"/>
  <c r="AF414" i="1"/>
  <c r="AC414" i="1"/>
  <c r="Z414" i="1"/>
  <c r="W414" i="1"/>
  <c r="T414" i="1"/>
  <c r="Q414" i="1"/>
  <c r="AL434" i="1"/>
  <c r="AI434" i="1"/>
  <c r="AF434" i="1"/>
  <c r="AL438" i="1"/>
  <c r="AI438" i="1"/>
  <c r="AF438" i="1"/>
  <c r="AC438" i="1"/>
  <c r="Z438" i="1"/>
  <c r="W438" i="1"/>
  <c r="T438" i="1"/>
  <c r="Q438" i="1"/>
  <c r="AL440" i="1"/>
  <c r="AI440" i="1"/>
  <c r="O440" i="1"/>
  <c r="AS440" i="1" s="1"/>
  <c r="AL441" i="1"/>
  <c r="AI441" i="1"/>
  <c r="AF441" i="1"/>
  <c r="AC441" i="1"/>
  <c r="Z441" i="1"/>
  <c r="W441" i="1"/>
  <c r="T441" i="1"/>
  <c r="Q441" i="1"/>
  <c r="AL430" i="1"/>
  <c r="AU430" i="1" s="1"/>
  <c r="O430" i="1"/>
  <c r="AS430" i="1" s="1"/>
  <c r="AL437" i="1"/>
  <c r="AU437" i="1" s="1"/>
  <c r="B31" i="3" s="1"/>
  <c r="O437" i="1"/>
  <c r="AS437" i="1" s="1"/>
  <c r="AL424" i="1"/>
  <c r="AI424" i="1"/>
  <c r="O424" i="1"/>
  <c r="AS424" i="1" s="1"/>
  <c r="AL422" i="1"/>
  <c r="AU422" i="1" s="1"/>
  <c r="B41" i="3" s="1"/>
  <c r="O422" i="1"/>
  <c r="AS422" i="1" s="1"/>
  <c r="BA426" i="1"/>
  <c r="AL426" i="1"/>
  <c r="AI426" i="1"/>
  <c r="BA75" i="1"/>
  <c r="AL75" i="1"/>
  <c r="AI75" i="1"/>
  <c r="AF75" i="1"/>
  <c r="AC75" i="1"/>
  <c r="Z75" i="1"/>
  <c r="W75" i="1"/>
  <c r="T75" i="1"/>
  <c r="BA432" i="1"/>
  <c r="AL432" i="1"/>
  <c r="AI432" i="1"/>
  <c r="AF432" i="1"/>
  <c r="AC432" i="1"/>
  <c r="Z432" i="1"/>
  <c r="W432" i="1"/>
  <c r="T432" i="1"/>
  <c r="Q432" i="1"/>
  <c r="AL412" i="1"/>
  <c r="AU412" i="1" s="1"/>
  <c r="O412" i="1"/>
  <c r="AS412" i="1" s="1"/>
  <c r="BA418" i="1"/>
  <c r="AL418" i="1"/>
  <c r="AI418" i="1"/>
  <c r="AF418" i="1"/>
  <c r="AC418" i="1"/>
  <c r="Z418" i="1"/>
  <c r="W418" i="1"/>
  <c r="T418" i="1"/>
  <c r="Q418" i="1"/>
  <c r="BA416" i="1"/>
  <c r="AL416" i="1"/>
  <c r="AI416" i="1"/>
  <c r="AF416" i="1"/>
  <c r="AC416" i="1"/>
  <c r="Z416" i="1"/>
  <c r="W416" i="1"/>
  <c r="T416" i="1"/>
  <c r="Q416" i="1"/>
  <c r="AL417" i="1"/>
  <c r="AI417" i="1"/>
  <c r="AF417" i="1"/>
  <c r="AC417" i="1"/>
  <c r="Z417" i="1"/>
  <c r="W417" i="1"/>
  <c r="T417" i="1"/>
  <c r="Q417" i="1"/>
  <c r="BA401" i="1"/>
  <c r="AL401" i="1"/>
  <c r="AI401" i="1"/>
  <c r="AF401" i="1"/>
  <c r="AC401" i="1"/>
  <c r="Z401" i="1"/>
  <c r="W401" i="1"/>
  <c r="T401" i="1"/>
  <c r="Q401" i="1"/>
  <c r="BA415" i="1"/>
  <c r="AL415" i="1"/>
  <c r="AI415" i="1"/>
  <c r="AL403" i="1"/>
  <c r="AU403" i="1" s="1"/>
  <c r="O403" i="1"/>
  <c r="AS403" i="1" s="1"/>
  <c r="AL397" i="1"/>
  <c r="AU397" i="1" s="1"/>
  <c r="O397" i="1"/>
  <c r="AS397" i="1" s="1"/>
  <c r="BA404" i="1"/>
  <c r="AL404" i="1"/>
  <c r="AI404" i="1"/>
  <c r="AF404" i="1"/>
  <c r="AC404" i="1"/>
  <c r="Z404" i="1"/>
  <c r="W404" i="1"/>
  <c r="T404" i="1"/>
  <c r="Q404" i="1"/>
  <c r="AL392" i="1"/>
  <c r="AU392" i="1" s="1"/>
  <c r="O392" i="1"/>
  <c r="AS392" i="1" s="1"/>
  <c r="BA391" i="1"/>
  <c r="AL391" i="1"/>
  <c r="AI391" i="1"/>
  <c r="AL411" i="1"/>
  <c r="AI411" i="1"/>
  <c r="AF411" i="1"/>
  <c r="AC411" i="1"/>
  <c r="Z411" i="1"/>
  <c r="W411" i="1"/>
  <c r="T411" i="1"/>
  <c r="Q411" i="1"/>
  <c r="BA407" i="1"/>
  <c r="AL407" i="1"/>
  <c r="AI407" i="1"/>
  <c r="AF407" i="1"/>
  <c r="AC407" i="1"/>
  <c r="Z407" i="1"/>
  <c r="W407" i="1"/>
  <c r="T407" i="1"/>
  <c r="Q407" i="1"/>
  <c r="BA408" i="1"/>
  <c r="AL408" i="1"/>
  <c r="AI408" i="1"/>
  <c r="AF408" i="1"/>
  <c r="AC408" i="1"/>
  <c r="Z408" i="1"/>
  <c r="W408" i="1"/>
  <c r="T408" i="1"/>
  <c r="Q408" i="1"/>
  <c r="BA439" i="1"/>
  <c r="AL439" i="1"/>
  <c r="AI439" i="1"/>
  <c r="AF439" i="1"/>
  <c r="AC439" i="1"/>
  <c r="W439" i="1"/>
  <c r="T439" i="1"/>
  <c r="Q439" i="1"/>
  <c r="BA242" i="1"/>
  <c r="AL242" i="1"/>
  <c r="AI242" i="1"/>
  <c r="AF242" i="1"/>
  <c r="AC242" i="1"/>
  <c r="Z242" i="1"/>
  <c r="W242" i="1"/>
  <c r="T242" i="1"/>
  <c r="Q242" i="1"/>
  <c r="BA46" i="1"/>
  <c r="AL46" i="1"/>
  <c r="AI46" i="1"/>
  <c r="AF46" i="1"/>
  <c r="AC46" i="1"/>
  <c r="Z46" i="1"/>
  <c r="W46" i="1"/>
  <c r="T46" i="1"/>
  <c r="Q46" i="1"/>
  <c r="BA78" i="1"/>
  <c r="AL78" i="1"/>
  <c r="AI78" i="1"/>
  <c r="AF78" i="1"/>
  <c r="AC78" i="1"/>
  <c r="Z78" i="1"/>
  <c r="W78" i="1"/>
  <c r="T78" i="1"/>
  <c r="Q78" i="1"/>
  <c r="BA386" i="1"/>
  <c r="AL386" i="1"/>
  <c r="AI386" i="1"/>
  <c r="AF386" i="1"/>
  <c r="AC386" i="1"/>
  <c r="Z386" i="1"/>
  <c r="W386" i="1"/>
  <c r="T386" i="1"/>
  <c r="Q386" i="1"/>
  <c r="BA420" i="1"/>
  <c r="AL420" i="1"/>
  <c r="AU420" i="1" s="1"/>
  <c r="AL410" i="1"/>
  <c r="AI410" i="1"/>
  <c r="O410" i="1"/>
  <c r="AS410" i="1" s="1"/>
  <c r="BA389" i="1"/>
  <c r="AL389" i="1"/>
  <c r="AI389" i="1"/>
  <c r="AF389" i="1"/>
  <c r="AC389" i="1"/>
  <c r="Z389" i="1"/>
  <c r="W389" i="1"/>
  <c r="T389" i="1"/>
  <c r="Q389" i="1"/>
  <c r="AL383" i="1"/>
  <c r="AI383" i="1"/>
  <c r="AF383" i="1"/>
  <c r="AC383" i="1"/>
  <c r="Z383" i="1"/>
  <c r="W383" i="1"/>
  <c r="T383" i="1"/>
  <c r="Q383" i="1"/>
  <c r="AL413" i="1"/>
  <c r="AU413" i="1" s="1"/>
  <c r="O413" i="1"/>
  <c r="AS413" i="1" s="1"/>
  <c r="BA384" i="1"/>
  <c r="AL384" i="1"/>
  <c r="AI384" i="1"/>
  <c r="AL388" i="1"/>
  <c r="AU388" i="1" s="1"/>
  <c r="O388" i="1"/>
  <c r="AS388" i="1" s="1"/>
  <c r="AL387" i="1"/>
  <c r="AI387" i="1"/>
  <c r="O387" i="1"/>
  <c r="AS387" i="1" s="1"/>
  <c r="AL347" i="1"/>
  <c r="AU347" i="1" s="1"/>
  <c r="O347" i="1"/>
  <c r="AS347" i="1" s="1"/>
  <c r="BA345" i="1"/>
  <c r="AL345" i="1"/>
  <c r="AI345" i="1"/>
  <c r="AF345" i="1"/>
  <c r="AC345" i="1"/>
  <c r="Z345" i="1"/>
  <c r="W345" i="1"/>
  <c r="T345" i="1"/>
  <c r="Q345" i="1"/>
  <c r="AL342" i="1"/>
  <c r="AU342" i="1" s="1"/>
  <c r="O342" i="1"/>
  <c r="AS342" i="1" s="1"/>
  <c r="BA330" i="1"/>
  <c r="AL330" i="1"/>
  <c r="AI330" i="1"/>
  <c r="AF330" i="1"/>
  <c r="AC330" i="1"/>
  <c r="Z330" i="1"/>
  <c r="W330" i="1"/>
  <c r="T330" i="1"/>
  <c r="Q330" i="1"/>
  <c r="AL394" i="1"/>
  <c r="AU394" i="1" s="1"/>
  <c r="O394" i="1"/>
  <c r="AS394" i="1" s="1"/>
  <c r="AL338" i="1"/>
  <c r="AI338" i="1"/>
  <c r="AF338" i="1"/>
  <c r="AC338" i="1"/>
  <c r="Z338" i="1"/>
  <c r="W338" i="1"/>
  <c r="T338" i="1"/>
  <c r="Q338" i="1"/>
  <c r="BA382" i="1"/>
  <c r="AL382" i="1"/>
  <c r="AI382" i="1"/>
  <c r="AF382" i="1"/>
  <c r="AC382" i="1"/>
  <c r="Z382" i="1"/>
  <c r="W382" i="1"/>
  <c r="T382" i="1"/>
  <c r="Q382" i="1"/>
  <c r="BA334" i="1"/>
  <c r="AL334" i="1"/>
  <c r="AI334" i="1"/>
  <c r="AF334" i="1"/>
  <c r="AC334" i="1"/>
  <c r="W334" i="1"/>
  <c r="T334" i="1"/>
  <c r="Q334" i="1"/>
  <c r="BA385" i="1"/>
  <c r="AL385" i="1"/>
  <c r="AI385" i="1"/>
  <c r="BA337" i="1"/>
  <c r="AL337" i="1"/>
  <c r="AI337" i="1"/>
  <c r="BA344" i="1"/>
  <c r="AL344" i="1"/>
  <c r="AI344" i="1"/>
  <c r="AF344" i="1"/>
  <c r="AC344" i="1"/>
  <c r="Z344" i="1"/>
  <c r="W344" i="1"/>
  <c r="T344" i="1"/>
  <c r="Q344" i="1"/>
  <c r="BA343" i="1"/>
  <c r="AL343" i="1"/>
  <c r="AI343" i="1"/>
  <c r="AF343" i="1"/>
  <c r="AC343" i="1"/>
  <c r="Z343" i="1"/>
  <c r="W343" i="1"/>
  <c r="T343" i="1"/>
  <c r="Q343" i="1"/>
  <c r="AL329" i="1"/>
  <c r="AI329" i="1"/>
  <c r="O329" i="1"/>
  <c r="AS329" i="1" s="1"/>
  <c r="BA321" i="1"/>
  <c r="AL321" i="1"/>
  <c r="AI321" i="1"/>
  <c r="AF321" i="1"/>
  <c r="AC321" i="1"/>
  <c r="Z321" i="1"/>
  <c r="W321" i="1"/>
  <c r="T321" i="1"/>
  <c r="Q321" i="1"/>
  <c r="BA327" i="1"/>
  <c r="AL327" i="1"/>
  <c r="AI327" i="1"/>
  <c r="AF327" i="1"/>
  <c r="AC327" i="1"/>
  <c r="Z327" i="1"/>
  <c r="W327" i="1"/>
  <c r="T327" i="1"/>
  <c r="Q327" i="1"/>
  <c r="BA64" i="1"/>
  <c r="AL64" i="1"/>
  <c r="AI64" i="1"/>
  <c r="AF64" i="1"/>
  <c r="AC64" i="1"/>
  <c r="W64" i="1"/>
  <c r="T64" i="1"/>
  <c r="Q64" i="1"/>
  <c r="BA331" i="1"/>
  <c r="AL331" i="1"/>
  <c r="AI331" i="1"/>
  <c r="AF331" i="1"/>
  <c r="AC331" i="1"/>
  <c r="Z331" i="1"/>
  <c r="W331" i="1"/>
  <c r="T331" i="1"/>
  <c r="Q331" i="1"/>
  <c r="BA381" i="1"/>
  <c r="AL381" i="1"/>
  <c r="AI381" i="1"/>
  <c r="AF381" i="1"/>
  <c r="AC381" i="1"/>
  <c r="Z381" i="1"/>
  <c r="W381" i="1"/>
  <c r="T381" i="1"/>
  <c r="Q381" i="1"/>
  <c r="AL335" i="1"/>
  <c r="AI335" i="1"/>
  <c r="O335" i="1"/>
  <c r="AS335" i="1" s="1"/>
  <c r="BA340" i="1"/>
  <c r="AL340" i="1"/>
  <c r="AI340" i="1"/>
  <c r="AF340" i="1"/>
  <c r="BA313" i="1"/>
  <c r="AL313" i="1"/>
  <c r="AI313" i="1"/>
  <c r="AF313" i="1"/>
  <c r="AC313" i="1"/>
  <c r="Z313" i="1"/>
  <c r="W313" i="1"/>
  <c r="T313" i="1"/>
  <c r="Q313" i="1"/>
  <c r="BA314" i="1"/>
  <c r="AL314" i="1"/>
  <c r="AI314" i="1"/>
  <c r="AL311" i="1"/>
  <c r="AU311" i="1" s="1"/>
  <c r="O311" i="1"/>
  <c r="AS311" i="1" s="1"/>
  <c r="BA336" i="1"/>
  <c r="AL336" i="1"/>
  <c r="AI336" i="1"/>
  <c r="AF336" i="1"/>
  <c r="AC336" i="1"/>
  <c r="Z336" i="1"/>
  <c r="W336" i="1"/>
  <c r="T336" i="1"/>
  <c r="Q336" i="1"/>
  <c r="BA260" i="1"/>
  <c r="AL260" i="1"/>
  <c r="AI260" i="1"/>
  <c r="AF260" i="1"/>
  <c r="AC260" i="1"/>
  <c r="Z260" i="1"/>
  <c r="W260" i="1"/>
  <c r="T260" i="1"/>
  <c r="Q260" i="1"/>
  <c r="BA309" i="1"/>
  <c r="AL309" i="1"/>
  <c r="AI309" i="1"/>
  <c r="AL333" i="1"/>
  <c r="AI333" i="1"/>
  <c r="O333" i="1"/>
  <c r="AS333" i="1" s="1"/>
  <c r="BA315" i="1"/>
  <c r="AL315" i="1"/>
  <c r="AI315" i="1"/>
  <c r="AF315" i="1"/>
  <c r="AC315" i="1"/>
  <c r="Z315" i="1"/>
  <c r="W315" i="1"/>
  <c r="T315" i="1"/>
  <c r="Q315" i="1"/>
  <c r="BA303" i="1"/>
  <c r="AL303" i="1"/>
  <c r="AI303" i="1"/>
  <c r="AF303" i="1"/>
  <c r="AC303" i="1"/>
  <c r="Z303" i="1"/>
  <c r="W303" i="1"/>
  <c r="T303" i="1"/>
  <c r="Q303" i="1"/>
  <c r="BA113" i="1"/>
  <c r="AL113" i="1"/>
  <c r="AI113" i="1"/>
  <c r="AF113" i="1"/>
  <c r="AC113" i="1"/>
  <c r="Z113" i="1"/>
  <c r="W113" i="1"/>
  <c r="T113" i="1"/>
  <c r="Q113" i="1"/>
  <c r="BA308" i="1"/>
  <c r="AL308" i="1"/>
  <c r="AI308" i="1"/>
  <c r="AF308" i="1"/>
  <c r="AC308" i="1"/>
  <c r="Z308" i="1"/>
  <c r="W308" i="1"/>
  <c r="T308" i="1"/>
  <c r="Q308" i="1"/>
  <c r="BA324" i="1"/>
  <c r="AL324" i="1"/>
  <c r="AI324" i="1"/>
  <c r="AF324" i="1"/>
  <c r="AC324" i="1"/>
  <c r="Z324" i="1"/>
  <c r="W324" i="1"/>
  <c r="T324" i="1"/>
  <c r="Q324" i="1"/>
  <c r="AL312" i="1"/>
  <c r="AU312" i="1" s="1"/>
  <c r="O312" i="1"/>
  <c r="AS312" i="1" s="1"/>
  <c r="BA318" i="1"/>
  <c r="AL318" i="1"/>
  <c r="AI318" i="1"/>
  <c r="AF318" i="1"/>
  <c r="AC318" i="1"/>
  <c r="Z318" i="1"/>
  <c r="W318" i="1"/>
  <c r="T318" i="1"/>
  <c r="Q318" i="1"/>
  <c r="AL305" i="1"/>
  <c r="AU305" i="1" s="1"/>
  <c r="O305" i="1"/>
  <c r="AS305" i="1" s="1"/>
  <c r="BA307" i="1"/>
  <c r="AL307" i="1"/>
  <c r="AI307" i="1"/>
  <c r="AF307" i="1"/>
  <c r="AC307" i="1"/>
  <c r="Z307" i="1"/>
  <c r="W307" i="1"/>
  <c r="T307" i="1"/>
  <c r="Q307" i="1"/>
  <c r="BA290" i="1"/>
  <c r="AL290" i="1"/>
  <c r="AI290" i="1"/>
  <c r="AF290" i="1"/>
  <c r="AC290" i="1"/>
  <c r="Z290" i="1"/>
  <c r="W290" i="1"/>
  <c r="T290" i="1"/>
  <c r="Q290" i="1"/>
  <c r="BA288" i="1"/>
  <c r="AL288" i="1"/>
  <c r="AI288" i="1"/>
  <c r="AF288" i="1"/>
  <c r="AC288" i="1"/>
  <c r="Z288" i="1"/>
  <c r="W288" i="1"/>
  <c r="T288" i="1"/>
  <c r="Q288" i="1"/>
  <c r="BA280" i="1"/>
  <c r="AL280" i="1"/>
  <c r="AI280" i="1"/>
  <c r="AF280" i="1"/>
  <c r="AC280" i="1"/>
  <c r="Z280" i="1"/>
  <c r="W280" i="1"/>
  <c r="T280" i="1"/>
  <c r="Q280" i="1"/>
  <c r="AL283" i="1"/>
  <c r="AI283" i="1"/>
  <c r="O283" i="1"/>
  <c r="AS283" i="1" s="1"/>
  <c r="AL298" i="1"/>
  <c r="AU298" i="1" s="1"/>
  <c r="O298" i="1"/>
  <c r="AS298" i="1" s="1"/>
  <c r="AL310" i="1"/>
  <c r="AU310" i="1" s="1"/>
  <c r="O310" i="1"/>
  <c r="AS310" i="1" s="1"/>
  <c r="BA291" i="1"/>
  <c r="AL291" i="1"/>
  <c r="AI291" i="1"/>
  <c r="AL292" i="1"/>
  <c r="AU292" i="1" s="1"/>
  <c r="O292" i="1"/>
  <c r="AS292" i="1" s="1"/>
  <c r="BA299" i="1"/>
  <c r="AL299" i="1"/>
  <c r="AI299" i="1"/>
  <c r="AL274" i="1"/>
  <c r="AU274" i="1" s="1"/>
  <c r="O274" i="1"/>
  <c r="AS274" i="1" s="1"/>
  <c r="BA265" i="1"/>
  <c r="AL265" i="1"/>
  <c r="AI265" i="1"/>
  <c r="AF265" i="1"/>
  <c r="AC265" i="1"/>
  <c r="Z265" i="1"/>
  <c r="W265" i="1"/>
  <c r="T265" i="1"/>
  <c r="Q265" i="1"/>
  <c r="BA219" i="1"/>
  <c r="AL219" i="1"/>
  <c r="AI219" i="1"/>
  <c r="AF219" i="1"/>
  <c r="AC219" i="1"/>
  <c r="Z219" i="1"/>
  <c r="W219" i="1"/>
  <c r="T219" i="1"/>
  <c r="Q219" i="1"/>
  <c r="BA209" i="1"/>
  <c r="AL209" i="1"/>
  <c r="AI209" i="1"/>
  <c r="AF209" i="1"/>
  <c r="AC209" i="1"/>
  <c r="Z209" i="1"/>
  <c r="W209" i="1"/>
  <c r="T209" i="1"/>
  <c r="Q209" i="1"/>
  <c r="BA325" i="1"/>
  <c r="AL325" i="1"/>
  <c r="AI325" i="1"/>
  <c r="AF325" i="1"/>
  <c r="AC325" i="1"/>
  <c r="Z325" i="1"/>
  <c r="W325" i="1"/>
  <c r="T325" i="1"/>
  <c r="Q325" i="1"/>
  <c r="AL273" i="1"/>
  <c r="AU273" i="1" s="1"/>
  <c r="O273" i="1"/>
  <c r="AS273" i="1" s="1"/>
  <c r="BA322" i="1"/>
  <c r="AL322" i="1"/>
  <c r="AI322" i="1"/>
  <c r="BA281" i="1"/>
  <c r="AL281" i="1"/>
  <c r="AI281" i="1"/>
  <c r="BA194" i="1"/>
  <c r="AL194" i="1"/>
  <c r="AI194" i="1"/>
  <c r="AF194" i="1"/>
  <c r="AC194" i="1"/>
  <c r="Z194" i="1"/>
  <c r="W194" i="1"/>
  <c r="T194" i="1"/>
  <c r="Q194" i="1"/>
  <c r="AL297" i="1"/>
  <c r="AU297" i="1" s="1"/>
  <c r="O297" i="1"/>
  <c r="AS297" i="1" s="1"/>
  <c r="BA285" i="1"/>
  <c r="AL285" i="1"/>
  <c r="AI285" i="1"/>
  <c r="AF285" i="1"/>
  <c r="AC285" i="1"/>
  <c r="Z285" i="1"/>
  <c r="W285" i="1"/>
  <c r="T285" i="1"/>
  <c r="Q285" i="1"/>
  <c r="BA261" i="1"/>
  <c r="AL261" i="1"/>
  <c r="AI261" i="1"/>
  <c r="AF261" i="1"/>
  <c r="AC261" i="1"/>
  <c r="Z261" i="1"/>
  <c r="W261" i="1"/>
  <c r="T261" i="1"/>
  <c r="Q261" i="1"/>
  <c r="AL275" i="1"/>
  <c r="AU275" i="1" s="1"/>
  <c r="O275" i="1"/>
  <c r="AS275" i="1" s="1"/>
  <c r="BA301" i="1"/>
  <c r="AL301" i="1"/>
  <c r="AI301" i="1"/>
  <c r="AF301" i="1"/>
  <c r="AC301" i="1"/>
  <c r="Z301" i="1"/>
  <c r="W301" i="1"/>
  <c r="T301" i="1"/>
  <c r="Q301" i="1"/>
  <c r="AL269" i="1"/>
  <c r="AU269" i="1" s="1"/>
  <c r="O269" i="1"/>
  <c r="AS269" i="1" s="1"/>
  <c r="AL266" i="1"/>
  <c r="AU266" i="1" s="1"/>
  <c r="O266" i="1"/>
  <c r="AS266" i="1" s="1"/>
  <c r="AL323" i="1"/>
  <c r="AU323" i="1" s="1"/>
  <c r="O323" i="1"/>
  <c r="AS323" i="1" s="1"/>
  <c r="BA184" i="1"/>
  <c r="AL184" i="1"/>
  <c r="AI184" i="1"/>
  <c r="AF184" i="1"/>
  <c r="AC184" i="1"/>
  <c r="Z184" i="1"/>
  <c r="W184" i="1"/>
  <c r="T184" i="1"/>
  <c r="Q184" i="1"/>
  <c r="BA170" i="1"/>
  <c r="AL170" i="1"/>
  <c r="AI170" i="1"/>
  <c r="AF170" i="1"/>
  <c r="AC170" i="1"/>
  <c r="Z170" i="1"/>
  <c r="W170" i="1"/>
  <c r="T170" i="1"/>
  <c r="Q170" i="1"/>
  <c r="BA256" i="1"/>
  <c r="AL256" i="1"/>
  <c r="AI256" i="1"/>
  <c r="AF256" i="1"/>
  <c r="AC256" i="1"/>
  <c r="Z256" i="1"/>
  <c r="W256" i="1"/>
  <c r="T256" i="1"/>
  <c r="Q256" i="1"/>
  <c r="AL262" i="1"/>
  <c r="AU262" i="1" s="1"/>
  <c r="O262" i="1"/>
  <c r="AS262" i="1" s="1"/>
  <c r="BA247" i="1"/>
  <c r="AL247" i="1"/>
  <c r="AI247" i="1"/>
  <c r="AF247" i="1"/>
  <c r="AC247" i="1"/>
  <c r="Z247" i="1"/>
  <c r="W247" i="1"/>
  <c r="T247" i="1"/>
  <c r="Q247" i="1"/>
  <c r="BA259" i="1"/>
  <c r="AL259" i="1"/>
  <c r="AI259" i="1"/>
  <c r="AF259" i="1"/>
  <c r="AC259" i="1"/>
  <c r="Z259" i="1"/>
  <c r="W259" i="1"/>
  <c r="T259" i="1"/>
  <c r="Q259" i="1"/>
  <c r="AL192" i="1"/>
  <c r="AI192" i="1"/>
  <c r="BA150" i="1"/>
  <c r="AL150" i="1"/>
  <c r="AI150" i="1"/>
  <c r="AF150" i="1"/>
  <c r="AC150" i="1"/>
  <c r="Z150" i="1"/>
  <c r="W150" i="1"/>
  <c r="T150" i="1"/>
  <c r="Q150" i="1"/>
  <c r="BA118" i="1"/>
  <c r="AL118" i="1"/>
  <c r="AI118" i="1"/>
  <c r="AF118" i="1"/>
  <c r="AC118" i="1"/>
  <c r="Z118" i="1"/>
  <c r="W118" i="1"/>
  <c r="T118" i="1"/>
  <c r="Q118" i="1"/>
  <c r="BA257" i="1"/>
  <c r="AL257" i="1"/>
  <c r="AI257" i="1"/>
  <c r="BA195" i="1"/>
  <c r="AL195" i="1"/>
  <c r="AI195" i="1"/>
  <c r="AF195" i="1"/>
  <c r="AC195" i="1"/>
  <c r="Z195" i="1"/>
  <c r="W195" i="1"/>
  <c r="T195" i="1"/>
  <c r="Q195" i="1"/>
  <c r="BA27" i="1"/>
  <c r="AL27" i="1"/>
  <c r="AI27" i="1"/>
  <c r="AF27" i="1"/>
  <c r="AC27" i="1"/>
  <c r="Z27" i="1"/>
  <c r="W27" i="1"/>
  <c r="T27" i="1"/>
  <c r="Q27" i="1"/>
  <c r="BA74" i="1"/>
  <c r="AL74" i="1"/>
  <c r="AI74" i="1"/>
  <c r="AF74" i="1"/>
  <c r="AC74" i="1"/>
  <c r="Z74" i="1"/>
  <c r="W74" i="1"/>
  <c r="T74" i="1"/>
  <c r="Q74" i="1"/>
  <c r="BA73" i="1"/>
  <c r="AL73" i="1"/>
  <c r="AI73" i="1"/>
  <c r="AF73" i="1"/>
  <c r="AC73" i="1"/>
  <c r="Z73" i="1"/>
  <c r="W73" i="1"/>
  <c r="T73" i="1"/>
  <c r="Q73" i="1"/>
  <c r="BA26" i="1"/>
  <c r="AL26" i="1"/>
  <c r="AI26" i="1"/>
  <c r="AF26" i="1"/>
  <c r="AC26" i="1"/>
  <c r="Z26" i="1"/>
  <c r="W26" i="1"/>
  <c r="T26" i="1"/>
  <c r="Q26" i="1"/>
  <c r="BA240" i="1"/>
  <c r="AL240" i="1"/>
  <c r="AI240" i="1"/>
  <c r="AF240" i="1"/>
  <c r="AC240" i="1"/>
  <c r="Z240" i="1"/>
  <c r="W240" i="1"/>
  <c r="T240" i="1"/>
  <c r="Q240" i="1"/>
  <c r="BA239" i="1"/>
  <c r="AL239" i="1"/>
  <c r="AI239" i="1"/>
  <c r="AF239" i="1"/>
  <c r="AC239" i="1"/>
  <c r="Z239" i="1"/>
  <c r="W239" i="1"/>
  <c r="T239" i="1"/>
  <c r="Q239" i="1"/>
  <c r="BA237" i="1"/>
  <c r="AL237" i="1"/>
  <c r="AI237" i="1"/>
  <c r="AF237" i="1"/>
  <c r="AC237" i="1"/>
  <c r="Z237" i="1"/>
  <c r="W237" i="1"/>
  <c r="T237" i="1"/>
  <c r="Q237" i="1"/>
  <c r="BA236" i="1"/>
  <c r="AL236" i="1"/>
  <c r="AI236" i="1"/>
  <c r="AF236" i="1"/>
  <c r="AC236" i="1"/>
  <c r="Z236" i="1"/>
  <c r="W236" i="1"/>
  <c r="T236" i="1"/>
  <c r="Q236" i="1"/>
  <c r="BA235" i="1"/>
  <c r="AL235" i="1"/>
  <c r="AI235" i="1"/>
  <c r="AF235" i="1"/>
  <c r="AC235" i="1"/>
  <c r="Z235" i="1"/>
  <c r="W235" i="1"/>
  <c r="T235" i="1"/>
  <c r="Q235" i="1"/>
  <c r="BA234" i="1"/>
  <c r="AL234" i="1"/>
  <c r="AI234" i="1"/>
  <c r="AF234" i="1"/>
  <c r="AC234" i="1"/>
  <c r="Z234" i="1"/>
  <c r="W234" i="1"/>
  <c r="T234" i="1"/>
  <c r="Q234" i="1"/>
  <c r="BA233" i="1"/>
  <c r="AL233" i="1"/>
  <c r="AI233" i="1"/>
  <c r="AF233" i="1"/>
  <c r="AC233" i="1"/>
  <c r="Z233" i="1"/>
  <c r="W233" i="1"/>
  <c r="T233" i="1"/>
  <c r="Q233" i="1"/>
  <c r="BA232" i="1"/>
  <c r="AL232" i="1"/>
  <c r="AI232" i="1"/>
  <c r="AF232" i="1"/>
  <c r="AC232" i="1"/>
  <c r="Z232" i="1"/>
  <c r="W232" i="1"/>
  <c r="T232" i="1"/>
  <c r="Q232" i="1"/>
  <c r="BA231" i="1"/>
  <c r="AL231" i="1"/>
  <c r="AI231" i="1"/>
  <c r="AF231" i="1"/>
  <c r="AC231" i="1"/>
  <c r="Z231" i="1"/>
  <c r="W231" i="1"/>
  <c r="T231" i="1"/>
  <c r="Q231" i="1"/>
  <c r="BA230" i="1"/>
  <c r="AL230" i="1"/>
  <c r="AI230" i="1"/>
  <c r="AF230" i="1"/>
  <c r="AC230" i="1"/>
  <c r="Z230" i="1"/>
  <c r="W230" i="1"/>
  <c r="T230" i="1"/>
  <c r="Q230" i="1"/>
  <c r="BA229" i="1"/>
  <c r="AL229" i="1"/>
  <c r="AI229" i="1"/>
  <c r="AF229" i="1"/>
  <c r="AC229" i="1"/>
  <c r="Z229" i="1"/>
  <c r="W229" i="1"/>
  <c r="T229" i="1"/>
  <c r="Q229" i="1"/>
  <c r="BA238" i="1"/>
  <c r="AL238" i="1"/>
  <c r="AI238" i="1"/>
  <c r="AF238" i="1"/>
  <c r="AC238" i="1"/>
  <c r="Z238" i="1"/>
  <c r="W238" i="1"/>
  <c r="T238" i="1"/>
  <c r="Q238" i="1"/>
  <c r="AL433" i="1"/>
  <c r="AI433" i="1"/>
  <c r="AF433" i="1"/>
  <c r="AC433" i="1"/>
  <c r="Z433" i="1"/>
  <c r="W433" i="1"/>
  <c r="T433" i="1"/>
  <c r="Q433" i="1"/>
  <c r="BA244" i="1"/>
  <c r="AL244" i="1"/>
  <c r="AI244" i="1"/>
  <c r="AF244" i="1"/>
  <c r="AC244" i="1"/>
  <c r="Z244" i="1"/>
  <c r="W244" i="1"/>
  <c r="T244" i="1"/>
  <c r="Q244" i="1"/>
  <c r="BA228" i="1"/>
  <c r="AL228" i="1"/>
  <c r="AI228" i="1"/>
  <c r="AF228" i="1"/>
  <c r="AC228" i="1"/>
  <c r="Z228" i="1"/>
  <c r="W228" i="1"/>
  <c r="T228" i="1"/>
  <c r="Q228" i="1"/>
  <c r="BA117" i="1"/>
  <c r="AL117" i="1"/>
  <c r="AI117" i="1"/>
  <c r="AF117" i="1"/>
  <c r="AC117" i="1"/>
  <c r="Z117" i="1"/>
  <c r="W117" i="1"/>
  <c r="T117" i="1"/>
  <c r="Q117" i="1"/>
  <c r="BA176" i="1"/>
  <c r="AL176" i="1"/>
  <c r="AI176" i="1"/>
  <c r="BA226" i="1"/>
  <c r="AL226" i="1"/>
  <c r="AI226" i="1"/>
  <c r="AF226" i="1"/>
  <c r="AC226" i="1"/>
  <c r="Z226" i="1"/>
  <c r="W226" i="1"/>
  <c r="T226" i="1"/>
  <c r="Q226" i="1"/>
  <c r="BA19" i="1"/>
  <c r="AL19" i="1"/>
  <c r="AI19" i="1"/>
  <c r="AF19" i="1"/>
  <c r="AC19" i="1"/>
  <c r="Z19" i="1"/>
  <c r="W19" i="1"/>
  <c r="T19" i="1"/>
  <c r="Q19" i="1"/>
  <c r="BA223" i="1"/>
  <c r="AL223" i="1"/>
  <c r="AI223" i="1"/>
  <c r="AF223" i="1"/>
  <c r="AC223" i="1"/>
  <c r="Z223" i="1"/>
  <c r="W223" i="1"/>
  <c r="T223" i="1"/>
  <c r="Q223" i="1"/>
  <c r="BA227" i="1"/>
  <c r="AL227" i="1"/>
  <c r="AI227" i="1"/>
  <c r="AF227" i="1"/>
  <c r="AC227" i="1"/>
  <c r="Z227" i="1"/>
  <c r="W227" i="1"/>
  <c r="T227" i="1"/>
  <c r="Q227" i="1"/>
  <c r="BA246" i="1"/>
  <c r="AL246" i="1"/>
  <c r="AI246" i="1"/>
  <c r="AF246" i="1"/>
  <c r="AC246" i="1"/>
  <c r="Z246" i="1"/>
  <c r="W246" i="1"/>
  <c r="T246" i="1"/>
  <c r="Q246" i="1"/>
  <c r="BA224" i="1"/>
  <c r="AL224" i="1"/>
  <c r="AI224" i="1"/>
  <c r="BA181" i="1"/>
  <c r="AL181" i="1"/>
  <c r="AI181" i="1"/>
  <c r="AF181" i="1"/>
  <c r="AC181" i="1"/>
  <c r="Z181" i="1"/>
  <c r="W181" i="1"/>
  <c r="T181" i="1"/>
  <c r="Q181" i="1"/>
  <c r="BA221" i="1"/>
  <c r="AL221" i="1"/>
  <c r="AI221" i="1"/>
  <c r="AF221" i="1"/>
  <c r="AC221" i="1"/>
  <c r="Z221" i="1"/>
  <c r="W221" i="1"/>
  <c r="T221" i="1"/>
  <c r="Q221" i="1"/>
  <c r="BA211" i="1"/>
  <c r="AL211" i="1"/>
  <c r="AI211" i="1"/>
  <c r="AF211" i="1"/>
  <c r="AC211" i="1"/>
  <c r="Z211" i="1"/>
  <c r="W211" i="1"/>
  <c r="T211" i="1"/>
  <c r="Q211" i="1"/>
  <c r="BA213" i="1"/>
  <c r="AL213" i="1"/>
  <c r="AI213" i="1"/>
  <c r="AF213" i="1"/>
  <c r="AC213" i="1"/>
  <c r="Z213" i="1"/>
  <c r="W213" i="1"/>
  <c r="T213" i="1"/>
  <c r="Q213" i="1"/>
  <c r="BA190" i="1"/>
  <c r="AL190" i="1"/>
  <c r="AI190" i="1"/>
  <c r="BA196" i="1"/>
  <c r="AL196" i="1"/>
  <c r="AI196" i="1"/>
  <c r="AF196" i="1"/>
  <c r="AC196" i="1"/>
  <c r="Z196" i="1"/>
  <c r="W196" i="1"/>
  <c r="T196" i="1"/>
  <c r="Q196" i="1"/>
  <c r="BA206" i="1"/>
  <c r="AL206" i="1"/>
  <c r="AI206" i="1"/>
  <c r="AF206" i="1"/>
  <c r="AC206" i="1"/>
  <c r="Z206" i="1"/>
  <c r="W206" i="1"/>
  <c r="T206" i="1"/>
  <c r="Q206" i="1"/>
  <c r="BA203" i="1"/>
  <c r="AL203" i="1"/>
  <c r="AI203" i="1"/>
  <c r="AF203" i="1"/>
  <c r="AC203" i="1"/>
  <c r="Z203" i="1"/>
  <c r="W203" i="1"/>
  <c r="T203" i="1"/>
  <c r="Q203" i="1"/>
  <c r="BA182" i="1"/>
  <c r="AL182" i="1"/>
  <c r="AI182" i="1"/>
  <c r="AF182" i="1"/>
  <c r="AC182" i="1"/>
  <c r="Z182" i="1"/>
  <c r="W182" i="1"/>
  <c r="T182" i="1"/>
  <c r="Q182" i="1"/>
  <c r="BA222" i="1"/>
  <c r="AL222" i="1"/>
  <c r="AI222" i="1"/>
  <c r="AF222" i="1"/>
  <c r="AC222" i="1"/>
  <c r="Z222" i="1"/>
  <c r="W222" i="1"/>
  <c r="T222" i="1"/>
  <c r="Q222" i="1"/>
  <c r="AL214" i="1"/>
  <c r="AI214" i="1"/>
  <c r="AF214" i="1"/>
  <c r="AC214" i="1"/>
  <c r="Z214" i="1"/>
  <c r="W214" i="1"/>
  <c r="T214" i="1"/>
  <c r="Q214" i="1"/>
  <c r="BA212" i="1"/>
  <c r="AL212" i="1"/>
  <c r="AI212" i="1"/>
  <c r="AF212" i="1"/>
  <c r="AC212" i="1"/>
  <c r="Z212" i="1"/>
  <c r="W212" i="1"/>
  <c r="T212" i="1"/>
  <c r="Q212" i="1"/>
  <c r="BA205" i="1"/>
  <c r="AL205" i="1"/>
  <c r="AI205" i="1"/>
  <c r="AF205" i="1"/>
  <c r="AC205" i="1"/>
  <c r="Z205" i="1"/>
  <c r="W205" i="1"/>
  <c r="T205" i="1"/>
  <c r="Q205" i="1"/>
  <c r="BA294" i="1"/>
  <c r="AL294" i="1"/>
  <c r="AI294" i="1"/>
  <c r="AF294" i="1"/>
  <c r="AC294" i="1"/>
  <c r="Z294" i="1"/>
  <c r="W294" i="1"/>
  <c r="T294" i="1"/>
  <c r="Q294" i="1"/>
  <c r="AL245" i="1"/>
  <c r="AI245" i="1"/>
  <c r="AF245" i="1"/>
  <c r="AC245" i="1"/>
  <c r="Z245" i="1"/>
  <c r="W245" i="1"/>
  <c r="T245" i="1"/>
  <c r="Q245" i="1"/>
  <c r="BA188" i="1"/>
  <c r="AL188" i="1"/>
  <c r="AI188" i="1"/>
  <c r="AF188" i="1"/>
  <c r="AC188" i="1"/>
  <c r="Z188" i="1"/>
  <c r="W188" i="1"/>
  <c r="T188" i="1"/>
  <c r="Q188" i="1"/>
  <c r="AL210" i="1"/>
  <c r="AI210" i="1"/>
  <c r="AF210" i="1"/>
  <c r="AC210" i="1"/>
  <c r="Z210" i="1"/>
  <c r="W210" i="1"/>
  <c r="T210" i="1"/>
  <c r="Q210" i="1"/>
  <c r="BA189" i="1"/>
  <c r="AL189" i="1"/>
  <c r="AI189" i="1"/>
  <c r="AF189" i="1"/>
  <c r="AC189" i="1"/>
  <c r="Z189" i="1"/>
  <c r="W189" i="1"/>
  <c r="T189" i="1"/>
  <c r="Q189" i="1"/>
  <c r="BA121" i="1"/>
  <c r="AL121" i="1"/>
  <c r="AI121" i="1"/>
  <c r="AF121" i="1"/>
  <c r="AC121" i="1"/>
  <c r="Z121" i="1"/>
  <c r="W121" i="1"/>
  <c r="T121" i="1"/>
  <c r="Q121" i="1"/>
  <c r="BA173" i="1"/>
  <c r="AL173" i="1"/>
  <c r="AI173" i="1"/>
  <c r="AF173" i="1"/>
  <c r="AC173" i="1"/>
  <c r="Z173" i="1"/>
  <c r="W173" i="1"/>
  <c r="T173" i="1"/>
  <c r="Q173" i="1"/>
  <c r="AL208" i="1"/>
  <c r="AI208" i="1"/>
  <c r="AF208" i="1"/>
  <c r="AC208" i="1"/>
  <c r="Z208" i="1"/>
  <c r="W208" i="1"/>
  <c r="T208" i="1"/>
  <c r="Q208" i="1"/>
  <c r="BA204" i="1"/>
  <c r="AL204" i="1"/>
  <c r="AI204" i="1"/>
  <c r="AF204" i="1"/>
  <c r="AC204" i="1"/>
  <c r="Z204" i="1"/>
  <c r="W204" i="1"/>
  <c r="T204" i="1"/>
  <c r="Q204" i="1"/>
  <c r="BA197" i="1"/>
  <c r="AL197" i="1"/>
  <c r="AI197" i="1"/>
  <c r="AF197" i="1"/>
  <c r="AC197" i="1"/>
  <c r="Z197" i="1"/>
  <c r="W197" i="1"/>
  <c r="T197" i="1"/>
  <c r="Q197" i="1"/>
  <c r="AL225" i="1"/>
  <c r="AI225" i="1"/>
  <c r="BA151" i="1"/>
  <c r="AL151" i="1"/>
  <c r="AI151" i="1"/>
  <c r="AF151" i="1"/>
  <c r="AC151" i="1"/>
  <c r="Z151" i="1"/>
  <c r="W151" i="1"/>
  <c r="T151" i="1"/>
  <c r="Q151" i="1"/>
  <c r="BA156" i="1"/>
  <c r="AL156" i="1"/>
  <c r="AI156" i="1"/>
  <c r="AF156" i="1"/>
  <c r="AC156" i="1"/>
  <c r="Z156" i="1"/>
  <c r="W156" i="1"/>
  <c r="T156" i="1"/>
  <c r="Q156" i="1"/>
  <c r="BA202" i="1"/>
  <c r="AL202" i="1"/>
  <c r="AI202" i="1"/>
  <c r="AF202" i="1"/>
  <c r="AC202" i="1"/>
  <c r="Z202" i="1"/>
  <c r="W202" i="1"/>
  <c r="T202" i="1"/>
  <c r="Q202" i="1"/>
  <c r="BA103" i="1"/>
  <c r="AL103" i="1"/>
  <c r="AI103" i="1"/>
  <c r="AF103" i="1"/>
  <c r="AC103" i="1"/>
  <c r="Z103" i="1"/>
  <c r="W103" i="1"/>
  <c r="T103" i="1"/>
  <c r="Q103" i="1"/>
  <c r="AL201" i="1"/>
  <c r="AI201" i="1"/>
  <c r="AF201" i="1"/>
  <c r="AC201" i="1"/>
  <c r="Z201" i="1"/>
  <c r="W201" i="1"/>
  <c r="T201" i="1"/>
  <c r="Q201" i="1"/>
  <c r="AL200" i="1"/>
  <c r="AI200" i="1"/>
  <c r="AF200" i="1"/>
  <c r="AC200" i="1"/>
  <c r="Z200" i="1"/>
  <c r="W200" i="1"/>
  <c r="T200" i="1"/>
  <c r="Q200" i="1"/>
  <c r="AL199" i="1"/>
  <c r="AU199" i="1" s="1"/>
  <c r="BA198" i="1"/>
  <c r="AL198" i="1"/>
  <c r="AI198" i="1"/>
  <c r="AF198" i="1"/>
  <c r="AC198" i="1"/>
  <c r="Z198" i="1"/>
  <c r="W198" i="1"/>
  <c r="T198" i="1"/>
  <c r="Q198" i="1"/>
  <c r="BA153" i="1"/>
  <c r="AL153" i="1"/>
  <c r="AI153" i="1"/>
  <c r="AF153" i="1"/>
  <c r="AC153" i="1"/>
  <c r="Z153" i="1"/>
  <c r="W153" i="1"/>
  <c r="T153" i="1"/>
  <c r="Q153" i="1"/>
  <c r="BA179" i="1"/>
  <c r="AL179" i="1"/>
  <c r="AI179" i="1"/>
  <c r="AF179" i="1"/>
  <c r="AC179" i="1"/>
  <c r="Z179" i="1"/>
  <c r="W179" i="1"/>
  <c r="T179" i="1"/>
  <c r="Q179" i="1"/>
  <c r="AL193" i="1"/>
  <c r="AU193" i="1" s="1"/>
  <c r="BA185" i="1"/>
  <c r="AL185" i="1"/>
  <c r="AI185" i="1"/>
  <c r="AF185" i="1"/>
  <c r="AC185" i="1"/>
  <c r="Z185" i="1"/>
  <c r="W185" i="1"/>
  <c r="T185" i="1"/>
  <c r="Q185" i="1"/>
  <c r="BA183" i="1"/>
  <c r="AL183" i="1"/>
  <c r="AI183" i="1"/>
  <c r="AF183" i="1"/>
  <c r="AC183" i="1"/>
  <c r="Z183" i="1"/>
  <c r="W183" i="1"/>
  <c r="T183" i="1"/>
  <c r="Q183" i="1"/>
  <c r="BA264" i="1"/>
  <c r="AL264" i="1"/>
  <c r="AI264" i="1"/>
  <c r="AF264" i="1"/>
  <c r="AC264" i="1"/>
  <c r="Z264" i="1"/>
  <c r="W264" i="1"/>
  <c r="T264" i="1"/>
  <c r="Q264" i="1"/>
  <c r="BA135" i="1"/>
  <c r="AL135" i="1"/>
  <c r="AI135" i="1"/>
  <c r="AF135" i="1"/>
  <c r="AC135" i="1"/>
  <c r="Z135" i="1"/>
  <c r="W135" i="1"/>
  <c r="T135" i="1"/>
  <c r="Q135" i="1"/>
  <c r="BA168" i="1"/>
  <c r="AL168" i="1"/>
  <c r="AI168" i="1"/>
  <c r="AF168" i="1"/>
  <c r="AC168" i="1"/>
  <c r="Z168" i="1"/>
  <c r="W168" i="1"/>
  <c r="T168" i="1"/>
  <c r="Q168" i="1"/>
  <c r="AL186" i="1"/>
  <c r="AU186" i="1" s="1"/>
  <c r="BA40" i="1"/>
  <c r="AL40" i="1"/>
  <c r="AI40" i="1"/>
  <c r="AF40" i="1"/>
  <c r="AC40" i="1"/>
  <c r="Z40" i="1"/>
  <c r="W40" i="1"/>
  <c r="T40" i="1"/>
  <c r="Q40" i="1"/>
  <c r="BA166" i="1"/>
  <c r="AL166" i="1"/>
  <c r="AI166" i="1"/>
  <c r="AF166" i="1"/>
  <c r="AC166" i="1"/>
  <c r="Z166" i="1"/>
  <c r="W166" i="1"/>
  <c r="T166" i="1"/>
  <c r="Q166" i="1"/>
  <c r="BA180" i="1"/>
  <c r="AL180" i="1"/>
  <c r="AI180" i="1"/>
  <c r="AF180" i="1"/>
  <c r="AC180" i="1"/>
  <c r="Z180" i="1"/>
  <c r="W180" i="1"/>
  <c r="T180" i="1"/>
  <c r="Q180" i="1"/>
  <c r="BA217" i="1"/>
  <c r="AL217" i="1"/>
  <c r="AI217" i="1"/>
  <c r="AF217" i="1"/>
  <c r="AC217" i="1"/>
  <c r="Z217" i="1"/>
  <c r="W217" i="1"/>
  <c r="T217" i="1"/>
  <c r="Q217" i="1"/>
  <c r="AL178" i="1"/>
  <c r="AU178" i="1" s="1"/>
  <c r="BA136" i="1"/>
  <c r="AL136" i="1"/>
  <c r="AI136" i="1"/>
  <c r="AF136" i="1"/>
  <c r="AC136" i="1"/>
  <c r="Z136" i="1"/>
  <c r="W136" i="1"/>
  <c r="T136" i="1"/>
  <c r="Q136" i="1"/>
  <c r="AL177" i="1"/>
  <c r="AI177" i="1"/>
  <c r="AF177" i="1"/>
  <c r="AC177" i="1"/>
  <c r="Z177" i="1"/>
  <c r="W177" i="1"/>
  <c r="T177" i="1"/>
  <c r="Q177" i="1"/>
  <c r="BA160" i="1"/>
  <c r="AL160" i="1"/>
  <c r="AI160" i="1"/>
  <c r="AF160" i="1"/>
  <c r="AC160" i="1"/>
  <c r="Z160" i="1"/>
  <c r="W160" i="1"/>
  <c r="T160" i="1"/>
  <c r="Q160" i="1"/>
  <c r="BA162" i="1"/>
  <c r="AL162" i="1"/>
  <c r="AI162" i="1"/>
  <c r="AF162" i="1"/>
  <c r="AC162" i="1"/>
  <c r="Z162" i="1"/>
  <c r="W162" i="1"/>
  <c r="T162" i="1"/>
  <c r="Q162" i="1"/>
  <c r="BA164" i="1"/>
  <c r="AL164" i="1"/>
  <c r="AI164" i="1"/>
  <c r="AF164" i="1"/>
  <c r="AC164" i="1"/>
  <c r="Z164" i="1"/>
  <c r="W164" i="1"/>
  <c r="T164" i="1"/>
  <c r="Q164" i="1"/>
  <c r="BA119" i="1"/>
  <c r="AL119" i="1"/>
  <c r="AI119" i="1"/>
  <c r="AF119" i="1"/>
  <c r="AC119" i="1"/>
  <c r="Z119" i="1"/>
  <c r="W119" i="1"/>
  <c r="T119" i="1"/>
  <c r="Q119" i="1"/>
  <c r="AL163" i="1"/>
  <c r="AI163" i="1"/>
  <c r="BA152" i="1"/>
  <c r="AL152" i="1"/>
  <c r="AI152" i="1"/>
  <c r="AF152" i="1"/>
  <c r="AC152" i="1"/>
  <c r="Z152" i="1"/>
  <c r="W152" i="1"/>
  <c r="T152" i="1"/>
  <c r="Q152" i="1"/>
  <c r="BA191" i="1"/>
  <c r="AL191" i="1"/>
  <c r="AI191" i="1"/>
  <c r="AF191" i="1"/>
  <c r="AC191" i="1"/>
  <c r="Z191" i="1"/>
  <c r="W191" i="1"/>
  <c r="T191" i="1"/>
  <c r="Q191" i="1"/>
  <c r="AL175" i="1"/>
  <c r="AI175" i="1"/>
  <c r="BA172" i="1"/>
  <c r="AL172" i="1"/>
  <c r="AI172" i="1"/>
  <c r="AF172" i="1"/>
  <c r="Z172" i="1"/>
  <c r="W172" i="1"/>
  <c r="T172" i="1"/>
  <c r="Q172" i="1"/>
  <c r="BA137" i="1"/>
  <c r="AL137" i="1"/>
  <c r="AI137" i="1"/>
  <c r="AF137" i="1"/>
  <c r="AC137" i="1"/>
  <c r="Z137" i="1"/>
  <c r="W137" i="1"/>
  <c r="T137" i="1"/>
  <c r="Q137" i="1"/>
  <c r="BA122" i="1"/>
  <c r="AL122" i="1"/>
  <c r="AI122" i="1"/>
  <c r="AF122" i="1"/>
  <c r="AC122" i="1"/>
  <c r="Z122" i="1"/>
  <c r="W122" i="1"/>
  <c r="T122" i="1"/>
  <c r="Q122" i="1"/>
  <c r="BA114" i="1"/>
  <c r="AL114" i="1"/>
  <c r="AI114" i="1"/>
  <c r="AF114" i="1"/>
  <c r="AC114" i="1"/>
  <c r="Z114" i="1"/>
  <c r="W114" i="1"/>
  <c r="T114" i="1"/>
  <c r="Q114" i="1"/>
  <c r="BA147" i="1"/>
  <c r="AL147" i="1"/>
  <c r="AI147" i="1"/>
  <c r="AF147" i="1"/>
  <c r="AC147" i="1"/>
  <c r="Z147" i="1"/>
  <c r="W147" i="1"/>
  <c r="T147" i="1"/>
  <c r="Q147" i="1"/>
  <c r="BA86" i="1"/>
  <c r="AL86" i="1"/>
  <c r="AI86" i="1"/>
  <c r="AF86" i="1"/>
  <c r="AC86" i="1"/>
  <c r="Z86" i="1"/>
  <c r="W86" i="1"/>
  <c r="T86" i="1"/>
  <c r="Q86" i="1"/>
  <c r="AL158" i="1"/>
  <c r="AI158" i="1"/>
  <c r="AF158" i="1"/>
  <c r="AC158" i="1"/>
  <c r="Z158" i="1"/>
  <c r="W158" i="1"/>
  <c r="T158" i="1"/>
  <c r="Q158" i="1"/>
  <c r="BA393" i="1"/>
  <c r="AL393" i="1"/>
  <c r="AI393" i="1"/>
  <c r="AF393" i="1"/>
  <c r="AC393" i="1"/>
  <c r="Z393" i="1"/>
  <c r="W393" i="1"/>
  <c r="T393" i="1"/>
  <c r="Q393" i="1"/>
  <c r="BA142" i="1"/>
  <c r="AL142" i="1"/>
  <c r="AI142" i="1"/>
  <c r="AF142" i="1"/>
  <c r="AC142" i="1"/>
  <c r="Z142" i="1"/>
  <c r="W142" i="1"/>
  <c r="T142" i="1"/>
  <c r="Q142" i="1"/>
  <c r="BA174" i="1"/>
  <c r="AL174" i="1"/>
  <c r="AI174" i="1"/>
  <c r="AF174" i="1"/>
  <c r="AC174" i="1"/>
  <c r="Z174" i="1"/>
  <c r="W174" i="1"/>
  <c r="T174" i="1"/>
  <c r="Q174" i="1"/>
  <c r="BA112" i="1"/>
  <c r="AL112" i="1"/>
  <c r="AI112" i="1"/>
  <c r="AF112" i="1"/>
  <c r="AC112" i="1"/>
  <c r="Z112" i="1"/>
  <c r="W112" i="1"/>
  <c r="T112" i="1"/>
  <c r="Q112" i="1"/>
  <c r="AL155" i="1"/>
  <c r="AI155" i="1"/>
  <c r="AF155" i="1"/>
  <c r="AC155" i="1"/>
  <c r="Z155" i="1"/>
  <c r="W155" i="1"/>
  <c r="T155" i="1"/>
  <c r="Q155" i="1"/>
  <c r="AL154" i="1"/>
  <c r="AI154" i="1"/>
  <c r="AF154" i="1"/>
  <c r="AC154" i="1"/>
  <c r="Z154" i="1"/>
  <c r="W154" i="1"/>
  <c r="T154" i="1"/>
  <c r="Q154" i="1"/>
  <c r="AL159" i="1"/>
  <c r="AI159" i="1"/>
  <c r="AF159" i="1"/>
  <c r="AC159" i="1"/>
  <c r="Z159" i="1"/>
  <c r="W159" i="1"/>
  <c r="T159" i="1"/>
  <c r="Q159" i="1"/>
  <c r="BA149" i="1"/>
  <c r="AL149" i="1"/>
  <c r="AI149" i="1"/>
  <c r="AF149" i="1"/>
  <c r="AC149" i="1"/>
  <c r="Z149" i="1"/>
  <c r="W149" i="1"/>
  <c r="T149" i="1"/>
  <c r="Q149" i="1"/>
  <c r="BA140" i="1"/>
  <c r="AL140" i="1"/>
  <c r="AI140" i="1"/>
  <c r="AF140" i="1"/>
  <c r="AC140" i="1"/>
  <c r="Z140" i="1"/>
  <c r="W140" i="1"/>
  <c r="T140" i="1"/>
  <c r="Q140" i="1"/>
  <c r="BA84" i="1"/>
  <c r="AL84" i="1"/>
  <c r="AI84" i="1"/>
  <c r="AF84" i="1"/>
  <c r="AC84" i="1"/>
  <c r="Z84" i="1"/>
  <c r="W84" i="1"/>
  <c r="T84" i="1"/>
  <c r="Q84" i="1"/>
  <c r="BA80" i="1"/>
  <c r="AL80" i="1"/>
  <c r="AI80" i="1"/>
  <c r="AF80" i="1"/>
  <c r="AC80" i="1"/>
  <c r="Z80" i="1"/>
  <c r="W80" i="1"/>
  <c r="T80" i="1"/>
  <c r="Q80" i="1"/>
  <c r="BA55" i="1"/>
  <c r="AL55" i="1"/>
  <c r="AI55" i="1"/>
  <c r="AF55" i="1"/>
  <c r="AC55" i="1"/>
  <c r="Z55" i="1"/>
  <c r="W55" i="1"/>
  <c r="T55" i="1"/>
  <c r="Q55" i="1"/>
  <c r="BA31" i="1"/>
  <c r="AL31" i="1"/>
  <c r="AI31" i="1"/>
  <c r="AF31" i="1"/>
  <c r="AC31" i="1"/>
  <c r="Z31" i="1"/>
  <c r="W31" i="1"/>
  <c r="T31" i="1"/>
  <c r="Q31" i="1"/>
  <c r="BA65" i="1"/>
  <c r="AL65" i="1"/>
  <c r="AI65" i="1"/>
  <c r="AF65" i="1"/>
  <c r="AC65" i="1"/>
  <c r="Z65" i="1"/>
  <c r="W65" i="1"/>
  <c r="T65" i="1"/>
  <c r="Q65" i="1"/>
  <c r="AL91" i="1"/>
  <c r="AF91" i="1"/>
  <c r="AC91" i="1"/>
  <c r="Z91" i="1"/>
  <c r="W91" i="1"/>
  <c r="T91" i="1"/>
  <c r="Q91" i="1"/>
  <c r="BA33" i="1"/>
  <c r="AL33" i="1"/>
  <c r="AI33" i="1"/>
  <c r="AF33" i="1"/>
  <c r="AC33" i="1"/>
  <c r="Z33" i="1"/>
  <c r="W33" i="1"/>
  <c r="T33" i="1"/>
  <c r="Q33" i="1"/>
  <c r="BA87" i="1"/>
  <c r="AL87" i="1"/>
  <c r="AI87" i="1"/>
  <c r="AF87" i="1"/>
  <c r="AC87" i="1"/>
  <c r="Z87" i="1"/>
  <c r="W87" i="1"/>
  <c r="T87" i="1"/>
  <c r="Q87" i="1"/>
  <c r="BA57" i="1"/>
  <c r="AL57" i="1"/>
  <c r="AI57" i="1"/>
  <c r="BA61" i="1"/>
  <c r="AL61" i="1"/>
  <c r="AI61" i="1"/>
  <c r="AF61" i="1"/>
  <c r="AC61" i="1"/>
  <c r="Z61" i="1"/>
  <c r="W61" i="1"/>
  <c r="T61" i="1"/>
  <c r="Q61" i="1"/>
  <c r="BA89" i="1"/>
  <c r="AL89" i="1"/>
  <c r="AI89" i="1"/>
  <c r="AF89" i="1"/>
  <c r="AC89" i="1"/>
  <c r="Z89" i="1"/>
  <c r="W89" i="1"/>
  <c r="T89" i="1"/>
  <c r="Q89" i="1"/>
  <c r="BA15" i="1"/>
  <c r="AL15" i="1"/>
  <c r="AI15" i="1"/>
  <c r="AF15" i="1"/>
  <c r="AC15" i="1"/>
  <c r="Z15" i="1"/>
  <c r="W15" i="1"/>
  <c r="T15" i="1"/>
  <c r="Q15" i="1"/>
  <c r="AL405" i="1"/>
  <c r="AI405" i="1"/>
  <c r="BA165" i="1"/>
  <c r="AL165" i="1"/>
  <c r="AI165" i="1"/>
  <c r="AF165" i="1"/>
  <c r="AC165" i="1"/>
  <c r="Z165" i="1"/>
  <c r="W165" i="1"/>
  <c r="T165" i="1"/>
  <c r="Q165" i="1"/>
  <c r="BA45" i="1"/>
  <c r="AL45" i="1"/>
  <c r="AI45" i="1"/>
  <c r="AC45" i="1"/>
  <c r="Z45" i="1"/>
  <c r="W45" i="1"/>
  <c r="T45" i="1"/>
  <c r="Q45" i="1"/>
  <c r="BA90" i="1"/>
  <c r="AL90" i="1"/>
  <c r="AI90" i="1"/>
  <c r="AF90" i="1"/>
  <c r="AC90" i="1"/>
  <c r="Z90" i="1"/>
  <c r="W90" i="1"/>
  <c r="T90" i="1"/>
  <c r="Q90" i="1"/>
  <c r="BA115" i="1"/>
  <c r="AL115" i="1"/>
  <c r="AI115" i="1"/>
  <c r="AF115" i="1"/>
  <c r="AC115" i="1"/>
  <c r="Z115" i="1"/>
  <c r="W115" i="1"/>
  <c r="T115" i="1"/>
  <c r="Q115" i="1"/>
  <c r="BA59" i="1"/>
  <c r="AL59" i="1"/>
  <c r="AI59" i="1"/>
  <c r="AF59" i="1"/>
  <c r="AC59" i="1"/>
  <c r="Z59" i="1"/>
  <c r="W59" i="1"/>
  <c r="T59" i="1"/>
  <c r="Q59" i="1"/>
  <c r="BA79" i="1"/>
  <c r="AL79" i="1"/>
  <c r="AI79" i="1"/>
  <c r="AF79" i="1"/>
  <c r="AC79" i="1"/>
  <c r="Z79" i="1"/>
  <c r="W79" i="1"/>
  <c r="T79" i="1"/>
  <c r="Q79" i="1"/>
  <c r="BA71" i="1"/>
  <c r="AL71" i="1"/>
  <c r="AI71" i="1"/>
  <c r="AF71" i="1"/>
  <c r="AC71" i="1"/>
  <c r="Z71" i="1"/>
  <c r="W71" i="1"/>
  <c r="T71" i="1"/>
  <c r="Q71" i="1"/>
  <c r="BA398" i="1"/>
  <c r="AL398" i="1"/>
  <c r="AI398" i="1"/>
  <c r="AF398" i="1"/>
  <c r="AC398" i="1"/>
  <c r="Z398" i="1"/>
  <c r="W398" i="1"/>
  <c r="T398" i="1"/>
  <c r="Q398" i="1"/>
  <c r="BA29" i="1"/>
  <c r="AL29" i="1"/>
  <c r="AI29" i="1"/>
  <c r="AF29" i="1"/>
  <c r="AC29" i="1"/>
  <c r="Z29" i="1"/>
  <c r="W29" i="1"/>
  <c r="T29" i="1"/>
  <c r="Q29" i="1"/>
  <c r="BA39" i="1"/>
  <c r="AL39" i="1"/>
  <c r="AI39" i="1"/>
  <c r="AF39" i="1"/>
  <c r="AC39" i="1"/>
  <c r="Z39" i="1"/>
  <c r="W39" i="1"/>
  <c r="T39" i="1"/>
  <c r="Q39" i="1"/>
  <c r="BA52" i="1"/>
  <c r="AL52" i="1"/>
  <c r="AI52" i="1"/>
  <c r="AF52" i="1"/>
  <c r="AC52" i="1"/>
  <c r="Z52" i="1"/>
  <c r="W52" i="1"/>
  <c r="T52" i="1"/>
  <c r="Q52" i="1"/>
  <c r="BA28" i="1"/>
  <c r="AL28" i="1"/>
  <c r="AI28" i="1"/>
  <c r="BA69" i="1"/>
  <c r="AL69" i="1"/>
  <c r="AI69" i="1"/>
  <c r="AF69" i="1"/>
  <c r="AC69" i="1"/>
  <c r="Z69" i="1"/>
  <c r="W69" i="1"/>
  <c r="T69" i="1"/>
  <c r="Q69" i="1"/>
  <c r="BA101" i="1"/>
  <c r="AL101" i="1"/>
  <c r="AI101" i="1"/>
  <c r="AF101" i="1"/>
  <c r="AC101" i="1"/>
  <c r="Z101" i="1"/>
  <c r="W101" i="1"/>
  <c r="T101" i="1"/>
  <c r="Q101" i="1"/>
  <c r="AL38" i="1"/>
  <c r="AI38" i="1"/>
  <c r="AF38" i="1"/>
  <c r="AC38" i="1"/>
  <c r="W38" i="1"/>
  <c r="Z38" i="1" s="1"/>
  <c r="T38" i="1"/>
  <c r="Q38" i="1"/>
  <c r="BA50" i="1"/>
  <c r="AL50" i="1"/>
  <c r="AI50" i="1"/>
  <c r="AF50" i="1"/>
  <c r="AC50" i="1"/>
  <c r="Z50" i="1"/>
  <c r="W50" i="1"/>
  <c r="T50" i="1"/>
  <c r="Q50" i="1"/>
  <c r="BA67" i="1"/>
  <c r="AL67" i="1"/>
  <c r="AI67" i="1"/>
  <c r="AF67" i="1"/>
  <c r="AC67" i="1"/>
  <c r="Z67" i="1"/>
  <c r="W67" i="1"/>
  <c r="T67" i="1"/>
  <c r="Q67" i="1"/>
  <c r="BA42" i="1"/>
  <c r="AL42" i="1"/>
  <c r="AI42" i="1"/>
  <c r="AF42" i="1"/>
  <c r="AC42" i="1"/>
  <c r="Z42" i="1"/>
  <c r="W42" i="1"/>
  <c r="T42" i="1"/>
  <c r="Q42" i="1"/>
  <c r="BA60" i="1"/>
  <c r="AL60" i="1"/>
  <c r="AI60" i="1"/>
  <c r="AF60" i="1"/>
  <c r="AC60" i="1"/>
  <c r="Z60" i="1"/>
  <c r="W60" i="1"/>
  <c r="T60" i="1"/>
  <c r="Q60" i="1"/>
  <c r="BA43" i="1"/>
  <c r="AL43" i="1"/>
  <c r="AI43" i="1"/>
  <c r="AF43" i="1"/>
  <c r="AC43" i="1"/>
  <c r="Z43" i="1"/>
  <c r="W43" i="1"/>
  <c r="T43" i="1"/>
  <c r="Q43" i="1"/>
  <c r="BA25" i="1"/>
  <c r="AL25" i="1"/>
  <c r="AI25" i="1"/>
  <c r="AF25" i="1"/>
  <c r="AC25" i="1"/>
  <c r="Z25" i="1"/>
  <c r="W25" i="1"/>
  <c r="T25" i="1"/>
  <c r="Q25" i="1"/>
  <c r="BA49" i="1"/>
  <c r="AL49" i="1"/>
  <c r="AI49" i="1"/>
  <c r="AF49" i="1"/>
  <c r="AC49" i="1"/>
  <c r="Z49" i="1"/>
  <c r="W49" i="1"/>
  <c r="T49" i="1"/>
  <c r="Q49" i="1"/>
  <c r="BA47" i="1"/>
  <c r="AL47" i="1"/>
  <c r="AI47" i="1"/>
  <c r="AF47" i="1"/>
  <c r="AC47" i="1"/>
  <c r="Z47" i="1"/>
  <c r="W47" i="1"/>
  <c r="T47" i="1"/>
  <c r="Q47" i="1"/>
  <c r="BA34" i="1"/>
  <c r="AL34" i="1"/>
  <c r="AI34" i="1"/>
  <c r="AF34" i="1"/>
  <c r="AC34" i="1"/>
  <c r="Z34" i="1"/>
  <c r="W34" i="1"/>
  <c r="T34" i="1"/>
  <c r="Q34" i="1"/>
  <c r="BA30" i="1"/>
  <c r="AL30" i="1"/>
  <c r="AI30" i="1"/>
  <c r="AF30" i="1"/>
  <c r="AC30" i="1"/>
  <c r="Z30" i="1"/>
  <c r="W30" i="1"/>
  <c r="T30" i="1"/>
  <c r="Q30" i="1"/>
  <c r="BA16" i="1"/>
  <c r="AL16" i="1"/>
  <c r="AI16" i="1"/>
  <c r="AF16" i="1"/>
  <c r="AC16" i="1"/>
  <c r="Z16" i="1"/>
  <c r="W16" i="1"/>
  <c r="T16" i="1"/>
  <c r="Q16" i="1"/>
  <c r="BA53" i="1"/>
  <c r="AL53" i="1"/>
  <c r="AI53" i="1"/>
  <c r="AF53" i="1"/>
  <c r="AC53" i="1"/>
  <c r="Z53" i="1"/>
  <c r="W53" i="1"/>
  <c r="T53" i="1"/>
  <c r="Q53" i="1"/>
  <c r="BA41" i="1"/>
  <c r="AL41" i="1"/>
  <c r="AI41" i="1"/>
  <c r="AF41" i="1"/>
  <c r="AC41" i="1"/>
  <c r="Z41" i="1"/>
  <c r="W41" i="1"/>
  <c r="T41" i="1"/>
  <c r="Q41" i="1"/>
  <c r="BA21" i="1"/>
  <c r="AL21" i="1"/>
  <c r="AI21" i="1"/>
  <c r="AF21" i="1"/>
  <c r="AC21" i="1"/>
  <c r="Z21" i="1"/>
  <c r="W21" i="1"/>
  <c r="T21" i="1"/>
  <c r="Q21" i="1"/>
  <c r="BA17" i="1"/>
  <c r="AL17" i="1"/>
  <c r="AI17" i="1"/>
  <c r="AF17" i="1"/>
  <c r="AC17" i="1"/>
  <c r="Z17" i="1"/>
  <c r="W17" i="1"/>
  <c r="T17" i="1"/>
  <c r="Q17" i="1"/>
  <c r="BA24" i="1"/>
  <c r="AL24" i="1"/>
  <c r="AI24" i="1"/>
  <c r="BA36" i="1"/>
  <c r="AL36" i="1"/>
  <c r="AI36" i="1"/>
  <c r="AF36" i="1"/>
  <c r="AC36" i="1"/>
  <c r="Z36" i="1"/>
  <c r="W36" i="1"/>
  <c r="T36" i="1"/>
  <c r="Q36" i="1"/>
  <c r="BA14" i="1"/>
  <c r="AL14" i="1"/>
  <c r="AI14" i="1"/>
  <c r="AF14" i="1"/>
  <c r="AC14" i="1"/>
  <c r="Z14" i="1"/>
  <c r="W14" i="1"/>
  <c r="T14" i="1"/>
  <c r="Q14" i="1"/>
  <c r="BA23" i="1"/>
  <c r="AL23" i="1"/>
  <c r="AI23" i="1"/>
  <c r="AF23" i="1"/>
  <c r="AC23" i="1"/>
  <c r="Z23" i="1"/>
  <c r="W23" i="1"/>
  <c r="T23" i="1"/>
  <c r="Q23" i="1"/>
  <c r="BA37" i="1"/>
  <c r="AL37" i="1"/>
  <c r="AI37" i="1"/>
  <c r="AF37" i="1"/>
  <c r="AC37" i="1"/>
  <c r="Z37" i="1"/>
  <c r="W37" i="1"/>
  <c r="T37" i="1"/>
  <c r="Q37" i="1"/>
  <c r="BA20" i="1"/>
  <c r="AL20" i="1"/>
  <c r="AI20" i="1"/>
  <c r="AF20" i="1"/>
  <c r="AC20" i="1"/>
  <c r="Z20" i="1"/>
  <c r="W20" i="1"/>
  <c r="T20" i="1"/>
  <c r="Q20" i="1"/>
  <c r="BA22" i="1"/>
  <c r="AL22" i="1"/>
  <c r="AI22" i="1"/>
  <c r="AF22" i="1"/>
  <c r="BA18" i="1"/>
  <c r="AL18" i="1"/>
  <c r="AI18" i="1"/>
  <c r="BA207" i="1"/>
  <c r="AL207" i="1"/>
  <c r="AI207" i="1"/>
  <c r="AF207" i="1"/>
  <c r="AC207" i="1"/>
  <c r="Z207" i="1"/>
  <c r="W207" i="1"/>
  <c r="T207" i="1"/>
  <c r="Q207" i="1"/>
  <c r="BA13" i="1"/>
  <c r="AL13" i="1"/>
  <c r="AI13" i="1"/>
  <c r="AF13" i="1"/>
  <c r="AC13" i="1"/>
  <c r="Z13" i="1"/>
  <c r="W13" i="1"/>
  <c r="T13" i="1"/>
  <c r="Q13" i="1"/>
  <c r="AL12" i="1"/>
  <c r="AI12" i="1"/>
  <c r="AF12" i="1"/>
  <c r="AC12" i="1"/>
  <c r="Z12" i="1"/>
  <c r="W12" i="1"/>
  <c r="T12" i="1"/>
  <c r="Q12" i="1"/>
  <c r="AG9" i="1"/>
  <c r="AE9" i="1"/>
  <c r="AD9" i="1"/>
  <c r="AA9" i="1"/>
  <c r="Y9" i="1"/>
  <c r="V9" i="1"/>
  <c r="U9" i="1"/>
  <c r="S9" i="1"/>
  <c r="R9" i="1"/>
  <c r="P9" i="1"/>
  <c r="N9" i="1"/>
  <c r="M9" i="1"/>
  <c r="AS1123" i="7" l="1"/>
  <c r="B8" i="3"/>
  <c r="AQ1117" i="7"/>
  <c r="AU806" i="7"/>
  <c r="AW806" i="7" s="1"/>
  <c r="AX806" i="7"/>
  <c r="D41" i="3"/>
  <c r="F41" i="3" s="1"/>
  <c r="D8" i="3"/>
  <c r="D31" i="3"/>
  <c r="F31" i="3" s="1"/>
  <c r="AL9" i="1"/>
  <c r="AS9" i="1"/>
  <c r="AU13" i="1"/>
  <c r="B10" i="3" s="1"/>
  <c r="AU18" i="1"/>
  <c r="AU291" i="1"/>
  <c r="AU283" i="1"/>
  <c r="AU440" i="1"/>
  <c r="AU175" i="1"/>
  <c r="AU410" i="1"/>
  <c r="AU405" i="1"/>
  <c r="AU28" i="1"/>
  <c r="AU163" i="1"/>
  <c r="AU22" i="1"/>
  <c r="AU24" i="1"/>
  <c r="AU329" i="1"/>
  <c r="AU225" i="1"/>
  <c r="AU190" i="1"/>
  <c r="AU192" i="1"/>
  <c r="AU309" i="1"/>
  <c r="AU340" i="1"/>
  <c r="AU335" i="1"/>
  <c r="AU426" i="1"/>
  <c r="AU322" i="1"/>
  <c r="AU207" i="1"/>
  <c r="AU20" i="1"/>
  <c r="AU36" i="1"/>
  <c r="AU17" i="1"/>
  <c r="AU16" i="1"/>
  <c r="AU49" i="1"/>
  <c r="B65" i="3" s="1"/>
  <c r="AU42" i="1"/>
  <c r="B45" i="3" s="1"/>
  <c r="AU39" i="1"/>
  <c r="B53" i="3" s="1"/>
  <c r="AU79" i="1"/>
  <c r="B22" i="3" s="1"/>
  <c r="AU165" i="1"/>
  <c r="AU89" i="1"/>
  <c r="AU57" i="1"/>
  <c r="AU31" i="1"/>
  <c r="AU140" i="1"/>
  <c r="AU142" i="1"/>
  <c r="AU114" i="1"/>
  <c r="AU162" i="1"/>
  <c r="AU217" i="1"/>
  <c r="AU183" i="1"/>
  <c r="AU153" i="1"/>
  <c r="AU202" i="1"/>
  <c r="AU121" i="1"/>
  <c r="AU205" i="1"/>
  <c r="AU203" i="1"/>
  <c r="AU221" i="1"/>
  <c r="AU224" i="1"/>
  <c r="AU19" i="1"/>
  <c r="AU176" i="1"/>
  <c r="AU433" i="1"/>
  <c r="AU231" i="1"/>
  <c r="AU235" i="1"/>
  <c r="AU240" i="1"/>
  <c r="AU27" i="1"/>
  <c r="AU257" i="1"/>
  <c r="AU281" i="1"/>
  <c r="AU219" i="1"/>
  <c r="AU288" i="1"/>
  <c r="AU324" i="1"/>
  <c r="AU315" i="1"/>
  <c r="AU333" i="1"/>
  <c r="AU336" i="1"/>
  <c r="AU327" i="1"/>
  <c r="AU385" i="1"/>
  <c r="AU334" i="1"/>
  <c r="AU330" i="1"/>
  <c r="AU383" i="1"/>
  <c r="AU389" i="1"/>
  <c r="AU46" i="1"/>
  <c r="AU411" i="1"/>
  <c r="AU415" i="1"/>
  <c r="AU424" i="1"/>
  <c r="AU441" i="1"/>
  <c r="AU35" i="1"/>
  <c r="AU37" i="1"/>
  <c r="AU21" i="1"/>
  <c r="AU30" i="1"/>
  <c r="B49" i="3" s="1"/>
  <c r="AU25" i="1"/>
  <c r="AU67" i="1"/>
  <c r="AU29" i="1"/>
  <c r="AU59" i="1"/>
  <c r="B67" i="3" s="1"/>
  <c r="AU61" i="1"/>
  <c r="AU87" i="1"/>
  <c r="B54" i="3" s="1"/>
  <c r="AU55" i="1"/>
  <c r="B30" i="3" s="1"/>
  <c r="AU149" i="1"/>
  <c r="AU393" i="1"/>
  <c r="AU122" i="1"/>
  <c r="AU160" i="1"/>
  <c r="AU180" i="1"/>
  <c r="AU168" i="1"/>
  <c r="AU185" i="1"/>
  <c r="AU198" i="1"/>
  <c r="AU156" i="1"/>
  <c r="AU197" i="1"/>
  <c r="AU189" i="1"/>
  <c r="AU212" i="1"/>
  <c r="AU206" i="1"/>
  <c r="AU181" i="1"/>
  <c r="AU246" i="1"/>
  <c r="AU226" i="1"/>
  <c r="AU117" i="1"/>
  <c r="AU238" i="1"/>
  <c r="AU232" i="1"/>
  <c r="AU236" i="1"/>
  <c r="AU26" i="1"/>
  <c r="AU195" i="1"/>
  <c r="AU118" i="1"/>
  <c r="AU259" i="1"/>
  <c r="AU256" i="1"/>
  <c r="AU261" i="1"/>
  <c r="AU194" i="1"/>
  <c r="B51" i="3" s="1"/>
  <c r="AU265" i="1"/>
  <c r="AU290" i="1"/>
  <c r="AU318" i="1"/>
  <c r="AU308" i="1"/>
  <c r="AU314" i="1"/>
  <c r="AU321" i="1"/>
  <c r="B44" i="3" s="1"/>
  <c r="AU343" i="1"/>
  <c r="AU337" i="1"/>
  <c r="AU382" i="1"/>
  <c r="AU387" i="1"/>
  <c r="AU384" i="1"/>
  <c r="AU242" i="1"/>
  <c r="AU439" i="1"/>
  <c r="AU404" i="1"/>
  <c r="AU401" i="1"/>
  <c r="AU23" i="1"/>
  <c r="AU41" i="1"/>
  <c r="B47" i="3" s="1"/>
  <c r="AU34" i="1"/>
  <c r="AU43" i="1"/>
  <c r="AU50" i="1"/>
  <c r="AU38" i="1"/>
  <c r="AU101" i="1"/>
  <c r="B35" i="3" s="1"/>
  <c r="AU398" i="1"/>
  <c r="AU115" i="1"/>
  <c r="AU33" i="1"/>
  <c r="AU91" i="1"/>
  <c r="AU80" i="1"/>
  <c r="AU159" i="1"/>
  <c r="AU154" i="1"/>
  <c r="AU155" i="1"/>
  <c r="AU112" i="1"/>
  <c r="AU158" i="1"/>
  <c r="AU86" i="1"/>
  <c r="AU137" i="1"/>
  <c r="AU191" i="1"/>
  <c r="AU119" i="1"/>
  <c r="B50" i="3" s="1"/>
  <c r="AU177" i="1"/>
  <c r="AU136" i="1"/>
  <c r="AU166" i="1"/>
  <c r="AU135" i="1"/>
  <c r="AU151" i="1"/>
  <c r="AU204" i="1"/>
  <c r="AU210" i="1"/>
  <c r="AU188" i="1"/>
  <c r="AU214" i="1"/>
  <c r="AU222" i="1"/>
  <c r="AU196" i="1"/>
  <c r="AU213" i="1"/>
  <c r="AU227" i="1"/>
  <c r="AU228" i="1"/>
  <c r="AU229" i="1"/>
  <c r="AU233" i="1"/>
  <c r="AU237" i="1"/>
  <c r="AU73" i="1"/>
  <c r="AU150" i="1"/>
  <c r="AU247" i="1"/>
  <c r="AU170" i="1"/>
  <c r="B61" i="3" s="1"/>
  <c r="AU301" i="1"/>
  <c r="AU285" i="1"/>
  <c r="AU325" i="1"/>
  <c r="AU299" i="1"/>
  <c r="AU307" i="1"/>
  <c r="AU113" i="1"/>
  <c r="AU313" i="1"/>
  <c r="AU381" i="1"/>
  <c r="AU344" i="1"/>
  <c r="AU338" i="1"/>
  <c r="AU386" i="1"/>
  <c r="AU408" i="1"/>
  <c r="AU391" i="1"/>
  <c r="AU417" i="1"/>
  <c r="AU416" i="1"/>
  <c r="AU432" i="1"/>
  <c r="AU434" i="1"/>
  <c r="AU12" i="1"/>
  <c r="AU14" i="1"/>
  <c r="B5" i="3" s="1"/>
  <c r="AU53" i="1"/>
  <c r="B11" i="3" s="1"/>
  <c r="AU47" i="1"/>
  <c r="B48" i="3" s="1"/>
  <c r="AU60" i="1"/>
  <c r="AU69" i="1"/>
  <c r="B17" i="3" s="1"/>
  <c r="AU52" i="1"/>
  <c r="B52" i="3" s="1"/>
  <c r="AU71" i="1"/>
  <c r="AU90" i="1"/>
  <c r="AU45" i="1"/>
  <c r="AU15" i="1"/>
  <c r="AU65" i="1"/>
  <c r="AU84" i="1"/>
  <c r="AU174" i="1"/>
  <c r="AU147" i="1"/>
  <c r="AU152" i="1"/>
  <c r="AU164" i="1"/>
  <c r="AU40" i="1"/>
  <c r="AU264" i="1"/>
  <c r="AU179" i="1"/>
  <c r="AU200" i="1"/>
  <c r="AU201" i="1"/>
  <c r="AU103" i="1"/>
  <c r="AU208" i="1"/>
  <c r="AU173" i="1"/>
  <c r="AU245" i="1"/>
  <c r="AU294" i="1"/>
  <c r="AU182" i="1"/>
  <c r="AU211" i="1"/>
  <c r="AU223" i="1"/>
  <c r="AU244" i="1"/>
  <c r="AU230" i="1"/>
  <c r="B19" i="3" s="1"/>
  <c r="AU234" i="1"/>
  <c r="AU239" i="1"/>
  <c r="AU74" i="1"/>
  <c r="AU184" i="1"/>
  <c r="AU209" i="1"/>
  <c r="AU280" i="1"/>
  <c r="AU303" i="1"/>
  <c r="AU260" i="1"/>
  <c r="AU331" i="1"/>
  <c r="AU64" i="1"/>
  <c r="AU345" i="1"/>
  <c r="AU78" i="1"/>
  <c r="AU407" i="1"/>
  <c r="AU418" i="1"/>
  <c r="AU75" i="1"/>
  <c r="AU438" i="1"/>
  <c r="AU414" i="1"/>
  <c r="AX1120" i="7"/>
  <c r="AW1120" i="7"/>
  <c r="AR1117" i="7"/>
  <c r="AP1117" i="7"/>
  <c r="AY274" i="1"/>
  <c r="BA274" i="1" s="1"/>
  <c r="AY298" i="1"/>
  <c r="AY312" i="1"/>
  <c r="AY392" i="1"/>
  <c r="AY422" i="1"/>
  <c r="AY262" i="1"/>
  <c r="AY297" i="1"/>
  <c r="AY292" i="1"/>
  <c r="AY335" i="1"/>
  <c r="BA335" i="1" s="1"/>
  <c r="AY388" i="1"/>
  <c r="AY410" i="1"/>
  <c r="BA410" i="1" s="1"/>
  <c r="AY440" i="1"/>
  <c r="BA440" i="1" s="1"/>
  <c r="AY323" i="1"/>
  <c r="BA323" i="1" s="1"/>
  <c r="AY269" i="1"/>
  <c r="BA269" i="1" s="1"/>
  <c r="AY273" i="1"/>
  <c r="AY310" i="1"/>
  <c r="BA310" i="1" s="1"/>
  <c r="AY283" i="1"/>
  <c r="BA283" i="1" s="1"/>
  <c r="AY394" i="1"/>
  <c r="AY424" i="1"/>
  <c r="BA424" i="1" s="1"/>
  <c r="AY333" i="1"/>
  <c r="BA333" i="1" s="1"/>
  <c r="AY397" i="1"/>
  <c r="BA397" i="1" s="1"/>
  <c r="X9" i="1"/>
  <c r="AY38" i="1"/>
  <c r="BA38" i="1" s="1"/>
  <c r="AY403" i="1"/>
  <c r="AY387" i="1"/>
  <c r="BA387" i="1" s="1"/>
  <c r="AY413" i="1"/>
  <c r="BA413" i="1" s="1"/>
  <c r="AY412" i="1"/>
  <c r="AY437" i="1"/>
  <c r="BA437" i="1" s="1"/>
  <c r="AY266" i="1"/>
  <c r="AY311" i="1"/>
  <c r="AY430" i="1"/>
  <c r="AY305" i="1"/>
  <c r="AY329" i="1"/>
  <c r="BA329" i="1" s="1"/>
  <c r="AY342" i="1"/>
  <c r="AY275" i="1"/>
  <c r="AY347" i="1"/>
  <c r="AS675" i="7"/>
  <c r="AU675" i="7" s="1"/>
  <c r="AW675" i="7" s="1"/>
  <c r="AS678" i="7"/>
  <c r="AU678" i="7" s="1"/>
  <c r="AW678" i="7" s="1"/>
  <c r="AS691" i="7"/>
  <c r="AU691" i="7" s="1"/>
  <c r="AW691" i="7" s="1"/>
  <c r="AS1245" i="7"/>
  <c r="AX1245" i="7" s="1"/>
  <c r="AO1122" i="7"/>
  <c r="AO1117" i="7" s="1"/>
  <c r="AR1649" i="7"/>
  <c r="AU361" i="7"/>
  <c r="AW361" i="7" s="1"/>
  <c r="AU363" i="7"/>
  <c r="AW363" i="7" s="1"/>
  <c r="AT287" i="7"/>
  <c r="AS287" i="7"/>
  <c r="V348" i="7"/>
  <c r="AA348" i="7"/>
  <c r="AE348" i="7"/>
  <c r="AI348" i="7"/>
  <c r="AN348" i="7"/>
  <c r="AR348" i="7"/>
  <c r="AF1603" i="7"/>
  <c r="W1650" i="7"/>
  <c r="AX163" i="7"/>
  <c r="AX169" i="7"/>
  <c r="AX175" i="7"/>
  <c r="AX195" i="7"/>
  <c r="AX201" i="7"/>
  <c r="AX207" i="7"/>
  <c r="AX213" i="7"/>
  <c r="AX219" i="7"/>
  <c r="AX223" i="7"/>
  <c r="AX229" i="7"/>
  <c r="AX233" i="7"/>
  <c r="AX239" i="7"/>
  <c r="AX245" i="7"/>
  <c r="AX251" i="7"/>
  <c r="AX257" i="7"/>
  <c r="AX261" i="7"/>
  <c r="AX610" i="7"/>
  <c r="AX659" i="7"/>
  <c r="AX864" i="7"/>
  <c r="AX868" i="7"/>
  <c r="AX874" i="7"/>
  <c r="AX880" i="7"/>
  <c r="AX1046" i="7"/>
  <c r="AX1050" i="7"/>
  <c r="AX1084" i="7"/>
  <c r="AX178" i="7"/>
  <c r="AX180" i="7"/>
  <c r="AX509" i="7"/>
  <c r="AX511" i="7"/>
  <c r="AX527" i="7"/>
  <c r="AX529" i="7"/>
  <c r="AX531" i="7"/>
  <c r="AX533" i="7"/>
  <c r="AX535" i="7"/>
  <c r="AX596" i="7"/>
  <c r="AX598" i="7"/>
  <c r="AX600" i="7"/>
  <c r="AX620" i="7"/>
  <c r="AX622" i="7"/>
  <c r="AX624" i="7"/>
  <c r="AX626" i="7"/>
  <c r="AX628" i="7"/>
  <c r="AX630" i="7"/>
  <c r="AX632" i="7"/>
  <c r="AX634" i="7"/>
  <c r="AX636" i="7"/>
  <c r="AX638" i="7"/>
  <c r="AX640" i="7"/>
  <c r="AX642" i="7"/>
  <c r="AX644" i="7"/>
  <c r="AX646" i="7"/>
  <c r="AX648" i="7"/>
  <c r="AX650" i="7"/>
  <c r="AX652" i="7"/>
  <c r="AX654" i="7"/>
  <c r="AX898" i="7"/>
  <c r="AX902" i="7"/>
  <c r="AX904" i="7"/>
  <c r="AX906" i="7"/>
  <c r="AX908" i="7"/>
  <c r="AX910" i="7"/>
  <c r="AX912" i="7"/>
  <c r="AX914" i="7"/>
  <c r="AX916" i="7"/>
  <c r="AX920" i="7"/>
  <c r="AX922" i="7"/>
  <c r="AX924" i="7"/>
  <c r="AX926" i="7"/>
  <c r="AX928" i="7"/>
  <c r="AX930" i="7"/>
  <c r="AX938" i="7"/>
  <c r="AX940" i="7"/>
  <c r="AX942" i="7"/>
  <c r="AX944" i="7"/>
  <c r="AX946" i="7"/>
  <c r="AX948" i="7"/>
  <c r="AX950" i="7"/>
  <c r="AX952" i="7"/>
  <c r="AX954" i="7"/>
  <c r="AX956" i="7"/>
  <c r="AX1008" i="7"/>
  <c r="AX1010" i="7"/>
  <c r="AX1012" i="7"/>
  <c r="AX1014" i="7"/>
  <c r="AX1016" i="7"/>
  <c r="AX1018" i="7"/>
  <c r="AX1020" i="7"/>
  <c r="AX1022" i="7"/>
  <c r="AX1025" i="7"/>
  <c r="AX1027" i="7"/>
  <c r="AX1029" i="7"/>
  <c r="AX1031" i="7"/>
  <c r="AX1033" i="7"/>
  <c r="AX1035" i="7"/>
  <c r="AX1037" i="7"/>
  <c r="AX1039" i="7"/>
  <c r="AX1041" i="7"/>
  <c r="AX1043" i="7"/>
  <c r="AX1058" i="7"/>
  <c r="AX1060" i="7"/>
  <c r="AX1062" i="7"/>
  <c r="AX1064" i="7"/>
  <c r="AX1066" i="7"/>
  <c r="AX1068" i="7"/>
  <c r="AX1070" i="7"/>
  <c r="AX1072" i="7"/>
  <c r="AX1074" i="7"/>
  <c r="AX1076" i="7"/>
  <c r="AX165" i="7"/>
  <c r="AX171" i="7"/>
  <c r="AX177" i="7"/>
  <c r="AX191" i="7"/>
  <c r="AX199" i="7"/>
  <c r="AX205" i="7"/>
  <c r="AX209" i="7"/>
  <c r="AX217" i="7"/>
  <c r="AX225" i="7"/>
  <c r="AX231" i="7"/>
  <c r="AX235" i="7"/>
  <c r="AX241" i="7"/>
  <c r="AX247" i="7"/>
  <c r="AX253" i="7"/>
  <c r="AX259" i="7"/>
  <c r="AX263" i="7"/>
  <c r="AX860" i="7"/>
  <c r="AX866" i="7"/>
  <c r="AX870" i="7"/>
  <c r="AX876" i="7"/>
  <c r="AX884" i="7"/>
  <c r="AX1052" i="7"/>
  <c r="AX164" i="7"/>
  <c r="AX166" i="7"/>
  <c r="AX168" i="7"/>
  <c r="AX170" i="7"/>
  <c r="AX172" i="7"/>
  <c r="AX174" i="7"/>
  <c r="AX183" i="7"/>
  <c r="AX186" i="7"/>
  <c r="AX188" i="7"/>
  <c r="AX192" i="7"/>
  <c r="AX194" i="7"/>
  <c r="AX196" i="7"/>
  <c r="AX198" i="7"/>
  <c r="AX200" i="7"/>
  <c r="AX204" i="7"/>
  <c r="AX206" i="7"/>
  <c r="AX208" i="7"/>
  <c r="AX210" i="7"/>
  <c r="AX214" i="7"/>
  <c r="AX216" i="7"/>
  <c r="AX218" i="7"/>
  <c r="AX220" i="7"/>
  <c r="AX222" i="7"/>
  <c r="AX224" i="7"/>
  <c r="AX226" i="7"/>
  <c r="AX228" i="7"/>
  <c r="AX230" i="7"/>
  <c r="AX232" i="7"/>
  <c r="AX234" i="7"/>
  <c r="AX236" i="7"/>
  <c r="AX238" i="7"/>
  <c r="AX240" i="7"/>
  <c r="AX242" i="7"/>
  <c r="AX244" i="7"/>
  <c r="AX246" i="7"/>
  <c r="AX248" i="7"/>
  <c r="AX250" i="7"/>
  <c r="AX252" i="7"/>
  <c r="AX254" i="7"/>
  <c r="AX256" i="7"/>
  <c r="AX258" i="7"/>
  <c r="AX260" i="7"/>
  <c r="AX262" i="7"/>
  <c r="AX264" i="7"/>
  <c r="AX607" i="7"/>
  <c r="AX611" i="7"/>
  <c r="AX613" i="7"/>
  <c r="AX615" i="7"/>
  <c r="AX688" i="7"/>
  <c r="AX859" i="7"/>
  <c r="AX863" i="7"/>
  <c r="AX865" i="7"/>
  <c r="AX867" i="7"/>
  <c r="AX869" i="7"/>
  <c r="AX871" i="7"/>
  <c r="AX873" i="7"/>
  <c r="AX875" i="7"/>
  <c r="AX877" i="7"/>
  <c r="AX879" i="7"/>
  <c r="AX881" i="7"/>
  <c r="AX883" i="7"/>
  <c r="AX885" i="7"/>
  <c r="AX1047" i="7"/>
  <c r="AX1049" i="7"/>
  <c r="AX1051" i="7"/>
  <c r="AX1053" i="7"/>
  <c r="AX167" i="7"/>
  <c r="AX173" i="7"/>
  <c r="AX187" i="7"/>
  <c r="AX203" i="7"/>
  <c r="AX215" i="7"/>
  <c r="AX221" i="7"/>
  <c r="AX227" i="7"/>
  <c r="AX237" i="7"/>
  <c r="AX243" i="7"/>
  <c r="AX249" i="7"/>
  <c r="AX255" i="7"/>
  <c r="AX265" i="7"/>
  <c r="AX608" i="7"/>
  <c r="AX616" i="7"/>
  <c r="AX862" i="7"/>
  <c r="AX872" i="7"/>
  <c r="AX878" i="7"/>
  <c r="AX882" i="7"/>
  <c r="AX1048" i="7"/>
  <c r="AX181" i="7"/>
  <c r="AX508" i="7"/>
  <c r="AX528" i="7"/>
  <c r="AX530" i="7"/>
  <c r="AX534" i="7"/>
  <c r="AX593" i="7"/>
  <c r="AX595" i="7"/>
  <c r="AX603" i="7"/>
  <c r="AX605" i="7"/>
  <c r="AX623" i="7"/>
  <c r="AX625" i="7"/>
  <c r="AX627" i="7"/>
  <c r="AX629" i="7"/>
  <c r="AX631" i="7"/>
  <c r="AX633" i="7"/>
  <c r="AX635" i="7"/>
  <c r="AX637" i="7"/>
  <c r="AX639" i="7"/>
  <c r="AX641" i="7"/>
  <c r="AX643" i="7"/>
  <c r="AX645" i="7"/>
  <c r="AX647" i="7"/>
  <c r="AX649" i="7"/>
  <c r="AX651" i="7"/>
  <c r="AX653" i="7"/>
  <c r="AX655" i="7"/>
  <c r="AX899" i="7"/>
  <c r="AX901" i="7"/>
  <c r="AX903" i="7"/>
  <c r="AX905" i="7"/>
  <c r="AX907" i="7"/>
  <c r="AX909" i="7"/>
  <c r="AX911" i="7"/>
  <c r="AX913" i="7"/>
  <c r="AX915" i="7"/>
  <c r="AX917" i="7"/>
  <c r="AX919" i="7"/>
  <c r="AX921" i="7"/>
  <c r="AX923" i="7"/>
  <c r="AX925" i="7"/>
  <c r="AX927" i="7"/>
  <c r="AX929" i="7"/>
  <c r="AX931" i="7"/>
  <c r="AX935" i="7"/>
  <c r="AX937" i="7"/>
  <c r="AX939" i="7"/>
  <c r="AX941" i="7"/>
  <c r="AX943" i="7"/>
  <c r="AX945" i="7"/>
  <c r="AX947" i="7"/>
  <c r="AX949" i="7"/>
  <c r="AX951" i="7"/>
  <c r="AX953" i="7"/>
  <c r="AX955" i="7"/>
  <c r="AX1007" i="7"/>
  <c r="AX1009" i="7"/>
  <c r="AX1011" i="7"/>
  <c r="AX1013" i="7"/>
  <c r="AX1015" i="7"/>
  <c r="AX1017" i="7"/>
  <c r="AX1019" i="7"/>
  <c r="AX1021" i="7"/>
  <c r="AX1024" i="7"/>
  <c r="AX1026" i="7"/>
  <c r="AX1028" i="7"/>
  <c r="AX1030" i="7"/>
  <c r="AX1032" i="7"/>
  <c r="AX1034" i="7"/>
  <c r="AX1036" i="7"/>
  <c r="AX1038" i="7"/>
  <c r="AX1042" i="7"/>
  <c r="AX1044" i="7"/>
  <c r="AX1055" i="7"/>
  <c r="AX1059" i="7"/>
  <c r="AX1061" i="7"/>
  <c r="AX1063" i="7"/>
  <c r="AX1065" i="7"/>
  <c r="AX1067" i="7"/>
  <c r="AX1069" i="7"/>
  <c r="AX1071" i="7"/>
  <c r="AX1073" i="7"/>
  <c r="AX1075" i="7"/>
  <c r="AQ1433" i="7"/>
  <c r="AB1103" i="7"/>
  <c r="AB985" i="7" s="1"/>
  <c r="AF1103" i="7"/>
  <c r="AF985" i="7" s="1"/>
  <c r="AJ1103" i="7"/>
  <c r="AJ987" i="7" s="1"/>
  <c r="AI1578" i="7"/>
  <c r="AI9" i="1"/>
  <c r="S1138" i="7"/>
  <c r="AD1604" i="7"/>
  <c r="AQ1604" i="7"/>
  <c r="BG522" i="7"/>
  <c r="AM887" i="7"/>
  <c r="AQ887" i="7"/>
  <c r="BN981" i="7"/>
  <c r="W1004" i="7"/>
  <c r="AB1004" i="7"/>
  <c r="AF1004" i="7"/>
  <c r="AJ1004" i="7"/>
  <c r="AO1004" i="7"/>
  <c r="Z1171" i="7"/>
  <c r="AD1171" i="7"/>
  <c r="AH1171" i="7"/>
  <c r="AY347" i="7"/>
  <c r="AY288" i="7" s="1"/>
  <c r="AY281" i="7" s="1"/>
  <c r="AY279" i="7" s="1"/>
  <c r="AE832" i="7"/>
  <c r="AN832" i="7"/>
  <c r="AR832" i="7"/>
  <c r="U1433" i="7"/>
  <c r="AD1433" i="7"/>
  <c r="T1138" i="7"/>
  <c r="BL150" i="7"/>
  <c r="AU445" i="7"/>
  <c r="AW445" i="7" s="1"/>
  <c r="V692" i="7"/>
  <c r="AN692" i="7"/>
  <c r="AR692" i="7"/>
  <c r="AM969" i="7"/>
  <c r="AY1140" i="7"/>
  <c r="AQ70" i="7"/>
  <c r="AK154" i="7"/>
  <c r="BJ154" i="7" s="1"/>
  <c r="BK154" i="7" s="1"/>
  <c r="AP348" i="7"/>
  <c r="BF522" i="7"/>
  <c r="BL522" i="7"/>
  <c r="AU1305" i="7"/>
  <c r="AW1305" i="7" s="1"/>
  <c r="AP842" i="7"/>
  <c r="X62" i="7"/>
  <c r="S150" i="7"/>
  <c r="AA270" i="7"/>
  <c r="AA150" i="7" s="1"/>
  <c r="AE270" i="7"/>
  <c r="AE150" i="7" s="1"/>
  <c r="AI270" i="7"/>
  <c r="AI150" i="7" s="1"/>
  <c r="AN270" i="7"/>
  <c r="AN150" i="7" s="1"/>
  <c r="AR270" i="7"/>
  <c r="AR150" i="7" s="1"/>
  <c r="AU378" i="7"/>
  <c r="AW378" i="7" s="1"/>
  <c r="AX492" i="7"/>
  <c r="AJ832" i="7"/>
  <c r="AT964" i="7"/>
  <c r="AT959" i="7" s="1"/>
  <c r="BB969" i="7"/>
  <c r="BL969" i="7"/>
  <c r="Y1056" i="7"/>
  <c r="AC1056" i="7"/>
  <c r="AG1056" i="7"/>
  <c r="AL1056" i="7"/>
  <c r="BM1056" i="7" s="1"/>
  <c r="BN1056" i="7" s="1"/>
  <c r="AP1056" i="7"/>
  <c r="AY1056" i="7"/>
  <c r="BN1108" i="7"/>
  <c r="BE154" i="7"/>
  <c r="AU1300" i="7"/>
  <c r="AW1300" i="7" s="1"/>
  <c r="Y54" i="7"/>
  <c r="T150" i="7"/>
  <c r="Z348" i="7"/>
  <c r="AD348" i="7"/>
  <c r="AH348" i="7"/>
  <c r="AM348" i="7"/>
  <c r="AQ348" i="7"/>
  <c r="AO348" i="7"/>
  <c r="W842" i="7"/>
  <c r="AB842" i="7"/>
  <c r="AF842" i="7"/>
  <c r="AJ842" i="7"/>
  <c r="X970" i="7"/>
  <c r="S969" i="7"/>
  <c r="AN1004" i="7"/>
  <c r="AQ1004" i="7"/>
  <c r="AT832" i="7"/>
  <c r="AN842" i="7"/>
  <c r="AR842" i="7"/>
  <c r="AL1171" i="7"/>
  <c r="BM1171" i="7" s="1"/>
  <c r="BN1171" i="7" s="1"/>
  <c r="AM1578" i="7"/>
  <c r="Y59" i="7"/>
  <c r="AC59" i="7"/>
  <c r="AG59" i="7"/>
  <c r="BI69" i="7"/>
  <c r="BF150" i="7"/>
  <c r="Y591" i="7"/>
  <c r="AC591" i="7"/>
  <c r="AG591" i="7"/>
  <c r="AL591" i="7"/>
  <c r="BM591" i="7" s="1"/>
  <c r="AP591" i="7"/>
  <c r="AP522" i="7" s="1"/>
  <c r="AR591" i="7"/>
  <c r="AR522" i="7" s="1"/>
  <c r="Z1004" i="7"/>
  <c r="AD1004" i="7"/>
  <c r="AH1004" i="7"/>
  <c r="AM1004" i="7"/>
  <c r="AJ1056" i="7"/>
  <c r="S1140" i="7"/>
  <c r="BI1140" i="7"/>
  <c r="T1572" i="7"/>
  <c r="AO54" i="7"/>
  <c r="AL70" i="7"/>
  <c r="BM70" i="7" s="1"/>
  <c r="BN70" i="7" s="1"/>
  <c r="AP70" i="7"/>
  <c r="AO270" i="7"/>
  <c r="AO150" i="7" s="1"/>
  <c r="S522" i="7"/>
  <c r="W832" i="7"/>
  <c r="AB832" i="7"/>
  <c r="AF832" i="7"/>
  <c r="AO832" i="7"/>
  <c r="AF887" i="7"/>
  <c r="AJ887" i="7"/>
  <c r="AM1554" i="7"/>
  <c r="AR75" i="7"/>
  <c r="AJ75" i="7"/>
  <c r="AE161" i="7"/>
  <c r="AE149" i="7" s="1"/>
  <c r="AN161" i="7"/>
  <c r="AN149" i="7" s="1"/>
  <c r="AX433" i="7"/>
  <c r="AB692" i="7"/>
  <c r="AO692" i="7"/>
  <c r="V161" i="7"/>
  <c r="V149" i="7" s="1"/>
  <c r="AR161" i="7"/>
  <c r="AR149" i="7" s="1"/>
  <c r="AF692" i="7"/>
  <c r="AD1056" i="7"/>
  <c r="BI1138" i="7"/>
  <c r="Y270" i="7"/>
  <c r="Y150" i="7" s="1"/>
  <c r="AC270" i="7"/>
  <c r="AC150" i="7" s="1"/>
  <c r="AG270" i="7"/>
  <c r="AG150" i="7" s="1"/>
  <c r="AP270" i="7"/>
  <c r="AP150" i="7" s="1"/>
  <c r="AB281" i="7"/>
  <c r="AF281" i="7"/>
  <c r="AJ281" i="7"/>
  <c r="AO281" i="7"/>
  <c r="AO279" i="7" s="1"/>
  <c r="AT281" i="7"/>
  <c r="AU290" i="7"/>
  <c r="AW290" i="7" s="1"/>
  <c r="W348" i="7"/>
  <c r="AU426" i="7"/>
  <c r="AW426" i="7" s="1"/>
  <c r="V591" i="7"/>
  <c r="AA591" i="7"/>
  <c r="AE591" i="7"/>
  <c r="AI591" i="7"/>
  <c r="AI522" i="7" s="1"/>
  <c r="V671" i="7"/>
  <c r="AA671" i="7"/>
  <c r="AE671" i="7"/>
  <c r="AI671" i="7"/>
  <c r="BL959" i="7"/>
  <c r="AO964" i="7"/>
  <c r="AO959" i="7" s="1"/>
  <c r="BN1117" i="7"/>
  <c r="W1154" i="7"/>
  <c r="AP1164" i="7"/>
  <c r="AU1223" i="7"/>
  <c r="AW1223" i="7" s="1"/>
  <c r="AU1567" i="7"/>
  <c r="AW1567" i="7" s="1"/>
  <c r="AK1568" i="7"/>
  <c r="AS1568" i="7" s="1"/>
  <c r="AU1568" i="7" s="1"/>
  <c r="BI1572" i="7"/>
  <c r="AJ1578" i="7"/>
  <c r="AB75" i="7"/>
  <c r="AA161" i="7"/>
  <c r="AA149" i="7" s="1"/>
  <c r="AI161" i="7"/>
  <c r="AI149" i="7" s="1"/>
  <c r="U661" i="7"/>
  <c r="AJ692" i="7"/>
  <c r="Z1056" i="7"/>
  <c r="AH1056" i="7"/>
  <c r="AY985" i="7"/>
  <c r="AC54" i="7"/>
  <c r="AG54" i="7"/>
  <c r="AL54" i="7"/>
  <c r="BM54" i="7" s="1"/>
  <c r="BN54" i="7" s="1"/>
  <c r="AP161" i="7"/>
  <c r="AP149" i="7" s="1"/>
  <c r="W506" i="7"/>
  <c r="W280" i="7" s="1"/>
  <c r="AD523" i="7"/>
  <c r="AL842" i="7"/>
  <c r="BM842" i="7" s="1"/>
  <c r="BN842" i="7" s="1"/>
  <c r="V964" i="7"/>
  <c r="V959" i="7" s="1"/>
  <c r="AK1152" i="7"/>
  <c r="AK1151" i="7" s="1"/>
  <c r="BJ1151" i="7" s="1"/>
  <c r="BK1151" i="7" s="1"/>
  <c r="AK1157" i="7"/>
  <c r="AS1157" i="7" s="1"/>
  <c r="AU1157" i="7" s="1"/>
  <c r="U1164" i="7"/>
  <c r="AF1183" i="7"/>
  <c r="AU1209" i="7"/>
  <c r="AW1209" i="7" s="1"/>
  <c r="AD1554" i="7"/>
  <c r="AT1554" i="7"/>
  <c r="Z1573" i="7"/>
  <c r="AD1573" i="7"/>
  <c r="AH1573" i="7"/>
  <c r="AQ1573" i="7"/>
  <c r="AU1126" i="7"/>
  <c r="AW1126" i="7" s="1"/>
  <c r="AS1125" i="7"/>
  <c r="AS1124" i="7" s="1"/>
  <c r="AS537" i="7"/>
  <c r="AU537" i="7" s="1"/>
  <c r="AW537" i="7" s="1"/>
  <c r="AK536" i="7"/>
  <c r="AS536" i="7" s="1"/>
  <c r="AU536" i="7" s="1"/>
  <c r="AX1293" i="7"/>
  <c r="AU1293" i="7"/>
  <c r="AW1293" i="7" s="1"/>
  <c r="BG12" i="7"/>
  <c r="X31" i="7"/>
  <c r="AA59" i="7"/>
  <c r="AE59" i="7"/>
  <c r="AI59" i="7"/>
  <c r="AU386" i="7"/>
  <c r="AW386" i="7" s="1"/>
  <c r="AU394" i="7"/>
  <c r="AW394" i="7" s="1"/>
  <c r="AX394" i="7"/>
  <c r="BN685" i="7"/>
  <c r="AK1125" i="7"/>
  <c r="AK1124" i="7" s="1"/>
  <c r="BJ1124" i="7" s="1"/>
  <c r="BK1124" i="7" s="1"/>
  <c r="BN1180" i="7"/>
  <c r="AS814" i="7"/>
  <c r="AU814" i="7" s="1"/>
  <c r="AW814" i="7" s="1"/>
  <c r="AK813" i="7"/>
  <c r="AK812" i="7" s="1"/>
  <c r="BJ812" i="7" s="1"/>
  <c r="BK812" i="7" s="1"/>
  <c r="AS849" i="7"/>
  <c r="AY849" i="7" s="1"/>
  <c r="AK847" i="7"/>
  <c r="AK16" i="7"/>
  <c r="AS16" i="7" s="1"/>
  <c r="AU16" i="7" s="1"/>
  <c r="AA54" i="7"/>
  <c r="AE54" i="7"/>
  <c r="AI54" i="7"/>
  <c r="AN54" i="7"/>
  <c r="AR54" i="7"/>
  <c r="Z54" i="7"/>
  <c r="AD54" i="7"/>
  <c r="AH54" i="7"/>
  <c r="AO59" i="7"/>
  <c r="AT59" i="7"/>
  <c r="AU306" i="7"/>
  <c r="AW306" i="7" s="1"/>
  <c r="AX306" i="7"/>
  <c r="AS670" i="7"/>
  <c r="AU670" i="7" s="1"/>
  <c r="AW670" i="7" s="1"/>
  <c r="AT1154" i="7"/>
  <c r="BH1140" i="7"/>
  <c r="BH1138" i="7"/>
  <c r="AT13" i="7"/>
  <c r="AT70" i="7"/>
  <c r="AL75" i="7"/>
  <c r="BM75" i="7" s="1"/>
  <c r="BN75" i="7" s="1"/>
  <c r="AP75" i="7"/>
  <c r="BH150" i="7"/>
  <c r="X662" i="7"/>
  <c r="Y964" i="7"/>
  <c r="Y959" i="7" s="1"/>
  <c r="AC964" i="7"/>
  <c r="AC959" i="7" s="1"/>
  <c r="AG964" i="7"/>
  <c r="AG959" i="7" s="1"/>
  <c r="V1103" i="7"/>
  <c r="AR1103" i="7"/>
  <c r="AR987" i="7" s="1"/>
  <c r="AS1145" i="7"/>
  <c r="AU1145" i="7" s="1"/>
  <c r="AW1145" i="7" s="1"/>
  <c r="AK1144" i="7"/>
  <c r="AK1141" i="7" s="1"/>
  <c r="BJ1141" i="7" s="1"/>
  <c r="Y1164" i="7"/>
  <c r="AC1164" i="7"/>
  <c r="AG1164" i="7"/>
  <c r="BG1572" i="7"/>
  <c r="BG279" i="7"/>
  <c r="Z281" i="7"/>
  <c r="AD281" i="7"/>
  <c r="AH281" i="7"/>
  <c r="AM281" i="7"/>
  <c r="X434" i="7"/>
  <c r="Z506" i="7"/>
  <c r="Z280" i="7" s="1"/>
  <c r="AD506" i="7"/>
  <c r="AD280" i="7" s="1"/>
  <c r="AM506" i="7"/>
  <c r="AM280" i="7" s="1"/>
  <c r="AQ506" i="7"/>
  <c r="AQ280" i="7" s="1"/>
  <c r="T522" i="7"/>
  <c r="BN661" i="7"/>
  <c r="BL521" i="7"/>
  <c r="Y671" i="7"/>
  <c r="AC671" i="7"/>
  <c r="AG671" i="7"/>
  <c r="AL671" i="7"/>
  <c r="BM671" i="7" s="1"/>
  <c r="BN671" i="7" s="1"/>
  <c r="AP671" i="7"/>
  <c r="AC692" i="7"/>
  <c r="AG692" i="7"/>
  <c r="AY959" i="7"/>
  <c r="BH959" i="7"/>
  <c r="BH986" i="7"/>
  <c r="V1056" i="7"/>
  <c r="AP1433" i="7"/>
  <c r="AL1554" i="7"/>
  <c r="BM1554" i="7" s="1"/>
  <c r="BN1554" i="7" s="1"/>
  <c r="AP1554" i="7"/>
  <c r="W161" i="7"/>
  <c r="W149" i="7" s="1"/>
  <c r="AT179" i="7"/>
  <c r="AT161" i="7" s="1"/>
  <c r="AT149" i="7" s="1"/>
  <c r="Z270" i="7"/>
  <c r="Z150" i="7" s="1"/>
  <c r="AD270" i="7"/>
  <c r="AD150" i="7" s="1"/>
  <c r="AH270" i="7"/>
  <c r="AH150" i="7" s="1"/>
  <c r="BN668" i="7"/>
  <c r="AY731" i="7"/>
  <c r="AD832" i="7"/>
  <c r="AH832" i="7"/>
  <c r="AL832" i="7"/>
  <c r="BM832" i="7" s="1"/>
  <c r="BN832" i="7" s="1"/>
  <c r="Z842" i="7"/>
  <c r="AD842" i="7"/>
  <c r="AH842" i="7"/>
  <c r="AM842" i="7"/>
  <c r="AQ842" i="7"/>
  <c r="Y842" i="7"/>
  <c r="AC842" i="7"/>
  <c r="AG842" i="7"/>
  <c r="AO842" i="7"/>
  <c r="AT842" i="7"/>
  <c r="AN887" i="7"/>
  <c r="AR887" i="7"/>
  <c r="BJ977" i="7"/>
  <c r="AL1141" i="7"/>
  <c r="BM1141" i="7" s="1"/>
  <c r="BN1141" i="7" s="1"/>
  <c r="AP1141" i="7"/>
  <c r="AF1164" i="7"/>
  <c r="X1169" i="7"/>
  <c r="W1171" i="7"/>
  <c r="AF1171" i="7"/>
  <c r="AJ1171" i="7"/>
  <c r="AT1171" i="7"/>
  <c r="AE1171" i="7"/>
  <c r="Z1554" i="7"/>
  <c r="AH1554" i="7"/>
  <c r="AY1138" i="7"/>
  <c r="AM75" i="7"/>
  <c r="AU1566" i="7"/>
  <c r="AW1566" i="7" s="1"/>
  <c r="AX1566" i="7"/>
  <c r="AQ13" i="7"/>
  <c r="V70" i="7"/>
  <c r="AA70" i="7"/>
  <c r="AI75" i="7"/>
  <c r="AS146" i="7"/>
  <c r="AU146" i="7" s="1"/>
  <c r="AW146" i="7" s="1"/>
  <c r="BI149" i="7"/>
  <c r="BH149" i="7"/>
  <c r="X212" i="7"/>
  <c r="AU302" i="7"/>
  <c r="AW302" i="7" s="1"/>
  <c r="AX401" i="7"/>
  <c r="AX484" i="7"/>
  <c r="AU501" i="7"/>
  <c r="AW501" i="7" s="1"/>
  <c r="BH521" i="7"/>
  <c r="V523" i="7"/>
  <c r="AA523" i="7"/>
  <c r="AE523" i="7"/>
  <c r="AI523" i="7"/>
  <c r="X526" i="7"/>
  <c r="Z523" i="7"/>
  <c r="AH523" i="7"/>
  <c r="BI522" i="7"/>
  <c r="W661" i="7"/>
  <c r="AB661" i="7"/>
  <c r="AF661" i="7"/>
  <c r="AD671" i="7"/>
  <c r="AM671" i="7"/>
  <c r="AQ75" i="7"/>
  <c r="AT54" i="7"/>
  <c r="AM59" i="7"/>
  <c r="AQ59" i="7"/>
  <c r="W75" i="7"/>
  <c r="Z161" i="7"/>
  <c r="Z149" i="7" s="1"/>
  <c r="AM161" i="7"/>
  <c r="AM149" i="7" s="1"/>
  <c r="AQ161" i="7"/>
  <c r="AQ149" i="7" s="1"/>
  <c r="BF279" i="7"/>
  <c r="X507" i="7"/>
  <c r="BH522" i="7"/>
  <c r="AM591" i="7"/>
  <c r="AQ591" i="7"/>
  <c r="AS1168" i="7"/>
  <c r="AU1168" i="7" s="1"/>
  <c r="AW1168" i="7" s="1"/>
  <c r="AK1167" i="7"/>
  <c r="AS1167" i="7" s="1"/>
  <c r="AU1167" i="7" s="1"/>
  <c r="BL1140" i="7"/>
  <c r="BL1138" i="7"/>
  <c r="V59" i="7"/>
  <c r="BG69" i="7"/>
  <c r="Z70" i="7"/>
  <c r="AD70" i="7"/>
  <c r="AH70" i="7"/>
  <c r="BF69" i="7"/>
  <c r="AG348" i="7"/>
  <c r="AU422" i="7"/>
  <c r="AW422" i="7" s="1"/>
  <c r="AL523" i="7"/>
  <c r="BM523" i="7" s="1"/>
  <c r="AP523" i="7"/>
  <c r="AT523" i="7"/>
  <c r="AO523" i="7"/>
  <c r="Y661" i="7"/>
  <c r="AC661" i="7"/>
  <c r="AG661" i="7"/>
  <c r="W671" i="7"/>
  <c r="AT671" i="7"/>
  <c r="AB887" i="7"/>
  <c r="AO887" i="7"/>
  <c r="AU1249" i="7"/>
  <c r="AW1249" i="7" s="1"/>
  <c r="AX1249" i="7"/>
  <c r="Z832" i="7"/>
  <c r="AM832" i="7"/>
  <c r="X843" i="7"/>
  <c r="AO969" i="7"/>
  <c r="BH969" i="7"/>
  <c r="AU1054" i="7"/>
  <c r="W1141" i="7"/>
  <c r="AB1141" i="7"/>
  <c r="AF1141" i="7"/>
  <c r="AJ1141" i="7"/>
  <c r="BN1148" i="7"/>
  <c r="V1183" i="7"/>
  <c r="AA1183" i="7"/>
  <c r="AE1183" i="7"/>
  <c r="AI1183" i="7"/>
  <c r="AN1183" i="7"/>
  <c r="BK1427" i="7"/>
  <c r="AA1433" i="7"/>
  <c r="AE1433" i="7"/>
  <c r="AI1433" i="7"/>
  <c r="S1572" i="7"/>
  <c r="Y692" i="7"/>
  <c r="BG816" i="7"/>
  <c r="V887" i="7"/>
  <c r="AA887" i="7"/>
  <c r="AE887" i="7"/>
  <c r="AI887" i="7"/>
  <c r="U964" i="7"/>
  <c r="AD964" i="7"/>
  <c r="AD959" i="7" s="1"/>
  <c r="AL964" i="7"/>
  <c r="BM964" i="7" s="1"/>
  <c r="BN964" i="7" s="1"/>
  <c r="AP964" i="7"/>
  <c r="AP959" i="7" s="1"/>
  <c r="AA969" i="7"/>
  <c r="BG969" i="7"/>
  <c r="AB1056" i="7"/>
  <c r="AF1056" i="7"/>
  <c r="X1086" i="7"/>
  <c r="T987" i="7"/>
  <c r="Y1103" i="7"/>
  <c r="Y985" i="7" s="1"/>
  <c r="AC1103" i="7"/>
  <c r="AC987" i="7" s="1"/>
  <c r="AG1103" i="7"/>
  <c r="AG985" i="7" s="1"/>
  <c r="BL1139" i="7"/>
  <c r="AM1164" i="7"/>
  <c r="AQ1164" i="7"/>
  <c r="AO1164" i="7"/>
  <c r="AT1164" i="7"/>
  <c r="AP1171" i="7"/>
  <c r="Y1183" i="7"/>
  <c r="AC1183" i="7"/>
  <c r="AG1183" i="7"/>
  <c r="W1433" i="7"/>
  <c r="V1554" i="7"/>
  <c r="AQ1554" i="7"/>
  <c r="Y1578" i="7"/>
  <c r="AC1578" i="7"/>
  <c r="AG1578" i="7"/>
  <c r="AL1578" i="7"/>
  <c r="BM1578" i="7" s="1"/>
  <c r="BN1578" i="7" s="1"/>
  <c r="BN1572" i="7" s="1"/>
  <c r="AP1578" i="7"/>
  <c r="U1578" i="7"/>
  <c r="AQ1578" i="7"/>
  <c r="Z1603" i="7"/>
  <c r="AD1603" i="7"/>
  <c r="AH1603" i="7"/>
  <c r="AM1604" i="7"/>
  <c r="AQ1603" i="7"/>
  <c r="X1627" i="7"/>
  <c r="Y832" i="7"/>
  <c r="AC832" i="7"/>
  <c r="AG832" i="7"/>
  <c r="AP832" i="7"/>
  <c r="W887" i="7"/>
  <c r="AT887" i="7"/>
  <c r="W969" i="7"/>
  <c r="X973" i="7"/>
  <c r="AN1103" i="7"/>
  <c r="AN985" i="7" s="1"/>
  <c r="Z1141" i="7"/>
  <c r="AD1141" i="7"/>
  <c r="AH1141" i="7"/>
  <c r="Y1141" i="7"/>
  <c r="AC1141" i="7"/>
  <c r="AG1141" i="7"/>
  <c r="S1139" i="7"/>
  <c r="AX1267" i="7"/>
  <c r="AX1288" i="7"/>
  <c r="BK1430" i="7"/>
  <c r="Z1433" i="7"/>
  <c r="AH1433" i="7"/>
  <c r="AM1433" i="7"/>
  <c r="V1433" i="7"/>
  <c r="AS1552" i="7"/>
  <c r="AU1552" i="7" s="1"/>
  <c r="AW1552" i="7" s="1"/>
  <c r="BH1572" i="7"/>
  <c r="AO1573" i="7"/>
  <c r="AT1573" i="7"/>
  <c r="AI1573" i="7"/>
  <c r="AN1573" i="7"/>
  <c r="AR1573" i="7"/>
  <c r="AS1577" i="7"/>
  <c r="AU1577" i="7" s="1"/>
  <c r="AW1577" i="7" s="1"/>
  <c r="AU410" i="7"/>
  <c r="AW410" i="7" s="1"/>
  <c r="AX410" i="7"/>
  <c r="AS61" i="7"/>
  <c r="AU61" i="7" s="1"/>
  <c r="AW61" i="7" s="1"/>
  <c r="AK60" i="7"/>
  <c r="AK147" i="7"/>
  <c r="AS147" i="7" s="1"/>
  <c r="AU147" i="7" s="1"/>
  <c r="AS148" i="7"/>
  <c r="AU148" i="7" s="1"/>
  <c r="AW148" i="7" s="1"/>
  <c r="AX477" i="7"/>
  <c r="AU477" i="7"/>
  <c r="AW477" i="7" s="1"/>
  <c r="X834" i="7"/>
  <c r="X833" i="7" s="1"/>
  <c r="U833" i="7"/>
  <c r="U832" i="7" s="1"/>
  <c r="AU460" i="7"/>
  <c r="AW460" i="7" s="1"/>
  <c r="AX460" i="7"/>
  <c r="AK71" i="7"/>
  <c r="AS71" i="7" s="1"/>
  <c r="AU71" i="7" s="1"/>
  <c r="AS72" i="7"/>
  <c r="AU72" i="7" s="1"/>
  <c r="AW72" i="7" s="1"/>
  <c r="AU294" i="7"/>
  <c r="AW294" i="7" s="1"/>
  <c r="AX294" i="7"/>
  <c r="AD13" i="7"/>
  <c r="AK57" i="7"/>
  <c r="AS57" i="7" s="1"/>
  <c r="AU57" i="7" s="1"/>
  <c r="AS58" i="7"/>
  <c r="AX58" i="7" s="1"/>
  <c r="AK118" i="7"/>
  <c r="AS118" i="7" s="1"/>
  <c r="AU118" i="7" s="1"/>
  <c r="S348" i="7"/>
  <c r="S279" i="7" s="1"/>
  <c r="S350" i="7"/>
  <c r="Y348" i="7"/>
  <c r="AL348" i="7"/>
  <c r="BM348" i="7" s="1"/>
  <c r="BN348" i="7" s="1"/>
  <c r="AU393" i="7"/>
  <c r="AW393" i="7" s="1"/>
  <c r="AX393" i="7"/>
  <c r="AX469" i="7"/>
  <c r="AU469" i="7"/>
  <c r="AW469" i="7" s="1"/>
  <c r="AS980" i="7"/>
  <c r="AU980" i="7" s="1"/>
  <c r="AW980" i="7" s="1"/>
  <c r="AK979" i="7"/>
  <c r="BJ979" i="7" s="1"/>
  <c r="BK979" i="7" s="1"/>
  <c r="AK981" i="7"/>
  <c r="BJ981" i="7" s="1"/>
  <c r="BK981" i="7" s="1"/>
  <c r="BJ982" i="7"/>
  <c r="BK982" i="7" s="1"/>
  <c r="AU1123" i="7"/>
  <c r="AW1123" i="7" s="1"/>
  <c r="AS1122" i="7"/>
  <c r="AU1122" i="7" s="1"/>
  <c r="AX1290" i="7"/>
  <c r="AU1290" i="7"/>
  <c r="AW1290" i="7" s="1"/>
  <c r="AN1650" i="7"/>
  <c r="AN1649" i="7"/>
  <c r="AL13" i="7"/>
  <c r="BM13" i="7" s="1"/>
  <c r="V13" i="7"/>
  <c r="AK35" i="7"/>
  <c r="AK34" i="7" s="1"/>
  <c r="W54" i="7"/>
  <c r="AK62" i="7"/>
  <c r="AS62" i="7" s="1"/>
  <c r="AU62" i="7" s="1"/>
  <c r="Z75" i="7"/>
  <c r="AD75" i="7"/>
  <c r="AH75" i="7"/>
  <c r="BL149" i="7"/>
  <c r="T149" i="7"/>
  <c r="BI150" i="7"/>
  <c r="W270" i="7"/>
  <c r="W150" i="7" s="1"/>
  <c r="AK276" i="7"/>
  <c r="AS276" i="7" s="1"/>
  <c r="AU276" i="7" s="1"/>
  <c r="BH279" i="7"/>
  <c r="V281" i="7"/>
  <c r="V279" i="7" s="1"/>
  <c r="AT506" i="7"/>
  <c r="AT280" i="7" s="1"/>
  <c r="AK514" i="7"/>
  <c r="AS514" i="7" s="1"/>
  <c r="AU514" i="7" s="1"/>
  <c r="T521" i="7"/>
  <c r="BI521" i="7"/>
  <c r="W523" i="7"/>
  <c r="AB523" i="7"/>
  <c r="AF523" i="7"/>
  <c r="AJ523" i="7"/>
  <c r="W591" i="7"/>
  <c r="AF591" i="7"/>
  <c r="Z661" i="7"/>
  <c r="AD661" i="7"/>
  <c r="AU700" i="7"/>
  <c r="AW700" i="7" s="1"/>
  <c r="BN812" i="7"/>
  <c r="S816" i="7"/>
  <c r="V842" i="7"/>
  <c r="BI984" i="7"/>
  <c r="BF987" i="7"/>
  <c r="AS1116" i="7"/>
  <c r="AU1116" i="7" s="1"/>
  <c r="AW1116" i="7" s="1"/>
  <c r="AK1115" i="7"/>
  <c r="AK1114" i="7" s="1"/>
  <c r="BJ1114" i="7" s="1"/>
  <c r="BK1114" i="7" s="1"/>
  <c r="AK1135" i="7"/>
  <c r="AK1134" i="7" s="1"/>
  <c r="BJ1134" i="7" s="1"/>
  <c r="BK1134" i="7" s="1"/>
  <c r="AS1136" i="7"/>
  <c r="AU1136" i="7" s="1"/>
  <c r="AW1136" i="7" s="1"/>
  <c r="X1149" i="7"/>
  <c r="U1148" i="7"/>
  <c r="X1148" i="7" s="1"/>
  <c r="AU1203" i="7"/>
  <c r="AW1203" i="7" s="1"/>
  <c r="AX1203" i="7"/>
  <c r="AU1222" i="7"/>
  <c r="AW1222" i="7" s="1"/>
  <c r="AX1222" i="7"/>
  <c r="BN1111" i="7"/>
  <c r="AT1603" i="7"/>
  <c r="AT1604" i="7"/>
  <c r="X14" i="7"/>
  <c r="BC14" i="7" s="1"/>
  <c r="BE14" i="7" s="1"/>
  <c r="AO70" i="7"/>
  <c r="V75" i="7"/>
  <c r="AA75" i="7"/>
  <c r="AE75" i="7"/>
  <c r="AS268" i="7"/>
  <c r="AU268" i="7" s="1"/>
  <c r="BF521" i="7"/>
  <c r="Y523" i="7"/>
  <c r="AC523" i="7"/>
  <c r="AG523" i="7"/>
  <c r="AY591" i="7"/>
  <c r="AY522" i="7" s="1"/>
  <c r="AB591" i="7"/>
  <c r="AJ591" i="7"/>
  <c r="AJ522" i="7" s="1"/>
  <c r="X657" i="7"/>
  <c r="V661" i="7"/>
  <c r="X679" i="7"/>
  <c r="AY854" i="7"/>
  <c r="AU854" i="7"/>
  <c r="AW854" i="7" s="1"/>
  <c r="AU1189" i="7"/>
  <c r="AW1189" i="7" s="1"/>
  <c r="AX1189" i="7"/>
  <c r="AX1569" i="7"/>
  <c r="AU1569" i="7"/>
  <c r="AW1569" i="7" s="1"/>
  <c r="AS889" i="7"/>
  <c r="AU889" i="7" s="1"/>
  <c r="AW889" i="7" s="1"/>
  <c r="AK888" i="7"/>
  <c r="AS888" i="7" s="1"/>
  <c r="AS1142" i="7"/>
  <c r="AU1142" i="7" s="1"/>
  <c r="U1141" i="7"/>
  <c r="S12" i="7"/>
  <c r="AA13" i="7"/>
  <c r="AI13" i="7"/>
  <c r="AS15" i="7"/>
  <c r="AU15" i="7" s="1"/>
  <c r="AW15" i="7" s="1"/>
  <c r="X35" i="7"/>
  <c r="X55" i="7"/>
  <c r="AM54" i="7"/>
  <c r="AQ54" i="7"/>
  <c r="AP54" i="7"/>
  <c r="Z59" i="7"/>
  <c r="AD59" i="7"/>
  <c r="AH59" i="7"/>
  <c r="AL59" i="7"/>
  <c r="BM59" i="7" s="1"/>
  <c r="BN59" i="7" s="1"/>
  <c r="AP59" i="7"/>
  <c r="AE70" i="7"/>
  <c r="AI70" i="7"/>
  <c r="AN70" i="7"/>
  <c r="AR70" i="7"/>
  <c r="X162" i="7"/>
  <c r="X271" i="7"/>
  <c r="AM270" i="7"/>
  <c r="AM150" i="7" s="1"/>
  <c r="AQ270" i="7"/>
  <c r="AQ150" i="7" s="1"/>
  <c r="T279" i="7"/>
  <c r="BL279" i="7"/>
  <c r="Y281" i="7"/>
  <c r="AC281" i="7"/>
  <c r="AG281" i="7"/>
  <c r="AL281" i="7"/>
  <c r="AP281" i="7"/>
  <c r="AP279" i="7" s="1"/>
  <c r="AK349" i="7"/>
  <c r="AS349" i="7" s="1"/>
  <c r="AX361" i="7"/>
  <c r="AX363" i="7"/>
  <c r="AX402" i="7"/>
  <c r="AU415" i="7"/>
  <c r="AW415" i="7" s="1"/>
  <c r="AX418" i="7"/>
  <c r="AX452" i="7"/>
  <c r="AB506" i="7"/>
  <c r="AB280" i="7" s="1"/>
  <c r="AF506" i="7"/>
  <c r="AF280" i="7" s="1"/>
  <c r="AJ506" i="7"/>
  <c r="AJ280" i="7" s="1"/>
  <c r="AO506" i="7"/>
  <c r="AO280" i="7" s="1"/>
  <c r="AX518" i="7"/>
  <c r="U523" i="7"/>
  <c r="BK668" i="7"/>
  <c r="AB671" i="7"/>
  <c r="AF671" i="7"/>
  <c r="AJ671" i="7"/>
  <c r="AO671" i="7"/>
  <c r="U692" i="7"/>
  <c r="X818" i="7"/>
  <c r="AK830" i="7"/>
  <c r="AK829" i="7" s="1"/>
  <c r="BJ829" i="7" s="1"/>
  <c r="BK829" i="7" s="1"/>
  <c r="V832" i="7"/>
  <c r="AA832" i="7"/>
  <c r="AI832" i="7"/>
  <c r="AU851" i="7"/>
  <c r="AW851" i="7" s="1"/>
  <c r="AG887" i="7"/>
  <c r="AS1107" i="7"/>
  <c r="AU1107" i="7" s="1"/>
  <c r="AW1107" i="7" s="1"/>
  <c r="AK1106" i="7"/>
  <c r="AS1106" i="7" s="1"/>
  <c r="AU1106" i="7" s="1"/>
  <c r="AQ832" i="7"/>
  <c r="AA842" i="7"/>
  <c r="AE842" i="7"/>
  <c r="AI842" i="7"/>
  <c r="W964" i="7"/>
  <c r="W959" i="7" s="1"/>
  <c r="AQ969" i="7"/>
  <c r="BH984" i="7"/>
  <c r="S987" i="7"/>
  <c r="AI1141" i="7"/>
  <c r="AN1141" i="7"/>
  <c r="AR1141" i="7"/>
  <c r="Y887" i="7"/>
  <c r="S959" i="7"/>
  <c r="AE969" i="7"/>
  <c r="AI969" i="7"/>
  <c r="T969" i="7"/>
  <c r="Y969" i="7"/>
  <c r="AG969" i="7"/>
  <c r="AL969" i="7"/>
  <c r="BM969" i="7" s="1"/>
  <c r="AP969" i="7"/>
  <c r="AR1004" i="7"/>
  <c r="AA1004" i="7"/>
  <c r="AE1004" i="7"/>
  <c r="AI1004" i="7"/>
  <c r="AO1056" i="7"/>
  <c r="AT1056" i="7"/>
  <c r="AM1103" i="7"/>
  <c r="AM987" i="7" s="1"/>
  <c r="AQ1103" i="7"/>
  <c r="AQ987" i="7" s="1"/>
  <c r="AO1103" i="7"/>
  <c r="AT1103" i="7"/>
  <c r="AO1141" i="7"/>
  <c r="AT1141" i="7"/>
  <c r="V1141" i="7"/>
  <c r="AE1141" i="7"/>
  <c r="Z964" i="7"/>
  <c r="Z959" i="7" s="1"/>
  <c r="AH964" i="7"/>
  <c r="AH959" i="7" s="1"/>
  <c r="X976" i="7"/>
  <c r="BC976" i="7" s="1"/>
  <c r="X979" i="7"/>
  <c r="AN1056" i="7"/>
  <c r="AR1056" i="7"/>
  <c r="AL1103" i="7"/>
  <c r="BM1103" i="7" s="1"/>
  <c r="BN1103" i="7" s="1"/>
  <c r="AP1103" i="7"/>
  <c r="BN1114" i="7"/>
  <c r="AT1117" i="7"/>
  <c r="BN1134" i="7"/>
  <c r="S1137" i="7"/>
  <c r="AS1146" i="7"/>
  <c r="AU1146" i="7" s="1"/>
  <c r="AU1241" i="7"/>
  <c r="AW1241" i="7" s="1"/>
  <c r="AX1241" i="7"/>
  <c r="AX1276" i="7"/>
  <c r="V1154" i="7"/>
  <c r="AA1154" i="7"/>
  <c r="AE1154" i="7"/>
  <c r="AI1154" i="7"/>
  <c r="X1157" i="7"/>
  <c r="AD1154" i="7"/>
  <c r="X1181" i="7"/>
  <c r="BC1181" i="7" s="1"/>
  <c r="BE1181" i="7" s="1"/>
  <c r="X1434" i="7"/>
  <c r="AB1433" i="7"/>
  <c r="AF1433" i="7"/>
  <c r="AJ1433" i="7"/>
  <c r="AT1433" i="7"/>
  <c r="AL1433" i="7"/>
  <c r="Y1573" i="7"/>
  <c r="AC1573" i="7"/>
  <c r="AG1573" i="7"/>
  <c r="AL1573" i="7"/>
  <c r="AP1573" i="7"/>
  <c r="AB1573" i="7"/>
  <c r="AF1573" i="7"/>
  <c r="AJ1573" i="7"/>
  <c r="Z1578" i="7"/>
  <c r="AD1578" i="7"/>
  <c r="AH1578" i="7"/>
  <c r="AM1603" i="7"/>
  <c r="Z1604" i="7"/>
  <c r="AL1604" i="7"/>
  <c r="BM1604" i="7" s="1"/>
  <c r="BN1604" i="7" s="1"/>
  <c r="AP1604" i="7"/>
  <c r="AA1650" i="7"/>
  <c r="AE1649" i="7"/>
  <c r="AI1650" i="7"/>
  <c r="U1183" i="7"/>
  <c r="Z1183" i="7"/>
  <c r="AD1183" i="7"/>
  <c r="AH1183" i="7"/>
  <c r="AM1183" i="7"/>
  <c r="AQ1183" i="7"/>
  <c r="AB1183" i="7"/>
  <c r="AJ1183" i="7"/>
  <c r="AO1183" i="7"/>
  <c r="AA1554" i="7"/>
  <c r="AE1554" i="7"/>
  <c r="AI1554" i="7"/>
  <c r="AK1605" i="7"/>
  <c r="AS1605" i="7" s="1"/>
  <c r="Y1154" i="7"/>
  <c r="AC1154" i="7"/>
  <c r="AG1154" i="7"/>
  <c r="AN1154" i="7"/>
  <c r="AR1154" i="7"/>
  <c r="X1162" i="7"/>
  <c r="V1171" i="7"/>
  <c r="AA1171" i="7"/>
  <c r="AI1171" i="7"/>
  <c r="X1180" i="7"/>
  <c r="AS1185" i="7"/>
  <c r="AU1185" i="7" s="1"/>
  <c r="AW1185" i="7" s="1"/>
  <c r="AU1250" i="7"/>
  <c r="AW1250" i="7" s="1"/>
  <c r="AX1253" i="7"/>
  <c r="AU1259" i="7"/>
  <c r="AW1259" i="7" s="1"/>
  <c r="AX1262" i="7"/>
  <c r="AU1277" i="7"/>
  <c r="AW1277" i="7" s="1"/>
  <c r="AX1287" i="7"/>
  <c r="AU1291" i="7"/>
  <c r="AW1291" i="7" s="1"/>
  <c r="AX1292" i="7"/>
  <c r="BN1427" i="7"/>
  <c r="BN1430" i="7"/>
  <c r="AU1558" i="7"/>
  <c r="AW1558" i="7" s="1"/>
  <c r="W1554" i="7"/>
  <c r="BL1572" i="7"/>
  <c r="AO1578" i="7"/>
  <c r="AT1578" i="7"/>
  <c r="AA1578" i="7"/>
  <c r="AE1578" i="7"/>
  <c r="AN1578" i="7"/>
  <c r="AR1578" i="7"/>
  <c r="AH1604" i="7"/>
  <c r="AS1606" i="7"/>
  <c r="AU1606" i="7" s="1"/>
  <c r="AW1606" i="7" s="1"/>
  <c r="AU298" i="7"/>
  <c r="AW298" i="7" s="1"/>
  <c r="AX298" i="7"/>
  <c r="AX289" i="7"/>
  <c r="AU289" i="7"/>
  <c r="AW289" i="7" s="1"/>
  <c r="AU286" i="7"/>
  <c r="AW286" i="7" s="1"/>
  <c r="AX286" i="7"/>
  <c r="AX307" i="7"/>
  <c r="AU307" i="7"/>
  <c r="AW307" i="7" s="1"/>
  <c r="AS17" i="7"/>
  <c r="AU17" i="7" s="1"/>
  <c r="AW17" i="7" s="1"/>
  <c r="AM13" i="7"/>
  <c r="BF12" i="7"/>
  <c r="AB54" i="7"/>
  <c r="AF54" i="7"/>
  <c r="AJ54" i="7"/>
  <c r="V54" i="7"/>
  <c r="U59" i="7"/>
  <c r="BH69" i="7"/>
  <c r="X73" i="7"/>
  <c r="AB70" i="7"/>
  <c r="AF70" i="7"/>
  <c r="AJ70" i="7"/>
  <c r="T69" i="7"/>
  <c r="AK76" i="7"/>
  <c r="AF75" i="7"/>
  <c r="AN75" i="7"/>
  <c r="AS119" i="7"/>
  <c r="AU119" i="7" s="1"/>
  <c r="AW119" i="7" s="1"/>
  <c r="BN154" i="7"/>
  <c r="AS155" i="7"/>
  <c r="AS154" i="7" s="1"/>
  <c r="AU154" i="7" s="1"/>
  <c r="AW154" i="7" s="1"/>
  <c r="AB161" i="7"/>
  <c r="AB149" i="7" s="1"/>
  <c r="AF161" i="7"/>
  <c r="AF149" i="7" s="1"/>
  <c r="AJ161" i="7"/>
  <c r="AJ149" i="7" s="1"/>
  <c r="BG150" i="7"/>
  <c r="V270" i="7"/>
  <c r="V150" i="7" s="1"/>
  <c r="AS278" i="7"/>
  <c r="AU278" i="7" s="1"/>
  <c r="AW278" i="7" s="1"/>
  <c r="AA281" i="7"/>
  <c r="AE281" i="7"/>
  <c r="AI281" i="7"/>
  <c r="AN281" i="7"/>
  <c r="AN279" i="7" s="1"/>
  <c r="AR281" i="7"/>
  <c r="AU299" i="7"/>
  <c r="AW299" i="7" s="1"/>
  <c r="AX305" i="7"/>
  <c r="AX379" i="7"/>
  <c r="AU379" i="7"/>
  <c r="AW379" i="7" s="1"/>
  <c r="AX387" i="7"/>
  <c r="AU387" i="7"/>
  <c r="AW387" i="7" s="1"/>
  <c r="AU395" i="7"/>
  <c r="AW395" i="7" s="1"/>
  <c r="AU403" i="7"/>
  <c r="AW403" i="7" s="1"/>
  <c r="AU413" i="7"/>
  <c r="AW413" i="7" s="1"/>
  <c r="AX413" i="7"/>
  <c r="AX414" i="7"/>
  <c r="AU425" i="7"/>
  <c r="AW425" i="7" s="1"/>
  <c r="AX425" i="7"/>
  <c r="AX486" i="7"/>
  <c r="AU486" i="7"/>
  <c r="AW486" i="7" s="1"/>
  <c r="AN13" i="7"/>
  <c r="AR13" i="7"/>
  <c r="W34" i="7"/>
  <c r="X34" i="7" s="1"/>
  <c r="BH12" i="7"/>
  <c r="X147" i="7"/>
  <c r="AK152" i="7"/>
  <c r="AK151" i="7" s="1"/>
  <c r="X288" i="7"/>
  <c r="AU409" i="7"/>
  <c r="AW409" i="7" s="1"/>
  <c r="AX409" i="7"/>
  <c r="AX454" i="7"/>
  <c r="AU454" i="7"/>
  <c r="AW454" i="7" s="1"/>
  <c r="X503" i="7"/>
  <c r="AB13" i="7"/>
  <c r="AF13" i="7"/>
  <c r="AJ13" i="7"/>
  <c r="X16" i="7"/>
  <c r="Z13" i="7"/>
  <c r="AH13" i="7"/>
  <c r="AP13" i="7"/>
  <c r="AK31" i="7"/>
  <c r="AE13" i="7"/>
  <c r="AY12" i="7"/>
  <c r="W59" i="7"/>
  <c r="AB59" i="7"/>
  <c r="AF59" i="7"/>
  <c r="AJ59" i="7"/>
  <c r="AN59" i="7"/>
  <c r="AR59" i="7"/>
  <c r="S69" i="7"/>
  <c r="BL69" i="7"/>
  <c r="Y70" i="7"/>
  <c r="AC70" i="7"/>
  <c r="AG70" i="7"/>
  <c r="AM70" i="7"/>
  <c r="AT75" i="7"/>
  <c r="X118" i="7"/>
  <c r="BG149" i="7"/>
  <c r="AY179" i="7"/>
  <c r="AY161" i="7" s="1"/>
  <c r="AY149" i="7" s="1"/>
  <c r="AL161" i="7"/>
  <c r="BM161" i="7" s="1"/>
  <c r="BN161" i="7" s="1"/>
  <c r="U270" i="7"/>
  <c r="AB270" i="7"/>
  <c r="AB150" i="7" s="1"/>
  <c r="AF270" i="7"/>
  <c r="AF150" i="7" s="1"/>
  <c r="AJ270" i="7"/>
  <c r="AJ150" i="7" s="1"/>
  <c r="AT270" i="7"/>
  <c r="AT150" i="7" s="1"/>
  <c r="AK282" i="7"/>
  <c r="AS282" i="7" s="1"/>
  <c r="AX293" i="7"/>
  <c r="X349" i="7"/>
  <c r="AU377" i="7"/>
  <c r="AW377" i="7" s="1"/>
  <c r="AX377" i="7"/>
  <c r="AU385" i="7"/>
  <c r="AW385" i="7" s="1"/>
  <c r="AX385" i="7"/>
  <c r="AU419" i="7"/>
  <c r="AW419" i="7" s="1"/>
  <c r="AX494" i="7"/>
  <c r="AU494" i="7"/>
  <c r="AW494" i="7" s="1"/>
  <c r="BI12" i="7"/>
  <c r="T12" i="7"/>
  <c r="BL12" i="7"/>
  <c r="AD161" i="7"/>
  <c r="AD149" i="7" s="1"/>
  <c r="AH161" i="7"/>
  <c r="AH149" i="7" s="1"/>
  <c r="AL270" i="7"/>
  <c r="AQ281" i="7"/>
  <c r="AK288" i="7"/>
  <c r="AS288" i="7" s="1"/>
  <c r="AU288" i="7" s="1"/>
  <c r="AX382" i="7"/>
  <c r="AU382" i="7"/>
  <c r="AW382" i="7" s="1"/>
  <c r="AX427" i="7"/>
  <c r="AU427" i="7"/>
  <c r="AW427" i="7" s="1"/>
  <c r="AX438" i="7"/>
  <c r="AU438" i="7"/>
  <c r="AW438" i="7" s="1"/>
  <c r="AX462" i="7"/>
  <c r="AU462" i="7"/>
  <c r="AW462" i="7" s="1"/>
  <c r="AX519" i="7"/>
  <c r="AU519" i="7"/>
  <c r="AW519" i="7" s="1"/>
  <c r="AX359" i="7"/>
  <c r="U348" i="7"/>
  <c r="AC348" i="7"/>
  <c r="AU453" i="7"/>
  <c r="AW453" i="7" s="1"/>
  <c r="AU461" i="7"/>
  <c r="AW461" i="7" s="1"/>
  <c r="AX468" i="7"/>
  <c r="AU470" i="7"/>
  <c r="AW470" i="7" s="1"/>
  <c r="AU473" i="7"/>
  <c r="AW473" i="7" s="1"/>
  <c r="AX476" i="7"/>
  <c r="AU478" i="7"/>
  <c r="AW478" i="7" s="1"/>
  <c r="AS516" i="7"/>
  <c r="AX516" i="7" s="1"/>
  <c r="X524" i="7"/>
  <c r="BN540" i="7"/>
  <c r="Z591" i="7"/>
  <c r="AD591" i="7"/>
  <c r="AH591" i="7"/>
  <c r="AU665" i="7"/>
  <c r="AW665" i="7" s="1"/>
  <c r="X686" i="7"/>
  <c r="Z887" i="7"/>
  <c r="AD887" i="7"/>
  <c r="AH887" i="7"/>
  <c r="AL887" i="7"/>
  <c r="BM887" i="7" s="1"/>
  <c r="BN887" i="7" s="1"/>
  <c r="AP887" i="7"/>
  <c r="X965" i="7"/>
  <c r="AN964" i="7"/>
  <c r="AN959" i="7" s="1"/>
  <c r="AR964" i="7"/>
  <c r="AR959" i="7" s="1"/>
  <c r="X541" i="7"/>
  <c r="AT592" i="7"/>
  <c r="AT591" i="7" s="1"/>
  <c r="AT522" i="7" s="1"/>
  <c r="AU809" i="7"/>
  <c r="AW809" i="7" s="1"/>
  <c r="AY850" i="7"/>
  <c r="AU850" i="7"/>
  <c r="AW850" i="7" s="1"/>
  <c r="AY855" i="7"/>
  <c r="AU855" i="7"/>
  <c r="AW855" i="7" s="1"/>
  <c r="AK890" i="7"/>
  <c r="AS892" i="7"/>
  <c r="AU892" i="7" s="1"/>
  <c r="AW892" i="7" s="1"/>
  <c r="BM978" i="7"/>
  <c r="BN978" i="7" s="1"/>
  <c r="U1100" i="7"/>
  <c r="X1101" i="7"/>
  <c r="AU441" i="7"/>
  <c r="AW441" i="7" s="1"/>
  <c r="AX444" i="7"/>
  <c r="AU446" i="7"/>
  <c r="AW446" i="7" s="1"/>
  <c r="AU485" i="7"/>
  <c r="AW485" i="7" s="1"/>
  <c r="AU493" i="7"/>
  <c r="AW493" i="7" s="1"/>
  <c r="AX500" i="7"/>
  <c r="AU502" i="7"/>
  <c r="AW502" i="7" s="1"/>
  <c r="BI279" i="7"/>
  <c r="U506" i="7"/>
  <c r="U280" i="7" s="1"/>
  <c r="AK507" i="7"/>
  <c r="AM523" i="7"/>
  <c r="AQ523" i="7"/>
  <c r="S521" i="7"/>
  <c r="AU566" i="7"/>
  <c r="AW566" i="7" s="1"/>
  <c r="AO591" i="7"/>
  <c r="AO522" i="7" s="1"/>
  <c r="AK664" i="7"/>
  <c r="AS666" i="7"/>
  <c r="AU666" i="7" s="1"/>
  <c r="AW666" i="7" s="1"/>
  <c r="Z671" i="7"/>
  <c r="AH671" i="7"/>
  <c r="AQ671" i="7"/>
  <c r="AX721" i="7"/>
  <c r="AU721" i="7"/>
  <c r="AW721" i="7" s="1"/>
  <c r="AK833" i="7"/>
  <c r="AS841" i="7"/>
  <c r="AU841" i="7" s="1"/>
  <c r="AW841" i="7" s="1"/>
  <c r="AK840" i="7"/>
  <c r="AS840" i="7" s="1"/>
  <c r="AU840" i="7" s="1"/>
  <c r="AS845" i="7"/>
  <c r="AU845" i="7" s="1"/>
  <c r="AW845" i="7" s="1"/>
  <c r="AK843" i="7"/>
  <c r="BC974" i="7"/>
  <c r="BD974" i="7" s="1"/>
  <c r="BJ975" i="7"/>
  <c r="BK975" i="7" s="1"/>
  <c r="BK960" i="7" s="1"/>
  <c r="BK9" i="7" s="1"/>
  <c r="AS975" i="7"/>
  <c r="AS973" i="7" s="1"/>
  <c r="AU973" i="7" s="1"/>
  <c r="AK960" i="7"/>
  <c r="AK9" i="7" s="1"/>
  <c r="AS1078" i="7"/>
  <c r="AU1078" i="7" s="1"/>
  <c r="AW1078" i="7" s="1"/>
  <c r="AK1077" i="7"/>
  <c r="AS1077" i="7" s="1"/>
  <c r="AU1077" i="7" s="1"/>
  <c r="BG521" i="7"/>
  <c r="AX701" i="7"/>
  <c r="AU701" i="7"/>
  <c r="AW701" i="7" s="1"/>
  <c r="AK793" i="7"/>
  <c r="AS793" i="7" s="1"/>
  <c r="AS794" i="7"/>
  <c r="AX794" i="7" s="1"/>
  <c r="AK965" i="7"/>
  <c r="AS965" i="7" s="1"/>
  <c r="AS966" i="7"/>
  <c r="AU966" i="7" s="1"/>
  <c r="AW966" i="7" s="1"/>
  <c r="S984" i="7"/>
  <c r="S986" i="7"/>
  <c r="U1111" i="7"/>
  <c r="X1111" i="7" s="1"/>
  <c r="AX1197" i="7"/>
  <c r="AU1197" i="7"/>
  <c r="AW1197" i="7" s="1"/>
  <c r="AU1283" i="7"/>
  <c r="AW1283" i="7" s="1"/>
  <c r="AX1283" i="7"/>
  <c r="AU1294" i="7"/>
  <c r="AW1294" i="7" s="1"/>
  <c r="AX1294" i="7"/>
  <c r="AU1301" i="7"/>
  <c r="AW1301" i="7" s="1"/>
  <c r="AX1301" i="7"/>
  <c r="AX1307" i="7"/>
  <c r="AU1307" i="7"/>
  <c r="AW1307" i="7" s="1"/>
  <c r="AK1657" i="7"/>
  <c r="AS1657" i="7" s="1"/>
  <c r="AU1657" i="7" s="1"/>
  <c r="AS1658" i="7"/>
  <c r="AU1658" i="7" s="1"/>
  <c r="AW1658" i="7" s="1"/>
  <c r="AN591" i="7"/>
  <c r="AN522" i="7" s="1"/>
  <c r="AL692" i="7"/>
  <c r="BM692" i="7" s="1"/>
  <c r="BN692" i="7" s="1"/>
  <c r="AP692" i="7"/>
  <c r="X897" i="7"/>
  <c r="AK962" i="7"/>
  <c r="AS962" i="7" s="1"/>
  <c r="AB964" i="7"/>
  <c r="AB959" i="7" s="1"/>
  <c r="AF964" i="7"/>
  <c r="AF959" i="7" s="1"/>
  <c r="AJ964" i="7"/>
  <c r="AJ959" i="7" s="1"/>
  <c r="V969" i="7"/>
  <c r="Z969" i="7"/>
  <c r="AD969" i="7"/>
  <c r="AH969" i="7"/>
  <c r="T959" i="7"/>
  <c r="X1077" i="7"/>
  <c r="W1056" i="7"/>
  <c r="AX1191" i="7"/>
  <c r="AU1191" i="7"/>
  <c r="AW1191" i="7" s="1"/>
  <c r="AU1229" i="7"/>
  <c r="AW1229" i="7" s="1"/>
  <c r="AX1229" i="7"/>
  <c r="AX1235" i="7"/>
  <c r="AU1235" i="7"/>
  <c r="AW1235" i="7" s="1"/>
  <c r="AX1254" i="7"/>
  <c r="AU1254" i="7"/>
  <c r="AW1254" i="7" s="1"/>
  <c r="AX1263" i="7"/>
  <c r="AU1263" i="7"/>
  <c r="AW1263" i="7" s="1"/>
  <c r="AX1280" i="7"/>
  <c r="AU1280" i="7"/>
  <c r="AW1280" i="7" s="1"/>
  <c r="X664" i="7"/>
  <c r="X668" i="7"/>
  <c r="Z692" i="7"/>
  <c r="AD692" i="7"/>
  <c r="AH692" i="7"/>
  <c r="AM692" i="7"/>
  <c r="AQ692" i="7"/>
  <c r="BN829" i="7"/>
  <c r="T816" i="7"/>
  <c r="BI816" i="7"/>
  <c r="U969" i="7"/>
  <c r="AC969" i="7"/>
  <c r="AN969" i="7"/>
  <c r="AR969" i="7"/>
  <c r="AS977" i="7"/>
  <c r="AU977" i="7" s="1"/>
  <c r="AW977" i="7" s="1"/>
  <c r="AS983" i="7"/>
  <c r="AU983" i="7" s="1"/>
  <c r="AW983" i="7" s="1"/>
  <c r="S985" i="7"/>
  <c r="AU1213" i="7"/>
  <c r="AW1213" i="7" s="1"/>
  <c r="AX1213" i="7"/>
  <c r="AX1217" i="7"/>
  <c r="AU1217" i="7"/>
  <c r="AW1217" i="7" s="1"/>
  <c r="AX1226" i="7"/>
  <c r="AA661" i="7"/>
  <c r="AE661" i="7"/>
  <c r="AH661" i="7"/>
  <c r="X685" i="7"/>
  <c r="AK693" i="7"/>
  <c r="AS693" i="7" s="1"/>
  <c r="AU693" i="7" s="1"/>
  <c r="AT793" i="7"/>
  <c r="AT692" i="7" s="1"/>
  <c r="U829" i="7"/>
  <c r="BH816" i="7"/>
  <c r="BF816" i="7"/>
  <c r="AC887" i="7"/>
  <c r="BC975" i="7"/>
  <c r="BE975" i="7" s="1"/>
  <c r="AB969" i="7"/>
  <c r="AF969" i="7"/>
  <c r="AJ969" i="7"/>
  <c r="AT969" i="7"/>
  <c r="AS982" i="7"/>
  <c r="AS1006" i="7"/>
  <c r="AU1006" i="7" s="1"/>
  <c r="AW1006" i="7" s="1"/>
  <c r="AK1005" i="7"/>
  <c r="AS1005" i="7" s="1"/>
  <c r="AU1005" i="7" s="1"/>
  <c r="W1085" i="7"/>
  <c r="X1085" i="7" s="1"/>
  <c r="BG987" i="7"/>
  <c r="U1096" i="7"/>
  <c r="AX1204" i="7"/>
  <c r="AU1204" i="7"/>
  <c r="AW1204" i="7" s="1"/>
  <c r="Y1004" i="7"/>
  <c r="AC1004" i="7"/>
  <c r="AG1004" i="7"/>
  <c r="AG986" i="7" s="1"/>
  <c r="AT1004" i="7"/>
  <c r="X1023" i="7"/>
  <c r="T985" i="7"/>
  <c r="BB987" i="7"/>
  <c r="AA1103" i="7"/>
  <c r="AA985" i="7" s="1"/>
  <c r="AE1103" i="7"/>
  <c r="AE987" i="7" s="1"/>
  <c r="AI1103" i="7"/>
  <c r="AI985" i="7" s="1"/>
  <c r="Z1103" i="7"/>
  <c r="Z985" i="7" s="1"/>
  <c r="AD1103" i="7"/>
  <c r="AD987" i="7" s="1"/>
  <c r="AH1103" i="7"/>
  <c r="AH985" i="7" s="1"/>
  <c r="X1131" i="7"/>
  <c r="AM1171" i="7"/>
  <c r="AQ1171" i="7"/>
  <c r="AK1172" i="7"/>
  <c r="AS1172" i="7" s="1"/>
  <c r="AS1173" i="7"/>
  <c r="AU1173" i="7" s="1"/>
  <c r="AW1173" i="7" s="1"/>
  <c r="AX1237" i="7"/>
  <c r="AU1237" i="7"/>
  <c r="AW1237" i="7" s="1"/>
  <c r="AX1260" i="7"/>
  <c r="AU1260" i="7"/>
  <c r="AW1260" i="7" s="1"/>
  <c r="AX1272" i="7"/>
  <c r="AU1272" i="7"/>
  <c r="AW1272" i="7" s="1"/>
  <c r="AU1296" i="7"/>
  <c r="AW1296" i="7" s="1"/>
  <c r="AX1296" i="7"/>
  <c r="AX1311" i="7"/>
  <c r="AU1311" i="7"/>
  <c r="AW1311" i="7" s="1"/>
  <c r="AL1004" i="7"/>
  <c r="BM1004" i="7" s="1"/>
  <c r="BN1004" i="7" s="1"/>
  <c r="AP1004" i="7"/>
  <c r="AY1004" i="7"/>
  <c r="BN1085" i="7"/>
  <c r="AY987" i="7"/>
  <c r="BN1131" i="7"/>
  <c r="X1146" i="7"/>
  <c r="BC1146" i="7" s="1"/>
  <c r="BE1146" i="7" s="1"/>
  <c r="BI1139" i="7"/>
  <c r="AL1154" i="7"/>
  <c r="BM1154" i="7" s="1"/>
  <c r="BN1154" i="7" s="1"/>
  <c r="AK1178" i="7"/>
  <c r="AS1178" i="7" s="1"/>
  <c r="AU1178" i="7" s="1"/>
  <c r="AS1179" i="7"/>
  <c r="AU1179" i="7" s="1"/>
  <c r="AW1179" i="7" s="1"/>
  <c r="AU1271" i="7"/>
  <c r="AW1271" i="7" s="1"/>
  <c r="AX1271" i="7"/>
  <c r="AX1295" i="7"/>
  <c r="AU1295" i="7"/>
  <c r="AW1295" i="7" s="1"/>
  <c r="AU1306" i="7"/>
  <c r="AW1306" i="7" s="1"/>
  <c r="AX1306" i="7"/>
  <c r="AX1559" i="7"/>
  <c r="AU1559" i="7"/>
  <c r="AW1559" i="7" s="1"/>
  <c r="AK1574" i="7"/>
  <c r="AK1573" i="7" s="1"/>
  <c r="BJ1573" i="7" s="1"/>
  <c r="AS1575" i="7"/>
  <c r="AU1575" i="7" s="1"/>
  <c r="AW1575" i="7" s="1"/>
  <c r="BI986" i="7"/>
  <c r="V1004" i="7"/>
  <c r="AA1056" i="7"/>
  <c r="AE1056" i="7"/>
  <c r="AI1056" i="7"/>
  <c r="AM1056" i="7"/>
  <c r="AQ1056" i="7"/>
  <c r="AQ984" i="7" s="1"/>
  <c r="AK1097" i="7"/>
  <c r="AK1096" i="7" s="1"/>
  <c r="BJ1096" i="7" s="1"/>
  <c r="BK1096" i="7" s="1"/>
  <c r="AK1112" i="7"/>
  <c r="AK1111" i="7" s="1"/>
  <c r="BJ1111" i="7" s="1"/>
  <c r="BK1111" i="7" s="1"/>
  <c r="BC1120" i="7"/>
  <c r="BE1120" i="7" s="1"/>
  <c r="BC1122" i="7"/>
  <c r="BE1122" i="7" s="1"/>
  <c r="BN1127" i="7"/>
  <c r="BL1137" i="7"/>
  <c r="AM1154" i="7"/>
  <c r="AK1155" i="7"/>
  <c r="AS1155" i="7" s="1"/>
  <c r="AS1156" i="7"/>
  <c r="AU1156" i="7" s="1"/>
  <c r="AW1156" i="7" s="1"/>
  <c r="AJ1164" i="7"/>
  <c r="W1183" i="7"/>
  <c r="X1186" i="7"/>
  <c r="AX1215" i="7"/>
  <c r="AU1215" i="7"/>
  <c r="AW1215" i="7" s="1"/>
  <c r="AX1230" i="7"/>
  <c r="AU1230" i="7"/>
  <c r="AW1230" i="7" s="1"/>
  <c r="AX1273" i="7"/>
  <c r="AU1273" i="7"/>
  <c r="AW1273" i="7" s="1"/>
  <c r="AX1284" i="7"/>
  <c r="AU1284" i="7"/>
  <c r="AW1284" i="7" s="1"/>
  <c r="AU1310" i="7"/>
  <c r="AW1310" i="7" s="1"/>
  <c r="AX1310" i="7"/>
  <c r="BN1151" i="7"/>
  <c r="V1164" i="7"/>
  <c r="AA1164" i="7"/>
  <c r="AE1164" i="7"/>
  <c r="AI1164" i="7"/>
  <c r="AN1164" i="7"/>
  <c r="AR1164" i="7"/>
  <c r="X1167" i="7"/>
  <c r="Z1164" i="7"/>
  <c r="AD1164" i="7"/>
  <c r="AH1164" i="7"/>
  <c r="AL1164" i="7"/>
  <c r="BM1164" i="7" s="1"/>
  <c r="BN1164" i="7" s="1"/>
  <c r="AB1171" i="7"/>
  <c r="AN1171" i="7"/>
  <c r="AR1171" i="7"/>
  <c r="AS1431" i="7"/>
  <c r="X1431" i="7"/>
  <c r="BC1431" i="7" s="1"/>
  <c r="BE1431" i="7" s="1"/>
  <c r="U1430" i="7"/>
  <c r="X1430" i="7" s="1"/>
  <c r="AS1557" i="7"/>
  <c r="AU1557" i="7" s="1"/>
  <c r="AW1557" i="7" s="1"/>
  <c r="AK1555" i="7"/>
  <c r="AS1555" i="7" s="1"/>
  <c r="AK1579" i="7"/>
  <c r="AS1579" i="7" s="1"/>
  <c r="AS1583" i="7"/>
  <c r="AU1583" i="7" s="1"/>
  <c r="AW1583" i="7" s="1"/>
  <c r="AB1649" i="7"/>
  <c r="AB1650" i="7"/>
  <c r="AF1650" i="7"/>
  <c r="AF1649" i="7"/>
  <c r="AJ1649" i="7"/>
  <c r="AJ1650" i="7"/>
  <c r="BH1137" i="7"/>
  <c r="AO1154" i="7"/>
  <c r="AQ1154" i="7"/>
  <c r="AB1164" i="7"/>
  <c r="AS1184" i="7"/>
  <c r="AU1184" i="7" s="1"/>
  <c r="AL1183" i="7"/>
  <c r="BM1183" i="7" s="1"/>
  <c r="BN1183" i="7" s="1"/>
  <c r="AP1183" i="7"/>
  <c r="AX1562" i="7"/>
  <c r="AU1562" i="7"/>
  <c r="AW1562" i="7" s="1"/>
  <c r="W1603" i="7"/>
  <c r="W1604" i="7"/>
  <c r="Z1154" i="7"/>
  <c r="AH1154" i="7"/>
  <c r="AP1154" i="7"/>
  <c r="X1160" i="7"/>
  <c r="AR1183" i="7"/>
  <c r="AX1187" i="7"/>
  <c r="AX1202" i="7"/>
  <c r="AX1239" i="7"/>
  <c r="AX1248" i="7"/>
  <c r="AU1255" i="7"/>
  <c r="AW1255" i="7" s="1"/>
  <c r="AX1266" i="7"/>
  <c r="X1570" i="7"/>
  <c r="W1649" i="7"/>
  <c r="Y1433" i="7"/>
  <c r="AC1433" i="7"/>
  <c r="AG1433" i="7"/>
  <c r="V1578" i="7"/>
  <c r="AB1578" i="7"/>
  <c r="AF1578" i="7"/>
  <c r="AS1429" i="7"/>
  <c r="AU1429" i="7" s="1"/>
  <c r="AW1429" i="7" s="1"/>
  <c r="AN1554" i="7"/>
  <c r="AR1554" i="7"/>
  <c r="AX1561" i="7"/>
  <c r="AL1603" i="7"/>
  <c r="AP1603" i="7"/>
  <c r="AN1433" i="7"/>
  <c r="AR1433" i="7"/>
  <c r="X1443" i="7"/>
  <c r="Y1554" i="7"/>
  <c r="AC1554" i="7"/>
  <c r="AG1554" i="7"/>
  <c r="AO1554" i="7"/>
  <c r="AA1573" i="7"/>
  <c r="AE1573" i="7"/>
  <c r="AM1573" i="7"/>
  <c r="AB1604" i="7"/>
  <c r="AF1604" i="7"/>
  <c r="AJ1604" i="7"/>
  <c r="AA1649" i="7"/>
  <c r="AE1650" i="7"/>
  <c r="AI1649" i="7"/>
  <c r="AX392" i="7"/>
  <c r="AU392" i="7"/>
  <c r="AW392" i="7" s="1"/>
  <c r="AX432" i="7"/>
  <c r="AU432" i="7"/>
  <c r="AW432" i="7" s="1"/>
  <c r="AX483" i="7"/>
  <c r="AU483" i="7"/>
  <c r="AW483" i="7" s="1"/>
  <c r="AX376" i="7"/>
  <c r="AU376" i="7"/>
  <c r="AW376" i="7" s="1"/>
  <c r="AX384" i="7"/>
  <c r="AU384" i="7"/>
  <c r="AW384" i="7" s="1"/>
  <c r="AX424" i="7"/>
  <c r="AU424" i="7"/>
  <c r="AW424" i="7" s="1"/>
  <c r="AX467" i="7"/>
  <c r="AU467" i="7"/>
  <c r="AW467" i="7" s="1"/>
  <c r="AX475" i="7"/>
  <c r="AU475" i="7"/>
  <c r="AW475" i="7" s="1"/>
  <c r="AX451" i="7"/>
  <c r="AU451" i="7"/>
  <c r="AW451" i="7" s="1"/>
  <c r="AX408" i="7"/>
  <c r="AU408" i="7"/>
  <c r="AW408" i="7" s="1"/>
  <c r="AX443" i="7"/>
  <c r="AU443" i="7"/>
  <c r="AW443" i="7" s="1"/>
  <c r="AX499" i="7"/>
  <c r="AU499" i="7"/>
  <c r="AW499" i="7" s="1"/>
  <c r="AU405" i="7"/>
  <c r="AW405" i="7" s="1"/>
  <c r="AX405" i="7"/>
  <c r="AX431" i="7"/>
  <c r="AU431" i="7"/>
  <c r="AW431" i="7" s="1"/>
  <c r="AX450" i="7"/>
  <c r="AU450" i="7"/>
  <c r="AW450" i="7" s="1"/>
  <c r="AX482" i="7"/>
  <c r="AU482" i="7"/>
  <c r="AW482" i="7" s="1"/>
  <c r="BM506" i="7"/>
  <c r="AL280" i="7"/>
  <c r="AX569" i="7"/>
  <c r="AU569" i="7"/>
  <c r="AW569" i="7" s="1"/>
  <c r="AS658" i="7"/>
  <c r="AU658" i="7" s="1"/>
  <c r="AW658" i="7" s="1"/>
  <c r="AK657" i="7"/>
  <c r="AS676" i="7"/>
  <c r="AU676" i="7" s="1"/>
  <c r="AW676" i="7" s="1"/>
  <c r="AK672" i="7"/>
  <c r="AS672" i="7" s="1"/>
  <c r="AX1231" i="7"/>
  <c r="AU1231" i="7"/>
  <c r="AW1231" i="7" s="1"/>
  <c r="AX1285" i="7"/>
  <c r="AU1285" i="7"/>
  <c r="AW1285" i="7" s="1"/>
  <c r="U13" i="7"/>
  <c r="Y13" i="7"/>
  <c r="AC13" i="7"/>
  <c r="AG13" i="7"/>
  <c r="AO13" i="7"/>
  <c r="AS14" i="7"/>
  <c r="AL69" i="7"/>
  <c r="W70" i="7"/>
  <c r="AS74" i="7"/>
  <c r="AU74" i="7" s="1"/>
  <c r="AW74" i="7" s="1"/>
  <c r="AK73" i="7"/>
  <c r="AS73" i="7" s="1"/>
  <c r="AU73" i="7" s="1"/>
  <c r="S149" i="7"/>
  <c r="AK162" i="7"/>
  <c r="BK267" i="7"/>
  <c r="X276" i="7"/>
  <c r="AS292" i="7"/>
  <c r="AU295" i="7"/>
  <c r="AW295" i="7" s="1"/>
  <c r="AX300" i="7"/>
  <c r="AU300" i="7"/>
  <c r="AW300" i="7" s="1"/>
  <c r="AX303" i="7"/>
  <c r="AU303" i="7"/>
  <c r="AW303" i="7" s="1"/>
  <c r="AS351" i="7"/>
  <c r="AX351" i="7" s="1"/>
  <c r="AU381" i="7"/>
  <c r="AW381" i="7" s="1"/>
  <c r="AX381" i="7"/>
  <c r="AU390" i="7"/>
  <c r="AW390" i="7" s="1"/>
  <c r="AX399" i="7"/>
  <c r="AU399" i="7"/>
  <c r="AW399" i="7" s="1"/>
  <c r="AU411" i="7"/>
  <c r="AW411" i="7" s="1"/>
  <c r="AU417" i="7"/>
  <c r="AW417" i="7" s="1"/>
  <c r="AX417" i="7"/>
  <c r="AU430" i="7"/>
  <c r="AW430" i="7" s="1"/>
  <c r="AU440" i="7"/>
  <c r="AW440" i="7" s="1"/>
  <c r="AX440" i="7"/>
  <c r="AU449" i="7"/>
  <c r="AW449" i="7" s="1"/>
  <c r="AX458" i="7"/>
  <c r="AU458" i="7"/>
  <c r="AW458" i="7" s="1"/>
  <c r="AU472" i="7"/>
  <c r="AW472" i="7" s="1"/>
  <c r="AX472" i="7"/>
  <c r="AU481" i="7"/>
  <c r="AW481" i="7" s="1"/>
  <c r="AX490" i="7"/>
  <c r="AU490" i="7"/>
  <c r="AW490" i="7" s="1"/>
  <c r="AS505" i="7"/>
  <c r="AK504" i="7"/>
  <c r="AK503" i="7" s="1"/>
  <c r="BJ503" i="7" s="1"/>
  <c r="BK503" i="7" s="1"/>
  <c r="AU515" i="7"/>
  <c r="AW515" i="7" s="1"/>
  <c r="AX520" i="7"/>
  <c r="AU520" i="7"/>
  <c r="AW520" i="7" s="1"/>
  <c r="AX544" i="7"/>
  <c r="AX552" i="7"/>
  <c r="AU552" i="7"/>
  <c r="AW552" i="7" s="1"/>
  <c r="AX555" i="7"/>
  <c r="AU555" i="7"/>
  <c r="AW555" i="7" s="1"/>
  <c r="AL522" i="7"/>
  <c r="BM69" i="7"/>
  <c r="AK179" i="7"/>
  <c r="AX296" i="7"/>
  <c r="AU296" i="7"/>
  <c r="AW296" i="7" s="1"/>
  <c r="AU373" i="7"/>
  <c r="AW373" i="7" s="1"/>
  <c r="AX373" i="7"/>
  <c r="AX391" i="7"/>
  <c r="AU391" i="7"/>
  <c r="AW391" i="7" s="1"/>
  <c r="AX420" i="7"/>
  <c r="AU420" i="7"/>
  <c r="AW420" i="7" s="1"/>
  <c r="AX459" i="7"/>
  <c r="AU459" i="7"/>
  <c r="AW459" i="7" s="1"/>
  <c r="AX491" i="7"/>
  <c r="AU491" i="7"/>
  <c r="AW491" i="7" s="1"/>
  <c r="AK592" i="7"/>
  <c r="AS592" i="7" s="1"/>
  <c r="AS601" i="7"/>
  <c r="AU601" i="7" s="1"/>
  <c r="AW601" i="7" s="1"/>
  <c r="AS663" i="7"/>
  <c r="AU663" i="7" s="1"/>
  <c r="AW663" i="7" s="1"/>
  <c r="AK662" i="7"/>
  <c r="AS662" i="7" s="1"/>
  <c r="X813" i="7"/>
  <c r="U812" i="7"/>
  <c r="X812" i="7" s="1"/>
  <c r="AX1200" i="7"/>
  <c r="AU1200" i="7"/>
  <c r="AW1200" i="7" s="1"/>
  <c r="BB10" i="7"/>
  <c r="U54" i="7"/>
  <c r="AS56" i="7"/>
  <c r="AU56" i="7" s="1"/>
  <c r="AW56" i="7" s="1"/>
  <c r="AK55" i="7"/>
  <c r="Y75" i="7"/>
  <c r="AC75" i="7"/>
  <c r="AG75" i="7"/>
  <c r="AO75" i="7"/>
  <c r="AS145" i="7"/>
  <c r="AU145" i="7" s="1"/>
  <c r="AS179" i="7"/>
  <c r="X179" i="7"/>
  <c r="AK212" i="7"/>
  <c r="AS212" i="7" s="1"/>
  <c r="AU212" i="7" s="1"/>
  <c r="AS272" i="7"/>
  <c r="AU272" i="7" s="1"/>
  <c r="AW272" i="7" s="1"/>
  <c r="AK271" i="7"/>
  <c r="AX291" i="7"/>
  <c r="AU291" i="7"/>
  <c r="AW291" i="7" s="1"/>
  <c r="AX375" i="7"/>
  <c r="AU375" i="7"/>
  <c r="AW375" i="7" s="1"/>
  <c r="AU389" i="7"/>
  <c r="AW389" i="7" s="1"/>
  <c r="AX389" i="7"/>
  <c r="AU398" i="7"/>
  <c r="AW398" i="7" s="1"/>
  <c r="AX407" i="7"/>
  <c r="AU407" i="7"/>
  <c r="AW407" i="7" s="1"/>
  <c r="AU429" i="7"/>
  <c r="AW429" i="7" s="1"/>
  <c r="AX429" i="7"/>
  <c r="AX436" i="7"/>
  <c r="AU436" i="7"/>
  <c r="AW436" i="7" s="1"/>
  <c r="AU448" i="7"/>
  <c r="AW448" i="7" s="1"/>
  <c r="AX448" i="7"/>
  <c r="AU457" i="7"/>
  <c r="AW457" i="7" s="1"/>
  <c r="AX466" i="7"/>
  <c r="AU466" i="7"/>
  <c r="AW466" i="7" s="1"/>
  <c r="AU480" i="7"/>
  <c r="AW480" i="7" s="1"/>
  <c r="AX480" i="7"/>
  <c r="AU489" i="7"/>
  <c r="AW489" i="7" s="1"/>
  <c r="AX498" i="7"/>
  <c r="AU498" i="7"/>
  <c r="AW498" i="7" s="1"/>
  <c r="AS525" i="7"/>
  <c r="AU525" i="7" s="1"/>
  <c r="AW525" i="7" s="1"/>
  <c r="AK524" i="7"/>
  <c r="AS524" i="7" s="1"/>
  <c r="AT541" i="7"/>
  <c r="AT540" i="7" s="1"/>
  <c r="AX546" i="7"/>
  <c r="AU546" i="7"/>
  <c r="AW546" i="7" s="1"/>
  <c r="BI971" i="7"/>
  <c r="AS971" i="7"/>
  <c r="AK970" i="7"/>
  <c r="BJ971" i="7"/>
  <c r="BC971" i="7"/>
  <c r="AX304" i="7"/>
  <c r="AU304" i="7"/>
  <c r="AW304" i="7" s="1"/>
  <c r="AX400" i="7"/>
  <c r="AU400" i="7"/>
  <c r="AW400" i="7" s="1"/>
  <c r="AX412" i="7"/>
  <c r="AU412" i="7"/>
  <c r="AW412" i="7" s="1"/>
  <c r="AU464" i="7"/>
  <c r="AW464" i="7" s="1"/>
  <c r="AX464" i="7"/>
  <c r="AU496" i="7"/>
  <c r="AW496" i="7" s="1"/>
  <c r="AX496" i="7"/>
  <c r="X57" i="7"/>
  <c r="X71" i="7"/>
  <c r="U70" i="7"/>
  <c r="X76" i="7"/>
  <c r="U75" i="7"/>
  <c r="X152" i="7"/>
  <c r="AU179" i="7"/>
  <c r="AW179" i="7" s="1"/>
  <c r="AX190" i="7"/>
  <c r="X268" i="7"/>
  <c r="BC268" i="7" s="1"/>
  <c r="U267" i="7"/>
  <c r="W281" i="7"/>
  <c r="U281" i="7"/>
  <c r="AU301" i="7"/>
  <c r="AW301" i="7" s="1"/>
  <c r="AX301" i="7"/>
  <c r="AU374" i="7"/>
  <c r="AW374" i="7" s="1"/>
  <c r="AX383" i="7"/>
  <c r="AU383" i="7"/>
  <c r="AW383" i="7" s="1"/>
  <c r="AU397" i="7"/>
  <c r="AW397" i="7" s="1"/>
  <c r="AX397" i="7"/>
  <c r="AU406" i="7"/>
  <c r="AW406" i="7" s="1"/>
  <c r="AX421" i="7"/>
  <c r="AX423" i="7"/>
  <c r="AU423" i="7"/>
  <c r="AW423" i="7" s="1"/>
  <c r="AK434" i="7"/>
  <c r="AX442" i="7"/>
  <c r="AU442" i="7"/>
  <c r="AW442" i="7" s="1"/>
  <c r="AU456" i="7"/>
  <c r="AW456" i="7" s="1"/>
  <c r="AX456" i="7"/>
  <c r="AU465" i="7"/>
  <c r="AW465" i="7" s="1"/>
  <c r="AX474" i="7"/>
  <c r="AU474" i="7"/>
  <c r="AW474" i="7" s="1"/>
  <c r="AU488" i="7"/>
  <c r="AW488" i="7" s="1"/>
  <c r="AX488" i="7"/>
  <c r="AU497" i="7"/>
  <c r="AW497" i="7" s="1"/>
  <c r="X504" i="7"/>
  <c r="AS532" i="7"/>
  <c r="AU532" i="7" s="1"/>
  <c r="AW532" i="7" s="1"/>
  <c r="AK526" i="7"/>
  <c r="X672" i="7"/>
  <c r="U671" i="7"/>
  <c r="AI692" i="7"/>
  <c r="X60" i="7"/>
  <c r="X145" i="7"/>
  <c r="BC145" i="7" s="1"/>
  <c r="BE145" i="7" s="1"/>
  <c r="U161" i="7"/>
  <c r="Y161" i="7"/>
  <c r="Y149" i="7" s="1"/>
  <c r="AC161" i="7"/>
  <c r="AC149" i="7" s="1"/>
  <c r="AG161" i="7"/>
  <c r="AG149" i="7" s="1"/>
  <c r="AO161" i="7"/>
  <c r="AO149" i="7" s="1"/>
  <c r="AB348" i="7"/>
  <c r="AF348" i="7"/>
  <c r="AJ348" i="7"/>
  <c r="AY521" i="7"/>
  <c r="AX548" i="7"/>
  <c r="AU548" i="7"/>
  <c r="AW548" i="7" s="1"/>
  <c r="AX562" i="7"/>
  <c r="AU562" i="7"/>
  <c r="AW562" i="7" s="1"/>
  <c r="AK619" i="7"/>
  <c r="AS619" i="7" s="1"/>
  <c r="AU619" i="7" s="1"/>
  <c r="AS621" i="7"/>
  <c r="AU621" i="7" s="1"/>
  <c r="AW621" i="7" s="1"/>
  <c r="AS669" i="7"/>
  <c r="AN671" i="7"/>
  <c r="AR671" i="7"/>
  <c r="W692" i="7"/>
  <c r="AK720" i="7"/>
  <c r="AX972" i="7"/>
  <c r="BL984" i="7"/>
  <c r="BL986" i="7"/>
  <c r="AS1040" i="7"/>
  <c r="AU1040" i="7" s="1"/>
  <c r="AW1040" i="7" s="1"/>
  <c r="AK1023" i="7"/>
  <c r="AS1023" i="7" s="1"/>
  <c r="AU1023" i="7" s="1"/>
  <c r="AS680" i="7"/>
  <c r="AU680" i="7" s="1"/>
  <c r="AW680" i="7" s="1"/>
  <c r="AK679" i="7"/>
  <c r="AS679" i="7" s="1"/>
  <c r="AU679" i="7" s="1"/>
  <c r="AA692" i="7"/>
  <c r="AE692" i="7"/>
  <c r="X890" i="7"/>
  <c r="U887" i="7"/>
  <c r="AS1087" i="7"/>
  <c r="AU1087" i="7" s="1"/>
  <c r="AW1087" i="7" s="1"/>
  <c r="AK1086" i="7"/>
  <c r="AK1085" i="7" s="1"/>
  <c r="BJ1085" i="7" s="1"/>
  <c r="BK1085" i="7" s="1"/>
  <c r="AF987" i="7"/>
  <c r="X158" i="7"/>
  <c r="AS159" i="7"/>
  <c r="AU159" i="7" s="1"/>
  <c r="AW159" i="7" s="1"/>
  <c r="AK158" i="7"/>
  <c r="AK157" i="7" s="1"/>
  <c r="BN267" i="7"/>
  <c r="X282" i="7"/>
  <c r="BC286" i="7"/>
  <c r="AX297" i="7"/>
  <c r="AT349" i="7"/>
  <c r="AT348" i="7" s="1"/>
  <c r="AX372" i="7"/>
  <c r="AU372" i="7"/>
  <c r="AW372" i="7" s="1"/>
  <c r="AX380" i="7"/>
  <c r="AU380" i="7"/>
  <c r="AW380" i="7" s="1"/>
  <c r="AX388" i="7"/>
  <c r="AU388" i="7"/>
  <c r="AW388" i="7" s="1"/>
  <c r="AX396" i="7"/>
  <c r="AU396" i="7"/>
  <c r="AW396" i="7" s="1"/>
  <c r="AX404" i="7"/>
  <c r="AU404" i="7"/>
  <c r="AW404" i="7" s="1"/>
  <c r="AX416" i="7"/>
  <c r="AU416" i="7"/>
  <c r="AW416" i="7" s="1"/>
  <c r="AX428" i="7"/>
  <c r="AU428" i="7"/>
  <c r="AW428" i="7" s="1"/>
  <c r="AX439" i="7"/>
  <c r="AU439" i="7"/>
  <c r="AW439" i="7" s="1"/>
  <c r="AX447" i="7"/>
  <c r="AU447" i="7"/>
  <c r="AW447" i="7" s="1"/>
  <c r="AX455" i="7"/>
  <c r="AU455" i="7"/>
  <c r="AW455" i="7" s="1"/>
  <c r="AX463" i="7"/>
  <c r="AU463" i="7"/>
  <c r="AW463" i="7" s="1"/>
  <c r="AX471" i="7"/>
  <c r="AU471" i="7"/>
  <c r="AW471" i="7" s="1"/>
  <c r="AX479" i="7"/>
  <c r="AU479" i="7"/>
  <c r="AW479" i="7" s="1"/>
  <c r="AX487" i="7"/>
  <c r="AU487" i="7"/>
  <c r="AW487" i="7" s="1"/>
  <c r="AX495" i="7"/>
  <c r="AU495" i="7"/>
  <c r="AW495" i="7" s="1"/>
  <c r="X514" i="7"/>
  <c r="AX517" i="7"/>
  <c r="AN523" i="7"/>
  <c r="AR523" i="7"/>
  <c r="X536" i="7"/>
  <c r="X540" i="7"/>
  <c r="AK541" i="7"/>
  <c r="AS541" i="7" s="1"/>
  <c r="AX542" i="7"/>
  <c r="AU542" i="7"/>
  <c r="AW542" i="7" s="1"/>
  <c r="AX550" i="7"/>
  <c r="AU550" i="7"/>
  <c r="AW550" i="7" s="1"/>
  <c r="AX564" i="7"/>
  <c r="X592" i="7"/>
  <c r="AM661" i="7"/>
  <c r="AQ661" i="7"/>
  <c r="AS687" i="7"/>
  <c r="AU687" i="7" s="1"/>
  <c r="AW687" i="7" s="1"/>
  <c r="AK686" i="7"/>
  <c r="AK685" i="7" s="1"/>
  <c r="BJ685" i="7" s="1"/>
  <c r="BK685" i="7" s="1"/>
  <c r="X847" i="7"/>
  <c r="BC847" i="7" s="1"/>
  <c r="BE847" i="7" s="1"/>
  <c r="U842" i="7"/>
  <c r="AS847" i="7"/>
  <c r="AU847" i="7" s="1"/>
  <c r="BN857" i="7"/>
  <c r="AA964" i="7"/>
  <c r="AA959" i="7" s="1"/>
  <c r="AE964" i="7"/>
  <c r="AE959" i="7" s="1"/>
  <c r="AI964" i="7"/>
  <c r="AI959" i="7" s="1"/>
  <c r="X1115" i="7"/>
  <c r="U1114" i="7"/>
  <c r="X1114" i="7" s="1"/>
  <c r="U591" i="7"/>
  <c r="X669" i="7"/>
  <c r="BC669" i="7" s="1"/>
  <c r="X693" i="7"/>
  <c r="X720" i="7"/>
  <c r="V829" i="7"/>
  <c r="X830" i="7"/>
  <c r="AY853" i="7"/>
  <c r="AU853" i="7"/>
  <c r="AW853" i="7" s="1"/>
  <c r="AY856" i="7"/>
  <c r="AU856" i="7"/>
  <c r="AW856" i="7" s="1"/>
  <c r="AK858" i="7"/>
  <c r="AK857" i="7" s="1"/>
  <c r="BJ857" i="7" s="1"/>
  <c r="BK857" i="7" s="1"/>
  <c r="AS861" i="7"/>
  <c r="AU861" i="7" s="1"/>
  <c r="AW861" i="7" s="1"/>
  <c r="BM815" i="7"/>
  <c r="BN896" i="7"/>
  <c r="BN815" i="7" s="1"/>
  <c r="X962" i="7"/>
  <c r="U961" i="7"/>
  <c r="AK973" i="7"/>
  <c r="BJ973" i="7" s="1"/>
  <c r="BK973" i="7" s="1"/>
  <c r="AS976" i="7"/>
  <c r="AU976" i="7" s="1"/>
  <c r="AK989" i="7"/>
  <c r="AK988" i="7" s="1"/>
  <c r="AS993" i="7"/>
  <c r="AU993" i="7" s="1"/>
  <c r="AW993" i="7" s="1"/>
  <c r="X1057" i="7"/>
  <c r="U1056" i="7"/>
  <c r="X1178" i="7"/>
  <c r="X619" i="7"/>
  <c r="X817" i="7"/>
  <c r="AK818" i="7"/>
  <c r="AK817" i="7" s="1"/>
  <c r="BN961" i="7"/>
  <c r="BF969" i="7"/>
  <c r="BJ974" i="7"/>
  <c r="BK974" i="7" s="1"/>
  <c r="BM1096" i="7"/>
  <c r="BI987" i="7"/>
  <c r="BI985" i="7"/>
  <c r="AS1133" i="7"/>
  <c r="AU1133" i="7" s="1"/>
  <c r="AW1133" i="7" s="1"/>
  <c r="AK1132" i="7"/>
  <c r="AK1131" i="7" s="1"/>
  <c r="BJ1131" i="7" s="1"/>
  <c r="BK1131" i="7" s="1"/>
  <c r="X793" i="7"/>
  <c r="X815" i="7"/>
  <c r="BN817" i="7"/>
  <c r="BL816" i="7"/>
  <c r="AY852" i="7"/>
  <c r="AY847" i="7" s="1"/>
  <c r="AY842" i="7" s="1"/>
  <c r="AY816" i="7" s="1"/>
  <c r="AU852" i="7"/>
  <c r="AW852" i="7" s="1"/>
  <c r="X896" i="7"/>
  <c r="AK897" i="7"/>
  <c r="AK896" i="7" s="1"/>
  <c r="AS900" i="7"/>
  <c r="AU900" i="7" s="1"/>
  <c r="AW900" i="7" s="1"/>
  <c r="X960" i="7"/>
  <c r="X9" i="7" s="1"/>
  <c r="AM964" i="7"/>
  <c r="AM959" i="7" s="1"/>
  <c r="AQ964" i="7"/>
  <c r="AQ959" i="7" s="1"/>
  <c r="AS967" i="7"/>
  <c r="AU967" i="7" s="1"/>
  <c r="AX974" i="7"/>
  <c r="T986" i="7"/>
  <c r="T984" i="7"/>
  <c r="X1045" i="7"/>
  <c r="W1117" i="7"/>
  <c r="X1117" i="7" s="1"/>
  <c r="X1118" i="7"/>
  <c r="AS834" i="7"/>
  <c r="AU834" i="7" s="1"/>
  <c r="AW834" i="7" s="1"/>
  <c r="U857" i="7"/>
  <c r="X857" i="7" s="1"/>
  <c r="X888" i="7"/>
  <c r="X967" i="7"/>
  <c r="BC967" i="7" s="1"/>
  <c r="BJ972" i="7"/>
  <c r="U978" i="7"/>
  <c r="X978" i="7" s="1"/>
  <c r="AK978" i="7"/>
  <c r="BJ978" i="7" s="1"/>
  <c r="BK978" i="7" s="1"/>
  <c r="BM988" i="7"/>
  <c r="X989" i="7"/>
  <c r="BH987" i="7"/>
  <c r="BH985" i="7"/>
  <c r="X1097" i="7"/>
  <c r="V1096" i="7"/>
  <c r="AS1102" i="7"/>
  <c r="AU1102" i="7" s="1"/>
  <c r="AW1102" i="7" s="1"/>
  <c r="AK1101" i="7"/>
  <c r="AK1100" i="7" s="1"/>
  <c r="W1103" i="7"/>
  <c r="X1104" i="7"/>
  <c r="X1106" i="7"/>
  <c r="U1103" i="7"/>
  <c r="W1108" i="7"/>
  <c r="X1108" i="7" s="1"/>
  <c r="X1109" i="7"/>
  <c r="X1125" i="7"/>
  <c r="BN1124" i="7"/>
  <c r="AT1124" i="7"/>
  <c r="BH1139" i="7"/>
  <c r="T1137" i="7"/>
  <c r="T1139" i="7"/>
  <c r="W1164" i="7"/>
  <c r="X1165" i="7"/>
  <c r="AX1228" i="7"/>
  <c r="AU1228" i="7"/>
  <c r="AW1228" i="7" s="1"/>
  <c r="AX1270" i="7"/>
  <c r="AU1270" i="7"/>
  <c r="AW1270" i="7" s="1"/>
  <c r="AX1278" i="7"/>
  <c r="AU1278" i="7"/>
  <c r="AW1278" i="7" s="1"/>
  <c r="X840" i="7"/>
  <c r="X858" i="7"/>
  <c r="BC972" i="7"/>
  <c r="X988" i="7"/>
  <c r="X1005" i="7"/>
  <c r="U1004" i="7"/>
  <c r="X1124" i="7"/>
  <c r="W1127" i="7"/>
  <c r="X1127" i="7" s="1"/>
  <c r="X1128" i="7"/>
  <c r="X1135" i="7"/>
  <c r="U1134" i="7"/>
  <c r="X1134" i="7" s="1"/>
  <c r="AM1141" i="7"/>
  <c r="AQ1141" i="7"/>
  <c r="AX1211" i="7"/>
  <c r="AU1211" i="7"/>
  <c r="AW1211" i="7" s="1"/>
  <c r="AU1221" i="7"/>
  <c r="AW1221" i="7" s="1"/>
  <c r="AX1221" i="7"/>
  <c r="AX1268" i="7"/>
  <c r="AU1268" i="7"/>
  <c r="AW1268" i="7" s="1"/>
  <c r="X981" i="7"/>
  <c r="X982" i="7"/>
  <c r="BC982" i="7" s="1"/>
  <c r="AK1045" i="7"/>
  <c r="AS1045" i="7" s="1"/>
  <c r="AU1045" i="7" s="1"/>
  <c r="AK1057" i="7"/>
  <c r="BL987" i="7"/>
  <c r="BL985" i="7"/>
  <c r="AA1141" i="7"/>
  <c r="AK1162" i="7"/>
  <c r="AS1163" i="7"/>
  <c r="AU1163" i="7" s="1"/>
  <c r="AW1163" i="7" s="1"/>
  <c r="AU1207" i="7"/>
  <c r="AW1207" i="7" s="1"/>
  <c r="AX1207" i="7"/>
  <c r="AX1232" i="7"/>
  <c r="AU1232" i="7"/>
  <c r="AW1232" i="7" s="1"/>
  <c r="AX1238" i="7"/>
  <c r="AU1238" i="7"/>
  <c r="AW1238" i="7" s="1"/>
  <c r="AX1247" i="7"/>
  <c r="AU1247" i="7"/>
  <c r="AW1247" i="7" s="1"/>
  <c r="AU1257" i="7"/>
  <c r="AW1257" i="7" s="1"/>
  <c r="AX1257" i="7"/>
  <c r="AX1265" i="7"/>
  <c r="AU1265" i="7"/>
  <c r="AW1265" i="7" s="1"/>
  <c r="BI1137" i="7"/>
  <c r="AS1150" i="7"/>
  <c r="AU1150" i="7" s="1"/>
  <c r="AW1150" i="7" s="1"/>
  <c r="AK1149" i="7"/>
  <c r="AK1148" i="7" s="1"/>
  <c r="BJ1148" i="7" s="1"/>
  <c r="BK1148" i="7" s="1"/>
  <c r="X1155" i="7"/>
  <c r="U1154" i="7"/>
  <c r="AS1170" i="7"/>
  <c r="AU1170" i="7" s="1"/>
  <c r="AW1170" i="7" s="1"/>
  <c r="AK1169" i="7"/>
  <c r="AS1169" i="7" s="1"/>
  <c r="AU1169" i="7" s="1"/>
  <c r="Y1171" i="7"/>
  <c r="AC1171" i="7"/>
  <c r="AG1171" i="7"/>
  <c r="AO1171" i="7"/>
  <c r="BK1180" i="7"/>
  <c r="AS1195" i="7"/>
  <c r="AK1186" i="7"/>
  <c r="AS1186" i="7" s="1"/>
  <c r="AX1210" i="7"/>
  <c r="AU1210" i="7"/>
  <c r="AW1210" i="7" s="1"/>
  <c r="AU1234" i="7"/>
  <c r="AW1234" i="7" s="1"/>
  <c r="AX1234" i="7"/>
  <c r="AX1246" i="7"/>
  <c r="AU1246" i="7"/>
  <c r="AW1246" i="7" s="1"/>
  <c r="AU1275" i="7"/>
  <c r="AW1275" i="7" s="1"/>
  <c r="AX1275" i="7"/>
  <c r="AX1282" i="7"/>
  <c r="AU1282" i="7"/>
  <c r="AW1282" i="7" s="1"/>
  <c r="AK1104" i="7"/>
  <c r="AK1109" i="7"/>
  <c r="AK1108" i="7" s="1"/>
  <c r="BJ1108" i="7" s="1"/>
  <c r="BK1108" i="7" s="1"/>
  <c r="X1112" i="7"/>
  <c r="AK1118" i="7"/>
  <c r="AK1117" i="7" s="1"/>
  <c r="BJ1117" i="7" s="1"/>
  <c r="BK1117" i="7" s="1"/>
  <c r="AS1129" i="7"/>
  <c r="AU1129" i="7" s="1"/>
  <c r="AW1129" i="7" s="1"/>
  <c r="AK1128" i="7"/>
  <c r="AK1127" i="7" s="1"/>
  <c r="BJ1127" i="7" s="1"/>
  <c r="BK1127" i="7" s="1"/>
  <c r="X1142" i="7"/>
  <c r="BC1142" i="7" s="1"/>
  <c r="AS1143" i="7"/>
  <c r="AU1143" i="7" s="1"/>
  <c r="AW1143" i="7" s="1"/>
  <c r="AS1147" i="7"/>
  <c r="AU1147" i="7" s="1"/>
  <c r="AW1147" i="7" s="1"/>
  <c r="AB1154" i="7"/>
  <c r="AF1154" i="7"/>
  <c r="AJ1154" i="7"/>
  <c r="X1172" i="7"/>
  <c r="U1171" i="7"/>
  <c r="AS1182" i="7"/>
  <c r="AU1182" i="7" s="1"/>
  <c r="AW1182" i="7" s="1"/>
  <c r="AX1198" i="7"/>
  <c r="AU1198" i="7"/>
  <c r="AW1198" i="7" s="1"/>
  <c r="AX1225" i="7"/>
  <c r="AX1227" i="7"/>
  <c r="AU1227" i="7"/>
  <c r="AW1227" i="7" s="1"/>
  <c r="AX1244" i="7"/>
  <c r="AU1244" i="7"/>
  <c r="AW1244" i="7" s="1"/>
  <c r="AX1264" i="7"/>
  <c r="AU1264" i="7"/>
  <c r="AW1264" i="7" s="1"/>
  <c r="AU1304" i="7"/>
  <c r="AW1304" i="7" s="1"/>
  <c r="AX1304" i="7"/>
  <c r="AS1435" i="7"/>
  <c r="AU1435" i="7" s="1"/>
  <c r="AW1435" i="7" s="1"/>
  <c r="AK1434" i="7"/>
  <c r="AS1434" i="7" s="1"/>
  <c r="X1132" i="7"/>
  <c r="X1144" i="7"/>
  <c r="AS1161" i="7"/>
  <c r="AU1161" i="7" s="1"/>
  <c r="AW1161" i="7" s="1"/>
  <c r="AK1160" i="7"/>
  <c r="AS1160" i="7" s="1"/>
  <c r="AU1160" i="7" s="1"/>
  <c r="AX1224" i="7"/>
  <c r="AU1224" i="7"/>
  <c r="AW1224" i="7" s="1"/>
  <c r="AX1243" i="7"/>
  <c r="AU1243" i="7"/>
  <c r="AW1243" i="7" s="1"/>
  <c r="AX1252" i="7"/>
  <c r="AU1252" i="7"/>
  <c r="AW1252" i="7" s="1"/>
  <c r="AX1261" i="7"/>
  <c r="AU1261" i="7"/>
  <c r="AW1261" i="7" s="1"/>
  <c r="AX1279" i="7"/>
  <c r="AX1286" i="7"/>
  <c r="AU1286" i="7"/>
  <c r="AW1286" i="7" s="1"/>
  <c r="AX1299" i="7"/>
  <c r="AU1299" i="7"/>
  <c r="AW1299" i="7" s="1"/>
  <c r="AX1302" i="7"/>
  <c r="AU1302" i="7"/>
  <c r="AW1302" i="7" s="1"/>
  <c r="U1151" i="7"/>
  <c r="X1152" i="7"/>
  <c r="AS1166" i="7"/>
  <c r="AU1166" i="7" s="1"/>
  <c r="AW1166" i="7" s="1"/>
  <c r="AK1165" i="7"/>
  <c r="AS1181" i="7"/>
  <c r="AT1186" i="7"/>
  <c r="AT1183" i="7" s="1"/>
  <c r="AU1281" i="7"/>
  <c r="AW1281" i="7" s="1"/>
  <c r="AU1298" i="7"/>
  <c r="AW1298" i="7" s="1"/>
  <c r="AX1298" i="7"/>
  <c r="AS1484" i="7"/>
  <c r="AU1484" i="7" s="1"/>
  <c r="AW1484" i="7" s="1"/>
  <c r="AK1443" i="7"/>
  <c r="AX1193" i="7"/>
  <c r="AU1193" i="7"/>
  <c r="AW1193" i="7" s="1"/>
  <c r="AX1205" i="7"/>
  <c r="AU1205" i="7"/>
  <c r="AW1205" i="7" s="1"/>
  <c r="AX1219" i="7"/>
  <c r="AU1219" i="7"/>
  <c r="AW1219" i="7" s="1"/>
  <c r="AX1256" i="7"/>
  <c r="AU1256" i="7"/>
  <c r="AW1256" i="7" s="1"/>
  <c r="AX1274" i="7"/>
  <c r="AU1274" i="7"/>
  <c r="AW1274" i="7" s="1"/>
  <c r="AX1297" i="7"/>
  <c r="AU1297" i="7"/>
  <c r="AW1297" i="7" s="1"/>
  <c r="AX1309" i="7"/>
  <c r="AU1309" i="7"/>
  <c r="AW1309" i="7" s="1"/>
  <c r="X1184" i="7"/>
  <c r="BC1184" i="7" s="1"/>
  <c r="AO1433" i="7"/>
  <c r="X1591" i="7"/>
  <c r="W1578" i="7"/>
  <c r="AX1308" i="7"/>
  <c r="AU1308" i="7"/>
  <c r="AW1308" i="7" s="1"/>
  <c r="AK1313" i="7"/>
  <c r="AS1313" i="7" s="1"/>
  <c r="AU1313" i="7" s="1"/>
  <c r="AS1428" i="7"/>
  <c r="AX1442" i="7"/>
  <c r="AU1442" i="7"/>
  <c r="AW1442" i="7" s="1"/>
  <c r="X1428" i="7"/>
  <c r="BC1428" i="7" s="1"/>
  <c r="U1427" i="7"/>
  <c r="X1427" i="7" s="1"/>
  <c r="AX1564" i="7"/>
  <c r="AU1564" i="7"/>
  <c r="AW1564" i="7" s="1"/>
  <c r="X1313" i="7"/>
  <c r="AX1563" i="7"/>
  <c r="AU1563" i="7"/>
  <c r="AW1563" i="7" s="1"/>
  <c r="V1573" i="7"/>
  <c r="AA1604" i="7"/>
  <c r="AA1603" i="7"/>
  <c r="AE1604" i="7"/>
  <c r="AE1603" i="7"/>
  <c r="AI1604" i="7"/>
  <c r="AI1603" i="7"/>
  <c r="AN1604" i="7"/>
  <c r="AN1603" i="7"/>
  <c r="AR1604" i="7"/>
  <c r="AR1603" i="7"/>
  <c r="U1554" i="7"/>
  <c r="X1555" i="7"/>
  <c r="AX1560" i="7"/>
  <c r="AU1560" i="7"/>
  <c r="AW1560" i="7" s="1"/>
  <c r="W1573" i="7"/>
  <c r="X1576" i="7"/>
  <c r="BC1576" i="7" s="1"/>
  <c r="BE1576" i="7" s="1"/>
  <c r="V1603" i="7"/>
  <c r="V1604" i="7"/>
  <c r="AM1650" i="7"/>
  <c r="AM1649" i="7"/>
  <c r="AQ1649" i="7"/>
  <c r="AQ1650" i="7"/>
  <c r="AS1571" i="7"/>
  <c r="AU1571" i="7" s="1"/>
  <c r="AW1571" i="7" s="1"/>
  <c r="AK1570" i="7"/>
  <c r="AX1556" i="7"/>
  <c r="AU1556" i="7"/>
  <c r="AW1556" i="7" s="1"/>
  <c r="AS1576" i="7"/>
  <c r="AU1576" i="7" s="1"/>
  <c r="AS1551" i="7"/>
  <c r="AU1551" i="7" s="1"/>
  <c r="AB1554" i="7"/>
  <c r="AF1554" i="7"/>
  <c r="AJ1554" i="7"/>
  <c r="AX1565" i="7"/>
  <c r="X1574" i="7"/>
  <c r="U1573" i="7"/>
  <c r="V1650" i="7"/>
  <c r="V1649" i="7"/>
  <c r="AS1592" i="7"/>
  <c r="AU1592" i="7" s="1"/>
  <c r="AW1592" i="7" s="1"/>
  <c r="AK1591" i="7"/>
  <c r="AS1628" i="7"/>
  <c r="AU1628" i="7" s="1"/>
  <c r="AW1628" i="7" s="1"/>
  <c r="AK1627" i="7"/>
  <c r="X1551" i="7"/>
  <c r="BC1551" i="7" s="1"/>
  <c r="BE1551" i="7" s="1"/>
  <c r="X1568" i="7"/>
  <c r="Y1604" i="7"/>
  <c r="Y1603" i="7"/>
  <c r="AC1604" i="7"/>
  <c r="AC1603" i="7"/>
  <c r="AG1604" i="7"/>
  <c r="AG1603" i="7"/>
  <c r="AO1604" i="7"/>
  <c r="AO1603" i="7"/>
  <c r="AR1650" i="7"/>
  <c r="X1651" i="7"/>
  <c r="AS1652" i="7"/>
  <c r="AU1652" i="7" s="1"/>
  <c r="AW1652" i="7" s="1"/>
  <c r="AK1651" i="7"/>
  <c r="AS1651" i="7" s="1"/>
  <c r="Y1650" i="7"/>
  <c r="Y1649" i="7"/>
  <c r="AC1650" i="7"/>
  <c r="AC1649" i="7"/>
  <c r="AG1650" i="7"/>
  <c r="AG1649" i="7"/>
  <c r="AO1650" i="7"/>
  <c r="AO1649" i="7"/>
  <c r="X1579" i="7"/>
  <c r="AB1603" i="7"/>
  <c r="AJ1603" i="7"/>
  <c r="X1605" i="7"/>
  <c r="U1604" i="7"/>
  <c r="U1603" i="7"/>
  <c r="X1657" i="7"/>
  <c r="U1650" i="7"/>
  <c r="U1649" i="7"/>
  <c r="Z1650" i="7"/>
  <c r="Z1649" i="7"/>
  <c r="AD1650" i="7"/>
  <c r="AD1649" i="7"/>
  <c r="AH1650" i="7"/>
  <c r="AH1649" i="7"/>
  <c r="AL1650" i="7"/>
  <c r="BM1650" i="7" s="1"/>
  <c r="BN1650" i="7" s="1"/>
  <c r="AL1649" i="7"/>
  <c r="AP1650" i="7"/>
  <c r="AP1649" i="7"/>
  <c r="AT1650" i="7"/>
  <c r="AT1649" i="7"/>
  <c r="O9" i="1"/>
  <c r="Z9" i="1"/>
  <c r="Q9" i="1"/>
  <c r="W9" i="1"/>
  <c r="T9" i="1"/>
  <c r="AF9" i="1"/>
  <c r="AK842" i="7" l="1"/>
  <c r="BJ842" i="7" s="1"/>
  <c r="BK842" i="7" s="1"/>
  <c r="U1572" i="7"/>
  <c r="AN987" i="7"/>
  <c r="Y987" i="7"/>
  <c r="AQ1138" i="7"/>
  <c r="B28" i="3"/>
  <c r="F8" i="3"/>
  <c r="B70" i="3"/>
  <c r="B6" i="3"/>
  <c r="B59" i="3"/>
  <c r="B46" i="3"/>
  <c r="B69" i="3"/>
  <c r="B12" i="3"/>
  <c r="B15" i="3"/>
  <c r="B68" i="3"/>
  <c r="B21" i="3"/>
  <c r="B37" i="3"/>
  <c r="B55" i="3"/>
  <c r="B20" i="3"/>
  <c r="B16" i="3"/>
  <c r="B34" i="3"/>
  <c r="B26" i="3"/>
  <c r="B36" i="3"/>
  <c r="B42" i="3"/>
  <c r="B60" i="3"/>
  <c r="B32" i="3"/>
  <c r="B14" i="3"/>
  <c r="B58" i="3"/>
  <c r="B18" i="3"/>
  <c r="B25" i="3"/>
  <c r="D10" i="3"/>
  <c r="F10" i="3" s="1"/>
  <c r="D69" i="3"/>
  <c r="D52" i="3"/>
  <c r="F52" i="3" s="1"/>
  <c r="D47" i="3"/>
  <c r="F47" i="3" s="1"/>
  <c r="D59" i="3"/>
  <c r="D30" i="3"/>
  <c r="F30" i="3" s="1"/>
  <c r="D46" i="3"/>
  <c r="D26" i="3"/>
  <c r="D36" i="3"/>
  <c r="D45" i="3"/>
  <c r="F45" i="3" s="1"/>
  <c r="D42" i="3"/>
  <c r="D17" i="3"/>
  <c r="F17" i="3" s="1"/>
  <c r="D5" i="3"/>
  <c r="D50" i="3"/>
  <c r="F50" i="3" s="1"/>
  <c r="D60" i="3"/>
  <c r="D32" i="3"/>
  <c r="D51" i="3"/>
  <c r="D14" i="3"/>
  <c r="D54" i="3"/>
  <c r="D58" i="3"/>
  <c r="D65" i="3"/>
  <c r="D18" i="3"/>
  <c r="D25" i="3"/>
  <c r="D34" i="3"/>
  <c r="D11" i="3"/>
  <c r="D61" i="3"/>
  <c r="F61" i="3" s="1"/>
  <c r="D12" i="3"/>
  <c r="D15" i="3"/>
  <c r="D68" i="3"/>
  <c r="D21" i="3"/>
  <c r="F21" i="3" s="1"/>
  <c r="D28" i="3"/>
  <c r="D37" i="3"/>
  <c r="D22" i="3"/>
  <c r="D55" i="3"/>
  <c r="D19" i="3"/>
  <c r="D48" i="3"/>
  <c r="F48" i="3" s="1"/>
  <c r="D6" i="3"/>
  <c r="D35" i="3"/>
  <c r="F35" i="3" s="1"/>
  <c r="D44" i="3"/>
  <c r="D70" i="3"/>
  <c r="D67" i="3"/>
  <c r="F67" i="3" s="1"/>
  <c r="D49" i="3"/>
  <c r="F49" i="3" s="1"/>
  <c r="D53" i="3"/>
  <c r="D20" i="3"/>
  <c r="D16" i="3"/>
  <c r="AU10" i="1"/>
  <c r="AX118" i="7"/>
  <c r="AW118" i="7"/>
  <c r="AX1313" i="7"/>
  <c r="AY1313" i="7" s="1"/>
  <c r="AY1183" i="7" s="1"/>
  <c r="AW1313" i="7"/>
  <c r="BC1180" i="7"/>
  <c r="BD1180" i="7" s="1"/>
  <c r="BE1180" i="7" s="1"/>
  <c r="AX1045" i="7"/>
  <c r="AW1045" i="7"/>
  <c r="AX679" i="7"/>
  <c r="AW679" i="7"/>
  <c r="BC76" i="7"/>
  <c r="AX145" i="7"/>
  <c r="AW145" i="7"/>
  <c r="AM986" i="7"/>
  <c r="AX1005" i="7"/>
  <c r="AW1005" i="7"/>
  <c r="AX288" i="7"/>
  <c r="AW288" i="7"/>
  <c r="AX1106" i="7"/>
  <c r="AW1106" i="7"/>
  <c r="AX514" i="7"/>
  <c r="AW514" i="7"/>
  <c r="AX276" i="7"/>
  <c r="AW276" i="7"/>
  <c r="AX62" i="7"/>
  <c r="AW62" i="7"/>
  <c r="AF984" i="7"/>
  <c r="AD279" i="7"/>
  <c r="AX16" i="7"/>
  <c r="AW16" i="7"/>
  <c r="AX1160" i="7"/>
  <c r="AW1160" i="7"/>
  <c r="AX967" i="7"/>
  <c r="AW967" i="7"/>
  <c r="AX1568" i="7"/>
  <c r="AW1568" i="7"/>
  <c r="AX1551" i="7"/>
  <c r="AW1551" i="7"/>
  <c r="AX1169" i="7"/>
  <c r="AW1169" i="7"/>
  <c r="BL8" i="7"/>
  <c r="AX976" i="7"/>
  <c r="AW976" i="7"/>
  <c r="AX847" i="7"/>
  <c r="AW847" i="7"/>
  <c r="AX619" i="7"/>
  <c r="AW619" i="7"/>
  <c r="AX212" i="7"/>
  <c r="AW212" i="7"/>
  <c r="AX73" i="7"/>
  <c r="AW73" i="7"/>
  <c r="AU1245" i="7"/>
  <c r="AW1245" i="7" s="1"/>
  <c r="AX1178" i="7"/>
  <c r="AW1178" i="7"/>
  <c r="AP984" i="7"/>
  <c r="AX693" i="7"/>
  <c r="AW693" i="7"/>
  <c r="AX1657" i="7"/>
  <c r="AW1657" i="7"/>
  <c r="AX973" i="7"/>
  <c r="AW973" i="7"/>
  <c r="BC1157" i="7"/>
  <c r="BE1157" i="7" s="1"/>
  <c r="AX1146" i="7"/>
  <c r="AW1146" i="7"/>
  <c r="AX268" i="7"/>
  <c r="AX267" i="7" s="1"/>
  <c r="AW268" i="7"/>
  <c r="AX1122" i="7"/>
  <c r="AW1122" i="7"/>
  <c r="AX57" i="7"/>
  <c r="AW57" i="7"/>
  <c r="AX1054" i="7"/>
  <c r="AW1054" i="7"/>
  <c r="AX1157" i="7"/>
  <c r="AW1157" i="7"/>
  <c r="AX1576" i="7"/>
  <c r="AY1576" i="7" s="1"/>
  <c r="AY1573" i="7" s="1"/>
  <c r="AY1572" i="7" s="1"/>
  <c r="AW1576" i="7"/>
  <c r="AX1023" i="7"/>
  <c r="AW1023" i="7"/>
  <c r="AB1572" i="7"/>
  <c r="AX1184" i="7"/>
  <c r="AW1184" i="7"/>
  <c r="Y984" i="7"/>
  <c r="AX1077" i="7"/>
  <c r="AW1077" i="7"/>
  <c r="AX840" i="7"/>
  <c r="AW840" i="7"/>
  <c r="AD816" i="7"/>
  <c r="AP985" i="7"/>
  <c r="AX1142" i="7"/>
  <c r="AW1142" i="7"/>
  <c r="AX71" i="7"/>
  <c r="AW71" i="7"/>
  <c r="AX147" i="7"/>
  <c r="AW147" i="7"/>
  <c r="AC522" i="7"/>
  <c r="AX1167" i="7"/>
  <c r="AW1167" i="7"/>
  <c r="AX536" i="7"/>
  <c r="AW536" i="7"/>
  <c r="AO985" i="7"/>
  <c r="AE279" i="7"/>
  <c r="AY10" i="1"/>
  <c r="AI279" i="7"/>
  <c r="BC162" i="7"/>
  <c r="BE162" i="7" s="1"/>
  <c r="AU351" i="7"/>
  <c r="AW351" i="7" s="1"/>
  <c r="AL1572" i="7"/>
  <c r="AQ69" i="7"/>
  <c r="BA292" i="1"/>
  <c r="BC179" i="7"/>
  <c r="BE179" i="7" s="1"/>
  <c r="AI986" i="7"/>
  <c r="AD1572" i="7"/>
  <c r="AD984" i="7"/>
  <c r="AB986" i="7"/>
  <c r="AS1574" i="7"/>
  <c r="AU1574" i="7" s="1"/>
  <c r="AE986" i="7"/>
  <c r="AM984" i="7"/>
  <c r="AA987" i="7"/>
  <c r="AX179" i="7"/>
  <c r="AK270" i="7"/>
  <c r="BJ270" i="7" s="1"/>
  <c r="BK270" i="7" s="1"/>
  <c r="BK150" i="7" s="1"/>
  <c r="AC12" i="7"/>
  <c r="AL959" i="7"/>
  <c r="W1140" i="7"/>
  <c r="AC1572" i="7"/>
  <c r="W279" i="7"/>
  <c r="AG521" i="7"/>
  <c r="Z279" i="7"/>
  <c r="BC1555" i="7"/>
  <c r="BE1555" i="7" s="1"/>
  <c r="AQ985" i="7"/>
  <c r="AK506" i="7"/>
  <c r="AK280" i="7" s="1"/>
  <c r="X348" i="7"/>
  <c r="AC521" i="7"/>
  <c r="Z986" i="7"/>
  <c r="BC1167" i="7"/>
  <c r="BE1167" i="7" s="1"/>
  <c r="AS162" i="7"/>
  <c r="AS161" i="7" s="1"/>
  <c r="AU161" i="7" s="1"/>
  <c r="AW161" i="7" s="1"/>
  <c r="X506" i="7"/>
  <c r="X280" i="7" s="1"/>
  <c r="BC1430" i="7"/>
  <c r="BD1430" i="7" s="1"/>
  <c r="BE1430" i="7" s="1"/>
  <c r="AK1056" i="7"/>
  <c r="BJ1056" i="7" s="1"/>
  <c r="BK1056" i="7" s="1"/>
  <c r="AR279" i="7"/>
  <c r="AA279" i="7"/>
  <c r="BC1579" i="7"/>
  <c r="AJ816" i="7"/>
  <c r="AJ8" i="7" s="1"/>
  <c r="AD1140" i="7"/>
  <c r="AI984" i="7"/>
  <c r="AP69" i="7"/>
  <c r="AX861" i="7"/>
  <c r="AX1040" i="7"/>
  <c r="AK1578" i="7"/>
  <c r="BJ1578" i="7" s="1"/>
  <c r="BK1578" i="7" s="1"/>
  <c r="BK1572" i="7" s="1"/>
  <c r="AX900" i="7"/>
  <c r="AL986" i="7"/>
  <c r="AJ279" i="7"/>
  <c r="AX601" i="7"/>
  <c r="AX1552" i="7"/>
  <c r="AS1152" i="7"/>
  <c r="AS1151" i="7" s="1"/>
  <c r="AU1151" i="7" s="1"/>
  <c r="AW1151" i="7" s="1"/>
  <c r="AE522" i="7"/>
  <c r="AX666" i="7"/>
  <c r="AX665" i="7"/>
  <c r="AQ279" i="7"/>
  <c r="AB69" i="7"/>
  <c r="AB987" i="7"/>
  <c r="BN969" i="7"/>
  <c r="AE816" i="7"/>
  <c r="AX687" i="7"/>
  <c r="BC1152" i="7"/>
  <c r="BE1152" i="7" s="1"/>
  <c r="BC1112" i="7"/>
  <c r="BC1111" i="7" s="1"/>
  <c r="BD1111" i="7" s="1"/>
  <c r="BE1111" i="7" s="1"/>
  <c r="AL984" i="7"/>
  <c r="AX621" i="7"/>
  <c r="AX658" i="7"/>
  <c r="AX1006" i="7"/>
  <c r="BF8" i="7"/>
  <c r="AX1078" i="7"/>
  <c r="AX15" i="7"/>
  <c r="Y522" i="7"/>
  <c r="AH986" i="7"/>
  <c r="Z984" i="7"/>
  <c r="AU1125" i="7"/>
  <c r="AX834" i="7"/>
  <c r="AX532" i="7"/>
  <c r="BC434" i="7"/>
  <c r="BE434" i="7" s="1"/>
  <c r="AX525" i="7"/>
  <c r="AK887" i="7"/>
  <c r="BJ887" i="7" s="1"/>
  <c r="BK887" i="7" s="1"/>
  <c r="AN986" i="7"/>
  <c r="AB984" i="7"/>
  <c r="AD1138" i="7"/>
  <c r="AG69" i="7"/>
  <c r="BC282" i="7"/>
  <c r="BE282" i="7" s="1"/>
  <c r="AJ986" i="7"/>
  <c r="AH69" i="7"/>
  <c r="BE974" i="7"/>
  <c r="BC34" i="7"/>
  <c r="BE34" i="7" s="1"/>
  <c r="AD12" i="7"/>
  <c r="AM816" i="7"/>
  <c r="Y521" i="7"/>
  <c r="X1650" i="7"/>
  <c r="AO69" i="7"/>
  <c r="BI8" i="7"/>
  <c r="AM69" i="7"/>
  <c r="AH12" i="7"/>
  <c r="BC35" i="7"/>
  <c r="BE35" i="7" s="1"/>
  <c r="X1603" i="7"/>
  <c r="U986" i="7"/>
  <c r="BC514" i="7"/>
  <c r="BE514" i="7" s="1"/>
  <c r="AD521" i="7"/>
  <c r="AI12" i="7"/>
  <c r="AJ985" i="7"/>
  <c r="AI521" i="7"/>
  <c r="BC276" i="7"/>
  <c r="BE276" i="7" s="1"/>
  <c r="BC73" i="7"/>
  <c r="BE73" i="7" s="1"/>
  <c r="BC657" i="7"/>
  <c r="BE657" i="7" s="1"/>
  <c r="BC1077" i="7"/>
  <c r="BE1077" i="7" s="1"/>
  <c r="BC833" i="7"/>
  <c r="BE833" i="7" s="1"/>
  <c r="AP816" i="7"/>
  <c r="AP8" i="7" s="1"/>
  <c r="BC118" i="7"/>
  <c r="BE118" i="7" s="1"/>
  <c r="BC16" i="7"/>
  <c r="BE16" i="7" s="1"/>
  <c r="V12" i="7"/>
  <c r="AF816" i="7"/>
  <c r="AI987" i="7"/>
  <c r="BC693" i="7"/>
  <c r="BE693" i="7" s="1"/>
  <c r="AM522" i="7"/>
  <c r="BC813" i="7"/>
  <c r="BE813" i="7" s="1"/>
  <c r="AS35" i="7"/>
  <c r="AU35" i="7" s="1"/>
  <c r="Z522" i="7"/>
  <c r="AO987" i="7"/>
  <c r="AQ986" i="7"/>
  <c r="AB279" i="7"/>
  <c r="AT986" i="7"/>
  <c r="AK13" i="7"/>
  <c r="BJ13" i="7" s="1"/>
  <c r="BK13" i="7" s="1"/>
  <c r="AK75" i="7"/>
  <c r="BJ75" i="7" s="1"/>
  <c r="BK75" i="7" s="1"/>
  <c r="AR985" i="7"/>
  <c r="BC71" i="7"/>
  <c r="S6" i="7"/>
  <c r="AP521" i="7"/>
  <c r="BC147" i="7"/>
  <c r="BE147" i="7" s="1"/>
  <c r="AP1572" i="7"/>
  <c r="Y1572" i="7"/>
  <c r="AF521" i="7"/>
  <c r="AS833" i="7"/>
  <c r="AS832" i="7" s="1"/>
  <c r="AU832" i="7" s="1"/>
  <c r="AW832" i="7" s="1"/>
  <c r="AO521" i="7"/>
  <c r="BC212" i="7"/>
  <c r="BE212" i="7" s="1"/>
  <c r="Z1572" i="7"/>
  <c r="AD986" i="7"/>
  <c r="AC985" i="7"/>
  <c r="AG984" i="7"/>
  <c r="AT69" i="7"/>
  <c r="AE1137" i="7"/>
  <c r="AO986" i="7"/>
  <c r="AI69" i="7"/>
  <c r="BC31" i="7"/>
  <c r="BE31" i="7" s="1"/>
  <c r="AT816" i="7"/>
  <c r="AT8" i="7" s="1"/>
  <c r="W816" i="7"/>
  <c r="AR816" i="7"/>
  <c r="AR8" i="7" s="1"/>
  <c r="AJ984" i="7"/>
  <c r="AE521" i="7"/>
  <c r="BC1005" i="7"/>
  <c r="BE1005" i="7" s="1"/>
  <c r="AF279" i="7"/>
  <c r="AU516" i="7"/>
  <c r="AW516" i="7" s="1"/>
  <c r="AA522" i="7"/>
  <c r="T8" i="7"/>
  <c r="AH521" i="7"/>
  <c r="AJ69" i="7"/>
  <c r="AN1572" i="7"/>
  <c r="AJ1572" i="7"/>
  <c r="AI1572" i="7"/>
  <c r="V521" i="7"/>
  <c r="AN816" i="7"/>
  <c r="AN8" i="7" s="1"/>
  <c r="AM279" i="7"/>
  <c r="AH1139" i="7"/>
  <c r="AK1164" i="7"/>
  <c r="BJ1164" i="7" s="1"/>
  <c r="BK1164" i="7" s="1"/>
  <c r="AL985" i="7"/>
  <c r="AS1591" i="7"/>
  <c r="AU1591" i="7" s="1"/>
  <c r="AX1557" i="7"/>
  <c r="BC1162" i="7"/>
  <c r="BE1162" i="7" s="1"/>
  <c r="AS1086" i="7"/>
  <c r="AU1086" i="7" s="1"/>
  <c r="AL987" i="7"/>
  <c r="BC619" i="7"/>
  <c r="BE619" i="7" s="1"/>
  <c r="AX975" i="7"/>
  <c r="AX960" i="7" s="1"/>
  <c r="AX9" i="7" s="1"/>
  <c r="X832" i="7"/>
  <c r="AQ522" i="7"/>
  <c r="AL816" i="7"/>
  <c r="AL8" i="7" s="1"/>
  <c r="X75" i="7"/>
  <c r="AS31" i="7"/>
  <c r="AU31" i="7" s="1"/>
  <c r="W69" i="7"/>
  <c r="AS267" i="7"/>
  <c r="AU267" i="7" s="1"/>
  <c r="AW267" i="7" s="1"/>
  <c r="AH522" i="7"/>
  <c r="Y816" i="7"/>
  <c r="AF522" i="7"/>
  <c r="X1433" i="7"/>
  <c r="AD1139" i="7"/>
  <c r="AB816" i="7"/>
  <c r="BE976" i="7"/>
  <c r="BD976" i="7"/>
  <c r="X1154" i="7"/>
  <c r="AH984" i="7"/>
  <c r="T6" i="7"/>
  <c r="BH6" i="7"/>
  <c r="BN959" i="7"/>
  <c r="BC55" i="7"/>
  <c r="BE55" i="7" s="1"/>
  <c r="AN984" i="7"/>
  <c r="V522" i="7"/>
  <c r="AQ1572" i="7"/>
  <c r="AH279" i="7"/>
  <c r="BC888" i="7"/>
  <c r="BE888" i="7" s="1"/>
  <c r="AU155" i="7"/>
  <c r="AW155" i="7" s="1"/>
  <c r="AS960" i="7"/>
  <c r="AU960" i="7" s="1"/>
  <c r="AW960" i="7" s="1"/>
  <c r="Y12" i="7"/>
  <c r="AC984" i="7"/>
  <c r="AE69" i="7"/>
  <c r="S8" i="7"/>
  <c r="BC592" i="7"/>
  <c r="BC536" i="7"/>
  <c r="BE536" i="7" s="1"/>
  <c r="AT279" i="7"/>
  <c r="BC679" i="7"/>
  <c r="BE679" i="7" s="1"/>
  <c r="AK692" i="7"/>
  <c r="BJ692" i="7" s="1"/>
  <c r="BK692" i="7" s="1"/>
  <c r="X671" i="7"/>
  <c r="AM1572" i="7"/>
  <c r="BM1572" i="7"/>
  <c r="BN149" i="7"/>
  <c r="AR69" i="7"/>
  <c r="AG522" i="7"/>
  <c r="U987" i="7"/>
  <c r="BA394" i="1"/>
  <c r="BA422" i="1"/>
  <c r="BA298" i="1"/>
  <c r="BA392" i="1"/>
  <c r="AS1101" i="7"/>
  <c r="AU1101" i="7" s="1"/>
  <c r="AW1101" i="7" s="1"/>
  <c r="X969" i="7"/>
  <c r="AN1137" i="7"/>
  <c r="AA816" i="7"/>
  <c r="V69" i="7"/>
  <c r="AP1137" i="7"/>
  <c r="V984" i="7"/>
  <c r="BC662" i="7"/>
  <c r="BE662" i="7" s="1"/>
  <c r="BC1023" i="7"/>
  <c r="BE1023" i="7" s="1"/>
  <c r="BC1101" i="7"/>
  <c r="BC1100" i="7" s="1"/>
  <c r="AF69" i="7"/>
  <c r="Z1139" i="7"/>
  <c r="AC816" i="7"/>
  <c r="AG1572" i="7"/>
  <c r="X1141" i="7"/>
  <c r="X1649" i="7"/>
  <c r="X1604" i="7"/>
  <c r="AK1604" i="7"/>
  <c r="BJ1604" i="7" s="1"/>
  <c r="BJ1603" i="7" s="1"/>
  <c r="AP1139" i="7"/>
  <c r="Z1137" i="7"/>
  <c r="X1100" i="7"/>
  <c r="AF986" i="7"/>
  <c r="AU849" i="7"/>
  <c r="AW849" i="7" s="1"/>
  <c r="X1056" i="7"/>
  <c r="X842" i="7"/>
  <c r="AK70" i="7"/>
  <c r="BJ70" i="7" s="1"/>
  <c r="AG12" i="7"/>
  <c r="W13" i="7"/>
  <c r="W12" i="7" s="1"/>
  <c r="AN1139" i="7"/>
  <c r="X1164" i="7"/>
  <c r="Y986" i="7"/>
  <c r="AR12" i="7"/>
  <c r="AH1572" i="7"/>
  <c r="AF1139" i="7"/>
  <c r="AH1137" i="7"/>
  <c r="T7" i="7"/>
  <c r="AD985" i="7"/>
  <c r="BC526" i="7"/>
  <c r="BE526" i="7" s="1"/>
  <c r="BC57" i="7"/>
  <c r="BE57" i="7" s="1"/>
  <c r="AK54" i="7"/>
  <c r="BJ54" i="7" s="1"/>
  <c r="BK54" i="7" s="1"/>
  <c r="AS34" i="7"/>
  <c r="AU34" i="7" s="1"/>
  <c r="AE1572" i="7"/>
  <c r="V986" i="7"/>
  <c r="AS979" i="7"/>
  <c r="AM521" i="7"/>
  <c r="AS843" i="7"/>
  <c r="AU843" i="7" s="1"/>
  <c r="AH816" i="7"/>
  <c r="AE12" i="7"/>
  <c r="Z12" i="7"/>
  <c r="AB12" i="7"/>
  <c r="AM12" i="7"/>
  <c r="AR1572" i="7"/>
  <c r="AE984" i="7"/>
  <c r="AI816" i="7"/>
  <c r="AI8" i="7" s="1"/>
  <c r="X523" i="7"/>
  <c r="Z69" i="7"/>
  <c r="BC1169" i="7"/>
  <c r="BE1169" i="7" s="1"/>
  <c r="AO816" i="7"/>
  <c r="AO8" i="7" s="1"/>
  <c r="AQ816" i="7"/>
  <c r="Z816" i="7"/>
  <c r="BC1605" i="7"/>
  <c r="BC1568" i="7"/>
  <c r="BE1568" i="7" s="1"/>
  <c r="W1137" i="7"/>
  <c r="AM985" i="7"/>
  <c r="BC1097" i="7"/>
  <c r="BC1096" i="7" s="1"/>
  <c r="BC793" i="7"/>
  <c r="BE793" i="7" s="1"/>
  <c r="AR521" i="7"/>
  <c r="AS55" i="7"/>
  <c r="AU55" i="7" s="1"/>
  <c r="AW55" i="7" s="1"/>
  <c r="Y69" i="7"/>
  <c r="AK661" i="7"/>
  <c r="BJ661" i="7" s="1"/>
  <c r="BK661" i="7" s="1"/>
  <c r="AL521" i="7"/>
  <c r="BM149" i="7"/>
  <c r="AE1139" i="7"/>
  <c r="BC664" i="7"/>
  <c r="BE664" i="7" s="1"/>
  <c r="AN69" i="7"/>
  <c r="AF12" i="7"/>
  <c r="AO1572" i="7"/>
  <c r="AR986" i="7"/>
  <c r="BC979" i="7"/>
  <c r="BE979" i="7" s="1"/>
  <c r="W522" i="7"/>
  <c r="V1138" i="7"/>
  <c r="AD1137" i="7"/>
  <c r="AG816" i="7"/>
  <c r="BC1086" i="7"/>
  <c r="BC1085" i="7" s="1"/>
  <c r="BD1085" i="7" s="1"/>
  <c r="BE1085" i="7" s="1"/>
  <c r="X964" i="7"/>
  <c r="AG279" i="7"/>
  <c r="AQ12" i="7"/>
  <c r="AA69" i="7"/>
  <c r="AP1138" i="7"/>
  <c r="V1572" i="7"/>
  <c r="X1578" i="7"/>
  <c r="BC1155" i="7"/>
  <c r="BE1155" i="7" s="1"/>
  <c r="AG987" i="7"/>
  <c r="BC1125" i="7"/>
  <c r="BC1124" i="7" s="1"/>
  <c r="BD1124" i="7" s="1"/>
  <c r="BE1124" i="7" s="1"/>
  <c r="BJ960" i="7"/>
  <c r="BJ9" i="7" s="1"/>
  <c r="AP986" i="7"/>
  <c r="BC720" i="7"/>
  <c r="BE720" i="7" s="1"/>
  <c r="AS1115" i="7"/>
  <c r="AS1114" i="7" s="1"/>
  <c r="AU1114" i="7" s="1"/>
  <c r="AW1114" i="7" s="1"/>
  <c r="AS720" i="7"/>
  <c r="AU720" i="7" s="1"/>
  <c r="X887" i="7"/>
  <c r="AA521" i="7"/>
  <c r="W521" i="7"/>
  <c r="BC524" i="7"/>
  <c r="BE524" i="7" s="1"/>
  <c r="BH8" i="7"/>
  <c r="BC62" i="7"/>
  <c r="BE62" i="7" s="1"/>
  <c r="AC1137" i="7"/>
  <c r="AS1144" i="7"/>
  <c r="AU1144" i="7" s="1"/>
  <c r="AS989" i="7"/>
  <c r="AU989" i="7" s="1"/>
  <c r="BC989" i="7"/>
  <c r="BC988" i="7" s="1"/>
  <c r="BD988" i="7" s="1"/>
  <c r="X692" i="7"/>
  <c r="AS890" i="7"/>
  <c r="AU890" i="7" s="1"/>
  <c r="BC672" i="7"/>
  <c r="BE672" i="7" s="1"/>
  <c r="AS507" i="7"/>
  <c r="AS506" i="7" s="1"/>
  <c r="AC69" i="7"/>
  <c r="AL12" i="7"/>
  <c r="AS813" i="7"/>
  <c r="AS812" i="7" s="1"/>
  <c r="AU812" i="7" s="1"/>
  <c r="AW812" i="7" s="1"/>
  <c r="BM1139" i="7"/>
  <c r="AP12" i="7"/>
  <c r="AD69" i="7"/>
  <c r="AT12" i="7"/>
  <c r="BC1144" i="7"/>
  <c r="BE1144" i="7" s="1"/>
  <c r="AL1137" i="7"/>
  <c r="Y1137" i="7"/>
  <c r="AS1162" i="7"/>
  <c r="AU1162" i="7" s="1"/>
  <c r="BC858" i="7"/>
  <c r="BC857" i="7" s="1"/>
  <c r="BD857" i="7" s="1"/>
  <c r="BE857" i="7" s="1"/>
  <c r="AT987" i="7"/>
  <c r="BC1115" i="7"/>
  <c r="BE1115" i="7" s="1"/>
  <c r="BC890" i="7"/>
  <c r="BE890" i="7" s="1"/>
  <c r="AS152" i="7"/>
  <c r="AS151" i="7" s="1"/>
  <c r="AO12" i="7"/>
  <c r="Z521" i="7"/>
  <c r="AL149" i="7"/>
  <c r="AT1572" i="7"/>
  <c r="AA12" i="7"/>
  <c r="AB522" i="7"/>
  <c r="AP1140" i="7"/>
  <c r="AJ12" i="7"/>
  <c r="V1139" i="7"/>
  <c r="BC1434" i="7"/>
  <c r="BE1434" i="7" s="1"/>
  <c r="AC279" i="7"/>
  <c r="S7" i="7"/>
  <c r="AH1138" i="7"/>
  <c r="AH1140" i="7"/>
  <c r="AQ1140" i="7"/>
  <c r="AF1137" i="7"/>
  <c r="BC843" i="7"/>
  <c r="BI7" i="7"/>
  <c r="AT984" i="7"/>
  <c r="AA984" i="7"/>
  <c r="AR1137" i="7"/>
  <c r="Z1140" i="7"/>
  <c r="Z1138" i="7"/>
  <c r="AK1171" i="7"/>
  <c r="BJ1171" i="7" s="1"/>
  <c r="BK1171" i="7" s="1"/>
  <c r="X829" i="7"/>
  <c r="AJ521" i="7"/>
  <c r="BM12" i="7"/>
  <c r="AK59" i="7"/>
  <c r="BJ59" i="7" s="1"/>
  <c r="BK59" i="7" s="1"/>
  <c r="W984" i="7"/>
  <c r="AN12" i="7"/>
  <c r="AO984" i="7"/>
  <c r="AM1138" i="7"/>
  <c r="AM1140" i="7"/>
  <c r="V1140" i="7"/>
  <c r="U1139" i="7"/>
  <c r="AJ1139" i="7"/>
  <c r="AO1137" i="7"/>
  <c r="BC1135" i="7"/>
  <c r="BE1135" i="7" s="1"/>
  <c r="AC986" i="7"/>
  <c r="BC840" i="7"/>
  <c r="BE840" i="7" s="1"/>
  <c r="AY8" i="7"/>
  <c r="BM816" i="7"/>
  <c r="AA986" i="7"/>
  <c r="BC830" i="7"/>
  <c r="BC829" i="7" s="1"/>
  <c r="BD829" i="7" s="1"/>
  <c r="BE829" i="7" s="1"/>
  <c r="AK961" i="7"/>
  <c r="BJ961" i="7" s="1"/>
  <c r="BL7" i="7"/>
  <c r="BC504" i="7"/>
  <c r="BE504" i="7" s="1"/>
  <c r="BN69" i="7"/>
  <c r="BN13" i="7"/>
  <c r="BN12" i="7" s="1"/>
  <c r="AP987" i="7"/>
  <c r="AU793" i="7"/>
  <c r="BH7" i="7"/>
  <c r="AI1138" i="7"/>
  <c r="AI1140" i="7"/>
  <c r="AR984" i="7"/>
  <c r="Y279" i="7"/>
  <c r="X661" i="7"/>
  <c r="W1138" i="7"/>
  <c r="BC1657" i="7"/>
  <c r="BE1657" i="7" s="1"/>
  <c r="AK1554" i="7"/>
  <c r="BJ1554" i="7" s="1"/>
  <c r="BK1554" i="7" s="1"/>
  <c r="X1171" i="7"/>
  <c r="AK1103" i="7"/>
  <c r="BJ1103" i="7" s="1"/>
  <c r="BK1103" i="7" s="1"/>
  <c r="BM1137" i="7"/>
  <c r="BL6" i="7"/>
  <c r="BN816" i="7"/>
  <c r="V1137" i="7"/>
  <c r="AU794" i="7"/>
  <c r="AW794" i="7" s="1"/>
  <c r="BC1178" i="7"/>
  <c r="BE1178" i="7" s="1"/>
  <c r="V816" i="7"/>
  <c r="BJ962" i="7"/>
  <c r="BK962" i="7" s="1"/>
  <c r="AN521" i="7"/>
  <c r="BC973" i="7"/>
  <c r="BE973" i="7" s="1"/>
  <c r="AS504" i="7"/>
  <c r="AU504" i="7" s="1"/>
  <c r="X13" i="7"/>
  <c r="AU58" i="7"/>
  <c r="AW58" i="7" s="1"/>
  <c r="AA1572" i="7"/>
  <c r="W986" i="7"/>
  <c r="AS830" i="7"/>
  <c r="AD522" i="7"/>
  <c r="AD8" i="7" s="1"/>
  <c r="AS60" i="7"/>
  <c r="AE1140" i="7"/>
  <c r="AE1138" i="7"/>
  <c r="BM281" i="7"/>
  <c r="AL279" i="7"/>
  <c r="AB521" i="7"/>
  <c r="AT1140" i="7"/>
  <c r="AT1138" i="7"/>
  <c r="BC1651" i="7"/>
  <c r="BE1651" i="7" s="1"/>
  <c r="BC1132" i="7"/>
  <c r="BC1131" i="7" s="1"/>
  <c r="BD1131" i="7" s="1"/>
  <c r="BE1131" i="7" s="1"/>
  <c r="BC1172" i="7"/>
  <c r="AB1139" i="7"/>
  <c r="AL1139" i="7"/>
  <c r="AG1137" i="7"/>
  <c r="AS1132" i="7"/>
  <c r="AS1131" i="7" s="1"/>
  <c r="AU1131" i="7" s="1"/>
  <c r="AW1131" i="7" s="1"/>
  <c r="AS1135" i="7"/>
  <c r="AS1134" i="7" s="1"/>
  <c r="AU1134" i="7" s="1"/>
  <c r="AW1134" i="7" s="1"/>
  <c r="BC1106" i="7"/>
  <c r="BE1106" i="7" s="1"/>
  <c r="AE985" i="7"/>
  <c r="BD975" i="7"/>
  <c r="BD973" i="7" s="1"/>
  <c r="BM959" i="7"/>
  <c r="BC962" i="7"/>
  <c r="BE962" i="7" s="1"/>
  <c r="AS657" i="7"/>
  <c r="AU657" i="7" s="1"/>
  <c r="AS271" i="7"/>
  <c r="AU271" i="7" s="1"/>
  <c r="X270" i="7"/>
  <c r="AF1572" i="7"/>
  <c r="AI1137" i="7"/>
  <c r="X1183" i="7"/>
  <c r="BC349" i="7"/>
  <c r="BE349" i="7" s="1"/>
  <c r="AA1138" i="7"/>
  <c r="AA1140" i="7"/>
  <c r="BM1433" i="7"/>
  <c r="AL1140" i="7"/>
  <c r="AL1138" i="7"/>
  <c r="BC1160" i="7"/>
  <c r="BE1160" i="7" s="1"/>
  <c r="AJ1137" i="7"/>
  <c r="AS1128" i="7"/>
  <c r="AS1127" i="7" s="1"/>
  <c r="AU1127" i="7" s="1"/>
  <c r="AW1127" i="7" s="1"/>
  <c r="AG1140" i="7"/>
  <c r="AG1138" i="7"/>
  <c r="Z987" i="7"/>
  <c r="AS981" i="7"/>
  <c r="AU981" i="7" s="1"/>
  <c r="AW981" i="7" s="1"/>
  <c r="AU982" i="7"/>
  <c r="AI1139" i="7"/>
  <c r="AK832" i="7"/>
  <c r="BJ832" i="7" s="1"/>
  <c r="BK832" i="7" s="1"/>
  <c r="BC507" i="7"/>
  <c r="BE507" i="7" s="1"/>
  <c r="AK281" i="7"/>
  <c r="BJ281" i="7" s="1"/>
  <c r="BK281" i="7" s="1"/>
  <c r="AS76" i="7"/>
  <c r="AS75" i="7" s="1"/>
  <c r="AU75" i="7" s="1"/>
  <c r="AW75" i="7" s="1"/>
  <c r="AS1165" i="7"/>
  <c r="AS1164" i="7" s="1"/>
  <c r="AU1164" i="7" s="1"/>
  <c r="AW1164" i="7" s="1"/>
  <c r="AT521" i="7"/>
  <c r="AC1140" i="7"/>
  <c r="AC1138" i="7"/>
  <c r="BC965" i="7"/>
  <c r="BC1313" i="7"/>
  <c r="BE1313" i="7" s="1"/>
  <c r="AR1140" i="7"/>
  <c r="AR1138" i="7"/>
  <c r="Y1138" i="7"/>
  <c r="Y1140" i="7"/>
  <c r="AU1431" i="7"/>
  <c r="AS1430" i="7"/>
  <c r="AU1430" i="7" s="1"/>
  <c r="AW1430" i="7" s="1"/>
  <c r="AS1097" i="7"/>
  <c r="AS1112" i="7"/>
  <c r="AL150" i="7"/>
  <c r="BM270" i="7"/>
  <c r="AS858" i="7"/>
  <c r="AU858" i="7" s="1"/>
  <c r="AN1140" i="7"/>
  <c r="AN1138" i="7"/>
  <c r="AR1139" i="7"/>
  <c r="AY986" i="7"/>
  <c r="AY984" i="7"/>
  <c r="AH987" i="7"/>
  <c r="AK964" i="7"/>
  <c r="BJ964" i="7" s="1"/>
  <c r="BK964" i="7" s="1"/>
  <c r="BJ965" i="7"/>
  <c r="BK965" i="7" s="1"/>
  <c r="AQ521" i="7"/>
  <c r="AS664" i="7"/>
  <c r="AU664" i="7" s="1"/>
  <c r="BC288" i="7"/>
  <c r="BE288" i="7" s="1"/>
  <c r="AY1137" i="7"/>
  <c r="AY6" i="7" s="1"/>
  <c r="AY1139" i="7"/>
  <c r="AT1139" i="7"/>
  <c r="AT1137" i="7"/>
  <c r="AU541" i="7"/>
  <c r="AS540" i="7"/>
  <c r="AU540" i="7" s="1"/>
  <c r="AW540" i="7" s="1"/>
  <c r="AU524" i="7"/>
  <c r="AU1186" i="7"/>
  <c r="AS1183" i="7"/>
  <c r="AU1183" i="7" s="1"/>
  <c r="AW1183" i="7" s="1"/>
  <c r="AS1650" i="7"/>
  <c r="AU1650" i="7" s="1"/>
  <c r="AW1650" i="7" s="1"/>
  <c r="AS1649" i="7"/>
  <c r="AU1649" i="7" s="1"/>
  <c r="AW1649" i="7" s="1"/>
  <c r="AU1651" i="7"/>
  <c r="AU1605" i="7"/>
  <c r="AS1570" i="7"/>
  <c r="AU1570" i="7" s="1"/>
  <c r="AU1434" i="7"/>
  <c r="BE1142" i="7"/>
  <c r="BE1112" i="7"/>
  <c r="AS1149" i="7"/>
  <c r="BD982" i="7"/>
  <c r="BC981" i="7"/>
  <c r="BD981" i="7" s="1"/>
  <c r="BE981" i="7" s="1"/>
  <c r="BE982" i="7"/>
  <c r="AC1139" i="7"/>
  <c r="AQ1139" i="7"/>
  <c r="AQ1137" i="7"/>
  <c r="AO1139" i="7"/>
  <c r="AS1118" i="7"/>
  <c r="W985" i="7"/>
  <c r="BD972" i="7"/>
  <c r="BE972" i="7"/>
  <c r="BE960" i="7" s="1"/>
  <c r="BC960" i="7"/>
  <c r="BC9" i="7" s="1"/>
  <c r="U985" i="7"/>
  <c r="X1103" i="7"/>
  <c r="BE1097" i="7"/>
  <c r="BC1149" i="7"/>
  <c r="BJ896" i="7"/>
  <c r="AK815" i="7"/>
  <c r="W1139" i="7"/>
  <c r="BM987" i="7"/>
  <c r="BM985" i="7"/>
  <c r="BN1096" i="7"/>
  <c r="AS897" i="7"/>
  <c r="AS1057" i="7"/>
  <c r="BJ988" i="7"/>
  <c r="U959" i="7"/>
  <c r="X959" i="7" s="1"/>
  <c r="X961" i="7"/>
  <c r="BC818" i="7"/>
  <c r="BC158" i="7"/>
  <c r="X157" i="7"/>
  <c r="AU672" i="7"/>
  <c r="AS671" i="7"/>
  <c r="AU671" i="7" s="1"/>
  <c r="AW671" i="7" s="1"/>
  <c r="BE76" i="7"/>
  <c r="BJ970" i="7"/>
  <c r="AK969" i="7"/>
  <c r="BJ969" i="7" s="1"/>
  <c r="X54" i="7"/>
  <c r="AU505" i="7"/>
  <c r="AW505" i="7" s="1"/>
  <c r="AX505" i="7"/>
  <c r="BM280" i="7"/>
  <c r="BN506" i="7"/>
  <c r="BN280" i="7" s="1"/>
  <c r="BJ150" i="7"/>
  <c r="BE1428" i="7"/>
  <c r="BC1427" i="7"/>
  <c r="BD1427" i="7" s="1"/>
  <c r="BE1427" i="7" s="1"/>
  <c r="AS1427" i="7"/>
  <c r="AU1427" i="7" s="1"/>
  <c r="AW1427" i="7" s="1"/>
  <c r="AU1428" i="7"/>
  <c r="BN1137" i="7"/>
  <c r="BN1139" i="7"/>
  <c r="AK1183" i="7"/>
  <c r="BJ1183" i="7" s="1"/>
  <c r="BK1183" i="7" s="1"/>
  <c r="AS1171" i="7"/>
  <c r="AU1171" i="7" s="1"/>
  <c r="AW1171" i="7" s="1"/>
  <c r="AU1172" i="7"/>
  <c r="AS1109" i="7"/>
  <c r="AU1155" i="7"/>
  <c r="AM1137" i="7"/>
  <c r="AM1139" i="7"/>
  <c r="Y1139" i="7"/>
  <c r="BC1128" i="7"/>
  <c r="BC1165" i="7"/>
  <c r="AK1004" i="7"/>
  <c r="BJ1004" i="7" s="1"/>
  <c r="BK1004" i="7" s="1"/>
  <c r="BD967" i="7"/>
  <c r="BE967" i="7"/>
  <c r="AG1139" i="7"/>
  <c r="AU965" i="7"/>
  <c r="AS964" i="7"/>
  <c r="AU964" i="7" s="1"/>
  <c r="AW964" i="7" s="1"/>
  <c r="BJ817" i="7"/>
  <c r="BE669" i="7"/>
  <c r="BC668" i="7"/>
  <c r="BD668" i="7" s="1"/>
  <c r="BE668" i="7" s="1"/>
  <c r="AU962" i="7"/>
  <c r="AS961" i="7"/>
  <c r="AK540" i="7"/>
  <c r="BJ540" i="7" s="1"/>
  <c r="BK540" i="7" s="1"/>
  <c r="BC541" i="7"/>
  <c r="BC60" i="7"/>
  <c r="X59" i="7"/>
  <c r="AS686" i="7"/>
  <c r="X151" i="7"/>
  <c r="BC152" i="7"/>
  <c r="X70" i="7"/>
  <c r="U69" i="7"/>
  <c r="U521" i="7"/>
  <c r="AS158" i="7"/>
  <c r="AX971" i="7"/>
  <c r="AS970" i="7"/>
  <c r="BN591" i="7"/>
  <c r="BN522" i="7" s="1"/>
  <c r="BM522" i="7"/>
  <c r="AS526" i="7"/>
  <c r="AU526" i="7" s="1"/>
  <c r="BE1579" i="7"/>
  <c r="AK1603" i="7"/>
  <c r="AF1140" i="7"/>
  <c r="AF1138" i="7"/>
  <c r="AK1572" i="7"/>
  <c r="BC1627" i="7"/>
  <c r="BE1627" i="7" s="1"/>
  <c r="W1572" i="7"/>
  <c r="X1554" i="7"/>
  <c r="U1138" i="7"/>
  <c r="U1140" i="7"/>
  <c r="AU1555" i="7"/>
  <c r="BC1591" i="7"/>
  <c r="BE1591" i="7" s="1"/>
  <c r="AU1181" i="7"/>
  <c r="AS1180" i="7"/>
  <c r="AU1180" i="7" s="1"/>
  <c r="AW1180" i="7" s="1"/>
  <c r="BC1151" i="7"/>
  <c r="BD1151" i="7" s="1"/>
  <c r="BE1151" i="7" s="1"/>
  <c r="AU1195" i="7"/>
  <c r="AW1195" i="7" s="1"/>
  <c r="AX1195" i="7"/>
  <c r="AA1139" i="7"/>
  <c r="AA1137" i="7"/>
  <c r="AS1104" i="7"/>
  <c r="AK1154" i="7"/>
  <c r="BJ1154" i="7" s="1"/>
  <c r="BK1154" i="7" s="1"/>
  <c r="BK1141" i="7"/>
  <c r="AT985" i="7"/>
  <c r="AU1124" i="7"/>
  <c r="AW1124" i="7" s="1"/>
  <c r="BC1109" i="7"/>
  <c r="BC1104" i="7"/>
  <c r="BC1045" i="7"/>
  <c r="BE1045" i="7" s="1"/>
  <c r="AU888" i="7"/>
  <c r="AS1004" i="7"/>
  <c r="AU1004" i="7" s="1"/>
  <c r="AW1004" i="7" s="1"/>
  <c r="U816" i="7"/>
  <c r="BC1057" i="7"/>
  <c r="X591" i="7"/>
  <c r="U522" i="7"/>
  <c r="BC897" i="7"/>
  <c r="AU669" i="7"/>
  <c r="AS668" i="7"/>
  <c r="AU668" i="7" s="1"/>
  <c r="AW668" i="7" s="1"/>
  <c r="AU282" i="7"/>
  <c r="AS281" i="7"/>
  <c r="X267" i="7"/>
  <c r="U150" i="7"/>
  <c r="BE971" i="7"/>
  <c r="BD971" i="7"/>
  <c r="BC970" i="7"/>
  <c r="BI970" i="7"/>
  <c r="BI969" i="7" s="1"/>
  <c r="BI959" i="7"/>
  <c r="BI6" i="7" s="1"/>
  <c r="BC686" i="7"/>
  <c r="AK591" i="7"/>
  <c r="BN523" i="7"/>
  <c r="BN521" i="7" s="1"/>
  <c r="BM521" i="7"/>
  <c r="AX292" i="7"/>
  <c r="AU292" i="7"/>
  <c r="AW292" i="7" s="1"/>
  <c r="AK161" i="7"/>
  <c r="BJ161" i="7" s="1"/>
  <c r="AU14" i="7"/>
  <c r="AW14" i="7" s="1"/>
  <c r="AK348" i="7"/>
  <c r="AX70" i="7"/>
  <c r="AJ1140" i="7"/>
  <c r="AJ1138" i="7"/>
  <c r="AK1650" i="7"/>
  <c r="BJ1650" i="7" s="1"/>
  <c r="AK1649" i="7"/>
  <c r="AS1627" i="7"/>
  <c r="AU1627" i="7" s="1"/>
  <c r="X1573" i="7"/>
  <c r="BC1574" i="7"/>
  <c r="AB1140" i="7"/>
  <c r="AB1138" i="7"/>
  <c r="BJ1572" i="7"/>
  <c r="AU1579" i="7"/>
  <c r="BC1570" i="7"/>
  <c r="BE1570" i="7" s="1"/>
  <c r="AO1138" i="7"/>
  <c r="AO1140" i="7"/>
  <c r="BE1184" i="7"/>
  <c r="AS1443" i="7"/>
  <c r="AU1443" i="7" s="1"/>
  <c r="BC1443" i="7"/>
  <c r="BE1443" i="7" s="1"/>
  <c r="X1151" i="7"/>
  <c r="U1137" i="7"/>
  <c r="AK1433" i="7"/>
  <c r="AB1137" i="7"/>
  <c r="AB6" i="7" s="1"/>
  <c r="BC1186" i="7"/>
  <c r="BE1186" i="7" s="1"/>
  <c r="X1004" i="7"/>
  <c r="U984" i="7"/>
  <c r="W987" i="7"/>
  <c r="V987" i="7"/>
  <c r="V985" i="7"/>
  <c r="X1096" i="7"/>
  <c r="BM986" i="7"/>
  <c r="BM984" i="7"/>
  <c r="BN988" i="7"/>
  <c r="BC1118" i="7"/>
  <c r="AS818" i="7"/>
  <c r="AU349" i="7"/>
  <c r="AU662" i="7"/>
  <c r="X161" i="7"/>
  <c r="U149" i="7"/>
  <c r="X149" i="7" s="1"/>
  <c r="AS434" i="7"/>
  <c r="AU434" i="7" s="1"/>
  <c r="U279" i="7"/>
  <c r="X279" i="7" s="1"/>
  <c r="X281" i="7"/>
  <c r="BE268" i="7"/>
  <c r="BC267" i="7"/>
  <c r="AU592" i="7"/>
  <c r="AK523" i="7"/>
  <c r="AX284" i="7"/>
  <c r="AU284" i="7"/>
  <c r="AW284" i="7" s="1"/>
  <c r="U12" i="7"/>
  <c r="AK671" i="7"/>
  <c r="BJ671" i="7" s="1"/>
  <c r="BK671" i="7" s="1"/>
  <c r="BC271" i="7"/>
  <c r="AS70" i="7"/>
  <c r="BA12" i="1"/>
  <c r="BA10" i="1" s="1"/>
  <c r="BA275" i="1"/>
  <c r="BA305" i="1"/>
  <c r="BA266" i="1"/>
  <c r="BA403" i="1"/>
  <c r="BA297" i="1"/>
  <c r="BA388" i="1"/>
  <c r="BA342" i="1"/>
  <c r="BA347" i="1"/>
  <c r="BA312" i="1"/>
  <c r="BA430" i="1"/>
  <c r="BA273" i="1"/>
  <c r="BA262" i="1"/>
  <c r="BA412" i="1"/>
  <c r="BA311" i="1"/>
  <c r="F70" i="3" l="1"/>
  <c r="X69" i="7"/>
  <c r="BC503" i="7"/>
  <c r="BD503" i="7" s="1"/>
  <c r="BE503" i="7" s="1"/>
  <c r="AC8" i="7"/>
  <c r="F18" i="3"/>
  <c r="F37" i="3"/>
  <c r="F34" i="3"/>
  <c r="BK1604" i="7"/>
  <c r="BE1101" i="7"/>
  <c r="BE1100" i="7" s="1"/>
  <c r="AS1578" i="7"/>
  <c r="AU1578" i="7" s="1"/>
  <c r="AW1578" i="7" s="1"/>
  <c r="AK69" i="7"/>
  <c r="AU1128" i="7"/>
  <c r="AX1128" i="7" s="1"/>
  <c r="AX1127" i="7" s="1"/>
  <c r="AE8" i="7"/>
  <c r="AX1004" i="7"/>
  <c r="F20" i="3"/>
  <c r="F16" i="3"/>
  <c r="F58" i="3"/>
  <c r="F42" i="3"/>
  <c r="F5" i="3"/>
  <c r="F46" i="3"/>
  <c r="F14" i="3"/>
  <c r="F15" i="3"/>
  <c r="F32" i="3"/>
  <c r="F26" i="3"/>
  <c r="F55" i="3"/>
  <c r="F36" i="3"/>
  <c r="F69" i="3"/>
  <c r="F59" i="3"/>
  <c r="F53" i="3"/>
  <c r="F44" i="3"/>
  <c r="F6" i="3"/>
  <c r="F19" i="3"/>
  <c r="F22" i="3"/>
  <c r="F28" i="3"/>
  <c r="F68" i="3"/>
  <c r="F12" i="3"/>
  <c r="F11" i="3"/>
  <c r="F25" i="3"/>
  <c r="F65" i="3"/>
  <c r="F54" i="3"/>
  <c r="F51" i="3"/>
  <c r="F60" i="3"/>
  <c r="V8" i="7"/>
  <c r="AX1181" i="7"/>
  <c r="AX1180" i="7" s="1"/>
  <c r="AW1181" i="7"/>
  <c r="AX657" i="7"/>
  <c r="AW657" i="7"/>
  <c r="AX592" i="7"/>
  <c r="AW592" i="7"/>
  <c r="AX662" i="7"/>
  <c r="AW662" i="7"/>
  <c r="AX1443" i="7"/>
  <c r="AW1443" i="7"/>
  <c r="AX1627" i="7"/>
  <c r="AW1627" i="7"/>
  <c r="AX282" i="7"/>
  <c r="AX281" i="7" s="1"/>
  <c r="AW282" i="7"/>
  <c r="AX526" i="7"/>
  <c r="AW526" i="7"/>
  <c r="AX1155" i="7"/>
  <c r="AW1155" i="7"/>
  <c r="AX1605" i="7"/>
  <c r="AW1605" i="7"/>
  <c r="AX541" i="7"/>
  <c r="AX540" i="7" s="1"/>
  <c r="AW541" i="7"/>
  <c r="AX664" i="7"/>
  <c r="AW664" i="7"/>
  <c r="AX1431" i="7"/>
  <c r="AX1430" i="7" s="1"/>
  <c r="AW1431" i="7"/>
  <c r="AX982" i="7"/>
  <c r="AX981" i="7" s="1"/>
  <c r="AW982" i="7"/>
  <c r="AX843" i="7"/>
  <c r="AX842" i="7" s="1"/>
  <c r="AW843" i="7"/>
  <c r="AX1591" i="7"/>
  <c r="AW1591" i="7"/>
  <c r="AX672" i="7"/>
  <c r="AX671" i="7" s="1"/>
  <c r="AW672" i="7"/>
  <c r="AX1570" i="7"/>
  <c r="AW1570" i="7"/>
  <c r="AX1574" i="7"/>
  <c r="AX1573" i="7" s="1"/>
  <c r="AW1574" i="7"/>
  <c r="AX434" i="7"/>
  <c r="AW434" i="7"/>
  <c r="AX349" i="7"/>
  <c r="AW349" i="7"/>
  <c r="AX888" i="7"/>
  <c r="AW888" i="7"/>
  <c r="AX1555" i="7"/>
  <c r="AW1555" i="7"/>
  <c r="AX962" i="7"/>
  <c r="AX961" i="7" s="1"/>
  <c r="AW962" i="7"/>
  <c r="AX1651" i="7"/>
  <c r="AX1650" i="7" s="1"/>
  <c r="AW1651" i="7"/>
  <c r="AX1186" i="7"/>
  <c r="AX1183" i="7" s="1"/>
  <c r="AW1186" i="7"/>
  <c r="AX793" i="7"/>
  <c r="AW793" i="7"/>
  <c r="AX1162" i="7"/>
  <c r="AW1162" i="7"/>
  <c r="AX989" i="7"/>
  <c r="AX988" i="7" s="1"/>
  <c r="AW989" i="7"/>
  <c r="AX34" i="7"/>
  <c r="AW34" i="7"/>
  <c r="AX31" i="7"/>
  <c r="AW31" i="7"/>
  <c r="AX1086" i="7"/>
  <c r="AX1085" i="7" s="1"/>
  <c r="AW1086" i="7"/>
  <c r="AX35" i="7"/>
  <c r="AW35" i="7"/>
  <c r="AX1428" i="7"/>
  <c r="AX1427" i="7" s="1"/>
  <c r="AW1428" i="7"/>
  <c r="AX504" i="7"/>
  <c r="AX503" i="7" s="1"/>
  <c r="AW504" i="7"/>
  <c r="AX1579" i="7"/>
  <c r="AW1579" i="7"/>
  <c r="AX669" i="7"/>
  <c r="AX668" i="7" s="1"/>
  <c r="AW669" i="7"/>
  <c r="AX965" i="7"/>
  <c r="AX964" i="7" s="1"/>
  <c r="AW965" i="7"/>
  <c r="AX1172" i="7"/>
  <c r="AX1171" i="7" s="1"/>
  <c r="AW1172" i="7"/>
  <c r="AX1434" i="7"/>
  <c r="AW1434" i="7"/>
  <c r="AX524" i="7"/>
  <c r="AW524" i="7"/>
  <c r="AX858" i="7"/>
  <c r="AX857" i="7" s="1"/>
  <c r="AW858" i="7"/>
  <c r="AX271" i="7"/>
  <c r="AX270" i="7" s="1"/>
  <c r="AX150" i="7" s="1"/>
  <c r="AW271" i="7"/>
  <c r="AX890" i="7"/>
  <c r="AW890" i="7"/>
  <c r="AX1144" i="7"/>
  <c r="AX1141" i="7" s="1"/>
  <c r="AW1144" i="7"/>
  <c r="AX720" i="7"/>
  <c r="AW720" i="7"/>
  <c r="AX1125" i="7"/>
  <c r="AX1124" i="7" s="1"/>
  <c r="AW1125" i="7"/>
  <c r="AS1573" i="7"/>
  <c r="AS1572" i="7" s="1"/>
  <c r="AU1572" i="7" s="1"/>
  <c r="AW1572" i="7" s="1"/>
  <c r="AU162" i="7"/>
  <c r="AS9" i="7"/>
  <c r="BJ506" i="7"/>
  <c r="AM8" i="7"/>
  <c r="AU813" i="7"/>
  <c r="AS1085" i="7"/>
  <c r="AU1085" i="7" s="1"/>
  <c r="AW1085" i="7" s="1"/>
  <c r="AN6" i="7"/>
  <c r="AU1152" i="7"/>
  <c r="BE1086" i="7"/>
  <c r="AS1141" i="7"/>
  <c r="AU1141" i="7" s="1"/>
  <c r="AW1141" i="7" s="1"/>
  <c r="AS54" i="7"/>
  <c r="AK150" i="7"/>
  <c r="BD970" i="7"/>
  <c r="AK985" i="7"/>
  <c r="Y8" i="7"/>
  <c r="AG6" i="7"/>
  <c r="AF8" i="7"/>
  <c r="BC70" i="7"/>
  <c r="BD70" i="7" s="1"/>
  <c r="BC348" i="7"/>
  <c r="BD348" i="7" s="1"/>
  <c r="BE348" i="7" s="1"/>
  <c r="AU833" i="7"/>
  <c r="BC591" i="7"/>
  <c r="BD591" i="7" s="1"/>
  <c r="AU1115" i="7"/>
  <c r="AP7" i="7"/>
  <c r="BD960" i="7"/>
  <c r="BD9" i="7" s="1"/>
  <c r="BC1171" i="7"/>
  <c r="BD1171" i="7" s="1"/>
  <c r="BE1171" i="7" s="1"/>
  <c r="BC1604" i="7"/>
  <c r="BE592" i="7"/>
  <c r="AS1100" i="7"/>
  <c r="BC161" i="7"/>
  <c r="BD161" i="7" s="1"/>
  <c r="BE161" i="7" s="1"/>
  <c r="BH10" i="7"/>
  <c r="S10" i="7"/>
  <c r="BE1605" i="7"/>
  <c r="BE1603" i="7" s="1"/>
  <c r="BI10" i="7"/>
  <c r="AA8" i="7"/>
  <c r="AE7" i="7"/>
  <c r="X1140" i="7"/>
  <c r="AS692" i="7"/>
  <c r="AU692" i="7" s="1"/>
  <c r="AW692" i="7" s="1"/>
  <c r="AI6" i="7"/>
  <c r="Y6" i="7"/>
  <c r="AL6" i="7"/>
  <c r="AB8" i="7"/>
  <c r="BC1650" i="7"/>
  <c r="BC75" i="7"/>
  <c r="BD75" i="7" s="1"/>
  <c r="BE75" i="7" s="1"/>
  <c r="AH7" i="7"/>
  <c r="BE1649" i="7"/>
  <c r="AS1154" i="7"/>
  <c r="AU1154" i="7" s="1"/>
  <c r="AW1154" i="7" s="1"/>
  <c r="BC887" i="7"/>
  <c r="BD887" i="7" s="1"/>
  <c r="BE887" i="7" s="1"/>
  <c r="T10" i="7"/>
  <c r="AC6" i="7"/>
  <c r="Z8" i="7"/>
  <c r="X986" i="7"/>
  <c r="AX1578" i="7"/>
  <c r="AU152" i="7"/>
  <c r="BE71" i="7"/>
  <c r="BK12" i="7"/>
  <c r="AU507" i="7"/>
  <c r="AK12" i="7"/>
  <c r="AF6" i="7"/>
  <c r="AQ8" i="7"/>
  <c r="BE1172" i="7"/>
  <c r="AO7" i="7"/>
  <c r="AD7" i="7"/>
  <c r="AP6" i="7"/>
  <c r="Z6" i="7"/>
  <c r="BE858" i="7"/>
  <c r="AQ7" i="7"/>
  <c r="AJ6" i="7"/>
  <c r="AI7" i="7"/>
  <c r="AR6" i="7"/>
  <c r="W8" i="7"/>
  <c r="BJ12" i="7"/>
  <c r="AS988" i="7"/>
  <c r="AQ6" i="7"/>
  <c r="AC7" i="7"/>
  <c r="BC13" i="7"/>
  <c r="BD13" i="7" s="1"/>
  <c r="BC812" i="7"/>
  <c r="BD812" i="7" s="1"/>
  <c r="BE812" i="7" s="1"/>
  <c r="AS887" i="7"/>
  <c r="AU887" i="7" s="1"/>
  <c r="AW887" i="7" s="1"/>
  <c r="AS842" i="7"/>
  <c r="AU842" i="7" s="1"/>
  <c r="AW842" i="7" s="1"/>
  <c r="BE1132" i="7"/>
  <c r="AR7" i="7"/>
  <c r="AO6" i="7"/>
  <c r="AH8" i="7"/>
  <c r="V7" i="7"/>
  <c r="AG8" i="7"/>
  <c r="V6" i="7"/>
  <c r="AU1132" i="7"/>
  <c r="AE6" i="7"/>
  <c r="AS13" i="7"/>
  <c r="BE989" i="7"/>
  <c r="X522" i="7"/>
  <c r="BC692" i="7"/>
  <c r="BD692" i="7" s="1"/>
  <c r="BE692" i="7" s="1"/>
  <c r="BC969" i="7"/>
  <c r="BD969" i="7" s="1"/>
  <c r="BE969" i="7" s="1"/>
  <c r="AU1165" i="7"/>
  <c r="AA7" i="7"/>
  <c r="AS591" i="7"/>
  <c r="AU591" i="7" s="1"/>
  <c r="AW591" i="7" s="1"/>
  <c r="BE1125" i="7"/>
  <c r="X987" i="7"/>
  <c r="X1137" i="7"/>
  <c r="AS1554" i="7"/>
  <c r="AU1554" i="7" s="1"/>
  <c r="AW1554" i="7" s="1"/>
  <c r="AF7" i="7"/>
  <c r="AM6" i="7"/>
  <c r="AD6" i="7"/>
  <c r="AH6" i="7"/>
  <c r="AT6" i="7"/>
  <c r="U8" i="7"/>
  <c r="AJ7" i="7"/>
  <c r="X521" i="7"/>
  <c r="AG7" i="7"/>
  <c r="BC54" i="7"/>
  <c r="BD54" i="7" s="1"/>
  <c r="BE54" i="7" s="1"/>
  <c r="X1139" i="7"/>
  <c r="X816" i="7"/>
  <c r="AU1135" i="7"/>
  <c r="BJ987" i="7"/>
  <c r="W6" i="7"/>
  <c r="BC523" i="7"/>
  <c r="BD523" i="7" s="1"/>
  <c r="AX1649" i="7"/>
  <c r="AS503" i="7"/>
  <c r="AU503" i="7" s="1"/>
  <c r="AW503" i="7" s="1"/>
  <c r="AK987" i="7"/>
  <c r="W7" i="7"/>
  <c r="BC1154" i="7"/>
  <c r="BD1154" i="7" s="1"/>
  <c r="BE1154" i="7" s="1"/>
  <c r="AS661" i="7"/>
  <c r="AU661" i="7" s="1"/>
  <c r="AW661" i="7" s="1"/>
  <c r="BJ985" i="7"/>
  <c r="AS270" i="7"/>
  <c r="AU270" i="7" s="1"/>
  <c r="AS857" i="7"/>
  <c r="AU857" i="7" s="1"/>
  <c r="AW857" i="7" s="1"/>
  <c r="BC661" i="7"/>
  <c r="BD661" i="7" s="1"/>
  <c r="BE661" i="7" s="1"/>
  <c r="BC1134" i="7"/>
  <c r="BD1134" i="7" s="1"/>
  <c r="BE1134" i="7" s="1"/>
  <c r="BC1141" i="7"/>
  <c r="BD1141" i="7" s="1"/>
  <c r="BE1141" i="7" s="1"/>
  <c r="AT7" i="7"/>
  <c r="BL10" i="7"/>
  <c r="Z7" i="7"/>
  <c r="AL7" i="7"/>
  <c r="AA6" i="7"/>
  <c r="X1138" i="7"/>
  <c r="AM7" i="7"/>
  <c r="BC978" i="7"/>
  <c r="BD978" i="7" s="1"/>
  <c r="BE978" i="7" s="1"/>
  <c r="BD979" i="7"/>
  <c r="AU979" i="7"/>
  <c r="AS978" i="7"/>
  <c r="AU978" i="7" s="1"/>
  <c r="AW978" i="7" s="1"/>
  <c r="BE830" i="7"/>
  <c r="BC961" i="7"/>
  <c r="BD961" i="7" s="1"/>
  <c r="BC671" i="7"/>
  <c r="BD671" i="7" s="1"/>
  <c r="BE671" i="7" s="1"/>
  <c r="BC1114" i="7"/>
  <c r="BD1114" i="7" s="1"/>
  <c r="BE1114" i="7" s="1"/>
  <c r="BD962" i="7"/>
  <c r="X984" i="7"/>
  <c r="AB7" i="7"/>
  <c r="AN7" i="7"/>
  <c r="Y7" i="7"/>
  <c r="BE843" i="7"/>
  <c r="BC842" i="7"/>
  <c r="BD842" i="7" s="1"/>
  <c r="BE842" i="7" s="1"/>
  <c r="BC281" i="7"/>
  <c r="AK959" i="7"/>
  <c r="AK816" i="7"/>
  <c r="BM1140" i="7"/>
  <c r="BM1138" i="7"/>
  <c r="BN1433" i="7"/>
  <c r="AU60" i="7"/>
  <c r="AW60" i="7" s="1"/>
  <c r="AS59" i="7"/>
  <c r="BN281" i="7"/>
  <c r="BN279" i="7" s="1"/>
  <c r="BM279" i="7"/>
  <c r="AU830" i="7"/>
  <c r="AS829" i="7"/>
  <c r="AU829" i="7" s="1"/>
  <c r="AW829" i="7" s="1"/>
  <c r="BC832" i="7"/>
  <c r="BD832" i="7" s="1"/>
  <c r="BE832" i="7" s="1"/>
  <c r="U7" i="7"/>
  <c r="BE970" i="7"/>
  <c r="X1572" i="7"/>
  <c r="X12" i="7"/>
  <c r="AS1111" i="7"/>
  <c r="AU1111" i="7" s="1"/>
  <c r="AW1111" i="7" s="1"/>
  <c r="AU1112" i="7"/>
  <c r="AU1097" i="7"/>
  <c r="AS1096" i="7"/>
  <c r="AU1096" i="7" s="1"/>
  <c r="AW1096" i="7" s="1"/>
  <c r="BE965" i="7"/>
  <c r="BD965" i="7"/>
  <c r="AU76" i="7"/>
  <c r="AY117" i="7"/>
  <c r="AY76" i="7" s="1"/>
  <c r="AY75" i="7" s="1"/>
  <c r="AY69" i="7" s="1"/>
  <c r="AY7" i="7" s="1"/>
  <c r="AY10" i="7" s="1"/>
  <c r="AK1139" i="7"/>
  <c r="BC506" i="7"/>
  <c r="BD506" i="7" s="1"/>
  <c r="BN270" i="7"/>
  <c r="BN150" i="7" s="1"/>
  <c r="BM150" i="7"/>
  <c r="BM6" i="7" s="1"/>
  <c r="BC964" i="7"/>
  <c r="BD964" i="7" s="1"/>
  <c r="BE964" i="7" s="1"/>
  <c r="BD267" i="7"/>
  <c r="BE1118" i="7"/>
  <c r="BC1117" i="7"/>
  <c r="BD1117" i="7" s="1"/>
  <c r="BE1117" i="7" s="1"/>
  <c r="X150" i="7"/>
  <c r="U6" i="7"/>
  <c r="BC896" i="7"/>
  <c r="BE897" i="7"/>
  <c r="AS280" i="7"/>
  <c r="AU506" i="7"/>
  <c r="BE152" i="7"/>
  <c r="BD152" i="7"/>
  <c r="BD151" i="7" s="1"/>
  <c r="BC151" i="7"/>
  <c r="AU686" i="7"/>
  <c r="AS685" i="7"/>
  <c r="AU685" i="7" s="1"/>
  <c r="AW685" i="7" s="1"/>
  <c r="AU961" i="7"/>
  <c r="AW961" i="7" s="1"/>
  <c r="BC1164" i="7"/>
  <c r="BD1164" i="7" s="1"/>
  <c r="BE1164" i="7" s="1"/>
  <c r="BE1165" i="7"/>
  <c r="AU1109" i="7"/>
  <c r="AS1108" i="7"/>
  <c r="AU1108" i="7" s="1"/>
  <c r="AW1108" i="7" s="1"/>
  <c r="BM8" i="7"/>
  <c r="AK986" i="7"/>
  <c r="BC1433" i="7"/>
  <c r="BD1433" i="7" s="1"/>
  <c r="AX1433" i="7"/>
  <c r="AS1604" i="7"/>
  <c r="AU1604" i="7" s="1"/>
  <c r="AW1604" i="7" s="1"/>
  <c r="AS523" i="7"/>
  <c r="AK521" i="7"/>
  <c r="BJ523" i="7"/>
  <c r="AS348" i="7"/>
  <c r="AU348" i="7" s="1"/>
  <c r="AW348" i="7" s="1"/>
  <c r="BK961" i="7"/>
  <c r="BK959" i="7" s="1"/>
  <c r="BJ959" i="7"/>
  <c r="AU818" i="7"/>
  <c r="AS817" i="7"/>
  <c r="BN986" i="7"/>
  <c r="BN984" i="7"/>
  <c r="BC1183" i="7"/>
  <c r="BD1183" i="7" s="1"/>
  <c r="BE1183" i="7" s="1"/>
  <c r="AK149" i="7"/>
  <c r="BJ1137" i="7"/>
  <c r="AS1103" i="7"/>
  <c r="AU1103" i="7" s="1"/>
  <c r="AW1103" i="7" s="1"/>
  <c r="AU1104" i="7"/>
  <c r="AX1101" i="7"/>
  <c r="AX1100" i="7" s="1"/>
  <c r="AU1100" i="7"/>
  <c r="AW1100" i="7" s="1"/>
  <c r="BC1578" i="7"/>
  <c r="BD1578" i="7" s="1"/>
  <c r="BE1578" i="7" s="1"/>
  <c r="AU54" i="7"/>
  <c r="AW54" i="7" s="1"/>
  <c r="AX55" i="7"/>
  <c r="AX54" i="7" s="1"/>
  <c r="BJ816" i="7"/>
  <c r="BK817" i="7"/>
  <c r="BK816" i="7" s="1"/>
  <c r="BC1127" i="7"/>
  <c r="BD1127" i="7" s="1"/>
  <c r="BE1127" i="7" s="1"/>
  <c r="BE1128" i="7"/>
  <c r="AK1137" i="7"/>
  <c r="BC1554" i="7"/>
  <c r="BD1554" i="7" s="1"/>
  <c r="BE1554" i="7" s="1"/>
  <c r="BK969" i="7"/>
  <c r="AU1057" i="7"/>
  <c r="AS1056" i="7"/>
  <c r="AU1056" i="7" s="1"/>
  <c r="AW1056" i="7" s="1"/>
  <c r="BC1148" i="7"/>
  <c r="BD1148" i="7" s="1"/>
  <c r="BE1148" i="7" s="1"/>
  <c r="BE1149" i="7"/>
  <c r="BC1004" i="7"/>
  <c r="BD1004" i="7" s="1"/>
  <c r="BE1004" i="7" s="1"/>
  <c r="AS1117" i="7"/>
  <c r="AU1117" i="7" s="1"/>
  <c r="AW1117" i="7" s="1"/>
  <c r="AU1118" i="7"/>
  <c r="AS69" i="7"/>
  <c r="AU70" i="7"/>
  <c r="BE271" i="7"/>
  <c r="BC270" i="7"/>
  <c r="BD270" i="7" s="1"/>
  <c r="BE270" i="7" s="1"/>
  <c r="BE1574" i="7"/>
  <c r="BE1573" i="7" s="1"/>
  <c r="BC1573" i="7"/>
  <c r="BJ1649" i="7"/>
  <c r="BK1650" i="7"/>
  <c r="AX14" i="7"/>
  <c r="AU13" i="7"/>
  <c r="BJ591" i="7"/>
  <c r="AK522" i="7"/>
  <c r="BE686" i="7"/>
  <c r="BC685" i="7"/>
  <c r="BD685" i="7" s="1"/>
  <c r="BE685" i="7" s="1"/>
  <c r="AU281" i="7"/>
  <c r="AW281" i="7" s="1"/>
  <c r="BE1057" i="7"/>
  <c r="BC1056" i="7"/>
  <c r="BD1056" i="7" s="1"/>
  <c r="BE1056" i="7" s="1"/>
  <c r="BE1104" i="7"/>
  <c r="BC1103" i="7"/>
  <c r="BD1103" i="7" s="1"/>
  <c r="BE1103" i="7" s="1"/>
  <c r="BJ1139" i="7"/>
  <c r="BK987" i="7"/>
  <c r="BK985" i="7"/>
  <c r="AU158" i="7"/>
  <c r="AW158" i="7" s="1"/>
  <c r="AS157" i="7"/>
  <c r="AS149" i="7" s="1"/>
  <c r="BC59" i="7"/>
  <c r="BD59" i="7" s="1"/>
  <c r="BE59" i="7" s="1"/>
  <c r="BE60" i="7"/>
  <c r="BE541" i="7"/>
  <c r="BC540" i="7"/>
  <c r="BD540" i="7" s="1"/>
  <c r="BE540" i="7" s="1"/>
  <c r="BK970" i="7"/>
  <c r="BE158" i="7"/>
  <c r="BE157" i="7" s="1"/>
  <c r="BC157" i="7"/>
  <c r="BE818" i="7"/>
  <c r="BC817" i="7"/>
  <c r="AK984" i="7"/>
  <c r="AS896" i="7"/>
  <c r="AU897" i="7"/>
  <c r="BN987" i="7"/>
  <c r="BN985" i="7"/>
  <c r="BD1096" i="7"/>
  <c r="X985" i="7"/>
  <c r="BF960" i="7"/>
  <c r="BF9" i="7" s="1"/>
  <c r="BG960" i="7"/>
  <c r="BE9" i="7"/>
  <c r="AS1603" i="7"/>
  <c r="BJ1433" i="7"/>
  <c r="AK1138" i="7"/>
  <c r="AK1140" i="7"/>
  <c r="BJ348" i="7"/>
  <c r="AK279" i="7"/>
  <c r="BK161" i="7"/>
  <c r="BK149" i="7" s="1"/>
  <c r="BJ149" i="7"/>
  <c r="BE1109" i="7"/>
  <c r="BC1108" i="7"/>
  <c r="BD1108" i="7" s="1"/>
  <c r="BE1108" i="7" s="1"/>
  <c r="BK1139" i="7"/>
  <c r="BK1137" i="7"/>
  <c r="AU970" i="7"/>
  <c r="AS969" i="7"/>
  <c r="AU969" i="7" s="1"/>
  <c r="AW969" i="7" s="1"/>
  <c r="AU988" i="7"/>
  <c r="AW988" i="7" s="1"/>
  <c r="BN8" i="7"/>
  <c r="BJ69" i="7"/>
  <c r="BK70" i="7"/>
  <c r="BK69" i="7" s="1"/>
  <c r="BJ986" i="7"/>
  <c r="BK988" i="7"/>
  <c r="BJ984" i="7"/>
  <c r="BK896" i="7"/>
  <c r="BK815" i="7" s="1"/>
  <c r="BJ815" i="7"/>
  <c r="BE988" i="7"/>
  <c r="AS1148" i="7"/>
  <c r="AU1148" i="7" s="1"/>
  <c r="AW1148" i="7" s="1"/>
  <c r="AU1149" i="7"/>
  <c r="AS1433" i="7"/>
  <c r="AR10" i="7" l="1"/>
  <c r="AX887" i="7"/>
  <c r="BD149" i="7"/>
  <c r="AU1573" i="7"/>
  <c r="AW1573" i="7" s="1"/>
  <c r="AW1128" i="7"/>
  <c r="AX523" i="7"/>
  <c r="AX1554" i="7"/>
  <c r="AX348" i="7"/>
  <c r="AX279" i="7" s="1"/>
  <c r="AX692" i="7"/>
  <c r="AX1154" i="7"/>
  <c r="AX1604" i="7"/>
  <c r="AX661" i="7"/>
  <c r="AX591" i="7"/>
  <c r="BC985" i="7"/>
  <c r="AX1572" i="7"/>
  <c r="BC69" i="7"/>
  <c r="AX13" i="7"/>
  <c r="AX1149" i="7"/>
  <c r="AX1148" i="7" s="1"/>
  <c r="AW1149" i="7"/>
  <c r="AX1057" i="7"/>
  <c r="AX1056" i="7" s="1"/>
  <c r="AX986" i="7" s="1"/>
  <c r="AW1057" i="7"/>
  <c r="AX1112" i="7"/>
  <c r="AX1111" i="7" s="1"/>
  <c r="AW1112" i="7"/>
  <c r="AX897" i="7"/>
  <c r="AX896" i="7" s="1"/>
  <c r="AX815" i="7" s="1"/>
  <c r="AW897" i="7"/>
  <c r="AX1104" i="7"/>
  <c r="AX1103" i="7" s="1"/>
  <c r="AW1104" i="7"/>
  <c r="AX818" i="7"/>
  <c r="AX817" i="7" s="1"/>
  <c r="AW818" i="7"/>
  <c r="AX1135" i="7"/>
  <c r="AX1134" i="7" s="1"/>
  <c r="AW1135" i="7"/>
  <c r="AX152" i="7"/>
  <c r="AX151" i="7" s="1"/>
  <c r="AW152" i="7"/>
  <c r="AX1115" i="7"/>
  <c r="AX1114" i="7" s="1"/>
  <c r="AW1115" i="7"/>
  <c r="AX830" i="7"/>
  <c r="AX829" i="7" s="1"/>
  <c r="AW830" i="7"/>
  <c r="AX1118" i="7"/>
  <c r="AX1117" i="7" s="1"/>
  <c r="AW1118" i="7"/>
  <c r="AX1109" i="7"/>
  <c r="AX1108" i="7" s="1"/>
  <c r="AW1109" i="7"/>
  <c r="AU150" i="7"/>
  <c r="AW150" i="7" s="1"/>
  <c r="AW270" i="7"/>
  <c r="AX507" i="7"/>
  <c r="AX506" i="7" s="1"/>
  <c r="AX280" i="7" s="1"/>
  <c r="AW507" i="7"/>
  <c r="AX813" i="7"/>
  <c r="AX812" i="7" s="1"/>
  <c r="AW813" i="7"/>
  <c r="AX162" i="7"/>
  <c r="AX161" i="7" s="1"/>
  <c r="AW162" i="7"/>
  <c r="AU69" i="7"/>
  <c r="AW69" i="7" s="1"/>
  <c r="AW70" i="7"/>
  <c r="AX970" i="7"/>
  <c r="AX969" i="7" s="1"/>
  <c r="AW970" i="7"/>
  <c r="AX686" i="7"/>
  <c r="AX685" i="7" s="1"/>
  <c r="AW686" i="7"/>
  <c r="AU280" i="7"/>
  <c r="AW280" i="7" s="1"/>
  <c r="AW506" i="7"/>
  <c r="AX76" i="7"/>
  <c r="AX75" i="7" s="1"/>
  <c r="AX69" i="7" s="1"/>
  <c r="AW76" i="7"/>
  <c r="AX1097" i="7"/>
  <c r="AX1096" i="7" s="1"/>
  <c r="AW1097" i="7"/>
  <c r="AX979" i="7"/>
  <c r="AX978" i="7" s="1"/>
  <c r="AX959" i="7" s="1"/>
  <c r="AW979" i="7"/>
  <c r="AX1165" i="7"/>
  <c r="AX1164" i="7" s="1"/>
  <c r="AW1165" i="7"/>
  <c r="AX1132" i="7"/>
  <c r="AX1131" i="7" s="1"/>
  <c r="AW1132" i="7"/>
  <c r="AX833" i="7"/>
  <c r="AX832" i="7" s="1"/>
  <c r="AW833" i="7"/>
  <c r="AX1152" i="7"/>
  <c r="AX1151" i="7" s="1"/>
  <c r="AW1152" i="7"/>
  <c r="AD10" i="7"/>
  <c r="BC279" i="7"/>
  <c r="AN10" i="7"/>
  <c r="AI10" i="7"/>
  <c r="BJ280" i="7"/>
  <c r="BK506" i="7"/>
  <c r="BK280" i="7" s="1"/>
  <c r="Y10" i="7"/>
  <c r="AJ10" i="7"/>
  <c r="AP10" i="7"/>
  <c r="BC1140" i="7"/>
  <c r="BC986" i="7"/>
  <c r="AL10" i="7"/>
  <c r="AE10" i="7"/>
  <c r="AH10" i="7"/>
  <c r="AF10" i="7"/>
  <c r="AG10" i="7"/>
  <c r="AA10" i="7"/>
  <c r="AU151" i="7"/>
  <c r="AW151" i="7" s="1"/>
  <c r="AB10" i="7"/>
  <c r="BC522" i="7"/>
  <c r="AM10" i="7"/>
  <c r="X8" i="7"/>
  <c r="AT10" i="7"/>
  <c r="V10" i="7"/>
  <c r="AO10" i="7"/>
  <c r="AC10" i="7"/>
  <c r="AQ10" i="7"/>
  <c r="Z10" i="7"/>
  <c r="AS959" i="7"/>
  <c r="AU959" i="7" s="1"/>
  <c r="AW959" i="7" s="1"/>
  <c r="AS986" i="7"/>
  <c r="AU986" i="7" s="1"/>
  <c r="AW986" i="7" s="1"/>
  <c r="W10" i="7"/>
  <c r="AU522" i="7"/>
  <c r="AW522" i="7" s="1"/>
  <c r="BC959" i="7"/>
  <c r="AS984" i="7"/>
  <c r="AU984" i="7" s="1"/>
  <c r="AW984" i="7" s="1"/>
  <c r="AS12" i="7"/>
  <c r="BC1139" i="7"/>
  <c r="BD281" i="7"/>
  <c r="BD279" i="7" s="1"/>
  <c r="AU279" i="7"/>
  <c r="AW279" i="7" s="1"/>
  <c r="BC1137" i="7"/>
  <c r="BD1139" i="7"/>
  <c r="AS522" i="7"/>
  <c r="X7" i="7"/>
  <c r="AS279" i="7"/>
  <c r="BC984" i="7"/>
  <c r="AS150" i="7"/>
  <c r="BC1138" i="7"/>
  <c r="U10" i="7"/>
  <c r="BM7" i="7"/>
  <c r="BM10" i="7" s="1"/>
  <c r="BD984" i="7"/>
  <c r="BC280" i="7"/>
  <c r="AK7" i="7"/>
  <c r="BN1138" i="7"/>
  <c r="BN7" i="7" s="1"/>
  <c r="BN1140" i="7"/>
  <c r="BD986" i="7"/>
  <c r="BD1137" i="7"/>
  <c r="BN6" i="7"/>
  <c r="AK8" i="7"/>
  <c r="BE1572" i="7"/>
  <c r="AU987" i="7"/>
  <c r="AW987" i="7" s="1"/>
  <c r="AU59" i="7"/>
  <c r="AX60" i="7"/>
  <c r="AX59" i="7" s="1"/>
  <c r="BJ6" i="7"/>
  <c r="BK6" i="7"/>
  <c r="BE506" i="7"/>
  <c r="BE280" i="7" s="1"/>
  <c r="BD280" i="7"/>
  <c r="BE70" i="7"/>
  <c r="BE69" i="7" s="1"/>
  <c r="BD69" i="7"/>
  <c r="BK1433" i="7"/>
  <c r="BJ1138" i="7"/>
  <c r="BJ1140" i="7"/>
  <c r="AX1603" i="7"/>
  <c r="AU1603" i="7"/>
  <c r="AW1603" i="7" s="1"/>
  <c r="BC987" i="7"/>
  <c r="BC521" i="7"/>
  <c r="BC12" i="7"/>
  <c r="BK523" i="7"/>
  <c r="BK521" i="7" s="1"/>
  <c r="BJ521" i="7"/>
  <c r="AX1140" i="7"/>
  <c r="AX1138" i="7"/>
  <c r="BE151" i="7"/>
  <c r="BE149" i="7" s="1"/>
  <c r="BF152" i="7"/>
  <c r="BF151" i="7" s="1"/>
  <c r="BF149" i="7" s="1"/>
  <c r="X6" i="7"/>
  <c r="AU1433" i="7"/>
  <c r="AS1138" i="7"/>
  <c r="AS1140" i="7"/>
  <c r="AU1140" i="7" s="1"/>
  <c r="AW1140" i="7" s="1"/>
  <c r="BK348" i="7"/>
  <c r="BK279" i="7" s="1"/>
  <c r="BJ279" i="7"/>
  <c r="AS1139" i="7"/>
  <c r="AU1139" i="7" s="1"/>
  <c r="AW1139" i="7" s="1"/>
  <c r="BD987" i="7"/>
  <c r="BD985" i="7"/>
  <c r="BE1096" i="7"/>
  <c r="AU896" i="7"/>
  <c r="AS815" i="7"/>
  <c r="BD521" i="7"/>
  <c r="BE523" i="7"/>
  <c r="BE521" i="7" s="1"/>
  <c r="BE13" i="7"/>
  <c r="BE12" i="7" s="1"/>
  <c r="BD12" i="7"/>
  <c r="AS816" i="7"/>
  <c r="AU817" i="7"/>
  <c r="BE1433" i="7"/>
  <c r="BD1140" i="7"/>
  <c r="BD1138" i="7"/>
  <c r="BD896" i="7"/>
  <c r="BC815" i="7"/>
  <c r="AU1137" i="7"/>
  <c r="AW1137" i="7" s="1"/>
  <c r="BK591" i="7"/>
  <c r="BK522" i="7" s="1"/>
  <c r="BJ522" i="7"/>
  <c r="AU523" i="7"/>
  <c r="AS521" i="7"/>
  <c r="AS987" i="7"/>
  <c r="AX984" i="7"/>
  <c r="BC149" i="7"/>
  <c r="BD522" i="7"/>
  <c r="BE591" i="7"/>
  <c r="BE522" i="7" s="1"/>
  <c r="BC150" i="7"/>
  <c r="AK6" i="7"/>
  <c r="AS985" i="7"/>
  <c r="AU985" i="7" s="1"/>
  <c r="AW985" i="7" s="1"/>
  <c r="BE986" i="7"/>
  <c r="BE984" i="7"/>
  <c r="BK984" i="7"/>
  <c r="BK986" i="7"/>
  <c r="AS1137" i="7"/>
  <c r="BE1137" i="7"/>
  <c r="BE1139" i="7"/>
  <c r="BD817" i="7"/>
  <c r="BC816" i="7"/>
  <c r="AU157" i="7"/>
  <c r="AW157" i="7" s="1"/>
  <c r="AX158" i="7"/>
  <c r="AX157" i="7" s="1"/>
  <c r="AX149" i="7" s="1"/>
  <c r="BE961" i="7"/>
  <c r="BE959" i="7" s="1"/>
  <c r="BD959" i="7"/>
  <c r="BE267" i="7"/>
  <c r="BE150" i="7" s="1"/>
  <c r="BD150" i="7"/>
  <c r="AX522" i="7" l="1"/>
  <c r="BJ8" i="7"/>
  <c r="AX816" i="7"/>
  <c r="AX8" i="7" s="1"/>
  <c r="AX12" i="7"/>
  <c r="AX521" i="7"/>
  <c r="AX985" i="7"/>
  <c r="AX1137" i="7"/>
  <c r="AX1139" i="7"/>
  <c r="AX987" i="7"/>
  <c r="AU521" i="7"/>
  <c r="AW521" i="7" s="1"/>
  <c r="AW523" i="7"/>
  <c r="AU815" i="7"/>
  <c r="AW815" i="7" s="1"/>
  <c r="AW896" i="7"/>
  <c r="AU816" i="7"/>
  <c r="AW816" i="7" s="1"/>
  <c r="AW817" i="7"/>
  <c r="AU1138" i="7"/>
  <c r="AW1138" i="7" s="1"/>
  <c r="AW1433" i="7"/>
  <c r="AU12" i="7"/>
  <c r="AW59" i="7"/>
  <c r="BK8" i="7"/>
  <c r="AS8" i="7"/>
  <c r="BE281" i="7"/>
  <c r="BE279" i="7" s="1"/>
  <c r="AU149" i="7"/>
  <c r="AW149" i="7" s="1"/>
  <c r="X10" i="7"/>
  <c r="BJ7" i="7"/>
  <c r="BJ10" i="7" s="1"/>
  <c r="BC6" i="7"/>
  <c r="BN10" i="7"/>
  <c r="BC8" i="7"/>
  <c r="AK10" i="7"/>
  <c r="AS6" i="7"/>
  <c r="BD6" i="7"/>
  <c r="AX7" i="7"/>
  <c r="AS7" i="7"/>
  <c r="BG984" i="7"/>
  <c r="BF984" i="7"/>
  <c r="BE987" i="7"/>
  <c r="BE985" i="7"/>
  <c r="BE6" i="7" s="1"/>
  <c r="BG959" i="7"/>
  <c r="BF959" i="7"/>
  <c r="BG1139" i="7"/>
  <c r="BF1139" i="7"/>
  <c r="BF986" i="7"/>
  <c r="BG986" i="7"/>
  <c r="BE1140" i="7"/>
  <c r="BE1138" i="7"/>
  <c r="BC7" i="7"/>
  <c r="BE817" i="7"/>
  <c r="BE816" i="7" s="1"/>
  <c r="BE8" i="7" s="1"/>
  <c r="BD816" i="7"/>
  <c r="BD8" i="7" s="1"/>
  <c r="BG1137" i="7"/>
  <c r="BF1137" i="7"/>
  <c r="BD815" i="7"/>
  <c r="BD7" i="7" s="1"/>
  <c r="BE896" i="7"/>
  <c r="BE815" i="7" s="1"/>
  <c r="BK1140" i="7"/>
  <c r="BK1138" i="7"/>
  <c r="BK7" i="7" s="1"/>
  <c r="BK10" i="7" s="1"/>
  <c r="AX6" i="7" l="1"/>
  <c r="AX10" i="7" s="1"/>
  <c r="BC10" i="7"/>
  <c r="AS10" i="7"/>
  <c r="BE7" i="7"/>
  <c r="BE10" i="7" s="1"/>
  <c r="BD10" i="7"/>
  <c r="BG1140" i="7"/>
  <c r="BF1140" i="7"/>
  <c r="BG985" i="7"/>
  <c r="BF985" i="7"/>
  <c r="BF6" i="7" s="1"/>
  <c r="BF1138" i="7"/>
  <c r="BF7" i="7" s="1"/>
  <c r="BG1138" i="7"/>
  <c r="BF10" i="7" l="1"/>
  <c r="AB9" i="1" l="1"/>
  <c r="AC172" i="1"/>
  <c r="AU172" i="1" s="1"/>
  <c r="AT172" i="1"/>
  <c r="AT9" i="1" s="1"/>
  <c r="D294" i="8"/>
  <c r="E294" i="8" s="1"/>
  <c r="AV172" i="1" l="1"/>
  <c r="D295" i="8"/>
  <c r="E295" i="8" s="1"/>
  <c r="AU9" i="1"/>
  <c r="B62" i="3"/>
  <c r="B3" i="3" s="1"/>
  <c r="D62" i="3"/>
  <c r="D3" i="3" s="1"/>
  <c r="AQ5" i="1"/>
  <c r="AQ4" i="1"/>
  <c r="AV9" i="1"/>
  <c r="AP5" i="1"/>
  <c r="AP4" i="1"/>
  <c r="AC9" i="1"/>
  <c r="F62" i="3" l="1"/>
  <c r="F3" i="3" s="1"/>
</calcChain>
</file>

<file path=xl/comments1.xml><?xml version="1.0" encoding="utf-8"?>
<comments xmlns="http://schemas.openxmlformats.org/spreadsheetml/2006/main">
  <authors>
    <author>Ilze Daukste</author>
    <author>Regīna Vigula</author>
  </authors>
  <commentList>
    <comment ref="P353" authorId="0" shapeId="0">
      <text>
        <r>
          <rPr>
            <b/>
            <sz val="9"/>
            <color indexed="81"/>
            <rFont val="Tahoma"/>
            <family val="2"/>
            <charset val="186"/>
          </rPr>
          <t>Ilze Daukste:</t>
        </r>
        <r>
          <rPr>
            <sz val="9"/>
            <color indexed="81"/>
            <rFont val="Tahoma"/>
            <family val="2"/>
            <charset val="186"/>
          </rPr>
          <t xml:space="preserve">
Daugavpils domes 2017. gada 15.augusta vēstule Nr.1.2.-8/834
</t>
        </r>
      </text>
    </comment>
    <comment ref="P354" authorId="0" shapeId="0">
      <text>
        <r>
          <rPr>
            <b/>
            <sz val="9"/>
            <color indexed="81"/>
            <rFont val="Tahoma"/>
            <family val="2"/>
            <charset val="186"/>
          </rPr>
          <t>Ilze Daukste:</t>
        </r>
        <r>
          <rPr>
            <sz val="9"/>
            <color indexed="81"/>
            <rFont val="Tahoma"/>
            <family val="2"/>
            <charset val="186"/>
          </rPr>
          <t xml:space="preserve">
Daugavpils domes 2017. gada 15.augusta vēstule Nr.1.2.-8/834
</t>
        </r>
      </text>
    </comment>
    <comment ref="P355" authorId="0" shapeId="0">
      <text>
        <r>
          <rPr>
            <b/>
            <sz val="9"/>
            <color indexed="81"/>
            <rFont val="Tahoma"/>
            <family val="2"/>
            <charset val="186"/>
          </rPr>
          <t>Ilze Daukste:</t>
        </r>
        <r>
          <rPr>
            <sz val="9"/>
            <color indexed="81"/>
            <rFont val="Tahoma"/>
            <family val="2"/>
            <charset val="186"/>
          </rPr>
          <t xml:space="preserve">
Daugavpils domes 2017. gada 15.augusta vēstule Nr.1.2.-8/834
</t>
        </r>
        <r>
          <rPr>
            <sz val="9"/>
            <color indexed="81"/>
            <rFont val="Tahoma"/>
            <family val="2"/>
            <charset val="186"/>
          </rPr>
          <t xml:space="preserve">
</t>
        </r>
      </text>
    </comment>
    <comment ref="P356" authorId="0" shapeId="0">
      <text>
        <r>
          <rPr>
            <b/>
            <sz val="9"/>
            <color indexed="81"/>
            <rFont val="Tahoma"/>
            <family val="2"/>
            <charset val="186"/>
          </rPr>
          <t>Ilze Daukste:</t>
        </r>
        <r>
          <rPr>
            <sz val="9"/>
            <color indexed="81"/>
            <rFont val="Tahoma"/>
            <family val="2"/>
            <charset val="186"/>
          </rPr>
          <t xml:space="preserve">
Daugavpils domes 2017. gada 15.augusta vēstule Nr.1.2.-8/834  Jāveic tehniskās dokumentācijas izstrāde un  Investīciju plāna sadaļas “Integrētās teritoriju investīcijas (ITI) līdz 2020. gadam” aktualizācija un idejas saskaņošana RAKP.
</t>
        </r>
      </text>
    </comment>
    <comment ref="P357" authorId="1" shapeId="0">
      <text>
        <r>
          <rPr>
            <sz val="9"/>
            <color indexed="81"/>
            <rFont val="Tahoma"/>
            <family val="2"/>
            <charset val="186"/>
          </rPr>
          <t xml:space="preserve">D-pils domes 27.07.2017. vēstule SAN-16441 - lielākai daļai būvprojektu izpildes termiņi ir kavēti, kā arī, lai sekmētu PI kvalitatīvāku sagatavošanu, ir nepieciešama 4.2.2.SAM atlases  iesniegšanas termiņa pagarināšana līdz 25.01.2018. Termiņa pagarināšana neietekmēs MK noteikumu Nr.152 10.3.punkta norādīto finanšu rādītāju – līdz 2018.gada 31.decembrim sertificēti izdevumi vismaz 14 773 486 euro apmērā.
</t>
        </r>
        <r>
          <rPr>
            <b/>
            <sz val="9"/>
            <color indexed="81"/>
            <rFont val="Tahoma"/>
            <family val="2"/>
            <charset val="186"/>
          </rPr>
          <t>Ilze Daukste:</t>
        </r>
        <r>
          <rPr>
            <sz val="9"/>
            <color indexed="81"/>
            <rFont val="Tahoma"/>
            <family val="2"/>
            <charset val="186"/>
          </rPr>
          <t xml:space="preserve">
Daugavpils domes 2017. gada 15.augusta vēstule Nr.1.2.-8/834</t>
        </r>
      </text>
    </comment>
    <comment ref="P358" authorId="1" shapeId="0">
      <text>
        <r>
          <rPr>
            <sz val="9"/>
            <color indexed="81"/>
            <rFont val="Tahoma"/>
            <family val="2"/>
            <charset val="186"/>
          </rPr>
          <t xml:space="preserve">D-pils domes 27.07.2017. vēstule SAN-16441 - lielākai daļai būvprojektu izpildes termiņi ir kavēti, kā arī, lai sekmētu PI kvalitatīvāku sagatavošanu, ir nepieciešama 4.2.2.SAM atlases  iesniegšanas termiņa pagarināšana līdz 25.01.2018. Termiņa pagarināšana neietekmēs MK noteikumu Nr.152 10.3.punkta norādīto finanšu rādītāju – līdz 2018.gada 31.decembrim sertificēti izdevumi vismaz 14 773 486 euro apmērā.
</t>
        </r>
        <r>
          <rPr>
            <b/>
            <sz val="9"/>
            <color indexed="81"/>
            <rFont val="Tahoma"/>
            <family val="2"/>
            <charset val="186"/>
          </rPr>
          <t>Ilze Daukste:</t>
        </r>
        <r>
          <rPr>
            <sz val="9"/>
            <color indexed="81"/>
            <rFont val="Tahoma"/>
            <family val="2"/>
            <charset val="186"/>
          </rPr>
          <t xml:space="preserve">
Daugavpils domes 2017. gada 15.augusta vēstule Nr.1.2.-8/834</t>
        </r>
      </text>
    </comment>
    <comment ref="P365" authorId="1" shapeId="0">
      <text>
        <r>
          <rPr>
            <sz val="9"/>
            <color indexed="81"/>
            <rFont val="Tahoma"/>
            <family val="2"/>
            <charset val="186"/>
          </rPr>
          <t xml:space="preserve">D-pils domes 27.07.2017. vēstule SAN-16441 - lielākai daļai būvprojektu izpildes termiņi ir kavēti, kā arī, lai sekmētu PI kvalitatīvāku sagatavošanu, ir nepieciešama 4.2.2.SAM atlases  iesniegšanas termiņa pagarināšana līdz 25.01.2018. Termiņa pagarināšana neietekmēs MK noteikumu Nr.152 10.3.punkta norādīto finanšu rādītāju – līdz 2018.gada 31.decembrim sertificēti izdevumi vismaz 14 773 486 euro apmērā.
</t>
        </r>
        <r>
          <rPr>
            <b/>
            <sz val="9"/>
            <color indexed="81"/>
            <rFont val="Tahoma"/>
            <family val="2"/>
            <charset val="186"/>
          </rPr>
          <t>Ilze Daukste:</t>
        </r>
        <r>
          <rPr>
            <sz val="9"/>
            <color indexed="81"/>
            <rFont val="Tahoma"/>
            <family val="2"/>
            <charset val="186"/>
          </rPr>
          <t xml:space="preserve">
Daugavpils domes 2017. gada 15.augusta vēstule Nr.1.2.-8/834
</t>
        </r>
      </text>
    </comment>
    <comment ref="P366" authorId="1" shapeId="0">
      <text>
        <r>
          <rPr>
            <sz val="9"/>
            <color indexed="81"/>
            <rFont val="Tahoma"/>
            <family val="2"/>
            <charset val="186"/>
          </rPr>
          <t xml:space="preserve">D-pils domes 27.07.2017. vēstule SAN-16441 - lielākai daļai būvprojektu izpildes termiņi ir kavēti, kā arī, lai sekmētu PI kvalitatīvāku sagatavošanu, ir nepieciešama 4.2.2.SAM atlases  iesniegšanas termiņa pagarināšana līdz 25.01.2018. Termiņa pagarināšana neietekmēs MK noteikumu Nr.152 10.3.punkta norādīto finanšu rādītāju – līdz 2018.gada 31.decembrim sertificēti izdevumi vismaz 14 773 486 euro apmērā.
</t>
        </r>
        <r>
          <rPr>
            <b/>
            <sz val="9"/>
            <color indexed="81"/>
            <rFont val="Tahoma"/>
            <family val="2"/>
            <charset val="186"/>
          </rPr>
          <t>Ilze Daukste:</t>
        </r>
        <r>
          <rPr>
            <sz val="9"/>
            <color indexed="81"/>
            <rFont val="Tahoma"/>
            <family val="2"/>
            <charset val="186"/>
          </rPr>
          <t xml:space="preserve">
Daugavpils domes 2017. gada 15.augusta vēstule Nr.1.2.-8/834
</t>
        </r>
      </text>
    </comment>
    <comment ref="P367" authorId="1" shapeId="0">
      <text>
        <r>
          <rPr>
            <sz val="9"/>
            <color indexed="81"/>
            <rFont val="Tahoma"/>
            <family val="2"/>
            <charset val="186"/>
          </rPr>
          <t xml:space="preserve">D-pils domes 27.07.2017. vēstule SAN-16441 - lielākai daļai būvprojektu izpildes termiņi ir kavēti, kā arī, lai sekmētu PI kvalitatīvāku sagatavošanu, ir nepieciešama 4.2.2.SAM atlases  iesniegšanas termiņa pagarināšana līdz 25.01.2018. Termiņa pagarināšana neietekmēs MK noteikumu Nr.152 10.3.punkta norādīto finanšu rādītāju – līdz 2018.gada 31.decembrim sertificēti izdevumi vismaz 14 773 486 euro apmērā.
</t>
        </r>
        <r>
          <rPr>
            <b/>
            <sz val="9"/>
            <color indexed="81"/>
            <rFont val="Tahoma"/>
            <family val="2"/>
            <charset val="186"/>
          </rPr>
          <t>Ilze Daukste:</t>
        </r>
        <r>
          <rPr>
            <sz val="9"/>
            <color indexed="81"/>
            <rFont val="Tahoma"/>
            <family val="2"/>
            <charset val="186"/>
          </rPr>
          <t xml:space="preserve">
Daugavpils domes 2017. gada 15.augusta vēstule Nr.1.2.-8/834
</t>
        </r>
      </text>
    </comment>
    <comment ref="P368" authorId="1" shapeId="0">
      <text>
        <r>
          <rPr>
            <sz val="9"/>
            <color indexed="81"/>
            <rFont val="Tahoma"/>
            <family val="2"/>
            <charset val="186"/>
          </rPr>
          <t xml:space="preserve">D-pils domes 27.07.2017. vēstule SAN-16441 - lielākai daļai būvprojektu izpildes termiņi ir kavēti, kā arī, lai sekmētu PI kvalitatīvāku sagatavošanu, ir nepieciešama 4.2.2.SAM atlases  iesniegšanas termiņa pagarināšana līdz 25.01.2018. Termiņa pagarināšana neietekmēs MK noteikumu Nr.152 10.3.punkta norādīto finanšu rādītāju – līdz 2018.gada 31.decembrim sertificēti izdevumi vismaz 14 773 486 euro apmērā.
</t>
        </r>
        <r>
          <rPr>
            <b/>
            <sz val="9"/>
            <color indexed="81"/>
            <rFont val="Tahoma"/>
            <family val="2"/>
            <charset val="186"/>
          </rPr>
          <t>Ilze Daukste:</t>
        </r>
        <r>
          <rPr>
            <sz val="9"/>
            <color indexed="81"/>
            <rFont val="Tahoma"/>
            <family val="2"/>
            <charset val="186"/>
          </rPr>
          <t xml:space="preserve">
Daugavpils domes 2017. gada 15.augusta vēstule Nr.1.2.-8/834
</t>
        </r>
      </text>
    </comment>
    <comment ref="P369" authorId="1" shapeId="0">
      <text>
        <r>
          <rPr>
            <sz val="9"/>
            <color indexed="81"/>
            <rFont val="Tahoma"/>
            <family val="2"/>
            <charset val="186"/>
          </rPr>
          <t xml:space="preserve">D-pils domes 27.07.2017. vēstule SAN-16441 - lielākai daļai būvprojektu izpildes termiņi ir kavēti, kā arī, lai sekmētu PI kvalitatīvāku sagatavošanu, ir nepieciešama 4.2.2.SAM atlases  iesniegšanas termiņa pagarināšana līdz 25.01.2018. Termiņa pagarināšana neietekmēs MK noteikumu Nr.152 10.3.punkta norādīto finanšu rādītāju – līdz 2018.gada 31.decembrim sertificēti izdevumi vismaz 14 773 486 euro apmērā.
</t>
        </r>
        <r>
          <rPr>
            <b/>
            <sz val="9"/>
            <color indexed="81"/>
            <rFont val="Tahoma"/>
            <family val="2"/>
            <charset val="186"/>
          </rPr>
          <t>Ilze Daukste:</t>
        </r>
        <r>
          <rPr>
            <sz val="9"/>
            <color indexed="81"/>
            <rFont val="Tahoma"/>
            <family val="2"/>
            <charset val="186"/>
          </rPr>
          <t xml:space="preserve">
Daugavpils domes 2017. gada 15.augusta vēstule Nr.1.2.-8/834
</t>
        </r>
      </text>
    </comment>
    <comment ref="P370" authorId="1" shapeId="0">
      <text>
        <r>
          <rPr>
            <sz val="9"/>
            <color indexed="81"/>
            <rFont val="Tahoma"/>
            <family val="2"/>
            <charset val="186"/>
          </rPr>
          <t xml:space="preserve">D-pils domes 27.07.2017. vēstule SAN-16441 - lielākai daļai būvprojektu izpildes termiņi ir kavēti, kā arī, lai sekmētu PI kvalitatīvāku sagatavošanu, ir nepieciešama 4.2.2.SAM atlases  iesniegšanas termiņa pagarināšana līdz 25.01.2018. Termiņa pagarināšana neietekmēs MK noteikumu Nr.152 10.3.punkta norādīto finanšu rādītāju – līdz 2018.gada 31.decembrim sertificēti izdevumi vismaz 14 773 486 euro apmērā.
</t>
        </r>
        <r>
          <rPr>
            <b/>
            <sz val="9"/>
            <color indexed="81"/>
            <rFont val="Tahoma"/>
            <family val="2"/>
            <charset val="186"/>
          </rPr>
          <t>Ilze Daukste:</t>
        </r>
        <r>
          <rPr>
            <sz val="9"/>
            <color indexed="81"/>
            <rFont val="Tahoma"/>
            <family val="2"/>
            <charset val="186"/>
          </rPr>
          <t xml:space="preserve">
Daugavpils domes 2017. gada 15.augusta vēstule Nr.1.2.-8/834
</t>
        </r>
      </text>
    </comment>
    <comment ref="P371" authorId="1" shapeId="0">
      <text>
        <r>
          <rPr>
            <sz val="9"/>
            <color indexed="81"/>
            <rFont val="Tahoma"/>
            <family val="2"/>
            <charset val="186"/>
          </rPr>
          <t xml:space="preserve">D-pils domes 27.07.2017. vēstule SAN-16441 - lielākai daļai būvprojektu izpildes termiņi ir kavēti, kā arī, lai sekmētu PI kvalitatīvāku sagatavošanu, ir nepieciešama 4.2.2.SAM atlases  iesniegšanas termiņa pagarināšana līdz 25.01.2018. Termiņa pagarināšana neietekmēs MK noteikumu Nr.152 10.3.punkta norādīto finanšu rādītāju – līdz 2018.gada 31.decembrim sertificēti izdevumi vismaz 14 773 486 euro apmērā.
</t>
        </r>
        <r>
          <rPr>
            <b/>
            <sz val="9"/>
            <color indexed="81"/>
            <rFont val="Tahoma"/>
            <family val="2"/>
            <charset val="186"/>
          </rPr>
          <t>Ilze Daukste:</t>
        </r>
        <r>
          <rPr>
            <sz val="9"/>
            <color indexed="81"/>
            <rFont val="Tahoma"/>
            <family val="2"/>
            <charset val="186"/>
          </rPr>
          <t xml:space="preserve">
Daugavpils domes 2017. gada 15.augusta vēstule Nr.1.2.-8/834
</t>
        </r>
      </text>
    </comment>
  </commentList>
</comments>
</file>

<file path=xl/sharedStrings.xml><?xml version="1.0" encoding="utf-8"?>
<sst xmlns="http://schemas.openxmlformats.org/spreadsheetml/2006/main" count="23365" uniqueCount="2968">
  <si>
    <t>1.1.1.</t>
  </si>
  <si>
    <t>1.1.1.2.</t>
  </si>
  <si>
    <t>Pēcdoktorantūras pētniecības atbalsts</t>
  </si>
  <si>
    <t>-</t>
  </si>
  <si>
    <t>IZM</t>
  </si>
  <si>
    <t>ERAF</t>
  </si>
  <si>
    <t>1.1.1.2/16/I/001</t>
  </si>
  <si>
    <t>Valsts izglītības attīstības aģentūra</t>
  </si>
  <si>
    <t>Atbalsts pēcdoktorantūras pētniecības īstenošanai</t>
  </si>
  <si>
    <t>1.2.1.</t>
  </si>
  <si>
    <t>1.2.1.1.</t>
  </si>
  <si>
    <t>EM</t>
  </si>
  <si>
    <t>1.2.1.1/16/I/001</t>
  </si>
  <si>
    <t>Ekonomikas ministrija</t>
  </si>
  <si>
    <t>Kompetences centru pārvaldības projekts</t>
  </si>
  <si>
    <t>1.2.1.2.</t>
  </si>
  <si>
    <t>1.2.1.2/16/I/001</t>
  </si>
  <si>
    <t>Latvijas Investīciju un attīstības aģentūra</t>
  </si>
  <si>
    <t>Tehnoloģiju pārneses programma</t>
  </si>
  <si>
    <t>1.2.2.</t>
  </si>
  <si>
    <t>1.2.2.3.</t>
  </si>
  <si>
    <t>1.2.2.3/16/I/002</t>
  </si>
  <si>
    <t>Latvijas Informācijas un komunikācijas tehnoloģijas asociācija</t>
  </si>
  <si>
    <t>Mazo un mikro komersantu apmācības inovāciju  un digitālo tehnoloģiju attīstībai Latvijā</t>
  </si>
  <si>
    <t>1.2.2.3/16/I/003</t>
  </si>
  <si>
    <t xml:space="preserve">Latvijas Investīciju un attīstības aģentūra </t>
  </si>
  <si>
    <t>Apmācību īstenošana ārvalstu investoru piesaistei</t>
  </si>
  <si>
    <t>2.1.1.</t>
  </si>
  <si>
    <t>0.2.1.1.</t>
  </si>
  <si>
    <t>SM</t>
  </si>
  <si>
    <t>2.1.1.0/16/I/001</t>
  </si>
  <si>
    <t>Latvijas Valsts radio un televīzijas centrs, VSIA</t>
  </si>
  <si>
    <t>Elektroniskās sakaru infrastruktūras pieejamības uzlabošana
lauku teritorijās</t>
  </si>
  <si>
    <t>2.2.1.</t>
  </si>
  <si>
    <t>2.2.1.1.</t>
  </si>
  <si>
    <t>VARAM</t>
  </si>
  <si>
    <t>2.2.1.1/16/I/001</t>
  </si>
  <si>
    <t>Vides aizsardzības un reģionālās attīstības ministrija</t>
  </si>
  <si>
    <t>Publiskās pārvaldes informācijas un komunikāciju tehnoloģiju arhitektūras pārvaldības sistēma (PIKTAPS)</t>
  </si>
  <si>
    <t>2.2.1.1/16/I/003</t>
  </si>
  <si>
    <t>Labklājības ministrija</t>
  </si>
  <si>
    <t xml:space="preserve">Deinstitucionalizācijas procesu atbalsta sistēma (1.kārta) </t>
  </si>
  <si>
    <t>3.1.1.</t>
  </si>
  <si>
    <t>3.1.1.6.</t>
  </si>
  <si>
    <t>Reģionālie biznesa inkubatori un radošo industriju inkubators</t>
  </si>
  <si>
    <t>3.1.1.6/16/I/001</t>
  </si>
  <si>
    <t>3.1.2.</t>
  </si>
  <si>
    <t>Riska kapitāls</t>
  </si>
  <si>
    <t>3.0.0.0/16/FI/001</t>
  </si>
  <si>
    <t>Attīstības finanšu institūcija Altum, AS</t>
  </si>
  <si>
    <t>Finansēšanas nolīgums par Fondu fonda un Finanšu instrumentu īstenošanu Nr. 3.0.0.0/16/FI/001</t>
  </si>
  <si>
    <t>3.2.1.</t>
  </si>
  <si>
    <t>3.2.1.2.</t>
  </si>
  <si>
    <t>3.2.1.2/16/I/001</t>
  </si>
  <si>
    <t>Starptautiskās konkurētspējas veicināšana</t>
  </si>
  <si>
    <t>3.2.1.2/16/I/002</t>
  </si>
  <si>
    <t>Latvijas starptautiskās konkurētspējas veicināšana tūrismā</t>
  </si>
  <si>
    <t>3.3.1.</t>
  </si>
  <si>
    <t>0.3.3.1.</t>
  </si>
  <si>
    <t>3.3.1.0/16/I/005</t>
  </si>
  <si>
    <t>Valmieras pašvaldība</t>
  </si>
  <si>
    <t>Uzņēmējdarbības attīstību veicinošas satiksmes infrastruktūras un inženierkomunikācijas pārbūve Cempu un Paula Valdena ielu industriālo teritoriju attīstībai</t>
  </si>
  <si>
    <t>3.3.1.0/16/I/003</t>
  </si>
  <si>
    <t>Alūksnes novada pašvaldība</t>
  </si>
  <si>
    <t>MULTIFUNKCIONĀLAS SERVISA ĒKAS IZBŪVE PILSSALĀ</t>
  </si>
  <si>
    <t>3.3.1.0/16/I/008</t>
  </si>
  <si>
    <t>Krāslavas novada pašvaldība</t>
  </si>
  <si>
    <t>Ceļu un citas nepieciešamās infrastruktūras nodrošināšana darbavietu radīšanai un privāto investīciju piesaistei Krāslavas novadā</t>
  </si>
  <si>
    <t>3.3.1.0/16/I/007</t>
  </si>
  <si>
    <t>Ogres novada pašvaldība</t>
  </si>
  <si>
    <t>Uzņēmējdarbības attīstība Kartonfabrikas rajonā, pārbūvējot uzņēmējiem svarīgu ielas posmu Ogrē</t>
  </si>
  <si>
    <t>3.3.1.0/16/I/002</t>
  </si>
  <si>
    <t>Valkas novada pašvaldība</t>
  </si>
  <si>
    <t>Ielu pārbūve uzņēmējdarbības attīstībai Valkas novadā</t>
  </si>
  <si>
    <t>3.4.2.</t>
  </si>
  <si>
    <t>3.4.2.1.</t>
  </si>
  <si>
    <t>VK</t>
  </si>
  <si>
    <t>ESF</t>
  </si>
  <si>
    <t>3.4.2.0/15/I/001</t>
  </si>
  <si>
    <t>Valsts administrācijas skola</t>
  </si>
  <si>
    <t>Valsts pārvaldes cilvēkresursu profesionālā pilnveide labāka regulējuma izstrādē mazo un vidējo komersantu atbalsta jomā</t>
  </si>
  <si>
    <t>3.4.2.0/15/I/002</t>
  </si>
  <si>
    <t>Valsts pārvaldes cilvēkresursu profesionālā pilnveide korupcijas novēršanas un ēnu ekonomikas mazināšanas jomā</t>
  </si>
  <si>
    <t>3.4.2.0/15/I/003</t>
  </si>
  <si>
    <t>Valsts Kanceleja</t>
  </si>
  <si>
    <t>Augstākā līmeņa vadītāju attīstības programma</t>
  </si>
  <si>
    <t>3.4.2.0/16/I/001</t>
  </si>
  <si>
    <t>Valsts kontrole</t>
  </si>
  <si>
    <t>Publiskā sektora revidentu profesionālā pilnveide komercdarbības vides sakārtošanas, korupcijas novēršanas un ēnu ekonomikas mazināšanas jomā</t>
  </si>
  <si>
    <t>4.2.1.</t>
  </si>
  <si>
    <t>4.2.1.1.</t>
  </si>
  <si>
    <t>4.2.1.1/16/FI/001</t>
  </si>
  <si>
    <t>Finansēšanas nolīgums par Finanšu instrumenta īstenošanu Nr.4.2.1.1/16/FI/001</t>
  </si>
  <si>
    <t>4.2.1.1/16/I/001</t>
  </si>
  <si>
    <t>Atbalsts daudzdzīvokļu dzīvojamo māju energoefektivitātes paaugstināšanas pasākumu īstenošanai daudzdzīvokļu māju dzīvokļu īpašniekiem</t>
  </si>
  <si>
    <t>4.4.1.</t>
  </si>
  <si>
    <t>0.4.4.1.</t>
  </si>
  <si>
    <t>4.4.1.0/16/I/001</t>
  </si>
  <si>
    <t>Satiksmes ministrija</t>
  </si>
  <si>
    <t>Elektrotransportlīdzekļu uzlādes infrastruktūras izveidošana.</t>
  </si>
  <si>
    <t>4.5.1.</t>
  </si>
  <si>
    <t>4.5.1.1.</t>
  </si>
  <si>
    <t>KF</t>
  </si>
  <si>
    <t>4.5.1.1/16/I/003</t>
  </si>
  <si>
    <t>Daugavpils satiksme, AS</t>
  </si>
  <si>
    <t>Videi draudzīga sabiedriskā transporta attīstība Daugavpils pilsētā</t>
  </si>
  <si>
    <t>5.1.2.</t>
  </si>
  <si>
    <t>0.5.1.2.</t>
  </si>
  <si>
    <t>Samazināt plūdu riskus lauku teritorijās</t>
  </si>
  <si>
    <t>ZM</t>
  </si>
  <si>
    <t>5.1.2.0/16/I/003</t>
  </si>
  <si>
    <t>Zemkopības ministrijas nekustamie īpašumi</t>
  </si>
  <si>
    <t>Auces poldera sūkņu stacijas Līvbērzes pagastā, Jelgavas novadā pārbūve</t>
  </si>
  <si>
    <t>5.1.2.0/16/I/004</t>
  </si>
  <si>
    <t xml:space="preserve">Kalnciema poldera sūkņu stacijas Valgundes pagastā, Jelgavas novadā pārbūve </t>
  </si>
  <si>
    <t>5.1.2.0/16/I/005</t>
  </si>
  <si>
    <t xml:space="preserve">Vārpas poldera sūkņu stacijas Līvbērzes pagastā, Jelgavas novadā pārbūve </t>
  </si>
  <si>
    <t>5.1.2.0/16/I/006</t>
  </si>
  <si>
    <t xml:space="preserve">Ruduļa poldera aizsargdambja D-1 Līvbērzes pagastā, Jelgavas novadā atjaunošana </t>
  </si>
  <si>
    <t>5.3.1.</t>
  </si>
  <si>
    <t>0.5.3.1.</t>
  </si>
  <si>
    <t>5.3.1.0/16/I/010</t>
  </si>
  <si>
    <t>Liepājas ūdens, SIA</t>
  </si>
  <si>
    <t>Ūdenssaimniecības attīstība Liepājā, 6.kārta</t>
  </si>
  <si>
    <t>5.3.1.0/16/I/003</t>
  </si>
  <si>
    <t>Mārupes komunālie pakalpojumi, SIA</t>
  </si>
  <si>
    <t>Ūdenssaimniecības pakalpojumu attīstība Mārupē, 4.kārta</t>
  </si>
  <si>
    <t>5.3.1.0/16/I/004</t>
  </si>
  <si>
    <t>Valgums-S, PSIA (Salaspils)</t>
  </si>
  <si>
    <t>Ūdenssaimniecības attīstība Salaspils novada Salaspilī un Saulkalnē, III kārta</t>
  </si>
  <si>
    <t>5.3.1.0/16/I/005</t>
  </si>
  <si>
    <t>ŪDEKA, PSIA (Ventspils)</t>
  </si>
  <si>
    <t>Ūdenssaimniecības attīstība Ventspilī, VI kārta</t>
  </si>
  <si>
    <t>5.4.2.</t>
  </si>
  <si>
    <t>5.4.2.1.</t>
  </si>
  <si>
    <t>5.4.2.1/16/I/001</t>
  </si>
  <si>
    <t>Dabas aizsardzības pārvalde</t>
  </si>
  <si>
    <t>Priekšnosacījumu izveide labākai bioloģiskās daudzveidības saglabāšanai un ekosistēmu aizsardzībai Latvijā</t>
  </si>
  <si>
    <t>5.6.2.</t>
  </si>
  <si>
    <t>0.5.6.2.</t>
  </si>
  <si>
    <t>5.6.2.0/16/I/002</t>
  </si>
  <si>
    <t>Alūksnes pilsētas rūpnieciskās apbūves teritorijas attīstība 1.kārta</t>
  </si>
  <si>
    <t>5.6.2.0/16/I/006</t>
  </si>
  <si>
    <t>Ludzas novada pašvaldība</t>
  </si>
  <si>
    <t>Infrastruktūras attīstība uzņēmējdarbības veicināšanai Ludzas, Kārsavas un Ciblas novados</t>
  </si>
  <si>
    <t>6.1.3.</t>
  </si>
  <si>
    <t>6.1.3.1.</t>
  </si>
  <si>
    <t>6.1.3.1/16/I/001</t>
  </si>
  <si>
    <t>Rīgas pilsētas pašvaldība</t>
  </si>
  <si>
    <t>Salu tilta kompleksa atjaunošana, pārbūve un izbūve, 1.kārta</t>
  </si>
  <si>
    <t>6.1.5.</t>
  </si>
  <si>
    <t>0.6.1.5.</t>
  </si>
  <si>
    <t>6.1.5.0/15/I/001</t>
  </si>
  <si>
    <t xml:space="preserve">Valsts galvenā autoceļa A13 Krievijas robeža (Grebņeva) - Rēzekne - Daugavpils - Lietuvas robeža (Medumi), km 156,40 – 163,05 segas pārbūve </t>
  </si>
  <si>
    <t>6.1.5.0/15/I/003</t>
  </si>
  <si>
    <t>Valsts galvenā autoceļa A11 Liepāja - Lietuvas robeža (Rucava), km 21,85 – 45,02 segas pārbūve (tilts)</t>
  </si>
  <si>
    <t>6.1.5.0/15/I/004</t>
  </si>
  <si>
    <t xml:space="preserve">Valsts galvenā autoceļa A1 Rīga (Baltezers) – Igaunijas robeža (Ainaži), km 89,40 – 101,36 segas pārbūve </t>
  </si>
  <si>
    <t>6.1.5.0/15/I/006</t>
  </si>
  <si>
    <t>Valsts galvenā autoceļa A9 Rīga (Skulte) – Liepāja, km 163,28 – 185,80 segas pārbūve</t>
  </si>
  <si>
    <t>6.1.5.0/15/I/008</t>
  </si>
  <si>
    <t xml:space="preserve">Valsts galvenā autoceļa A12 Jēkabpils – Rēzekne – Ludza – Krievijas robeža (Terehova), km 106,00 – 114,34 segas pārbūve </t>
  </si>
  <si>
    <t>6.1.5.0/15/I/009</t>
  </si>
  <si>
    <t xml:space="preserve">Valsts galvenā autoceļa A13 Krievijas robeža (Grebņeva) - Rēzekne - Daugavpils - Lietuvas robeža (Medumi), km 113,12 – 134,70 segas pārbūve </t>
  </si>
  <si>
    <t>6.1.5.0/15/I/010</t>
  </si>
  <si>
    <t>Valsts galvenā autoceļa A3 Inčukalns - Valmiera - Igaunijas robeža (Valka), km 60,20 – 79,45 segas pārbūve</t>
  </si>
  <si>
    <t>6.1.5.0/15/I/011</t>
  </si>
  <si>
    <t>Valsts galvenā autoceļa A10 Rīga - Ventspils, km 20,06 – 23,84 un 36,49 – 38,57 segas pārbūve</t>
  </si>
  <si>
    <t>6.1.5.0/15/I/012</t>
  </si>
  <si>
    <t>Valsts galvenā autoceļa A10 Rīga - Ventspils, km 57,76 – 68,60 segas pārbūve (rotācijas aplis)</t>
  </si>
  <si>
    <t>6.1.5.0/16/I/002</t>
  </si>
  <si>
    <t>Valsts galvenā autoceļa A13 Krievijas robeža (Grebņeva) - Rēzekne - Daugavpils - Lietuvas robeža (Medumi), km 144,70 - 156,40 segas pārbūve</t>
  </si>
  <si>
    <t>6.3.1.</t>
  </si>
  <si>
    <t>0.6.3.1.</t>
  </si>
  <si>
    <t>6.3.1.0/16/I/001</t>
  </si>
  <si>
    <t>Valsts reģionālā autoceļa P62 Krāslava - Preiļi - Madona posma Atašiene - Ļūmāni (km 104,20 – 113,40) pārbūve (tilts)</t>
  </si>
  <si>
    <t>6.3.1.0/16/I/002</t>
  </si>
  <si>
    <t>Valsts reģionālā autoceļa P87 Bauska - Aizkraukle posma Krustojums ar P76 – Aizkraukle (km 76,36-77,391 un km 77,939-78,48) pārbūve</t>
  </si>
  <si>
    <t>6.3.1.0/16/I/004</t>
  </si>
  <si>
    <t>Valsts reģionālā autoceļa P30 Cēsis - Vecpiebalga - Madona posma km 24,60 – 38,00 pārbūve (tilts)</t>
  </si>
  <si>
    <t>6.3.1.0/16/I/005</t>
  </si>
  <si>
    <t>Valsts reģionālā autoceļa P30 Cēsis – Vecpiebalga – Madona posma Brežģu kalns – Vecpiebalga km 38,00 – 49,00 pārbūve</t>
  </si>
  <si>
    <t>6.3.1.0/16/I/006</t>
  </si>
  <si>
    <t>Valsts reģionālā autoceļa P32 Augšlīgatne – Skrīveri posma Augšlīgatne - Nītaure km 0,006 – 13,96 pārbūve (tilts)</t>
  </si>
  <si>
    <t>6.3.1.0/16/I/007</t>
  </si>
  <si>
    <t xml:space="preserve">Valsts reģionālā autoceļa P73 Vecumnieki – Nereta – Subate posma Valles pagasta robeža - tilts pār Iecavu (km 7,30 – 20,89) pārbūve </t>
  </si>
  <si>
    <t>6.3.1.0/16/I/008</t>
  </si>
  <si>
    <t>Valsts reģionālā autoceļa P73 Vecumnieki – Nereta – Subate posma Krasti - Ērberģe km 29,20-40,33 pārbūve (tilts)</t>
  </si>
  <si>
    <t>6.3.1.0/16/I/009</t>
  </si>
  <si>
    <t>Valsts reģionālā autoceļa P85 Rīgas HES - Jaunjelgava posma krustojums ar P88 - Enkurnieki (km 40,20 – 48,80) pārbūve (tilts)</t>
  </si>
  <si>
    <t>6.3.1.0/16/I/010</t>
  </si>
  <si>
    <t>Valsts reģionālā autoceļa P120 Talsi – Stende – Kuldīga posma Talsi – Stende km 1,56 – 10,91 pārbūve (ceļa pārvads)</t>
  </si>
  <si>
    <t>6.3.1.0/16/I/011</t>
  </si>
  <si>
    <t>Valsts reģionālā autoceļa P11 Kocēni – Limbaži – Tūja posma Lauciņi – Augstroze km 19,22 – 27,70 pārbūve (tilts)</t>
  </si>
  <si>
    <t>6.3.1.0/16/I/012</t>
  </si>
  <si>
    <t>Valsts reģionālā autoceļa P89 Ķekava – Skaistkalne posma Bārbele – Lietuvas robeža km 47,05 – 55,80 pārbūve (tilts)</t>
  </si>
  <si>
    <t>6.3.1.0/16/I/013</t>
  </si>
  <si>
    <t>Valsts reģionālā autoceļa P62 Krāslava - Preiļi - Madona posma Krāslava – Krāslavas stacija km 0,80 – 4,00 pārbūve (tilts)</t>
  </si>
  <si>
    <t>6.3.1.0/16/I/014</t>
  </si>
  <si>
    <t xml:space="preserve">Valsts reģionālā autoceļa P68 Daugavpils - Skrudaliena - Baltkrievijas robeža (Silene) posma Daugavpils - krustojums ar P66 km 3,320 - 7,840 pārbūve </t>
  </si>
  <si>
    <t>6.3.1.0/16/I/015</t>
  </si>
  <si>
    <t xml:space="preserve">Valsts reģionālā autoceļa P128 Sloka - Talsi posma Apšuciems - P131 km 24,48 - 32,02 pārbūve </t>
  </si>
  <si>
    <t>6.3.1.0/16/I/016</t>
  </si>
  <si>
    <t>Valsts reģionālā autoceļa P73 Vecumnieki - Nereta - Subate posma km 57,56 - 65,10 pārbūve</t>
  </si>
  <si>
    <t>6.3.1.0/16/I/017</t>
  </si>
  <si>
    <t>Valsts reģionālā autoceļa P36 Rēzekne - Gulbene km 3,98 - 12,25 (posma Rēzekne - Audriņi) pārbūve</t>
  </si>
  <si>
    <t>6.3.1.0/16/I/020</t>
  </si>
  <si>
    <t xml:space="preserve">Valsts reģionālā autoceļa P37 Pļaviņas – Madona – Gulbene posma km 80,43 – 90,40 pārbūve </t>
  </si>
  <si>
    <t>7.1.1.</t>
  </si>
  <si>
    <t>0.7.1.1.</t>
  </si>
  <si>
    <t>LM</t>
  </si>
  <si>
    <t>7.1.1.0/15/I/001</t>
  </si>
  <si>
    <t>Nodarbinātības valsts aģentūra</t>
  </si>
  <si>
    <t>Atbalsts bezdarbnieku izglītībai</t>
  </si>
  <si>
    <t>7.1.2.</t>
  </si>
  <si>
    <t>7.1.2.1.</t>
  </si>
  <si>
    <t>7.1.2.1/15/I/001</t>
  </si>
  <si>
    <t>EURES tīkla darbība Latvijā</t>
  </si>
  <si>
    <t>7.1.2.2.</t>
  </si>
  <si>
    <t>7.1.2.2/16/I/001</t>
  </si>
  <si>
    <t>Darba tirgus prognozēšanas sistēmas pilnveide</t>
  </si>
  <si>
    <t>7.2.1.</t>
  </si>
  <si>
    <t>7.2.1.2/15/I/001</t>
  </si>
  <si>
    <t>Sākotnējās profesionālās izglītības programmu īstenošana Jauniešu garantijas ietvaros</t>
  </si>
  <si>
    <t>7.3.1.</t>
  </si>
  <si>
    <t>0.7.3.1.</t>
  </si>
  <si>
    <t>7.3.1.0/16/I/001</t>
  </si>
  <si>
    <t>Valsts darba inspekcija</t>
  </si>
  <si>
    <t xml:space="preserve">Darba drošības normatīvo aktu praktiskās ieviešanas un uzraudzības pilnveidošana </t>
  </si>
  <si>
    <t>7.3.2.</t>
  </si>
  <si>
    <t>0.7.3.2.</t>
  </si>
  <si>
    <t>7.3.2.0/16/I/001</t>
  </si>
  <si>
    <t>Atbalsts ilgākam darba mūžam</t>
  </si>
  <si>
    <t>8.1.3.</t>
  </si>
  <si>
    <t>0.8.1.3.</t>
  </si>
  <si>
    <t>8.1.3.0/16/I/015</t>
  </si>
  <si>
    <t>profesionālās izglītības kompetences centrs "Rīgas Valsts tehnikums"</t>
  </si>
  <si>
    <t>Profesionālās izglītības kompetences centra "Rīgas Valsts tehnikums" modernizēšana specifiskā atbalsta mērķa 8.1.3. "Palielināt modernizēto profesionālās izglītības iestāžu skaitu" ietvaros</t>
  </si>
  <si>
    <t>8.1.3.0/16/I/013</t>
  </si>
  <si>
    <t>Rīgas Mākslas un mediju tehnikums</t>
  </si>
  <si>
    <t>Rīgas Mākslas un mediju tehnikuma modernizēšana specifiskā atbalsta mērķa 8.1.3. “Palielināt modernizēto profesionālās izglītības iestāžu skaitu” ietvaros</t>
  </si>
  <si>
    <t>8.1.3.0/16/I/005</t>
  </si>
  <si>
    <t>Ogres tehnikums</t>
  </si>
  <si>
    <t>“Ogres tehnikuma modernizēšana specifiskā atbalsta mērķa 8.1.3. "Palielināt modernizēto profesionālās izglītības iestāžu skaitu" ietvaros”</t>
  </si>
  <si>
    <t>8.1.3.0/16/I/007</t>
  </si>
  <si>
    <t>Jelgavas tehnikums</t>
  </si>
  <si>
    <t>Jelgavas Tehnikuma infrastruktūras uzlabošana un mācību aprīkojuma modernizācija, 2.kārta</t>
  </si>
  <si>
    <t>8.1.3.0/16/I/006</t>
  </si>
  <si>
    <t>Valmieras tehnikums</t>
  </si>
  <si>
    <t>Vālmieras tehnikuma modernizēšana</t>
  </si>
  <si>
    <t>8.1.3.0/16/I/002</t>
  </si>
  <si>
    <t>Priekuļu tehnikums</t>
  </si>
  <si>
    <t>Priekuļu tehnikuma modernizēšana specifiskā atbalsta mērķa 8.1.3. “Palielināt modernizēto profesionālās izglītības iestāžu skaitu” ietvaros</t>
  </si>
  <si>
    <t>8.1.3.0/16/I/003</t>
  </si>
  <si>
    <t>profesionālās izglītības kompetences centrs "Liepājas Valsts tehnikums"</t>
  </si>
  <si>
    <t>8.1.3.0/16/I/008</t>
  </si>
  <si>
    <t>Kandavas lauksaimniecības tehnikums</t>
  </si>
  <si>
    <t>Kandavas Lauksaimniecības tehnikuma modernizēšana specifiskā atbalsta mērķa 8.1.3. "Palielināt modernizēto profesionālās izglītības iestāžu skaitu" ietvaros</t>
  </si>
  <si>
    <t>8.1.3.0/16/I/009</t>
  </si>
  <si>
    <t xml:space="preserve">Saldus tehnikums </t>
  </si>
  <si>
    <t xml:space="preserve">Saldus tehnikuma modernizēšana specifiskā atbalsta mērķa 8.1.3. “Palielināt modernizēto profesionālās izglītības iestāžu skaitu” ietvaros  </t>
  </si>
  <si>
    <t>8.1.3.0/16/I/016</t>
  </si>
  <si>
    <t xml:space="preserve">Kuldīgas Tehnoloģiju un tūrisma tehnikums </t>
  </si>
  <si>
    <t xml:space="preserve">Kuldīgas Tehnoloģiju un tūrisma tehnikuma modernizēšana specifiskā atbalsta mērķa 8.1.3. “Palielināt modernizēto profesionālās izglītības iestāžu skaitu” ietvaros  </t>
  </si>
  <si>
    <t>8.1.3.0/16/I/004</t>
  </si>
  <si>
    <t>Rēzeknes tehnikums</t>
  </si>
  <si>
    <t>Rēzeknes tehnikuma modernizēšana specifiskā atbalsta mērķa 8.1.3. "Palielināt modernizēto profesionālās izglītības iestāžu skaitu" ietvaros</t>
  </si>
  <si>
    <t>8.1.3.0/16/I/011</t>
  </si>
  <si>
    <t>Daugavpils Būvniecības tehnikums</t>
  </si>
  <si>
    <t>Daugavpils Būvniecības tehnikuma modernizēšana specifiskā atbalsta mērķa 8.1.3. “Palielināt modernizēto profesionālās izglītības iestāžu skaitu” ietvaros</t>
  </si>
  <si>
    <t>8.1.3.0/16/I/001</t>
  </si>
  <si>
    <t xml:space="preserve">Daugavpils tehnikums </t>
  </si>
  <si>
    <t>Daugavpils tehnikuma modernizēšana specifiskā atbalsta mērķa 8.1.3. “Palielināt modernizēto profesionālās izglītības iestāžu skaitu” ietvaros</t>
  </si>
  <si>
    <t>8.1.3.0/16/I/014</t>
  </si>
  <si>
    <t xml:space="preserve">Ventspils Mūzikas vidusskola </t>
  </si>
  <si>
    <t>Valsts Ventspils Mūzikas vidusskolas infrastruktūras attīstība</t>
  </si>
  <si>
    <t>8.2.4.</t>
  </si>
  <si>
    <t>0.8.2.4.</t>
  </si>
  <si>
    <t>8.2.4.0/15/I/001</t>
  </si>
  <si>
    <t>Nodibinājums "Akadēmiskās informācijas centrs"</t>
  </si>
  <si>
    <t>Atbalsts EQAR aģentūrai izvirzīto prasību izpildei</t>
  </si>
  <si>
    <t>8.3.1.</t>
  </si>
  <si>
    <t>8.3.1.1.</t>
  </si>
  <si>
    <t>Kompetenču pieejā balstīta vispārējās izglītības satura aprobācija</t>
  </si>
  <si>
    <t>8.3.1.1/16/I/002</t>
  </si>
  <si>
    <t>Valsts izglītības satura centrs</t>
  </si>
  <si>
    <t>Kompetenču pieeja mācību saturā</t>
  </si>
  <si>
    <t>8.3.2.</t>
  </si>
  <si>
    <t>8.3.2.1.</t>
  </si>
  <si>
    <t>8.3.2.1/16/I/002</t>
  </si>
  <si>
    <t>Nacionāla un starptautiska mēroga pasākumu īstenošana izglītojamo talantu attīstībai</t>
  </si>
  <si>
    <t>8.3.2.2.</t>
  </si>
  <si>
    <t>Atbalsts izglītojamo individuālo kompetenču attīstībai</t>
  </si>
  <si>
    <t>8.3.2.2/16/I/001</t>
  </si>
  <si>
    <t>8.3.3.</t>
  </si>
  <si>
    <t>0.8.3.3.</t>
  </si>
  <si>
    <t>8.3.3.0/15/I/001</t>
  </si>
  <si>
    <t>Jaunatnes starptautisko programmu aģentūra</t>
  </si>
  <si>
    <t>“PROTI un DARI!”</t>
  </si>
  <si>
    <t>8.3.4.</t>
  </si>
  <si>
    <t>0.8.3.4.</t>
  </si>
  <si>
    <t>8.3.4.0/16/I/001</t>
  </si>
  <si>
    <t>Izglītības kvalitātes valsts dienests</t>
  </si>
  <si>
    <t>Atbalsts priekšlaicīgas mācību pārtraukšanas samazināšanai.</t>
  </si>
  <si>
    <t>8.3.5.</t>
  </si>
  <si>
    <t>0.8.3.5.</t>
  </si>
  <si>
    <t>8.3.5.0/16/I/001</t>
  </si>
  <si>
    <t>Karjeras atbalsts vispārējās un profesionālās izglītības iestādēs</t>
  </si>
  <si>
    <t>8.3.6.</t>
  </si>
  <si>
    <t>8.3.6.1.</t>
  </si>
  <si>
    <t>8.3.6.1/16/I/001</t>
  </si>
  <si>
    <t>Izglītības un zinātnes ministrija</t>
  </si>
  <si>
    <t>Dalība starptautiskos izglītības pētījumos</t>
  </si>
  <si>
    <t>8.4.1.</t>
  </si>
  <si>
    <t>0.8.4.1.</t>
  </si>
  <si>
    <t>8.4.1.0/16/I/001</t>
  </si>
  <si>
    <t>Nodarbināto personu profesionālās kompetences pilnveide</t>
  </si>
  <si>
    <t>8.5.1.</t>
  </si>
  <si>
    <t>0.8.5.1.</t>
  </si>
  <si>
    <t>8.5.1.0/16/I/001</t>
  </si>
  <si>
    <t>Latvijas Darba devēju konfederācija</t>
  </si>
  <si>
    <t xml:space="preserve">Profesionālo izglītības iestāžu audzēkņu dalība darba vidē balstītās mācībās un mācību praksēs uzņēmumos. </t>
  </si>
  <si>
    <t>8.5.2.</t>
  </si>
  <si>
    <t>0.8.5.2.</t>
  </si>
  <si>
    <t>8.5.2.0/16/I/001</t>
  </si>
  <si>
    <t>Nozaru kvalifikācijas sistēmas pilnveide profesionālās izglītības attīstībai un kvalitātes nodrošināšanai</t>
  </si>
  <si>
    <t>8.5.3.</t>
  </si>
  <si>
    <t>0.8.5.3.</t>
  </si>
  <si>
    <t>8.5.3.0/16/I/001</t>
  </si>
  <si>
    <t>Profesionālās izglītības iestāžu efektīva pārvaldība un personāla kompetences pilnveide</t>
  </si>
  <si>
    <t>9.1.1.</t>
  </si>
  <si>
    <t>9.1.1.1.</t>
  </si>
  <si>
    <t>9.1.1.1/15/I/001</t>
  </si>
  <si>
    <t>Subsidētās darbavietas bezdarbniekiem</t>
  </si>
  <si>
    <t>9.1.1.2.</t>
  </si>
  <si>
    <t>9.1.1.2/15/I/001</t>
  </si>
  <si>
    <t>Atbalsts ilgstošajiem bezdarbniekiem</t>
  </si>
  <si>
    <t>9.1.1.3.</t>
  </si>
  <si>
    <t>Atbalsts sociālajai uzņēmējdarbībai</t>
  </si>
  <si>
    <t>9.1.1.3/15/I/001</t>
  </si>
  <si>
    <t>9.1.2.</t>
  </si>
  <si>
    <t>0.9.1.2.</t>
  </si>
  <si>
    <t>TM</t>
  </si>
  <si>
    <t>9.1.2.0/16/I/001</t>
  </si>
  <si>
    <t>Ieslodzījuma vietu pārvalde</t>
  </si>
  <si>
    <t>Bijušo ieslodzīto integrācija sabiedrībā un darba tirgū</t>
  </si>
  <si>
    <t>9.1.3.</t>
  </si>
  <si>
    <t>0.9.1.3.</t>
  </si>
  <si>
    <t>9.1.3.0/16/I/001</t>
  </si>
  <si>
    <t>Resocializācijas sistēmas efektivitātes paaugstināšana</t>
  </si>
  <si>
    <t>9.1.4.</t>
  </si>
  <si>
    <t>9.1.4.1.</t>
  </si>
  <si>
    <t>Profesionālā rehabilitācija</t>
  </si>
  <si>
    <t>9.1.4.1/16/I/001</t>
  </si>
  <si>
    <t>Sociālās integrācijas valsts aģentūra</t>
  </si>
  <si>
    <t>Personu ar invaliditāti vai garīga rakstura traucējumiem integrācija nodarbinātībā un sabiedrībā</t>
  </si>
  <si>
    <t>9.1.4.2.</t>
  </si>
  <si>
    <t>9.1.4.2/16/I/001</t>
  </si>
  <si>
    <t>Nacionālais rehabilitācijas centrs "Vaivari"</t>
  </si>
  <si>
    <t>VSIA NRC „Vaivari” funkcionēšanas novērtēšanas un asistīvo tehnoloģiju apmaiņas sistēmas izveide un ieviešana</t>
  </si>
  <si>
    <t>9.1.4.3.</t>
  </si>
  <si>
    <t>9.1.4.3/16/I/001</t>
  </si>
  <si>
    <t>Veselības un darbspēju ekspertīzes ārstu valsts komisija</t>
  </si>
  <si>
    <t>Bērnu invaliditātes noteikšanas sistēmas pilnveide.</t>
  </si>
  <si>
    <t>9.1.4.4.</t>
  </si>
  <si>
    <t>9.1.4.4/16/I/001</t>
  </si>
  <si>
    <t>Sabiedrības integrācijas fonds</t>
  </si>
  <si>
    <t>Dažādības veicināšana</t>
  </si>
  <si>
    <t>9.2.1.</t>
  </si>
  <si>
    <t>9.2.1.1.</t>
  </si>
  <si>
    <t>Profesionāla sociālā darba attīstība pašvaldībās</t>
  </si>
  <si>
    <t>9.2.1.1/15/I/001</t>
  </si>
  <si>
    <t>9.2.1.2.</t>
  </si>
  <si>
    <t>Iekļaujoša darba tirgus un nabadzības risku pētījumi un monitorings</t>
  </si>
  <si>
    <t>9.2.1.2/15/I/001</t>
  </si>
  <si>
    <t>9.2.1.3.</t>
  </si>
  <si>
    <t>9.2.1.3/16/I/001</t>
  </si>
  <si>
    <t>Valsts bērnu tiesību aizsardzības inspekcija</t>
  </si>
  <si>
    <t>Atbalsta sistēmas pilnveide bērniem ar saskarsmes grūtībām, uzvedības traucējumiem un vardarbību ģimenē</t>
  </si>
  <si>
    <t>9.2.2.</t>
  </si>
  <si>
    <t>9.2.2.1.</t>
  </si>
  <si>
    <t>Deinstitucionalizācija</t>
  </si>
  <si>
    <t>9.2.2.1/15/I/001</t>
  </si>
  <si>
    <t>Zemgales plānošanas reģions</t>
  </si>
  <si>
    <t>Atver sirdi Zemgalē</t>
  </si>
  <si>
    <t>9.2.2.1/15/I/002</t>
  </si>
  <si>
    <t>Rīgas Plānošanas reģions</t>
  </si>
  <si>
    <t>Deinstitucionalizācija un sociālie pakalpojumi personām ar invaliditāti un bērniem</t>
  </si>
  <si>
    <t>9.2.2.1/15/I/003</t>
  </si>
  <si>
    <t>Vidzemes plānošanas reģions</t>
  </si>
  <si>
    <t>Vidzeme iekļauj</t>
  </si>
  <si>
    <t>9.2.2.1/15/I/004</t>
  </si>
  <si>
    <t>Kurzemes plānošanas reģions</t>
  </si>
  <si>
    <t>Kurzeme visiem</t>
  </si>
  <si>
    <t>9.2.2.1/15/I/005</t>
  </si>
  <si>
    <t>Latgales plānošanas reģions</t>
  </si>
  <si>
    <t>Deinstitucionalizācijas pasākumu īstenošana Latgales reģionā</t>
  </si>
  <si>
    <t>9.2.2.2.</t>
  </si>
  <si>
    <t>Sociālo pakalpojumu atbalsta sistēmas pilnveide</t>
  </si>
  <si>
    <t>9.2.2.2/16/I/001</t>
  </si>
  <si>
    <t>9.2.3.</t>
  </si>
  <si>
    <t>0.9.2.3.</t>
  </si>
  <si>
    <t>VM</t>
  </si>
  <si>
    <t>9.2.3.0/15/I/001</t>
  </si>
  <si>
    <t>Nacionālais veselības dienests</t>
  </si>
  <si>
    <t>VESELĪBAS TĪKLU ATTĪSTĪBAS VADLĪNIJU UN KVALITĀTES NODROŠINĀŠANAS SISTĒMAS IZSTRĀDE UN IEVIEŠANA PRIORITĀRO VESELĪBAS JOMU IETVAROS</t>
  </si>
  <si>
    <t>9.2.4.</t>
  </si>
  <si>
    <t>9.2.4.1.</t>
  </si>
  <si>
    <t>9.2.4.1/16/I/001</t>
  </si>
  <si>
    <t>Veselības ministrija</t>
  </si>
  <si>
    <t>Kompleksi veselības veicināšanas un slimību profilakses pasākumi</t>
  </si>
  <si>
    <t>9.2.4.2.</t>
  </si>
  <si>
    <t>9.2.4.2/16/I/001</t>
  </si>
  <si>
    <t>Ādažu novada pašvaldība</t>
  </si>
  <si>
    <t>Pasākumi vietējās sabiedrības veselības veicināšanai Ādažu novadā</t>
  </si>
  <si>
    <t>9.2.4.2/16/I/002</t>
  </si>
  <si>
    <t>Aglonas novada pašvaldība</t>
  </si>
  <si>
    <t>Veselības veicināšanas pasākumi Aglonas novadā</t>
  </si>
  <si>
    <t>9.2.4.2/16/I/004</t>
  </si>
  <si>
    <t>Gulbenes novada dome</t>
  </si>
  <si>
    <t xml:space="preserve">Veselības veicināšanas un slimību profilakses pasākumi Gulbenes novadā </t>
  </si>
  <si>
    <t>9.2.4.2/16/I/006</t>
  </si>
  <si>
    <t>Līvānu novada dome</t>
  </si>
  <si>
    <t>Veselības veicināšanas un slimību profilakses pasākumu īstenošana Līvānu novada iedzīvotājiem</t>
  </si>
  <si>
    <t>9.2.4.2/16/I/011</t>
  </si>
  <si>
    <t>Tukuma novada dome</t>
  </si>
  <si>
    <t xml:space="preserve">Veselības veicināšanas un slimību profilakses pakalpojumu pieejamība Tukuma novadā, jo īpaši teritoriālās, nabadzības un sociālās atstumtības riskam pakļautajiem iedzīvotājiem, īstenojot vietēja mēroga pasākumus. </t>
  </si>
  <si>
    <t>9.2.4.2/16/I/015</t>
  </si>
  <si>
    <t>Jēkabpils novada pašvaldība</t>
  </si>
  <si>
    <t>Veselības veicināšanas un slimību profilakses pieejamības uzlabošana Jēkabpils novada pašvaldībā</t>
  </si>
  <si>
    <t>9.2.4.2/16/I/019</t>
  </si>
  <si>
    <t>Kokneses novada dome</t>
  </si>
  <si>
    <t xml:space="preserve">Koknese-veselīgākā vide visiem! </t>
  </si>
  <si>
    <t>9.2.4.2/16/I/020</t>
  </si>
  <si>
    <t>Dagdas novada pašvaldība</t>
  </si>
  <si>
    <t>Pasākumi vietējās sabiedrības veselības veicināšanai un slimību profilaksei Dagdas novadā.</t>
  </si>
  <si>
    <t>9.2.4.2/16/I/021</t>
  </si>
  <si>
    <t>Rīgas Domes Labklājības departaments</t>
  </si>
  <si>
    <t>Mēs par veselīgu Rīgu! – daudzveidīgi un pieejami veselības veicināšanas un slimību profilakses pasākumi</t>
  </si>
  <si>
    <t>9.2.4.2/16/I/035</t>
  </si>
  <si>
    <t>Valkas novada dome</t>
  </si>
  <si>
    <t>Veselības veicināšanas un slimību profilakses pasākumi Valkas novadā</t>
  </si>
  <si>
    <t>9.2.4.2/16/I/037</t>
  </si>
  <si>
    <t>Vecumnieku novada dome</t>
  </si>
  <si>
    <t>Veselības veicināšanas un slimību profilakses pasākumi Vecumnieku novadā</t>
  </si>
  <si>
    <t>9.2.4.2/16/I/098</t>
  </si>
  <si>
    <t>Naukšēnu novada pašvaldība</t>
  </si>
  <si>
    <t>Veselības veicināšanas un slimību profilakses pakalpojumu pieejamības uzlabošana Naukšēnu novada iedzīvotājiem</t>
  </si>
  <si>
    <t>9.3.1.</t>
  </si>
  <si>
    <t>9.3.1.2.</t>
  </si>
  <si>
    <t>9.3.1.2/16/I/001</t>
  </si>
  <si>
    <t>VSIA NRC „Vaivari” infrastruktūras attīstība funkcionēšanas novērtēšanas un asistīvo tehnoloģiju apmaiņas fonda izveidei</t>
  </si>
  <si>
    <t>10.1.1.</t>
  </si>
  <si>
    <t>0.10.1.1.</t>
  </si>
  <si>
    <t>FM</t>
  </si>
  <si>
    <t>10.1.1.0/15/TP/001</t>
  </si>
  <si>
    <t>Finanšu ministrija</t>
  </si>
  <si>
    <t>Kohēzijas politikas fondu izvērtēšanas nodrošināšana un kapacitātes palielināšana Latvijā ES fondu 2014. – 2020. gada plānošanas periodā</t>
  </si>
  <si>
    <t>10.1.2.</t>
  </si>
  <si>
    <t>0.10.1.2.</t>
  </si>
  <si>
    <t>10.1.2.0/15/TP/001</t>
  </si>
  <si>
    <t>Centrālā finanšu un līgumu aģentūra</t>
  </si>
  <si>
    <t>Eiropas Sociālā fonda atbalsts Kohēzijas politikas fondu ieviešanai un vadībai Centrālajā finanšu un līgumu aģentūrā</t>
  </si>
  <si>
    <t>10.1.2.0/15/TP/002</t>
  </si>
  <si>
    <t>Atbalsts Valsts kancelejas kā Eiropas Savienības fondu atbildīgās iestādes informācijas un publicitātes pasākumiem</t>
  </si>
  <si>
    <t>10.1.2.0/15/TP/003</t>
  </si>
  <si>
    <t>Kohēzijas politikas fondu informācijas un komunikācijas pasākumu nodrošināšana Latvijā ES fondu 2014. – 2020. gada plānošanas periodā</t>
  </si>
  <si>
    <t>10.1.2.0/15/TP/004</t>
  </si>
  <si>
    <t>Kultūras ministrija</t>
  </si>
  <si>
    <t xml:space="preserve">Tehniskā palīdzība Kultūras ministrijai kā ES fondu atbildīgajai iestādei Latvijā informācijas un komunikācijas pasākumu īstenošanai </t>
  </si>
  <si>
    <t>10.1.2.0/15/TP/005</t>
  </si>
  <si>
    <t>Atbalsts Veselības ministrijai Eiropas Savienības fondu informācijas un komunikācijas pasākumu darbību īstenošanai</t>
  </si>
  <si>
    <t>10.1.2.0/15/TP/006</t>
  </si>
  <si>
    <t>„Izglītības un zinātnes ministrijas ES  fondu 2014. – 2020. gada plānošanas perioda informācijas un publicitātes projekts, 1.kārta”</t>
  </si>
  <si>
    <t>10.1.2.0/15/TP/007</t>
  </si>
  <si>
    <t>Sabiedrības informēšana par uzņēmējdarbības un energoefektivitātes pasākumiem</t>
  </si>
  <si>
    <t>10.1.2.0/15/TP/008</t>
  </si>
  <si>
    <t>Tieslietu ministrija</t>
  </si>
  <si>
    <t>Tehniskā palīdzība Tieslietu ministrijai kā atbildīgajai iestādei informācijas un publicitātes pasākumu īstenošanā</t>
  </si>
  <si>
    <t>10.1.2.0/15/TP/009</t>
  </si>
  <si>
    <t>Tehniskā palīdzība publicitātei un sabiedrības informēšanai labklājības jomā (1.kārta)</t>
  </si>
  <si>
    <t>10.1.2.0/15/TP/010</t>
  </si>
  <si>
    <t>Tehniskā palīdzība Satiksmes ministrijas informācijas un komunikācijas pasākumiem par Kohēzijas politikas fondiem, 2016.-2018.gadā</t>
  </si>
  <si>
    <t>10.1.2.0/15/TP/011</t>
  </si>
  <si>
    <t>Eiropas Sociālā fonda atbalsts Vides aizsardzības un reģionālās attīstības ministrijai publicitātes pasākumu par Kohēzijas politikas fondiem nodrošināšanai.</t>
  </si>
  <si>
    <t>11.1.1.</t>
  </si>
  <si>
    <t>0.11.1.1.</t>
  </si>
  <si>
    <t>11.1.1.0/15/TP/001</t>
  </si>
  <si>
    <t>Jēkabpils pilsētas pašvaldība</t>
  </si>
  <si>
    <t>Tehniskā palīdzība integrēto teritoriju investīciju projektu iesniegumu atlases nodrošināšanai Jēkabpils pilsētas pašvaldībā.</t>
  </si>
  <si>
    <t>11.1.1.0/15/TP/002</t>
  </si>
  <si>
    <t>Iepirkumu uzraudzības birojs</t>
  </si>
  <si>
    <t>ERAF tehniskā palīdzība Iepirkumu uzraudzības birojam Eiropas Savienības fondu administrēšanā un uzraudzībā</t>
  </si>
  <si>
    <t>11.1.1.0/15/TP/003</t>
  </si>
  <si>
    <t>Valsts kase</t>
  </si>
  <si>
    <t>Tehniskā palīdzība Valsts kases kā sertifikācijas iestādes  funkciju nodrošināšanai</t>
  </si>
  <si>
    <t>11.1.1.0/15/TP/004</t>
  </si>
  <si>
    <t>Eiropas Reģionālās attīstības fonda atbalsts Kohēzijas politikas fondu ieviešanai un vadībai Centrālajā finanšu un līgumu aģentūrā</t>
  </si>
  <si>
    <t>11.1.1.0/15/TP/005</t>
  </si>
  <si>
    <t>Liepājas pilsētas pašvaldība</t>
  </si>
  <si>
    <t xml:space="preserve">Tehniskā palīdzība integrētu teritoriju investīciju projektu iesniegumu atlases nodrošināšanai Liepājā </t>
  </si>
  <si>
    <t>11.1.1.0/15/TP/006</t>
  </si>
  <si>
    <t xml:space="preserve">Tehniskā palīdzība Valsts kancelejas kā Eiropas Savienības fondu atbildīgās iestādes funkciju nodrošināšanai
</t>
  </si>
  <si>
    <t>11.1.1.0/15/TP/007</t>
  </si>
  <si>
    <t>Tehniskā palīdzība Eiropas Savienības fondu atbildīgajai iestādei Latvijā</t>
  </si>
  <si>
    <t>11.1.1.0/15/TP/008</t>
  </si>
  <si>
    <t>Tehniskā palīdzība Veselības ministrijai kā Eiropas Savienības fondu atbildīgajai iestādei</t>
  </si>
  <si>
    <t>11.1.1.0/15/TP/009</t>
  </si>
  <si>
    <t>Jūrmalas pilsētas dome</t>
  </si>
  <si>
    <t>Atbalsts integrētu teritoriālo investīciju īstenošanai Jūrmalas pilsētas pašvaldībā</t>
  </si>
  <si>
    <t>11.1.1.0/15/TP/011</t>
  </si>
  <si>
    <t>Izglītības un zinātnes ministrijas kapacitātes stiprināšana Eiropas Savienības struktūrfondu plānošanai, ieviešanai un uzraudzībai 2014-2020.gada plānošanas periodā, 1.kārta</t>
  </si>
  <si>
    <t>11.1.1.0/15/TP/012</t>
  </si>
  <si>
    <t>Atbalsts EM un LIAA vadības funkciju nodrošināšanā</t>
  </si>
  <si>
    <t>11.1.1.0/15/TP/013</t>
  </si>
  <si>
    <t>Tehniskā palīdzība Tieslietu ministrijas kā atbildīgās iestādes darbības nodrošināšanai</t>
  </si>
  <si>
    <t>11.1.1.0/15/TP/014</t>
  </si>
  <si>
    <t>Eiropas Savienības fondu administrēšana Labklājības ministrijā 2014.-2020.gada plānošanas periodā (1.kārta)</t>
  </si>
  <si>
    <t>11.1.1.0/15/TP/015</t>
  </si>
  <si>
    <t>Jelgavas pilsētas dome</t>
  </si>
  <si>
    <t xml:space="preserve">Integrētu teritoriālo investīciju projektu iesniegumu atlases nodrošināšana Jelgavas pilsētas pašvaldībā </t>
  </si>
  <si>
    <t>11.1.1.0/15/TP/016</t>
  </si>
  <si>
    <t>Tehniskā palīdzība Satiksmes ministrijai kā Eiropas Savienības fondu atbildīgajai iestādei 2016.-2018.gadā</t>
  </si>
  <si>
    <t>11.1.1.0/15/TP/017</t>
  </si>
  <si>
    <t>Valmieras pilsētas pašvaldība</t>
  </si>
  <si>
    <t>Projektu atlases kontroles sistēmas izveide un ieviešana Valmieras pilsētas pašvaldībā</t>
  </si>
  <si>
    <t>11.1.1.0/15/TP/018</t>
  </si>
  <si>
    <t>Daugavpils pilsētas pašvaldība</t>
  </si>
  <si>
    <t>Daugavpils pilsētas pašvaldības kapacitātes palielināšana Eiropas Savienības fondu plānošanas un izvērtēšanas procesa nodrošināšanai</t>
  </si>
  <si>
    <t>11.1.1.0/15/TP/020</t>
  </si>
  <si>
    <t>Rēzeknes pilsētas dome</t>
  </si>
  <si>
    <t>Tehniskās palīdzības nodrošināšana Eiropas Savienības fondu projektu iesniegumu atlases veikšanai Rēzeknes pilsētas pašvaldībā 2014. – 2020.gada plānošanas periodā.</t>
  </si>
  <si>
    <t>11.1.1.0/15/TP/021</t>
  </si>
  <si>
    <t>Eiropas Reģionālās attīstības fonda atbalsts Vides aizsardzības un reģionālās attīstības ministrijai Kohēzijas politikas fondu plānošanā, ieviešanā, uzraudzībā un kontrolē</t>
  </si>
  <si>
    <t>11.1.1.0/15/TP/022</t>
  </si>
  <si>
    <t>Ventspils pilsētas dome</t>
  </si>
  <si>
    <t>Atbalsts integrēto teritoriālo investīciju projektu atlasei Ventspilī</t>
  </si>
  <si>
    <t>12.1.1.</t>
  </si>
  <si>
    <t>0.12.1.1.</t>
  </si>
  <si>
    <t>12.1.1.0/15/TP/001</t>
  </si>
  <si>
    <t>Tehniskā palīdzība Finanšu ministrijai kā Eiropas Savienības fondu Revīzijas iestādei</t>
  </si>
  <si>
    <t>12.1.1.0/15/TP/002</t>
  </si>
  <si>
    <t>Tehniskā palīdzība Eiropas Savienības struktūrfondu un Kohēzijas fonda vadošajai iestādei Latvijā 2014.-2020.gada plānošanas periodā</t>
  </si>
  <si>
    <t>12.1.1.0/15/TP/003</t>
  </si>
  <si>
    <t>Horizontālā principa “Vienlīdzīgas iespējas” politikas koordinēšanas funkciju nodrošināšana Labklājības ministrijā (2015.-2018. gads)</t>
  </si>
  <si>
    <t>12.1.1.0/15/TP/004</t>
  </si>
  <si>
    <t xml:space="preserve">Kohēzijas fonda atbalsts Kohēzijas politikas fondu ieviešanai un vadībai Centrālajā finanšu un līgumu aģentūrā </t>
  </si>
  <si>
    <t>12.1.1.0/15/TP/005</t>
  </si>
  <si>
    <t>Darbības programmas “Izaugsme un nodarbinātība” horizontālā principa “Ilgtspējīga attīstība” politikas koordinācija – plānošana un īstenošanas uzraudzība Vides aizsardzības un reģionālās attīstības ministrijā</t>
  </si>
  <si>
    <t>Pasākuma numurs</t>
  </si>
  <si>
    <t>Kārtas numurs</t>
  </si>
  <si>
    <t>Fonds</t>
  </si>
  <si>
    <t>Projekta Nr.</t>
  </si>
  <si>
    <t>Projekta iesniedzējs</t>
  </si>
  <si>
    <t>Projekta nosaukums</t>
  </si>
  <si>
    <t xml:space="preserve">2017.gads </t>
  </si>
  <si>
    <t>augusts</t>
  </si>
  <si>
    <t>septembris</t>
  </si>
  <si>
    <t>oktobris</t>
  </si>
  <si>
    <t>novembris</t>
  </si>
  <si>
    <t>decembris</t>
  </si>
  <si>
    <t>kopā</t>
  </si>
  <si>
    <t>Kompetences centri</t>
  </si>
  <si>
    <t>Tehnoloģiju pārneses sistēma</t>
  </si>
  <si>
    <t>IKT un netehnoloģiskām apmācības</t>
  </si>
  <si>
    <t>Platjoslu interneta attīstība</t>
  </si>
  <si>
    <t>Ieguldījumi IKT</t>
  </si>
  <si>
    <t>Biznesa inkubatori</t>
  </si>
  <si>
    <t>Starptautiskā konkurētspēja</t>
  </si>
  <si>
    <t>Pašvaldību inftasruktūras attīstība uzņēmējdarbībai.</t>
  </si>
  <si>
    <t>Valsts pārvaldes darbinieku apmācības</t>
  </si>
  <si>
    <t xml:space="preserve">Daudzīvokļu māju energoefektivitāte </t>
  </si>
  <si>
    <t>Elektrotransporta infrastruktūra</t>
  </si>
  <si>
    <t>Tramvaji</t>
  </si>
  <si>
    <t>Ūdenssaimniecība</t>
  </si>
  <si>
    <t>Biotopu un sugu kartēšana</t>
  </si>
  <si>
    <t>Degradēto teritoriju revitalizācija</t>
  </si>
  <si>
    <t>Salu tilta rekonstrukcija</t>
  </si>
  <si>
    <t>Valsts galveno ceļu rekonstrukcija</t>
  </si>
  <si>
    <t>Reģionālo ceļu rekonstrukcija</t>
  </si>
  <si>
    <t>Jauniešu garantijas</t>
  </si>
  <si>
    <t>Darba drošības uzlabošana</t>
  </si>
  <si>
    <t>Gados vecāku nodarbināto darbspēju uzlabošana</t>
  </si>
  <si>
    <t>Ieguldījumi profesionālās izglītības infrastruktūrā</t>
  </si>
  <si>
    <t>Atbalsts EQAR aģentūrai</t>
  </si>
  <si>
    <t>Izglītojamo talantu attīstība</t>
  </si>
  <si>
    <t xml:space="preserve">Individuālo kompetenču attīstība </t>
  </si>
  <si>
    <t>NVA nereģistrēto NEET jauniešu prasmju attīstīšana</t>
  </si>
  <si>
    <t>Priekšlaicīgas mācību pārtraukšanas samazināšana</t>
  </si>
  <si>
    <t>Karjeras pieejas uzlabošana</t>
  </si>
  <si>
    <t>Starptautiskie un nacionālie pētījumi</t>
  </si>
  <si>
    <t xml:space="preserve">Mūžizglītība </t>
  </si>
  <si>
    <t>Darbavidē balstītās mācības un mācību prakses</t>
  </si>
  <si>
    <t>Profesionālās izglītības kvalifikācijsa atbilstība Eiropas prasībām</t>
  </si>
  <si>
    <t xml:space="preserve">Profesionālās izglītības pārvaldība </t>
  </si>
  <si>
    <t xml:space="preserve">Sociālā uzņēmējdarbība </t>
  </si>
  <si>
    <t>Ieslodzīto integrācija sabiedrībā</t>
  </si>
  <si>
    <t xml:space="preserve">Resocializācijas sistēma </t>
  </si>
  <si>
    <t>Funkcionēšanas novērtēšanas un tehnisko palīglīdzekļu apmaiņas sistēmas izveide</t>
  </si>
  <si>
    <t>Bērnu invaliditātes noteikšanas sistēmas pilnveide</t>
  </si>
  <si>
    <t>Diskriminācijas novēršana</t>
  </si>
  <si>
    <t>Profesionāla sociālā darba attīstība</t>
  </si>
  <si>
    <t>Darba tirgus un nabadzības risku pētījumi</t>
  </si>
  <si>
    <t>Atbalsts bērniem ar uzvedības traucējumiem</t>
  </si>
  <si>
    <t>Attīstības vadlīnijas un kvalitātes nodrošināšanas sistēma</t>
  </si>
  <si>
    <t>Kompleksā veselības veicināšana</t>
  </si>
  <si>
    <t>Veselības veicināšana pašvaldībās</t>
  </si>
  <si>
    <t>Infrastruktūra funkcionalitātes novērtēšanai un tehnisko palīglīdzekļu apmaiņas sistēmai</t>
  </si>
  <si>
    <t>TP KP fondu izvērtēšanas kapacitātei</t>
  </si>
  <si>
    <t>TP informācijai un komunikācijai</t>
  </si>
  <si>
    <t>TP KP fondu plānošanai, ieviešanai, uzraudzībai un kontrolei</t>
  </si>
  <si>
    <t>TP KP fondu plānošanai, ieviešanai, uzraudzībai, kontrolei, revīzijai un e-kohēzijai</t>
  </si>
  <si>
    <t>3.4.1.</t>
  </si>
  <si>
    <t>0.3.4.1.</t>
  </si>
  <si>
    <t>Tiesnešu apmācības</t>
  </si>
  <si>
    <t>3.4.1.0/16/I/001</t>
  </si>
  <si>
    <t>Tiesu administrācija</t>
  </si>
  <si>
    <t>Justīcija attīstībai</t>
  </si>
  <si>
    <t>5.1.1.</t>
  </si>
  <si>
    <t>0.5.1.1.</t>
  </si>
  <si>
    <t>Plūdu risku samazināšana blīvi apdzīvotās teritorijās</t>
  </si>
  <si>
    <t>5.1.1.0/15/I/001</t>
  </si>
  <si>
    <t xml:space="preserve">Novērst plūdu un krasta erozijas risku apdraudējumu Ogres pilsētas teritorijā, veicot Ogres upes neapplūstoša aizsargdambja rekonstrukciju  </t>
  </si>
  <si>
    <t>5.1.2.0/16/I/001</t>
  </si>
  <si>
    <t>Rīgas HES ūdenskrātuves Ikšķiles aizsargdambja (pik 00/00-36/42) atjaunošana</t>
  </si>
  <si>
    <t>5.1.2.0/16/I/002</t>
  </si>
  <si>
    <t>Rīgas HES ūdenskrātuves Ogres aizsargdambja (pik 00/00-24/67)  atjaunošana</t>
  </si>
  <si>
    <t>6.1.5.0/15/I/002</t>
  </si>
  <si>
    <t>Valsts galvenā autoceļa A9 Rīga (Skulte) – Liepāja, km 24,40 – 38,18 segas pārbūve (tilts)</t>
  </si>
  <si>
    <t>6.1.5.0/15/I/005</t>
  </si>
  <si>
    <t>Valsts galvenā autoceļa A2 Rīga - Sigulda - Igaunijas rob. (Veclaicene), km 15,40 – 25,50 segas pārbūve (abas brauktuves)</t>
  </si>
  <si>
    <t>6.1.5.0/15/I/007</t>
  </si>
  <si>
    <t>Valsts galvenā autoceļa A9 Rīga (Skulte) – Liepāja, km 38,24 – 60,15 segas pārbūve (tilts)</t>
  </si>
  <si>
    <t>6.3.1.0/16/I/003</t>
  </si>
  <si>
    <t>Valsts reģionālā autoceļa P104 Tukums – Auce – Lietuvas robeža (Vītiņi) posmu km 55,70 – 60,80 un km 63,39 – 65,22 pārbūve</t>
  </si>
  <si>
    <t>7.2.1.1/15/I/001</t>
  </si>
  <si>
    <t>Izpilde</t>
  </si>
  <si>
    <t>Plānots</t>
  </si>
  <si>
    <t>2017 janvāris</t>
  </si>
  <si>
    <t>2017 februāris</t>
  </si>
  <si>
    <t>2017 marts</t>
  </si>
  <si>
    <t>2017 aprīlis</t>
  </si>
  <si>
    <t>Informācija par specifisko atbalsta mērķi</t>
  </si>
  <si>
    <t>Nr.p.k.</t>
  </si>
  <si>
    <t>Specifiskā atbalsta mērķa numurs</t>
  </si>
  <si>
    <t>Specifiskā atbasta mērķa/pasākuma nosaukums</t>
  </si>
  <si>
    <t>Atbildīgā nozares ministrija
[1]</t>
  </si>
  <si>
    <t>%</t>
  </si>
  <si>
    <t>Projekti, kuriem plāns nav izpildīts par vairāk kā 200 tūkst. euro</t>
  </si>
  <si>
    <t>Izmaiņas</t>
  </si>
  <si>
    <t>7.2.1.2. ESF/JNI</t>
  </si>
  <si>
    <t>7.2.1.1. ESF/JNI</t>
  </si>
  <si>
    <t>2017 maijs</t>
  </si>
  <si>
    <t>Izpilde(+)/Neizpilde(-)</t>
  </si>
  <si>
    <t>1.2.2.2.</t>
  </si>
  <si>
    <t>Inovāciju motivācijas programma</t>
  </si>
  <si>
    <t>1.2.2.2/16/I/001</t>
  </si>
  <si>
    <t>1.2.2.3/16/I/001</t>
  </si>
  <si>
    <t>Latvijas Tirdzniecības un rūpniecības kamera</t>
  </si>
  <si>
    <t>LTRK netehnoloģisko apmācību projekts</t>
  </si>
  <si>
    <t>3.1.1.1., 3.1.1.2., 3.1.1.3., 3.1.1.1.4., 3.1.2.1., 3.1.2.2.</t>
  </si>
  <si>
    <t>3.3.1.0/16/I/004</t>
  </si>
  <si>
    <t>Cēsu novada pašvaldība</t>
  </si>
  <si>
    <t>Rīgas ielas posma rekonstrukcija uzņēmējdarbības vides uzlabošanai, Cēsis, Cēsu novadā</t>
  </si>
  <si>
    <t>3.3.1.0/16/I/001</t>
  </si>
  <si>
    <t>Līvānu novada pašvaldība</t>
  </si>
  <si>
    <t>Līvānu pilsētas ielas pārbūve uzņēmējdarbības attīstības veicināšanai</t>
  </si>
  <si>
    <t>3.3.1.0/16/I/021</t>
  </si>
  <si>
    <t>Kokneses novada pašvaldība</t>
  </si>
  <si>
    <t>Uzņēmējdarbības veicināšanai nepieciešamās infrastruktūras attīstība Kokneses novada Kokneses ciemā</t>
  </si>
  <si>
    <t>3.3.1.0/16/I/019</t>
  </si>
  <si>
    <t>Krustpils novada pašvaldība</t>
  </si>
  <si>
    <t>Asfaltbetona ceļa seguma izbūve industriālās teritorijas sasniedzamībai un attīstībai industriālajā teritorijā pie Krustpils stacijas</t>
  </si>
  <si>
    <t>3.3.1.0/16/I/025</t>
  </si>
  <si>
    <t>Mālpils novada pašvaldība</t>
  </si>
  <si>
    <t>Uzņēmējdarbības veicināšanai nepieciešamās infrastruktūras attīstība Mālpils novadā</t>
  </si>
  <si>
    <t>3.3.1.0/16/I/026</t>
  </si>
  <si>
    <t>Uzņēmējdarbības veicināšanai nepieciešamās infrastruktūras attīstība Sidgundas ciemā, Mālpils novadā</t>
  </si>
  <si>
    <t>3.3.1.0/16/I/027</t>
  </si>
  <si>
    <t>Uzņēmējdarbības veicināšanai nepieciešamās infrastruktūras attīstība  Mālpils ciemā, Mālpils novadā</t>
  </si>
  <si>
    <t>3.3.1.0/16/I/018</t>
  </si>
  <si>
    <t>Uzņēmējdarbības attīstībai nepieciešamās infrastruktūras attīstība Naukšēnu pagastā</t>
  </si>
  <si>
    <t>3.3.1.0/16/I/028</t>
  </si>
  <si>
    <t>Varakļānu novada pašvaldība</t>
  </si>
  <si>
    <t>Uzņēmējdarbības infrastruktūras attīstība Varakļānu pilsētā</t>
  </si>
  <si>
    <t>3.3.1.0/16/I/029</t>
  </si>
  <si>
    <t>Uzņēmējdarbības vides attīstībai nepieciešamās infrastruktūras uzlabošana Varakļānu novadā, Murmastienes pagastā</t>
  </si>
  <si>
    <t>3.3.1.0/16/I/034</t>
  </si>
  <si>
    <t>Uzņēmējdarbības infrastruktūras attīstība Varakļānu pagastā</t>
  </si>
  <si>
    <t>5.3.1.0/16/I/011</t>
  </si>
  <si>
    <t>VINDA, VSIA (Cēsis)</t>
  </si>
  <si>
    <t>Cēsu ūdenssaimniecības attīstības projekta V kārta</t>
  </si>
  <si>
    <t>5.3.1.0/16/I/014</t>
  </si>
  <si>
    <t>Jūrmalas ūdens, SIA</t>
  </si>
  <si>
    <t xml:space="preserve">Jūrmalas ūdenssaimniecības attīstība IV kārta  </t>
  </si>
  <si>
    <t>5.3.1.0/16/I/001</t>
  </si>
  <si>
    <t>Saltavots, SIA (Sigulda)</t>
  </si>
  <si>
    <t>Ūdenssaimniecības pakalpojumu attīstība Siguldas notekūdeņu aglomerācijā, V kārta</t>
  </si>
  <si>
    <t>5.6.2.0/16/I/021</t>
  </si>
  <si>
    <t>Jēkabpils Daugavas kreisā krasta degradēto teritoriju atjaunošana un publiskas infrastruktūras uzlabošana uzņēmējdarbības attīstībai</t>
  </si>
  <si>
    <t>5.6.2.0/16/I/012</t>
  </si>
  <si>
    <t>Industriālās teritorijas piekļuves uzlabošana un revitalizācija uzņēmējdarbības attīstībai Jēkabpilī</t>
  </si>
  <si>
    <t>5.6.2.0/16/I/016</t>
  </si>
  <si>
    <t>Aizkraukles novada pašvaldība</t>
  </si>
  <si>
    <t>Esošās rūpnieciskās teritorijas infrastruktūras sakārtošana  Jaunceltnes  un Gaismas ielas posmā, uzlabojot tās piemērotību  ražošanas uzņēmumu attīstības vajadzībām</t>
  </si>
  <si>
    <t>5.6.2.0/16/I/001</t>
  </si>
  <si>
    <t xml:space="preserve">Degradēto teritoriju revitalziācija Cēsu novadā 1. kārta </t>
  </si>
  <si>
    <t>5.6.2.0/16/I/010</t>
  </si>
  <si>
    <t>Gulbenes novada pašvaldība</t>
  </si>
  <si>
    <t>Infrastruktūras uzlabošana uzņēmējdarbības attīstībai Brīvības ielas zonā</t>
  </si>
  <si>
    <t>5.6.2.0/16/I/017</t>
  </si>
  <si>
    <t>Kuldīgas novada pašvaldība</t>
  </si>
  <si>
    <t>Kuldīgas pilsētas ziemeļu daļas industriālās teritorijas attīstība</t>
  </si>
  <si>
    <t>5.6.2.0/16/I/004</t>
  </si>
  <si>
    <t>Ražošanas teritorijas izveidošana atjaunojot degradēto teritoriju Valkā</t>
  </si>
  <si>
    <t>5.6.2.0/16/I/003</t>
  </si>
  <si>
    <t>Publiskās infrastruktūras kvalitātes uzlabošana Līvānu industriālās zonas sasniedzamībai un uzņēmējdarbības attīstības veicināšanai.</t>
  </si>
  <si>
    <t>6.1.5.0/16/I/001</t>
  </si>
  <si>
    <t>Valsts galvenā autoceļa A12 Jēkabpils – Rēzekne – Ludza – Krievijas robeža (Terehova), km 114,34 – 125,14 segas pārbūve</t>
  </si>
  <si>
    <t>9.2.4.2/16/I/005</t>
  </si>
  <si>
    <t>"Dzīvo vesels Alūksnes novadā!"</t>
  </si>
  <si>
    <t>9.2.4.2/16/I/008</t>
  </si>
  <si>
    <t>Pasākumi vietējās sabiedrības veselības veicināšanai un slimību profilaksei Jūrmalā</t>
  </si>
  <si>
    <t>9.2.4.2/16/I/041</t>
  </si>
  <si>
    <t>Saldus novada pašvaldība</t>
  </si>
  <si>
    <t>Pasākumi vietējās sabiedrības veselības veicināšanai un slimību profilaksei Saldus novadā</t>
  </si>
  <si>
    <t>9.2.4.2/16/I/055</t>
  </si>
  <si>
    <t xml:space="preserve">Aknīstes novada pašvaldība </t>
  </si>
  <si>
    <t>Veselības veicināšanas un slimību profilakses pasākumi Aknīstes novadā</t>
  </si>
  <si>
    <t>9.2.4.2/16/I/084</t>
  </si>
  <si>
    <t>Burtnieku novada pašvaldība</t>
  </si>
  <si>
    <t>“Pasākumi vietējās sabiedrības veselības veicināšanai un slimību profilaksei Burtnieku novadā”</t>
  </si>
  <si>
    <t>9.2.4.2/16/I/085</t>
  </si>
  <si>
    <t>Kompleksu veselības veicināšanas un slimību profilakses pasākumu īstenošana Jelgavas pilsētā, 1.kārta</t>
  </si>
  <si>
    <t>9.2.4.2/16/I/101</t>
  </si>
  <si>
    <t>Veselības veicināšanas un slimību profilakses pasākumi Daugavpils pilsētas pašvaldībā</t>
  </si>
  <si>
    <t>5.1.2.0/17/I/003</t>
  </si>
  <si>
    <t xml:space="preserve">Arāja poldera aizsargdambju D-1, pik.00/00-46/84 un D-2, pik. 00/00-42/29 atjaunošana Otaņķu pagastā, Nīcas novadā </t>
  </si>
  <si>
    <t>5.1.2.0/17/I/002</t>
  </si>
  <si>
    <t>Valsts nozīmes ūdensnotekas Roja , ŪSIK kods 374:01, atjaunošana, pik. 463/63 -778/86 Īves, Lubes, Ārlavas un Valdgales pagastā, Talsu novadā</t>
  </si>
  <si>
    <t>2.2.1.1/16/I/002</t>
  </si>
  <si>
    <t>Valsts ieņēmumu dienests</t>
  </si>
  <si>
    <t>Nodokļu informācijas pakalpojumu modernizācija MAIS kodols</t>
  </si>
  <si>
    <t>2.2.1.1/16/I/004</t>
  </si>
  <si>
    <t>Kultūras informācijas sistēmu centrs</t>
  </si>
  <si>
    <t>Mašīntulkošana</t>
  </si>
  <si>
    <t>2.2.1.1/17/I/001</t>
  </si>
  <si>
    <t>Zemkopības ministrija</t>
  </si>
  <si>
    <t>Zemkopības ministrijas un tās pakļautībā esošo iestāžu IKT attīstība. 1.kārta</t>
  </si>
  <si>
    <t>4.5.1.1/16/I/001</t>
  </si>
  <si>
    <t>Liepājas tramvajs, SIA</t>
  </si>
  <si>
    <t>Tramvaja līnijas un piegulošās teritorijas kompleksa rekonstrukcija”</t>
  </si>
  <si>
    <t>5.3.1.0/16/I/002</t>
  </si>
  <si>
    <t>Jelgavas ūdens, SIA</t>
  </si>
  <si>
    <t>Ūdenssaimniecības pakalpojumu attīstība Jelgavā, V kārta</t>
  </si>
  <si>
    <t>5.3.1.0/16/I/006</t>
  </si>
  <si>
    <t>Jēkabpils ūdens, SIA</t>
  </si>
  <si>
    <t>Ūdenssaimniecības pakalpojumu attīstība Jēkabpilī, 4.kāta</t>
  </si>
  <si>
    <t>6.1.1.</t>
  </si>
  <si>
    <t>0.6.1.1.</t>
  </si>
  <si>
    <t>Atbalsts lielajām ostām</t>
  </si>
  <si>
    <t>Ventspils Brīvostas pārvalde</t>
  </si>
  <si>
    <t>Pievadceļu attīstība Ventspils Brīvostas teritorijā esošajiem termināļiem un industriālajām zonām</t>
  </si>
  <si>
    <t>PIKC Liepājas Mūzikas, mākslas un dizaina vidusskolas profesionālās kultūrizglītības mācību vides modernizēšana </t>
  </si>
  <si>
    <t>9.2.4.2/16/I/016</t>
  </si>
  <si>
    <t>Viesītes novada pašvaldība</t>
  </si>
  <si>
    <t>Vietējās sabiedrības veselības veicināšana un slimību profilakse Viesītes novadā</t>
  </si>
  <si>
    <t>Vietējās sabiedrības veselības veicināšana un slimību profilakse Aizkraukles novadā</t>
  </si>
  <si>
    <t>9.2.4.2/16/I/049</t>
  </si>
  <si>
    <t>"Veselības veicināšanas un slimību profilakses pasākumi Jēkabpilī"</t>
  </si>
  <si>
    <t>2017 jūnijs</t>
  </si>
  <si>
    <t>9.2.4.2/16/I/023</t>
  </si>
  <si>
    <t>3.4.2.2/16/I/002</t>
  </si>
  <si>
    <t>4.2.1.2/16/I/002</t>
  </si>
  <si>
    <t>4.2.1.2/17/I/004</t>
  </si>
  <si>
    <t>4.2.2.0/16/I/002</t>
  </si>
  <si>
    <t>5.3.1.0/16/I/007</t>
  </si>
  <si>
    <t>5.6.1.0/17/I/001</t>
  </si>
  <si>
    <t>5.6.1.0/17/I/002</t>
  </si>
  <si>
    <t>5.6.2.0/16/I/005</t>
  </si>
  <si>
    <t>5.6.2.0/16/I/008</t>
  </si>
  <si>
    <t>5.6.2.0/16/I/009</t>
  </si>
  <si>
    <t>6.1.1.0/17/I/001</t>
  </si>
  <si>
    <t>6.1.5.0/16/I/003</t>
  </si>
  <si>
    <t>8.1.3.0/16/I/012</t>
  </si>
  <si>
    <t>8.1.3.0/17/I/001</t>
  </si>
  <si>
    <t>9.2.4.2/16/I/012</t>
  </si>
  <si>
    <t>9.2.4.2/16/I/014</t>
  </si>
  <si>
    <t>9.2.4.2/16/I/027</t>
  </si>
  <si>
    <t>9.2.4.2/16/I/030</t>
  </si>
  <si>
    <t>9.2.4.2/16/I/031</t>
  </si>
  <si>
    <t>9.2.4.2/16/I/043</t>
  </si>
  <si>
    <t>9.2.4.2/16/I/044</t>
  </si>
  <si>
    <t>9.2.4.2/16/I/047</t>
  </si>
  <si>
    <t>9.2.4.2/16/I/052</t>
  </si>
  <si>
    <t>9.2.4.2/16/I/070</t>
  </si>
  <si>
    <t>9.2.4.2/16/I/072</t>
  </si>
  <si>
    <t>9.2.4.2/16/I/103</t>
  </si>
  <si>
    <t>9.2.4.2/16/I/104</t>
  </si>
  <si>
    <t>9.2.4.2/16/I/105</t>
  </si>
  <si>
    <t>9.2.4.2/16/I/088</t>
  </si>
  <si>
    <t>Pasākumi vietējās sabiedrības veselības veicināšanai un slimību profilaksei Ventspilī</t>
  </si>
  <si>
    <t>Dobeles ūdens, SIA</t>
  </si>
  <si>
    <t>KANALIZĀCIJAS TĪKLU PAPLAŠINĀŠANA DOBELES AGLOMERĀCIJĀ II kārta.</t>
  </si>
  <si>
    <t>5.6.1.</t>
  </si>
  <si>
    <t>0.5.6.1.</t>
  </si>
  <si>
    <t>Rīgas revitalizācija</t>
  </si>
  <si>
    <t>KM</t>
  </si>
  <si>
    <t>Kultūras un sporta centrs "Daugavas stadions", VSIA</t>
  </si>
  <si>
    <t>Kultūras un sporta kvartāla izveide Grīziņkalna apkaimē</t>
  </si>
  <si>
    <t>Tukuma novada pašvaldība</t>
  </si>
  <si>
    <t>Degradētās teritorijas sakārtošana zonā Melnezera iela - Laustiķis (Melnezera iela)</t>
  </si>
  <si>
    <t>Publiskās infrastruktūras kvalitātes uzlabošana Līvānu industriālajā zonā uzņēmējdarbības attīstības veicināšanai.</t>
  </si>
  <si>
    <t>Infarastruktūras uzlabošana industriālās zonas  attīstībai Lizumā</t>
  </si>
  <si>
    <t>Valsts galvenā autoceļa A12 Jēkabpils – Rēzekne – Ludza – Krievijas robeža (Terehova), km 54,60 – 72,78 segas pārbūve</t>
  </si>
  <si>
    <t>Rīgas Tūrisma un radošās industrijas tehnikums, PSIA</t>
  </si>
  <si>
    <t>Rīgas Tūrisma un radošās industrijas tehnikuma modernizēšana specifiskā atbalsta mērķa 8.1.3. “Palielināt modernizēto profesionālās izglītības iestāžu skaitu” ietvaros</t>
  </si>
  <si>
    <t xml:space="preserve"> Smiltenes tehnikums </t>
  </si>
  <si>
    <t>Profesionālās izglītības kompetences centrs „Smiltenes tehnikums”</t>
  </si>
  <si>
    <t>Veselības veicināšanas un slimību profilakses pasākumi Krustpils novada iedzīvotājiem</t>
  </si>
  <si>
    <t>Stopiņu novada dome</t>
  </si>
  <si>
    <t xml:space="preserve">Stopiņu novada iedzīvotāju veselības veicināšanas un slimību profilakses pasākumi </t>
  </si>
  <si>
    <t>Rēzeknes novada pašvaldība</t>
  </si>
  <si>
    <t>Dzīvo veselīgi Rēzeknes novadā!</t>
  </si>
  <si>
    <t>Pasākumi veselības veicināšanai un slimību profilaksei Ogres novada iedzīvotājiem</t>
  </si>
  <si>
    <t>Raunas novada dome</t>
  </si>
  <si>
    <t>Vietējās sabiedrības veselības veicināšanas pasākumi Raunas novadā.</t>
  </si>
  <si>
    <t>Rojas novada dome</t>
  </si>
  <si>
    <t>Esi vesels – ieguldījums tavai nākotnei!”</t>
  </si>
  <si>
    <t>Dobeles novada pašvaldība</t>
  </si>
  <si>
    <t>Veselības veicināšanas un slimību profilakses pakalpojumu pieejamības uzlabošana Dobeles novada iedzīvotājiem</t>
  </si>
  <si>
    <t>Smiltenes novada dome</t>
  </si>
  <si>
    <t>Pasākumi vietējās sabiedrības veselības veicināšanai Smiltenes novadā</t>
  </si>
  <si>
    <t>Daugavpils novada dome</t>
  </si>
  <si>
    <t>Pasākumi vietējas sabiedrības veselības veicināšanai un slimību profilaksei Daugavpils novadā</t>
  </si>
  <si>
    <t>Rugāju novada dome</t>
  </si>
  <si>
    <t xml:space="preserve">DZĪVO VESELS! - veselīga dzīvesveida un profilakses veicināšanas pasākumi Rugāju novada iedzīvotājiem </t>
  </si>
  <si>
    <t>"Liepāja.Vesels.Aktīvs.Laimīgs."</t>
  </si>
  <si>
    <t>Vecpiebalgas novada pašvaldība</t>
  </si>
  <si>
    <t>Veselības veicināšanas pasākumi Vecpiebalgas novadā</t>
  </si>
  <si>
    <t>Pasākumi Cēsu novada pašvaldības iedzīvotāju
veselibas veicināšanai un slimību profilaksei</t>
  </si>
  <si>
    <t>VEF Kultūras pils rekonstrukcija</t>
  </si>
  <si>
    <t>4.2.2.</t>
  </si>
  <si>
    <t>0.4.2.2.</t>
  </si>
  <si>
    <t>Pašvaldību ēku energoefektivitāte</t>
  </si>
  <si>
    <t xml:space="preserve">Energoefektivitātes paaugstināšanas pasākumi ģimenes krīzes centra "Dzeguzīte" ēkā Kokneses novada Iršu pagastā </t>
  </si>
  <si>
    <t>4.2.1.2.</t>
  </si>
  <si>
    <t>Valsts ēku energoefektivitāte</t>
  </si>
  <si>
    <t>Valsts akciju sabiedrība "Valsts nekustamie īpašumi"</t>
  </si>
  <si>
    <t>Administratīvās ēkas Jūras ielā 34, Ventspilī  energoefektivitātes paaugstināšana</t>
  </si>
  <si>
    <t>Banku augstskola</t>
  </si>
  <si>
    <t>Paaugstināt valsts ēkas Rīgā, K.Valdemāra ielā 163 energoefektivitāti</t>
  </si>
  <si>
    <t>3.4.2.2.</t>
  </si>
  <si>
    <t>Sociālā dialoga veidošana</t>
  </si>
  <si>
    <t>Latvijas Brīvo arodbiedrību savienība</t>
  </si>
  <si>
    <t>Latvijas Brīvo arodbiedrību savienības divpusējā sociālā dialoga attīstība labāka tiesiskā regulējuma izstrādē uzņēmējdarbības vides sakārtošanai</t>
  </si>
  <si>
    <t>Talsu novada pašvaldība</t>
  </si>
  <si>
    <t>Vietējās sabiedrības veselības veicināšanas un slimību profilakses pasākumi Talsu novadā</t>
  </si>
  <si>
    <t>Plānotā maksājuma pieprasījuma iesniegšanas prognoze (ES fondu daļa)</t>
  </si>
  <si>
    <t>3.3.1.0/16/I/012</t>
  </si>
  <si>
    <t>INFRASTRUKTŪRAS UZLABOŠANA INDUSTRIĀLĀS TERITORIJAS ATTĪSTĪBAI ALŪKSNES NOVADA JAUNLAICENES CIEMĀ</t>
  </si>
  <si>
    <t>Liepājas speciālās ekonomiskās zonas pārvalde</t>
  </si>
  <si>
    <t>Liepājas ostas sauszemes pievadceļu attīstība</t>
  </si>
  <si>
    <t>6.3.1.0/16/I/018</t>
  </si>
  <si>
    <t>Valsts reģionālā autoceļa P76 Aizkraukle – Jēkabpils posma km 33,45 – 38,43 pārbūve (tilts)</t>
  </si>
  <si>
    <t>6.3.1.0/16/I/019</t>
  </si>
  <si>
    <t>Valsts reģionālā autoceļa P62 Krāslava – Preiļi – Madona km 44,15 – 57,54 (posma Bašķi – Preiļi) pārbūve (tilts)</t>
  </si>
  <si>
    <t xml:space="preserve">Valsts reģionālā autoceļa P37 Pļaviņas - Madona - Gulbene posma km 71,50 - 80,43 pārbūve (tunelis)  </t>
  </si>
  <si>
    <t xml:space="preserve">Valsts reģionālā autoceļa P5 Ulbroka - Ogre posma km 20,54 - 25,00 pārbūve  </t>
  </si>
  <si>
    <t>9.2.4.2/16/I/007</t>
  </si>
  <si>
    <t>Amatas novada pašvaldība</t>
  </si>
  <si>
    <t>Vietējās sabiedrības veselības veicināšanas un slimību profilakses pasākumu īstenošana Amatas novadā.</t>
  </si>
  <si>
    <t>9.2.4.2/16/I/022</t>
  </si>
  <si>
    <t>Jaunjelgavas novada dome</t>
  </si>
  <si>
    <t xml:space="preserve">Vietējās sabiedrības veselības veicināšana un slimību profilakses pasākumi Jaunjelgavas novadā </t>
  </si>
  <si>
    <t>9.2.4.2/16/I/032</t>
  </si>
  <si>
    <t>Mārupes novada Dome</t>
  </si>
  <si>
    <t>Veselības veicināšanas un slimību profilakses pasākumi Mārupes novadā</t>
  </si>
  <si>
    <t>9.2.4.2/16/I/040</t>
  </si>
  <si>
    <t>Veselības veicināšanas un slimību profilakses pasākumi Valmierā</t>
  </si>
  <si>
    <t>AV</t>
  </si>
  <si>
    <t>9.2.4.2/16/I/065</t>
  </si>
  <si>
    <t>Ropažu novada pašvaldība</t>
  </si>
  <si>
    <t>„Veselības veicināšanas un slimību profilakses pasākumi Ropažu novadā”</t>
  </si>
  <si>
    <t>9.2.4.2/16/I/106</t>
  </si>
  <si>
    <t>Slimību profilakses un kontroles centrs</t>
  </si>
  <si>
    <t>Slimību profilakses un kontroles centra organizēti vietēja mēroga pasākumi sabiedrības veselības veicināšanai un slimību profilaksei 14 pašvaldībās</t>
  </si>
  <si>
    <t>11.1.1.0/15/TP/010</t>
  </si>
  <si>
    <t>Rīgas dome</t>
  </si>
  <si>
    <t>Tehniskā palīdzība Rīgas pilsētas pašvaldības integrēto teritoriālo investīciju projektu iesniegumu atlases nodrošināšanai Eiropas Savienības fondu 2014.-2020.gada plānošanas periodā</t>
  </si>
  <si>
    <t>2017 jūlijs</t>
  </si>
  <si>
    <t>x</t>
  </si>
  <si>
    <t>Latvijas Organiskās sintēzes institūts</t>
  </si>
  <si>
    <t>Daugavpils pilsētas dome</t>
  </si>
  <si>
    <t>Bauskas novada pašvaldība</t>
  </si>
  <si>
    <t xml:space="preserve">Privāto investīciju palielināšana Bauskas pilsētas dienvidu aglomerācijā uzņēmējdarbības veicināšanai </t>
  </si>
  <si>
    <t>Siguldas novada pašvaldība</t>
  </si>
  <si>
    <t>Smiltenes novada pašvaldība</t>
  </si>
  <si>
    <t>Jelgavas novada pašvaldība</t>
  </si>
  <si>
    <t>3.3.1.0/16/I/016</t>
  </si>
  <si>
    <t>Mārupes novada pašvaldība</t>
  </si>
  <si>
    <t>Uzņēmējdarbības attīstībai nepieciešamās infrastruktūras attīstība Mārupes novadā</t>
  </si>
  <si>
    <t>4.2.1.2/17/I/001</t>
  </si>
  <si>
    <t>Latvijas Organiskās sintēzes institūta noliktavas ēkas siltināšana</t>
  </si>
  <si>
    <t>4.2.2.0/16/I/001</t>
  </si>
  <si>
    <t>Energoefektivitātes paaugstināšana Daugavpils pilsētas izglītības iestādes sporta zāles korpusā Marijas ielā 1D, Daugavpilī </t>
  </si>
  <si>
    <t>Energoefektivitātes paaugstināšana Daugavpils Kultūras pilī, Smilšu ielā 92, Daugavpilī</t>
  </si>
  <si>
    <t>4.2.2.0/17/I/001</t>
  </si>
  <si>
    <t>Energoefektivitātes paaugstināšana Daugavpils pilsētas pirmsskolas izglītības iestādē Nr.3 - Raipoles iela 8, Daugavpilī</t>
  </si>
  <si>
    <t>4.2.2.0/16/I/003</t>
  </si>
  <si>
    <t xml:space="preserve">Energoefektivitātes paaugstināšana Daugavpils pilsētas pirmsskolas izglītības iestādē Nr.5 - Stāvā ielā 41, Daugavpilī </t>
  </si>
  <si>
    <t>4.2.2.0/17/I/012</t>
  </si>
  <si>
    <t>Energoefektivitātes uzlabošana P/A “Spodra” administratīvajā ēkā un ēkas pārbūve</t>
  </si>
  <si>
    <t>Kandavas novada dome</t>
  </si>
  <si>
    <t>5.1.2.0/17/I/005</t>
  </si>
  <si>
    <t>Zvidzienas poldera sūkņu stacijas pārbūve Ošupes pagastā, Madonas novadā</t>
  </si>
  <si>
    <t>5.1.2.0/17/I/001</t>
  </si>
  <si>
    <t>Valsts nozīmes ūdensnotekas Alokste, ŪSIK kods 35444:01, atjaunošana, pik.148/62 - 437/00 un pik.437/00 - 503/41 Lažas, Kazdangas un Kalvenes pagastā, Aizputes novadā</t>
  </si>
  <si>
    <t>5.1.2.0/17/I/004</t>
  </si>
  <si>
    <t xml:space="preserve">Valsts nozīmes ūdensnotekas Kūdupe, ŪSIK kods 6814:01, pik.48/65- 122/25, 146/20- 192/25 atjaunošana Pededzes pagastā, Alūksnes novadā </t>
  </si>
  <si>
    <t>Siguldas novada dome</t>
  </si>
  <si>
    <t>5.6.2.0/16/I/020</t>
  </si>
  <si>
    <t>Siguldas pils kompleksa ēku pārbūve, revitalizācija uzņēmējdarbības atbalstam</t>
  </si>
  <si>
    <t>5.6.2.0/16/I/022</t>
  </si>
  <si>
    <t>Autoceļa Jaunpriedaines -Spicieri rekonstrukcija uzņēmējdarbības attīstībai</t>
  </si>
  <si>
    <t>9.2.4.2/16/I/017</t>
  </si>
  <si>
    <t>Cesvaines novada dome</t>
  </si>
  <si>
    <t>Veselai un laimīgai ģimenei Cesvaines novadā</t>
  </si>
  <si>
    <t>9.2.4.2/16/I/018</t>
  </si>
  <si>
    <t>Esi vesels Siguldas novadā!</t>
  </si>
  <si>
    <t>9.2.4.2/16/I/024</t>
  </si>
  <si>
    <t>Sabiedrības veselības veicināšanas un slimību profilakses pasākumu īstenošanas Ludzas novadā</t>
  </si>
  <si>
    <t>9.2.4.2/16/I/033</t>
  </si>
  <si>
    <t>Slimību profilakses un Veselības veicināšanas pasākumi Jelgavas novadā</t>
  </si>
  <si>
    <t>9.2.4.2/16/I/038</t>
  </si>
  <si>
    <t>Iecavas novada dome</t>
  </si>
  <si>
    <t>Vietējās sabiedrības veselības veicināšana un slimību profilakse Iecavas novadā</t>
  </si>
  <si>
    <t>9.2.4.2/16/I/075</t>
  </si>
  <si>
    <t>Priekules novada pašvaldība</t>
  </si>
  <si>
    <t>Celies, velies, ripo droši!</t>
  </si>
  <si>
    <t>9.2.4.2/16/I/080</t>
  </si>
  <si>
    <t xml:space="preserve">Slimību profilakses un veselības veicināšanas pasākumi Kandavas novadā
</t>
  </si>
  <si>
    <t>6.1.1.0/17/I/002</t>
  </si>
  <si>
    <t>3.3.1.0/17/I/004</t>
  </si>
  <si>
    <t>4.2.2.0/17/I/002</t>
  </si>
  <si>
    <t>6.3.1.0/17/I/002</t>
  </si>
  <si>
    <t>6.3.1.0/17/I/001</t>
  </si>
  <si>
    <t>Skaits</t>
  </si>
  <si>
    <t>euro</t>
  </si>
  <si>
    <t xml:space="preserve">Tiek kavēta būvdarbu līguma noslēgšana, jo  iepirkuma rezultāti pārsūdzēti Iepirkumu uzraudzībs birojam. Plānots, ka labvēlīga lēmuma gadījumā projekta ietvaros līdz gada beigām varētu tikt izmaksāts avanss. </t>
  </si>
  <si>
    <t>Aizkavējās būvniecības līguma noslēgšana un būvdarbi ir uzsākušies nesen, un plānoto avansa maksājumu plānots ieniegt mēnesi vēlāk.</t>
  </si>
  <si>
    <t>Projektā aizkavējusies iepirkumu veikšana - iepirkumi tiek pakārtoti Izglītības un zinātnes ministrijas vienotajam iepirkumam, ņemot vērā līdzīgos iepirkuma priekšmetus. Attiecīgi kavējas arī  pārējo projektā plānoto pasākumu uzsākšana. Lai intensificētu plānoto maksājumu plūsmu, finansējuma saņēmējs ir precizējis plānoto maksājumu pieprasījumu iesniegšanas grafiku, paredzot 2017. gada nogalē tos iesniegt biežāk.</t>
  </si>
  <si>
    <t xml:space="preserve">Ieilgušās iepirkuma procedūras dēļ būvniecības līgums ir noslēgts tikai augustā un nebija pamatojuma avansa maksājuma pieprsasījumam. Saņēmējs paredzējis septembrī sniegt maksājuma pieprasījumus. </t>
  </si>
  <si>
    <t>Būvniecība norit lēnākos tempos kā sākotnēji plānots un maksājuma pieprasījumi iesniegti par mazākām summam, kas pagaidām ir pietiekamas, lai apmaksātu tekošo darbu izpildi. Septembra mēnesī plānoti lielāki maksājumi, kā arī projektu iespējams realizēs par mazāku finansējumu, kā sākumā plānots.</t>
  </si>
  <si>
    <t xml:space="preserve">Līgums par projekta īstenošanu vēl nav noslēgts. 27.07.2017 projekta iesniegums apstiprināts ar nosacījumiem, kuru izpildes termiņš ir 28.08.2017. </t>
  </si>
  <si>
    <t xml:space="preserve">Ierobežotas projektu iesniegumu atlases maksājumu saņēmēju plānotie projektu iesniegšanas termiņi un maksājumu pieprasījumu iesniegšanas prognozes (sagatavotas balstoties uz finansējuma saņēmēja datiem un ņemot vērā standarta līgumā noteiktos maksājumu iesniegšanas nosacījumus)  </t>
  </si>
  <si>
    <t>Prioritārais virziens</t>
  </si>
  <si>
    <t>Specifiskā atbalsta mērķa (SAM) numurs</t>
  </si>
  <si>
    <t>Pasākuma nosaukums</t>
  </si>
  <si>
    <t>AI</t>
  </si>
  <si>
    <t>ITI</t>
  </si>
  <si>
    <t>IPIA/APIA</t>
  </si>
  <si>
    <t>No valsts budžeta priekšfinansēta organizācija</t>
  </si>
  <si>
    <t>Iestāde, kuras padotībā ir iesniedzējs</t>
  </si>
  <si>
    <t>Plānotais PI iesniegšanas termiņš</t>
  </si>
  <si>
    <t>Koriģētais datums</t>
  </si>
  <si>
    <t>Avansa maksājums</t>
  </si>
  <si>
    <t>Projekta iesnieguma statuss un datums</t>
  </si>
  <si>
    <t>ES fondu finansējums kopā, t.sk. virssaistības</t>
  </si>
  <si>
    <t>Rezerve</t>
  </si>
  <si>
    <t>Plānotā maksājumu pieprasījumu iesniegšanas prognoze (ES fondu daļa)</t>
  </si>
  <si>
    <t>ES fondu finansējums kopā</t>
  </si>
  <si>
    <t>Avansu summa</t>
  </si>
  <si>
    <t>ES fondu finansējums, atskaitot avansus</t>
  </si>
  <si>
    <t>Piešķīrums- rezerve -ES fondu finansējums, atskaitot avansus</t>
  </si>
  <si>
    <t>Brīvais finansējums</t>
  </si>
  <si>
    <t>Nepieciešamās darbības no CFLA</t>
  </si>
  <si>
    <t>Komentāri</t>
  </si>
  <si>
    <t>Snieguma ietvars</t>
  </si>
  <si>
    <t xml:space="preserve">14.03.2017 MK izskatīto maksājumu prognožu salīdzinājums </t>
  </si>
  <si>
    <t>Līdz 31.12.2016.</t>
  </si>
  <si>
    <t>Finanšu rādītāja (2018) mērķis</t>
  </si>
  <si>
    <t xml:space="preserve">Maksājumu pieprasījumi līdz 30.06 2018. </t>
  </si>
  <si>
    <t>Maksājumi finansējuma saņēmējam līdz 30.06.2018.*</t>
  </si>
  <si>
    <t>Finanšu rādītāja prognozētā  izpilde**</t>
  </si>
  <si>
    <t>Finanšu rādītāja pārpilde (+)/ neizpilde (-)</t>
  </si>
  <si>
    <t>Prognozētā izpilde %</t>
  </si>
  <si>
    <t>Veiktie maksājumi  līdz 31.l2.2016. gadam</t>
  </si>
  <si>
    <t>2017.g. aktualizētā maksājumu prognoze uz 15.05.2017.</t>
  </si>
  <si>
    <t xml:space="preserve"> Maksājumu prognoze 2017. gadam</t>
  </si>
  <si>
    <t>MK izskatītās 2017.g. prognozes starpība ar aktuālo prognozi</t>
  </si>
  <si>
    <t>Maksājumu prognoze 2018. gadam</t>
  </si>
  <si>
    <t>2018.g. aktualizētā maksājumu prognoze uz 15.05.2017.</t>
  </si>
  <si>
    <t>MK izskatītās 2018.g. prognozes starpība ar aktuālo prognozi</t>
  </si>
  <si>
    <t>janvāris</t>
  </si>
  <si>
    <t>februāris</t>
  </si>
  <si>
    <t>marts</t>
  </si>
  <si>
    <t>aprīlis</t>
  </si>
  <si>
    <t>maijs</t>
  </si>
  <si>
    <t>jūnijs</t>
  </si>
  <si>
    <t>jūlijs</t>
  </si>
  <si>
    <t>JNI</t>
  </si>
  <si>
    <t>Kopā:</t>
  </si>
  <si>
    <t>7a</t>
  </si>
  <si>
    <t>7b</t>
  </si>
  <si>
    <t>9a</t>
  </si>
  <si>
    <t>9b</t>
  </si>
  <si>
    <t>11a</t>
  </si>
  <si>
    <t>17a</t>
  </si>
  <si>
    <t>40=38-39</t>
  </si>
  <si>
    <t>41=13-14-40</t>
  </si>
  <si>
    <t>46=17a+30+(31/2)</t>
  </si>
  <si>
    <t>46=45*kov%</t>
  </si>
  <si>
    <t>47=46+15%</t>
  </si>
  <si>
    <t>48=47-44</t>
  </si>
  <si>
    <t>52=32*konv%</t>
  </si>
  <si>
    <t>53=52-51</t>
  </si>
  <si>
    <t>55=33*kov%</t>
  </si>
  <si>
    <t>56=55-54</t>
  </si>
  <si>
    <t>1.</t>
  </si>
  <si>
    <t>PV</t>
  </si>
  <si>
    <t>P&amp;A &amp; I</t>
  </si>
  <si>
    <t>IPIA</t>
  </si>
  <si>
    <t>SAM</t>
  </si>
  <si>
    <t>Zinātnisko institūciju P&amp;I kapacitātes palielināšana</t>
  </si>
  <si>
    <t>Pēcdoktorantūras pētniecība</t>
  </si>
  <si>
    <t>SAMP</t>
  </si>
  <si>
    <t>1.1.1.4.</t>
  </si>
  <si>
    <t>P&amp;A infrastruktūras attīstība</t>
  </si>
  <si>
    <t>MKN 102 964 724</t>
  </si>
  <si>
    <t>Daugavpils Universitāte</t>
  </si>
  <si>
    <t>Pētniecības infrastruktūras attīstīšana viedās specializācijas jomās un institucionālās kapacitātes stiprināšana Daugavpils Universitātē</t>
  </si>
  <si>
    <t>Elektronikas un datorzinātņu institūts</t>
  </si>
  <si>
    <t>Elektronikas un datorzinātņu institūta pētnieciskās infrastruktūras attīstība</t>
  </si>
  <si>
    <t>Latvijas Biomedicīnas pētījumu un studiju centrs</t>
  </si>
  <si>
    <t>Latvijas Biomedicīnas pētījumu un studiju centra infrastruktūras attīstība pētniecības un tehnoloģiju pārneses kapacitātes stiprināšanai biomedicīnas un biotehnoloģijas jomās</t>
  </si>
  <si>
    <t>Latvijas Lauksaimniecības universitāte</t>
  </si>
  <si>
    <t>LLU un tās pārraudzībā esošo zinātnisko institūciju pētniecības, attīstības infrastruktūras un institucionālās kapacitātes stiprināšana.</t>
  </si>
  <si>
    <t>Latvijas Organiskās sintēzes institūta infrastruktūras attīstīšana viedās specializācijas jomā - biomedicīna, medicīnas tehnoloģijas, biofarmācija un biotehnoloģijas</t>
  </si>
  <si>
    <t xml:space="preserve"> Latvijas Universitāte</t>
  </si>
  <si>
    <t>Latvijas Universitātes pētniecības infrastruktūras modernizācija un resursu koncentrācija viedās specializācijas jomās</t>
  </si>
  <si>
    <t>1.1.1.4/17/I/001</t>
  </si>
  <si>
    <t>Latvijas Universitātes Cietvielu fizikas institūts</t>
  </si>
  <si>
    <t>Latvijas Universitātes Cietvielu fizikas institūta pētniecības infrastruktūras attīstība</t>
  </si>
  <si>
    <t>06.05.2017 (iesniegts)</t>
  </si>
  <si>
    <t>APP Latvijas Valsts koksnes ķīmijas institūts </t>
  </si>
  <si>
    <t>Latvijas Valsts koksnes ķīmijas institūta pilotiekārtu parka un ventilācijas sistēmas izveide</t>
  </si>
  <si>
    <t>Latvijas Valsts mežzinātnes institūts "Silava"</t>
  </si>
  <si>
    <t>Pētniecības infrastruktūras attīstīšana Latvijas Valsts mežzinātnes institūtā "Silava"</t>
  </si>
  <si>
    <t>Pārtikas drošības, dzīvnieku veselības un vides zinātniskais institūts "BIOR"</t>
  </si>
  <si>
    <t>Zinātniskā institūta BIOR pētniecības resursu koncentrēšana un institucionālās kapacitātes stiprināšana</t>
  </si>
  <si>
    <t>Rīgas Stradiņa universitāte</t>
  </si>
  <si>
    <t>Rīgas Stradiņa universitātes farmācijas jomas pētniecības infrastruktūras attīstība</t>
  </si>
  <si>
    <t>Rīgas Tehniskā universitāte</t>
  </si>
  <si>
    <t>Rīgas Tehniskās universitātes Inženierzinātņu un viedo tehnoloģiju centra infrastruktūras attīstība Viedās specializācijas jomās.</t>
  </si>
  <si>
    <t>Ventspils Augstskola</t>
  </si>
  <si>
    <t>Irbenes radioteleskopu kompleksa modernizācijas 3. kārta</t>
  </si>
  <si>
    <t>Vidzemes Augstskola</t>
  </si>
  <si>
    <t>Vidzemes Augstskolas zinātniskās infrastruktūras attīstīšana pētnieciskās un inovatīvās kapacitātes stiprināšanai</t>
  </si>
  <si>
    <t>1.1.1.5.</t>
  </si>
  <si>
    <t>Starptautiskās sadarbība P&amp;I</t>
  </si>
  <si>
    <t>Info prasīta no IZM, līdz 13.05.2017. tā nav sniegta, jo nebija vienošanās par finansējuma sadali (MKN saskaņošanas laikā)</t>
  </si>
  <si>
    <t>info prasīta no IZM, līdz 13.05.2017. tā nav sniegta, jo nebija vienošanās par finansējuma sadali (MKN saskaņošanas laikā)</t>
  </si>
  <si>
    <t xml:space="preserve"> Daugavpils Universitāte (t.sk. Latvijas Hidroekoloģijas institūts);</t>
  </si>
  <si>
    <t>Jāzepa Vītola Latvijas mūzikas akadēmija</t>
  </si>
  <si>
    <t xml:space="preserve"> Latvijas Biomedicīnas pētījumu un studiju centrs</t>
  </si>
  <si>
    <t xml:space="preserve"> Latvijas Valsts koksnes ķīmijas institūts</t>
  </si>
  <si>
    <t xml:space="preserve"> Latvijas Kultūras akadēmija</t>
  </si>
  <si>
    <t>Latvijas Lauksaimniecības universitāte (t.sk. Agroresursu un ekonomikas institūts un Dārzkopības institūts)</t>
  </si>
  <si>
    <t xml:space="preserve"> Latvijas Mākslas akadēmijas Mākslas vēstures institūts</t>
  </si>
  <si>
    <t>Latvijas valsts Mežzinātnes institūts "Silava"</t>
  </si>
  <si>
    <t>Latvijas Universitāte (t.sk. Latvijas Universitātes Cietvielu fizikas institūts; Latvijas Universitātes Matemātikas un informātikas institūts; Latvijas Universitātes Literatūras, folkloras un mākslas institūts);</t>
  </si>
  <si>
    <t xml:space="preserve"> Liepājas Universitāte</t>
  </si>
  <si>
    <t>Rēzeknes Tehnoloģiju akadēmija</t>
  </si>
  <si>
    <t>Ventspils augstskola</t>
  </si>
  <si>
    <t xml:space="preserve"> Vidzemes augstskola</t>
  </si>
  <si>
    <t>Privātā sektora investīcijas P&amp;A</t>
  </si>
  <si>
    <t>MP Nr.1 faktiski iesniegts par 25.50 eiro mazāk, PMPIG nav grozīts (gaidām FS precizēto PMPIG vai minēto summu var pielikt pie kāda no nākamajiem MP)</t>
  </si>
  <si>
    <t>Inovāciju ieviešana komersantos</t>
  </si>
  <si>
    <t>Atlases atlikums 2 304.50 EUR</t>
  </si>
  <si>
    <t>nav</t>
  </si>
  <si>
    <t>Nav projektu</t>
  </si>
  <si>
    <t>2.</t>
  </si>
  <si>
    <t>Informāciju un komunikāciju tehnoloģijas (IKT)</t>
  </si>
  <si>
    <t>Starpību veido rezerves summa/precizējam rezevi nost no pēdējā gada</t>
  </si>
  <si>
    <t>R</t>
  </si>
  <si>
    <t>Noņemta rezerve</t>
  </si>
  <si>
    <t>Ieguldījumi IKT, valsts pakalpojumu attīstība</t>
  </si>
  <si>
    <t>FS snieguši prognozes par mazāku finansējumu nekā pieejams</t>
  </si>
  <si>
    <t>Būvniecības valsts kontroles birojs</t>
  </si>
  <si>
    <t xml:space="preserve">Būvniecības procesu un IS attīstība </t>
  </si>
  <si>
    <t>Latvijas eksporta un investīciju informācijas sistēma</t>
  </si>
  <si>
    <t>Vienotās darba vides izveide visā EM resorā</t>
  </si>
  <si>
    <t>2.2.1.1/17/I/002</t>
  </si>
  <si>
    <t>Centrālā statistikas pārvalde</t>
  </si>
  <si>
    <t>Oficiālās statistikas portāls</t>
  </si>
  <si>
    <t>10.04.2017 (apstiprināts ar nosacījumu)</t>
  </si>
  <si>
    <t>2.2.1.1/17/I/003</t>
  </si>
  <si>
    <t>E - muita (1.kārta)</t>
  </si>
  <si>
    <t>IeM Informācijas centrs</t>
  </si>
  <si>
    <t>Vienota kontaktu centra platforma operatīvo dienestu darba atbalstam un publisko pakalpojumu piegādei</t>
  </si>
  <si>
    <t xml:space="preserve">Loģiski vienotais datu centrs </t>
  </si>
  <si>
    <t>Pilsonības un migrācijas lietu pārvalde</t>
  </si>
  <si>
    <t>Fizisko personu datu pakalpojumu modernizācija</t>
  </si>
  <si>
    <t>VIIS attīstība - izglītības monitoringa sistēmas izveide</t>
  </si>
  <si>
    <t>VSAA</t>
  </si>
  <si>
    <t>Elektroniskas sociālās nodrošināšanas informācijas apmaiņas ar Eiropas Savienības, Eiropas Ekonomikas zonas dalībvalstu un Šveices Konfederācijas kompetentajām institūcijām ieviešana Latvijā</t>
  </si>
  <si>
    <t>Labklājības nozares IKT centralizācija</t>
  </si>
  <si>
    <t>Darbaspēka piedāvājuma un pieprasījuma prognozēšanas un monitoringa sistēmas izveide</t>
  </si>
  <si>
    <t>E-identitātes un E-paraksta risinājuma attīstība</t>
  </si>
  <si>
    <t>FS bija norādījis  3 500 000, kas bija kopējais finansējums noprecizēju fondu daļu</t>
  </si>
  <si>
    <t>LVDC tīkls, drošības platforma un LVDC "koplietošanas daļa"</t>
  </si>
  <si>
    <t>Tiesu IS attīstība</t>
  </si>
  <si>
    <t>Prokuratūra</t>
  </si>
  <si>
    <t>Prokuratūras IS ProIS attīstība</t>
  </si>
  <si>
    <t>Ieslodzījuma vietu pārvaldes informācijas sistēmas pilnveidošana</t>
  </si>
  <si>
    <t>Probācijas dienests</t>
  </si>
  <si>
    <t>Probācijas lietu uzskaites sistēmas pilnveidošana</t>
  </si>
  <si>
    <t>Valsts kanceleja</t>
  </si>
  <si>
    <t>Personāla vadības platforma</t>
  </si>
  <si>
    <t>Vienotais tiesību aktu projektu izstrādes un saskaņošanas  portāls</t>
  </si>
  <si>
    <t>Veselības nozares informācijas sistēmu (reģistri) modernizācija, attīstība un  integrācija ar e-veselības informācijas sistēmu</t>
  </si>
  <si>
    <t>Vienotās veselības nozares elektroniskās informācijas sistēmas tālāka pilnveidošana, sasaistot to ar personas identifikāciju</t>
  </si>
  <si>
    <t>Neatliekamās medicīniskās palīdzības dienests</t>
  </si>
  <si>
    <t>Vienotās neatliekamās medicīniskās palīdzības un katastrofu medicīnas vadības informācijas sistēmas attīstība (1.kārta)</t>
  </si>
  <si>
    <t>Veselības ministrijas un padotības iestāžu IKT centralizācijas atbalsts</t>
  </si>
  <si>
    <t>Valsts tiesu medicīnas ekspertīžu centrs</t>
  </si>
  <si>
    <t>Tiesu medicīnas ekspertīzes un izpētes procesu optimizācija un attīstība</t>
  </si>
  <si>
    <t>VRAA</t>
  </si>
  <si>
    <t>Pakalpojumu sniegšanas un pārvaldības platforma</t>
  </si>
  <si>
    <t>Vienotā datu telpa</t>
  </si>
  <si>
    <t>2.2.1.1/17/I/004 </t>
  </si>
  <si>
    <t>E-iepirkumu un e-izsoļu platformas attīstība</t>
  </si>
  <si>
    <t>21.04.2017 (Iesniegts)</t>
  </si>
  <si>
    <t>Teritoriālās attīstības plānošanas procesu un informācijas sistēmas attīstība</t>
  </si>
  <si>
    <t>Valsts vides dienests/VRAA</t>
  </si>
  <si>
    <t>Valsts vides dienesta informācijas sistēmas TULPE pilnveide</t>
  </si>
  <si>
    <t>Ventspils digitālais centrs</t>
  </si>
  <si>
    <t>Koplietošanas IKT resursu attīstība pašvaldību vajadzībām</t>
  </si>
  <si>
    <t>Valsts un pašvaldību iestāžu tīmekļvietņu vienotā platforma</t>
  </si>
  <si>
    <t>Rīgas domes Informācijas tehnoloģiju centrs</t>
  </si>
  <si>
    <t>Pašvaldību klientu informācijas pārvaldības risinājums</t>
  </si>
  <si>
    <t>Latvijas Vides, ģeoloģijas un meteoroloģijas centrs</t>
  </si>
  <si>
    <t>Informācijas sistēmu izstrāde un pilnveidošana ģeotelpiskajiem un Daugavas baseina plūdu datiem</t>
  </si>
  <si>
    <t>Starptautisko kravu loģistikas IS (SKLOIS 2)</t>
  </si>
  <si>
    <t>Par kārtas īstenošanu tiks lemts 2017.gada beigās, ņemot vērā atlases 1.kārtas projektu īstenošanas gaitu un rezultātus</t>
  </si>
  <si>
    <t>Ārējās tirdzniecības statistikas datu apstrādes sistēma</t>
  </si>
  <si>
    <t>Būvniecības procesu un IS attīstība (2.kārta)</t>
  </si>
  <si>
    <t>Nodokļu informācijas pakalpojumu modernizācija Maksājumu uzskaites un uzkrājuma princips</t>
  </si>
  <si>
    <t>Nodokļu informācijas pakalpojumu modernizācija Muitas integrācija ar MAIS</t>
  </si>
  <si>
    <t>Nodokļu informācijas pakalpojumu modernizācija - integrēšana, arhivēšana</t>
  </si>
  <si>
    <t>E-muita (2.kārta)</t>
  </si>
  <si>
    <t>IeM IC</t>
  </si>
  <si>
    <t>Iekšlietu ministrijas padotības iestāžu vienotā telekomunikāciju tīkla modernizācija</t>
  </si>
  <si>
    <t xml:space="preserve">Mākoņskaitļošanas tehnoloģiju un termināla staciju datoru ieviešana IeM padotības iestādēs </t>
  </si>
  <si>
    <t>Jaunās paaudzes Iekšlietu integrētā informācijas sistēma</t>
  </si>
  <si>
    <t>Nodrošinājuma valsts aģentūra</t>
  </si>
  <si>
    <t>Informācijas sistēma par rīcību ar lietiskajiem pierādījumiem</t>
  </si>
  <si>
    <t xml:space="preserve">Kriminālprocesa atbalsta sistēmas (turpmāk - KRASS) attīstības otrā posma realizācija </t>
  </si>
  <si>
    <t>Vienotās darba vides izveide visā Iekšlietu ministrijas resorā</t>
  </si>
  <si>
    <t>Biometrisko datu apstrādes galu iekārtu un programmnodrošinājuma iegāde</t>
  </si>
  <si>
    <t>KNAB</t>
  </si>
  <si>
    <t>Partiju finanšu datu bāzes (PFDB) attīstība (2.kārta)</t>
  </si>
  <si>
    <t>Invaliditātes ekspertīzes pakalpojumu kvalitātes uzlabošana</t>
  </si>
  <si>
    <t>De-institucionalizācijas  procesu atbalsta informācijas sistēma (2.kārta)</t>
  </si>
  <si>
    <t>Publisko pakalpojumu daudzkanālu piegādes tehnoloģisko risinājumu izveide Valsts sociālās apdrošināšanas aģentūras pakalpojumu nodrošināšanai</t>
  </si>
  <si>
    <t>Uzņēmumu reģistrs</t>
  </si>
  <si>
    <t>Juridisko personu datu pakalpojumu modernizācija un pieejamība</t>
  </si>
  <si>
    <t>Valsts zemes dienests</t>
  </si>
  <si>
    <t>Kadastra informācijas sistēmas modernizācija un datu pakalpojumu attīstība</t>
  </si>
  <si>
    <t>Vienota digitālā arhīva izveide un pilnveidošana, nodrošinot elektronisko dokumentu ilgtspējīgu saglabāšanu, pieejamību un izmantošanu bez teritoriālā ierobežojuma</t>
  </si>
  <si>
    <t>Patentu valde</t>
  </si>
  <si>
    <t>Patentu informācijas sistēmas izveide</t>
  </si>
  <si>
    <t>Vienotās neatliekamās medicīniskās palīdzības un katastrofu medicīnas vadības informācijas sistēmas attīstība (2.kārta)</t>
  </si>
  <si>
    <t>“E-veselības attīstība”</t>
  </si>
  <si>
    <t>Publiskās pārvaldes informācijas un komunikāciju tehnoloģiju arhitektūras pārvaldības sistēma (2.kārta)</t>
  </si>
  <si>
    <t>Zemkopības ministrijas un tās pakļautībā esošo iestāžu IKT attīstība. 2.kārta</t>
  </si>
  <si>
    <t>2.2.1.2.</t>
  </si>
  <si>
    <t>Digitalizācija</t>
  </si>
  <si>
    <t>2.2.1.2/17/I/001</t>
  </si>
  <si>
    <t>Latvijas Nacionālā bibliotēka</t>
  </si>
  <si>
    <t>Kultūras mantojuma satura digitalizācija (1.kārta)</t>
  </si>
  <si>
    <t>13.03.2017 (iesniegts)</t>
  </si>
  <si>
    <t>Uz šo brīdi nav info (PI termiņš un naudas plūsma) par potenciālo projektu, kas tiks īstenots par šo summu</t>
  </si>
  <si>
    <t>Kultūras mantojuma satura digitalizācija (2.kārta)</t>
  </si>
  <si>
    <t>3.</t>
  </si>
  <si>
    <t>MVK konkurētspēja</t>
  </si>
  <si>
    <t>MVK izveide un attīstība</t>
  </si>
  <si>
    <t>X</t>
  </si>
  <si>
    <t>Atlases atlikums 0,50 euro</t>
  </si>
  <si>
    <t>Palielināt straujas izaugsmes komersantu skaitu</t>
  </si>
  <si>
    <t xml:space="preserve">Viens projekts- līgums par visiem FI pasākumiem - 3.1.1.1., 3.1.1.2., 3.1.1.3., 3.1.1.4., 3.1.2.1., 3.1.2.2. </t>
  </si>
  <si>
    <t>Finansēšanas nolīgums par Fondu fonda un Finanšu instrumentu īstenošanu Nr. 3.0.0.0/16/FI/002</t>
  </si>
  <si>
    <t xml:space="preserve">Augstas pievienotās vērtības produktu eksporta palielināšana </t>
  </si>
  <si>
    <t>Daugavpils pilsētas publiskās infrastruktūras sakārtošana uzņēmējdarbības veicināšanai</t>
  </si>
  <si>
    <t>Jelgavas pilsētas pašvaldība</t>
  </si>
  <si>
    <t xml:space="preserve">Piekļuves uzlabošana Rubeņu ceļa industriālās zonas attīstībai, I kārta </t>
  </si>
  <si>
    <t xml:space="preserve">Tehniskās infrastruktūras sakārtošana uzņēmējdarbības attīstībai degradētā teritorijā, 2. kārta. </t>
  </si>
  <si>
    <t>Jēkabpils pašvaldība</t>
  </si>
  <si>
    <t>Infrastruktūras izbūve industriālās teritorijas sasniedzamības un attīstības nodrošināšanai Jēkabpilī</t>
  </si>
  <si>
    <t>Jūrmalas pašvaldība</t>
  </si>
  <si>
    <t>Jaunrades parka un jauniešu mājas izveide Kaugoros</t>
  </si>
  <si>
    <t>Jūrmalas ūdenstūrisma pakalpojuma infrastruktūras attīstība atbilstoši pilsētas ekonomiskajai specializācijai</t>
  </si>
  <si>
    <t>Lielupes kuģošanas infrastruktūras attīstība uzņēmējdarbības veicināšanai Jūrmalā</t>
  </si>
  <si>
    <t xml:space="preserve">R </t>
  </si>
  <si>
    <t>Noņemta rezerve realizēs ja piešķirs rezervi</t>
  </si>
  <si>
    <t>3.3.1.0/16/I/031</t>
  </si>
  <si>
    <t>Liepājas pašvaldība</t>
  </si>
  <si>
    <t>Uzņēmējdarbības vides attīstība Liepājā, I kārta.</t>
  </si>
  <si>
    <t>22.03.2017 (apstiprināts ar nosacījumu)</t>
  </si>
  <si>
    <t>Uzņēmējdarbības vides attīstība Liepājā, II kārta</t>
  </si>
  <si>
    <t>Uzņēmējdarbības vides attīstība Liepājā, III kārta</t>
  </si>
  <si>
    <t>Rēzeknes pilsētas pašvaldība</t>
  </si>
  <si>
    <t>Atbalsts komercdarbības attīstībai, atjaunojot industriālajām vajadzībām nepieciešamo publisko infrastruktūru i kārta. Viļakas ielas pārbūve</t>
  </si>
  <si>
    <t>Atbalsts komercdarbības attīstībai, atjaunojot industriālajām vajadzībām nepieciešamo publisko infrastruktūru ii kārta. Komunālās ielas pārbūve</t>
  </si>
  <si>
    <t>Atbalsts komercdarbības attīstībai - Abula ielas pārbūve</t>
  </si>
  <si>
    <t>Valmieras brīvais fiannsējums</t>
  </si>
  <si>
    <t>Esošās rūpnieciskās teritorijas infrastruktūras sakārtošana Dārza un Rūpniecības ielu rajonā, uzlabojot to atbilstību ražošanas uzņēmumu attīstības vajadzībām</t>
  </si>
  <si>
    <t>Balvu novada pašvaldība</t>
  </si>
  <si>
    <t>Investīcijas uzņēmējdarbības dažādošanai un konkurētspējas 
uzlabošanai Balvu novadā</t>
  </si>
  <si>
    <t>3.3.1.0/17/I/004 </t>
  </si>
  <si>
    <t>18.04.2017 (nav PMPIG)</t>
  </si>
  <si>
    <t>3.3.1.0/16/I/030</t>
  </si>
  <si>
    <t>Publiskās infrastruktūras uzlabošana uzņēmējdarbības attīstības veicināšanai Dobeles pilsētā</t>
  </si>
  <si>
    <t>01.03.2017 (apstiprināts ar nosacījumu)</t>
  </si>
  <si>
    <t>Infrastruktūras sakārtošana uzņēmējdarbības attīstībai Gulbenes pilsētā</t>
  </si>
  <si>
    <t>Limbažu novada pašvaldība</t>
  </si>
  <si>
    <t>Limbažu pilsētas DR teritorijas labiekārtošana uzņēmējdarbības attīstībai</t>
  </si>
  <si>
    <t>Uzņēmējdabības attīstība Skultes pagasta Mandegu ciemā</t>
  </si>
  <si>
    <t>20.04.2017 (apstiprināts)</t>
  </si>
  <si>
    <t>Līvānu pilsētas ielas pārbūve uzņēmējdarbības attīstības veicināšanai Līvānu industriālajā zonā Nr2.</t>
  </si>
  <si>
    <t>Transporta infrastruktūras attīstība Ludzas pilsētā</t>
  </si>
  <si>
    <t>Madonas novada pašvaldība</t>
  </si>
  <si>
    <t>Publisko ceļu izbūve uz kokapstrādes uzņēmumiem Bērzaunē.</t>
  </si>
  <si>
    <t>Preiļu novada pašvaldība</t>
  </si>
  <si>
    <t>Preiļu novada uzņēmējdarbības vides attīstība</t>
  </si>
  <si>
    <t xml:space="preserve"> Saldus pilsētas centra iekšējam apvedceļam pieguļošās teritorijas revitalizācija. </t>
  </si>
  <si>
    <t>3.3.1.0/16/I/010</t>
  </si>
  <si>
    <t>Uzņēmējdarbības atbalsta pasākumi Siguldas novada pašvaldības ražošanas apbūves piegulošajās teritorijās</t>
  </si>
  <si>
    <t>07.04.2017 (apstiprināts ar nosacījumu 2)</t>
  </si>
  <si>
    <t xml:space="preserve">Uzņēmējdarbības attīstībai nepieciešamās infrastruktūras sakārtošana Smiltenes pilsētā </t>
  </si>
  <si>
    <t xml:space="preserve">Uzņēmējdarbības attīstībai nepieciešamās infrastruktūras sakārtošana Variņu pagastā </t>
  </si>
  <si>
    <t>Transporta infrastruktūras attīstība Talsu pilsētā</t>
  </si>
  <si>
    <t>Rūpnieciskās zonas attīstība Jauntukuma rajonā</t>
  </si>
  <si>
    <t>Otrajā kārtā brīvais finansējums</t>
  </si>
  <si>
    <t>Alojas novada pašvaldība</t>
  </si>
  <si>
    <t>Uzņēmējdarbības attīstībai nepieciešamās infrastruktūras attīstība Staiceles pilsētā un pagastā</t>
  </si>
  <si>
    <t>Alsungas novada pašvaldība</t>
  </si>
  <si>
    <t>Uzņēmējdarbības attīstībai nepieciešamās infrastruktūras pārbūve Alsungas novadā</t>
  </si>
  <si>
    <t>Apes  novada pašvaldība</t>
  </si>
  <si>
    <t>Uzņēmējdarbības attīstībai nepieciešamās infrastruktūras nodrošināšana Apes novada Apes pagastā</t>
  </si>
  <si>
    <t>Uzņēmējdarbības attīstībai nepieciešamās infrastruktūras nodrošināšana Apes novada Gaujienas un Virešu pagastos</t>
  </si>
  <si>
    <t>3.3.1.0/16/I/015</t>
  </si>
  <si>
    <t>Auces novada pašvaldība</t>
  </si>
  <si>
    <t>Uzņēmējdarbības attīstībai nepieciešamās infrastruktūras attīstība Auces pilsētā</t>
  </si>
  <si>
    <t>3.3.1.0/16/I/020</t>
  </si>
  <si>
    <t>Muižas ielas industriālās teritorijas infrastruktūras sakārtošana ražošanas zonas pieejamības un uzņēmējdarbības vides uzlabošanai Ādažu novadā</t>
  </si>
  <si>
    <t>27.02.2017 (apstiprināts ar nosacījumu)</t>
  </si>
  <si>
    <t>3.3.1.0/16/I/023</t>
  </si>
  <si>
    <t>Baldones novada pašvaldība</t>
  </si>
  <si>
    <t>Uzņēmējdarbībai publiskās infrastruktūras – Reiskatu ceļa  attīstība pie Marnoriem.</t>
  </si>
  <si>
    <t>01.03.2017 (Apstiprināts ar nosacījumu)</t>
  </si>
  <si>
    <t>Teritorijas Klapukrogā publiskās infrastruktūras attīstība</t>
  </si>
  <si>
    <t xml:space="preserve"> Carnikavas novada dome</t>
  </si>
  <si>
    <t>Uzņēmējdarbības attīstībai nepieciešamās infrastruktūras attīstība Carnikavas novada Garciemā</t>
  </si>
  <si>
    <t>3.3.1.0/16/I/022</t>
  </si>
  <si>
    <t>Cesvaines novada pašvaldība</t>
  </si>
  <si>
    <t>Piekļuves nodrošināšana rūpnieciskās ražošanas objektiem Cesvainē</t>
  </si>
  <si>
    <t>02.05.2017 (iesniegti precizējumi)</t>
  </si>
  <si>
    <t xml:space="preserve">Uzņēmējdarbības attīstībai nepieciešamās infrastruktūras attīstība Cesvaines pilsētā </t>
  </si>
  <si>
    <t>Dundagas novada pašvaldība</t>
  </si>
  <si>
    <t>Rūpnieciskās teritorijas attīstība Dundagas novadā</t>
  </si>
  <si>
    <t>Engures novada pašvaldība</t>
  </si>
  <si>
    <t>Uzņēmējdarbības atbalsta infrastruktūras attīstība Engures novadā</t>
  </si>
  <si>
    <t>Uzņēmējdarbības atbalsta infrastruktūras attīstība Smārdes pagastā</t>
  </si>
  <si>
    <t>Ilūkstes novada pašvaldība</t>
  </si>
  <si>
    <t>Ieguldījums komercdarbības attīstībai Ilūkstes novadā</t>
  </si>
  <si>
    <t>Inčukalna novada pašvaldība</t>
  </si>
  <si>
    <t>Infrastruktūras attīstība Inčukalna novadā, veicot ieguldījumus komercdarbības attīsībai</t>
  </si>
  <si>
    <t>3.3.1.0/16/I/009</t>
  </si>
  <si>
    <t>Uzņēmējdarbības attīstībai nepieciešamās infrastruktūras attīstība Jelgavas novadā 1.kārta</t>
  </si>
  <si>
    <t>03.05.2017 (līgums)</t>
  </si>
  <si>
    <t>3.3.1.0/16/I/032</t>
  </si>
  <si>
    <t>Uzņēmējdarbības attīstībai nepieciešamās infrastruktūras attīstība Jelgavas novadā 2.kārta</t>
  </si>
  <si>
    <t>27.03.2017 (apstiprināts ar nosacījumu)</t>
  </si>
  <si>
    <t>Uzņēmējdarbības attīstībai nepieciešamās infrastruktūras attīstība Jēkabpils novada Klana pagastā</t>
  </si>
  <si>
    <t>3.3.1.0/16/I/024</t>
  </si>
  <si>
    <t>Kocēnu novada pašvaldība</t>
  </si>
  <si>
    <t>Uzņēmējdarbības attīstībai nepieciešamās infrastruktūras attīstība Kocēnu novada Kocēnu pagasta, Kocēnos</t>
  </si>
  <si>
    <t>28.02.2017 (apstiprināts ar nosacījumu)</t>
  </si>
  <si>
    <t>24.02.2017 (apstiprināts ar nosacījumu)</t>
  </si>
  <si>
    <t>Ķekavas novada pašvaldība</t>
  </si>
  <si>
    <t>Uzņēmējdarbības attīstībai nepieciešamās infrastruktūras izbūve Ķekavas novadā.</t>
  </si>
  <si>
    <t>Lielvārdes novada pašvaldība</t>
  </si>
  <si>
    <t>Uzņēmējdarbībai nozīmīgas infrastruktūras attīstība Lielvārdes novada Jumpravas pagastā</t>
  </si>
  <si>
    <t>Uzņēmējdarbības attīstībai nepieciešamās publiskās infrastruktūras izveide Lielvārdes novada Lēdmanes pagastā</t>
  </si>
  <si>
    <t>Uzņēmējdarbībai nozīmīgas infrastruktūras attīstība Lielvārdes novada Lēdmanes pagastā</t>
  </si>
  <si>
    <t>Līgatnes novada pašvaldība</t>
  </si>
  <si>
    <t>Uzņēmējdarbības vides sakārtošana Augšlīgatnē</t>
  </si>
  <si>
    <t>12.04.2017  (iesniegti precizējumi)</t>
  </si>
  <si>
    <t>Olaines novada pašvaldība</t>
  </si>
  <si>
    <t>Infrastruktūras izveide uzņēmējdarbības attīstībai Birzniekos, Olaines novadā</t>
  </si>
  <si>
    <t>Infrastruktūras uzlabošana uzņēmējdarbības attīstībai Rūpnīcu ielā, Olaines novadā</t>
  </si>
  <si>
    <t>3.3.1.0/16/I/033</t>
  </si>
  <si>
    <t>Ozolnieku novada pašvaldība</t>
  </si>
  <si>
    <t>Uzņēmējdarbībai nozīmīgas infrastruktūras attīstīšana Ozolnieku novada Cenu pagastā I kārta</t>
  </si>
  <si>
    <t>28.03.2017 (apstiprināts ar nosacījumu)</t>
  </si>
  <si>
    <t xml:space="preserve">3.3.1.0/17/I/002 </t>
  </si>
  <si>
    <t>Uzņēmējdarbībai nozīmīgas infrastruktūras attīstīšana Ozolnieku novada Ozolnieku pagastā</t>
  </si>
  <si>
    <t>13.04.2017 (iesniegts)</t>
  </si>
  <si>
    <t>3.3.1.0/17/I/003</t>
  </si>
  <si>
    <t>Pāvilostas novada pašvaldība</t>
  </si>
  <si>
    <t>Veicot ieguldījumu infrastruktūras sakārtošanā vietējo iedzīvotāju vajadzībām, sekmēt uzņēmējdarbības attīstību Pāvilostas novadā</t>
  </si>
  <si>
    <t>24.04.2017
(iesniegts)</t>
  </si>
  <si>
    <t>3.3.1.0/16/I/011</t>
  </si>
  <si>
    <t>Pļaviņu novada pašvaldība</t>
  </si>
  <si>
    <t>Pļaviņu pilsētas vides sakārtošana uzņēmējdarbības veicināšanai</t>
  </si>
  <si>
    <t>03.02.2017 (apstiprināts ar nosacījumu)</t>
  </si>
  <si>
    <t>3.3.1.0/16/I/014</t>
  </si>
  <si>
    <t>Riebiņu novada pašvaldība</t>
  </si>
  <si>
    <t>Komercdarbības atbalstam paredzētās publiskās  infrastruktūras attīstība Stabulnieku pagastā, Riebiņu novadā</t>
  </si>
  <si>
    <t>3.3.1.0/16/I/013</t>
  </si>
  <si>
    <t>Komercdarbības teritoriju un to nepieciešamās publiskās infrastruktūras attīstība Riebiņu novada Galēnu pagastā</t>
  </si>
  <si>
    <t>Uzņēmējdarbības attīstībai nepieciešamās infrastruktūras attīstība Ropažu novada Muceniekos</t>
  </si>
  <si>
    <t>Uzņēmējdarbības attīstībai nepieciešamās infrastruktūras attīstība Ropažu novada Zaķumuižā</t>
  </si>
  <si>
    <t>Salacgrīvas novada pašvaldība</t>
  </si>
  <si>
    <t>Uzņēmējdarbībai nozīmīgas infrastruktūras attīstība Salacgrīvas pilsētā</t>
  </si>
  <si>
    <t>Uzņēmējdarbībai nozīmīgas infrastruktūras attīstība Salacgrīvas novada Salacgrīvas pagasta Svētciemā</t>
  </si>
  <si>
    <t>Saulkrastu novada pašvaldība</t>
  </si>
  <si>
    <t>Uzņēmējdarbības izaugsmei nepieciešamās infrastruktūras attīstība Saulkrastu novadā</t>
  </si>
  <si>
    <t>Stopiņu novada pašvaldība</t>
  </si>
  <si>
    <t>Eksportētāju, uzņēmēju attīstībai nepieciešamās infrastruktūras izbūve stopiņu novada Līču un Ulbrokas ciemos</t>
  </si>
  <si>
    <t>Tērvetes novada pašvaldība</t>
  </si>
  <si>
    <t>Atbalsts uzņēmējdarbības attīstībai Tērvetes novadā</t>
  </si>
  <si>
    <t>30.03.2017 (apstiprināts ar nosacījumu)</t>
  </si>
  <si>
    <t>Uzņēmējdarbības attīstībai nepieciešamās publiskās infrastruktūras attīstība Vecpiebalgas novada Inešu pagastā</t>
  </si>
  <si>
    <t>3.3.1.0/17/I/001</t>
  </si>
  <si>
    <t>Ventspils novada pašvaldība</t>
  </si>
  <si>
    <t>Uzņēmējdarbības attīstībai nepieciešamās infrastruktūras attīstība Ventspils novada Vārves pagastā</t>
  </si>
  <si>
    <t>05.04.2017 (iesniegts)</t>
  </si>
  <si>
    <t>Uzņēmējdarbības attīstībai nepieciešamās infrastruktūras attīstība Ventspils novada Popes pagastā</t>
  </si>
  <si>
    <t>Trešjā kārtā brīvais finansējums līdz rezerves piešķiršanai</t>
  </si>
  <si>
    <t>Valsts pārvaldes profesionālā pilnveide</t>
  </si>
  <si>
    <t>Starpību veido projekta 3.4.2.0/15/I/001 FS iesniegtais PMPIG, kurš nebija saprecizēts pēc grozījumu veikšanas līgumā. 12.05.2017. iesniegts precizētais PMPIG (KP VIS)</t>
  </si>
  <si>
    <t>Ieturējums un NVI kopā par 2268.47 EUR</t>
  </si>
  <si>
    <t>3.4.2.2/16/I/001</t>
  </si>
  <si>
    <t>Sociālā dialoga attīstība labāka tiesiskā regulējuma izstrādei</t>
  </si>
  <si>
    <t>24.04.2017 (apstiprināts)</t>
  </si>
  <si>
    <t>4.</t>
  </si>
  <si>
    <t>Energoefektivitāte</t>
  </si>
  <si>
    <t>Energofektivitāte valsts un dzīvojamās ekās</t>
  </si>
  <si>
    <t>Lūdzu papildināt ar avansu 132674713.40 euro apmērā (attiecīgi granta līgumam 107175600, FI līgumam 25499113.40). Pārējo starpību veido rezerve (t.i. granta un FI līgumi ar Altum ir noslēgti par 132861816.59 euro)</t>
  </si>
  <si>
    <t>ESKO projekts</t>
  </si>
  <si>
    <t xml:space="preserve">Līgums ar Altum noslēgts par 6 tūkst. mazāku summu nekā iekļauts MKN. Tiek plānots minēto summu pārdalīt ESKO projektam. </t>
  </si>
  <si>
    <t>Lūgums noskaidrot, vai nav iespēja papaildināt ar jauniem projektiem?</t>
  </si>
  <si>
    <t>4.2.1.2/16/I/001</t>
  </si>
  <si>
    <t xml:space="preserve">Profesionālās izglītības kompetences centrs 
“Rīgas Tehniskā koledža”
</t>
  </si>
  <si>
    <t>Energoefektivitātes pasākumu veikšanas Rīgas Tehniskās koledžas ēkā Braslas ielā 16</t>
  </si>
  <si>
    <t>17.03.2017 (Iesniegti precizējumi 2)</t>
  </si>
  <si>
    <t>13.03.2017 (Apstiprināts)</t>
  </si>
  <si>
    <t>4.2.1.2/16/I/003</t>
  </si>
  <si>
    <t>Energoefektivitātes pasākumu veikšanas Rīgas Tehniskās koledžas ēkā Lēdmanes ielā 3</t>
  </si>
  <si>
    <t>17.03.2017 (Iesniegti precizējumi)</t>
  </si>
  <si>
    <t>4.2.1.2/16/I/004</t>
  </si>
  <si>
    <t>Energoefektivitātes paaugstināšana Daugavpils Universitātes dienesta viesnīcai Sporta ielā 6, Daugavpilī</t>
  </si>
  <si>
    <t>28.12.2016 (Iesniegts)</t>
  </si>
  <si>
    <t>4.2.1.2/16/I/005</t>
  </si>
  <si>
    <t>„Elektronikas un datorzinātņu institūta ēkas kadastra
Nr.01000920440006 energoefektivitātes paaugstināšana”</t>
  </si>
  <si>
    <t>17.03.2017 (Apstiprināts ar nosacījumu)</t>
  </si>
  <si>
    <t>4.2.1.2/16/I/006</t>
  </si>
  <si>
    <t xml:space="preserve">„Elektronikas un datorzinātņu institūta ēkas kadastra Nr.01000920440001 energoefektivitātes paaugstināšana” </t>
  </si>
  <si>
    <t>4.2.1.2/16/I/007</t>
  </si>
  <si>
    <t>„Elektronikas un datorzinātņu institūta ēkas kadastra Nr.01000920440002 energoefektivitātes paaugstināšana”</t>
  </si>
  <si>
    <t>21.03.2017 (Apstiprināts ar nosacījumu)</t>
  </si>
  <si>
    <t>4.2.1.2/17/I/002</t>
  </si>
  <si>
    <t>Energoefektivitātes paaugstināšana Daugavpils Universitātes dienesta viesnīcai Sporta ielā 8, Daugavpilī</t>
  </si>
  <si>
    <t>03.02.2017 (Iesniegts)</t>
  </si>
  <si>
    <t>4.2.1.2/17/I/003</t>
  </si>
  <si>
    <t>Energoefektivitātes paaugstināšana Daugavpils Universitātes dienesta viesnīcai Vaļņu ielā 29, Daugavpilī</t>
  </si>
  <si>
    <t>23.02.2017 (Iesniegts)</t>
  </si>
  <si>
    <t>06.03.2017 (Iesniegts)</t>
  </si>
  <si>
    <t>4.2.1.2/17/I/005</t>
  </si>
  <si>
    <t>Energoefektivitātes paaugstināšana Daugavpils Universitātes sporta kompleksam Kandavas ielā 1, Daugavpilī</t>
  </si>
  <si>
    <t>10.03.2017 (Iesniegts)</t>
  </si>
  <si>
    <t>4.2.1.2/17/I/006</t>
  </si>
  <si>
    <t>Valsts sociālās aprūpes centrs „Latgale”</t>
  </si>
  <si>
    <t xml:space="preserve">Energoefektivitātes paaugstināšanas pasākumi valsts ēkā VSAC „Latgale” filiālē „Krastiņi” </t>
  </si>
  <si>
    <t>4.2.1.2/17/I/007</t>
  </si>
  <si>
    <t>Malnavas koledža</t>
  </si>
  <si>
    <t>„Energoefektivitātes paaugstināšanas pasākumu īstenošana Malnavas koledžas muižas ēkai Muižas ielā 4, Malnavā, Malnavas pagastā”</t>
  </si>
  <si>
    <t>30.03.2017 (Iesniegts)</t>
  </si>
  <si>
    <t>4.2.1.2/17/I/008</t>
  </si>
  <si>
    <t>Olaines Mehānikas un tehnoloģijas koledža</t>
  </si>
  <si>
    <t>OMTK ēku energoefektivitātes paaugstināšana</t>
  </si>
  <si>
    <t>31.03.2017 (Iesniegts)</t>
  </si>
  <si>
    <t>4.2.1.2/17/I/009</t>
  </si>
  <si>
    <t>Energoefektivitātes paaugstināšana Daugavpils Universitātes dienesta viesnīcai Parādes ielā 11, Daugavpilī</t>
  </si>
  <si>
    <t>03.04.2017 (Iesniegts)</t>
  </si>
  <si>
    <t>4.2.1.2/17/I/010</t>
  </si>
  <si>
    <t>Profesionālās izglītības kompetences centrs “Daugavpils Būvniecības tehnikums”</t>
  </si>
  <si>
    <t>Energoefektivitātes paaugstināšana Profesionālās izglītības kompetences centra IPĪV “Dagda”</t>
  </si>
  <si>
    <t>04.04.2017 (Iesniegts)</t>
  </si>
  <si>
    <t>4.2.1.2/17/I/011</t>
  </si>
  <si>
    <t>Profesionālās izglītības kompetences centrs “Priekuļu tehnikums”</t>
  </si>
  <si>
    <t>Energoefektivitātes paaugstināšanas darbi Priekuļu tehnikuma ēkā Tehniķu ielā 4</t>
  </si>
  <si>
    <t>Summa par kuru nav projektu</t>
  </si>
  <si>
    <t>Jauni projekti par 1 952 381 bez prognozes</t>
  </si>
  <si>
    <t>Pārsniedz</t>
  </si>
  <si>
    <t>Energoefektivitātes paaugstināšana Daugavpils pilsētas bērnu veselības centra ēkā 18. novembra ielā 19, Daugavpilī</t>
  </si>
  <si>
    <t>Energoefektivitātes paaugstināšana Daugavpils pilsētas pirmsskolas izglītības iestādē Nr.12 - Muzeja ielā 10, Daugavpilī</t>
  </si>
  <si>
    <t>Energoefektivitātes paaugstināšana Daugavpils pilsētas pirmsskolas izglītības iestādē Nr.29 - Vienības ielā 38B, Daugavpilī</t>
  </si>
  <si>
    <t>Pašvaldības ēkas Turaidas ielā 36, Daugavpilī, energoefektivitātes paaugstināšanas pasākumi</t>
  </si>
  <si>
    <t>Energoefektivitātes paaugstināšana Daugavpils pilsētas pašvaldības ēkās 18.novembra ielā 354A, Daugavpilī</t>
  </si>
  <si>
    <t>Energoefektivitātes paaugstināšana Daugavpils pilsētas pašvaldības ēkās 18.novembra ielā 354V, Daugavpilī</t>
  </si>
  <si>
    <t xml:space="preserve">4.2.2.0/17/I/002  </t>
  </si>
  <si>
    <t>Energoefektivitātes paaugstināšana Daugavpils pilsētas pirmsskolas izglītības iestādē Nr.3 - Raipoles ielā 8, Daugavpilī</t>
  </si>
  <si>
    <t>Energoefektivitātes paaugstināšana Daugavpils pilsētas pirmsskolas izglītības iestādē Nr.32 - Malu ielā 7, Daugavpilī</t>
  </si>
  <si>
    <t>Energoefektivitātes paaugstināšana Daugavpils pilsētas speciālā pirmsskolas izglītības iestādē Nr.2 - Mihoelsa ielā 4, Daugavpilī</t>
  </si>
  <si>
    <t>Energoefektivitātes paaugstināšana Daugavpils pilsētas pirmsskolas izglītības iestādē Nr.28 - Liepājas ielā 37, Daugavpilī</t>
  </si>
  <si>
    <t>Energoefektivitātes paaugstināšana Daugavpils pilsētas vispārējās izglītības iestādē Jelgavas ielā 30A, Daugavpilī</t>
  </si>
  <si>
    <t>Energoefektivitātes paaugstināšana Daugavpils pilsētas izglītības iestādē Tautas ielā 7, Daugavpilī</t>
  </si>
  <si>
    <t>Energoefektivitātes paaugstināšana Daugavpils pilsētas pašvaldības ēkā, Raiņa ielā 27, Daugavpilī</t>
  </si>
  <si>
    <t>Energoefektivitātes paaugstināšana Daugavpils pilsētas izglītības iestādes ēkā Marijas ielā 1E, Daugavpilī  (būvprojekta aktualizācija top, dati ir provizoriski)</t>
  </si>
  <si>
    <t>Jelgavas Tehnoloģiju vidusskolas energoefektivitātes paaugstināšana</t>
  </si>
  <si>
    <t>Lūgt FS iesniegt  projekta finansējuma plānu atbilstoši piešķirtajam  finansējumam, vai izskaidrot fiannsējuma apjoma palielināšanos.</t>
  </si>
  <si>
    <t>Jelgavas pilsētas pašvaldības ēkas Zemgales prospektā 7 energoefektivitātes paaugstināšana</t>
  </si>
  <si>
    <t>Jelgavas 2.internātpamatskolas internāta ēkas energoefektivitātes paaugstināšana</t>
  </si>
  <si>
    <t>Noskaidrot, kādēļ plāno izlietot mazāk finansējumu un vai ir plānots papildus projekts par atlikušo finansējumu vai cita rīcība</t>
  </si>
  <si>
    <t>Pašvaldības ēkas Sarmas ielā 4 energoefektivitātes paaugstināšana</t>
  </si>
  <si>
    <t>Jelgavas pilsētas pašvaldības policijas ēkas energoefektivitātes paaugstināšana</t>
  </si>
  <si>
    <t>Jelgavas pilsētas pašvaldības pirmsskolas izglītības iestādes ”Sprīdītis” energoefektivitātes paaugstināšana</t>
  </si>
  <si>
    <t>Tautas nama vēsturiskās ēkas atjaunošana un energoefektivitātes paaugstināšana</t>
  </si>
  <si>
    <t>Jūrmalas pilsētas pašvaldība</t>
  </si>
  <si>
    <t>Jūrmalas veselības veicināšanas un sociālo pakalpojumu  centra infrastruktūras pilnveide un energoefektivitātes paaugstināšana</t>
  </si>
  <si>
    <t>Jūrmalas Sporta skolas ēkas baseina pārbūve, energoefektivitātes paaugstināšana</t>
  </si>
  <si>
    <t>Jūrmalas pilsētas Ķemeru pamatskolas ēkas pārbūve un energoefektivitātes paaugstināšana</t>
  </si>
  <si>
    <t>Jūrmalas pilsētas Jaundubultu vidusskolas ēkas energoefektivitātes paaugstināšana</t>
  </si>
  <si>
    <t>Jūrmalas pilsētas Jaundubultu vidusskolas ēkas k-1 (autoskolas ēka) energoefektivitātes paaugstināšana</t>
  </si>
  <si>
    <t>Jūrmalas pilsētas Kauguru vidusskolas energoefektivitātes paaugstināšana</t>
  </si>
  <si>
    <t>Jūrmalas teātra ēkas energoefektivitātes paaugstināšana</t>
  </si>
  <si>
    <t>Energoefektivitātes paaugstināšana Liepājas pilsētas pašvaldības ēkā Peldu ielā 5, Liepājā</t>
  </si>
  <si>
    <t>Energoefektivitātes paaugstināšana stadiona „DAUGAVA” ģērbtuvju ēkā, Liepājā</t>
  </si>
  <si>
    <t>Energoefektivitātes paaugstināšana Liepājas pirmsskolas izglītības iestādē “Dzintariņš” Dzintaru ielā 90, Liepājā</t>
  </si>
  <si>
    <t>Energoefektivitātes paaugstināšana Liepājas 2.mūzikas skolas ēkā Imantas ielā 8, Liepājā</t>
  </si>
  <si>
    <t>Projekts netiks īstenots</t>
  </si>
  <si>
    <t>Rēzeknes pilsētas valsts 1.ģimnāzijas ēkas energoefektivitātes uzlabošana</t>
  </si>
  <si>
    <t>4.2.2.0/17/I/003</t>
  </si>
  <si>
    <t>Pilsētas domes ēku kompleksa energoefektivitātes paaugstināšana</t>
  </si>
  <si>
    <t>03.02.2017 (iesniegts)</t>
  </si>
  <si>
    <t>Pirmsskolas izglītības iestādes ēkas, Rēzeknē, Metālistu ielā 2 energoefektivitātes paaugstināšana</t>
  </si>
  <si>
    <t>Rēzeknes 2.vidusskolas sporta zāles Rēzeknē, P.Brieža ielā 28 energoefektivitātes uzlabošana</t>
  </si>
  <si>
    <t>Rēzeknes pilsētas 2.vidusskolas ēkas Dārzu ielā 17, Rēzeknē, energoefektivitātes uzlabošana</t>
  </si>
  <si>
    <t>Rēzeknes pilsētas domes Sporta pārvaldes ēkas Rēzeknē, 18.Novembra ielā 39 energoefektivitātes uzlabošana</t>
  </si>
  <si>
    <t>Pirmsskolas izglītības iestādes "Vinnijs Pūks" ēkas, J.Tiņanova ielā 31 energoefektivitātes paaugstināšana</t>
  </si>
  <si>
    <t>4.2.2.0/17/I/010</t>
  </si>
  <si>
    <t>Bērnu sociālo pakalpojumu centra ēkas Viļānu ielā  10, Rēzeknē energoefektivitātes paaugstināšana</t>
  </si>
  <si>
    <t>07.04.2017 (iesniegts)</t>
  </si>
  <si>
    <t>Kompleksi energoefektivitātes pasākumi siltumnīcefekta gāzu emisijas samazināšanai Rīgas 273.pirmsskolas izglītības iestādes ēkā Ilūkstes ielā 101 k-4, Rīgā</t>
  </si>
  <si>
    <t>Kompleksi energoefektivitātes pasākumi siltumnīcefekta gāzu emisijas samazināšanai Rīgas pirmsskolas izglītības iestādes "Māra" ēkā Zebiekstes ielā 1, Rīgā</t>
  </si>
  <si>
    <t>Kompleksi energoefektivitātes pasākumi siltumnīcefekta gāzu emisijas samazināšanai Rīgas pirmsskolas izglītības iestādes "Pērlīte" ēkā, Jelgavas ielā 86A, Rīgā</t>
  </si>
  <si>
    <t>Kompleksi energoefektivitātes pasākumi siltumnīcefekta gāzu emisijas samazināšanai Rīgas 266.pirmsskolas izglītības iestādes ēkā Pļavnieku ielā 4, Rīgā</t>
  </si>
  <si>
    <t>Kompleksi energoefektivitātes pasākumi siltumnīcefekta gāzu emisijas samazināšanai Rīgas 259.pirmsskolas izglītības iestādes ēkā Jāņa Grestes ielā 3, Rīgā</t>
  </si>
  <si>
    <t>Kompleksi energoefektivitātes pasākumi siltumnīcefekta gāzu emisijas samazināšanai Rīgas 270.pirmsskolas izglītības iestādes ēkā Salnas ielā 18, Rīgā</t>
  </si>
  <si>
    <t>Kompleksi energoefektivitātes pasākumi siltumnīcefekta gāzu emisijas samazināšanai Rīgas 106.pirmsskolas izglītības iestādes ēkā Ūnijas ielā 83, Rīgā</t>
  </si>
  <si>
    <t>Kompleksi energoefektivitātes pasākumi siltumnīcefekta gāzu emisijas samazināšanai Rīgas 234.pirmsskolas izglītības iestādes ēkā Kurzemes prospektā 86C, Rīgā</t>
  </si>
  <si>
    <t>Kompleksi energoefektivitātes pasākumi siltumnīcefekta gāzu emisijas samazināšanai Rīgas 104.pirmsskolas izglītības iestādes ēkā Slokas ielā 207, Rīgā</t>
  </si>
  <si>
    <t>Kompleksi energoefektivitātes pasākumi siltumnīcefekta gāzu emisijas samazināšanai Rīgas pirmsskolas izglītības iestādes "Dzirnaviņas" ēkā Tālavas gatvē 7, Rīgā</t>
  </si>
  <si>
    <t>Kompleksi energoefektivitātes pasākumi siltumnīcefekta gāzu emisijas samazināšanai Rīgas pirmsskolas izglītības iestādes "Dardedze" ēkā Slokas ielā 209, Rīgā</t>
  </si>
  <si>
    <t>Kompleksi energoefektivitātes pasākumi siltumnīcefekta gāzu emisijas samazināšanai Rīgas 46.pirmsskolas izglītības iestādes ēkā Vecumnieku ielā 5A, Rīgā</t>
  </si>
  <si>
    <t>Kompleksi energoefektivitātes pasākumi siltumnīcefekta gāzu emisijas samazināšanai Rīgas 215.pirmsskolas izglītības iestādes ēkā Usmas ielā 10, Rīgā</t>
  </si>
  <si>
    <t>Kompleksi energoefektivitātes pasākumi siltumnīcefekta gāzu emisijas samazināšanai Rīgas 80.pirmsskolas izglītības iestādes ēkā Garajā ielā 24, Rīgā</t>
  </si>
  <si>
    <t>Kompleksi energoefektivitātes pasākumi siltumnīcefekta gāzu emisijas samazināšanai Rīgas pirmsskolas izglītības iestādes "Kadiķītis" ēkā Garajā ielā 31, Rīgā</t>
  </si>
  <si>
    <t>Kompleksi energoefektivitātes pasākumi siltumnīcefekta gāzu emisijas samazināšanai Rīgas 154.pirmsskolas izglītības iestādes ēkā Andromedas gatvē 3, Rīgā</t>
  </si>
  <si>
    <t>Kompleksi energoefektivitātes pasākumi siltumnīcefekta gāzu emisijas samazināšanai Rīgas pirmsskolas izglītības iestādes "Kamolītis" ēkā Iļģuciema ielā 4, Rīgā</t>
  </si>
  <si>
    <t>Kompleksi energoefektivitātes pasākumi siltumnīcefekta gāzu emisijas samazināšanai Rīgas 220.pirmsskolas izglītības iestādes ēkā Aglonas ielā 4A, Rīgā</t>
  </si>
  <si>
    <t>Kompleksi energoefektivitātes pasākumi siltumnīcefekta gāzu emisijas samazināšanai Rīgas 14.pirmsskolas izglītības iestādes ēkā Vircavas ielā 2, Rīgā</t>
  </si>
  <si>
    <t>Kompleksi energoefektivitātes pasākumi siltumnīcefekta gāzu emisijas samazināšanai Rīgas 62.pirmsskolas izglītības iestādes ēkā Alīses ielā 19, Rīgā</t>
  </si>
  <si>
    <t>Kompleksi energoefektivitātes pasākumi siltumnīcefekta gāzu emisijas samazināšanai Rīgas 255.pirmsskolas izglītības iestādes ēkā Akadēmiķa Mstislava Keldiša ielā 5, Rīgā</t>
  </si>
  <si>
    <t>Kompleksi energoefektivitātes pasākumi siltumnīcefekta gāzu emisijas samazināšanai Rīgas pirmsskolas izglītības iestādes "Annele" ēkā Anniņmuižas bulvārī 78, Rīgā</t>
  </si>
  <si>
    <t>Kompleksi energoefektivitātes pasākumi siltumnīcefekta gāzu emisijas samazināšanai Rīgas pirmsskolas izglītības iestādes "Laismiņa" ēkā Slokas ielā 211, Rīgā</t>
  </si>
  <si>
    <t>Kompleksi energoefektivitātes pasākumi siltumnīcefekta gāzu emisijas samazināšanai Rīgas pirmsskolas izglītības iestādes "Imanta" ēkā Vecumnieku ielā 7, Rīgā</t>
  </si>
  <si>
    <t>Kompleksi energoefektivitātes pasākumi siltumnīcefekta gāzu emisijas samazināšanai Rīgas 261.pirmsskolas izglītības iestādes ēkā Jaunrozes ielā 12, Rīgā</t>
  </si>
  <si>
    <t>Kompleksi energoefektivitātes pasākumi siltumnīcefekta gāzu emisijas samazināšanai Rīgas 243.pirmsskolas izglītības iestādes ēkā Saktas ielā 3A, Rīgā</t>
  </si>
  <si>
    <t>Kompleksi energoefektivitātes pasākumi siltumnīcefekta gāzu emisijas samazināšanai Rīgas pirmsskolas izglītības iestādes "Kamenīte" ēkā Slokas ielā 126A, Rīgā</t>
  </si>
  <si>
    <t>Kompleksi energoefektivitātes pasākumi siltumnīcefekta gāzu emisijas samazināšanai Rīgas pirmsskolas izglītības iestādes "Margrietiņa" ēkā Slokas ielā 126, Rīgā</t>
  </si>
  <si>
    <t>Kompleksi energoefektivitātes pasākumi siltumnīcefekta gāzu emisijas samazināšanai Rīgas 224.pirmsskolas izglītības iestādes ēkā Prūšu ielā 82, Rīgā</t>
  </si>
  <si>
    <t>Kompleksi energoefektivitātes pasākumi siltumnīcefekta gāzu emisijas samazināšanai Rīgas 197.pirmsskolas izglītības iestādes ēkā Birzes ielā 44, Rīgā</t>
  </si>
  <si>
    <t>Kompleksi energoefektivitātes pasākumi siltumnīcefekta gāzu emisijas samazināšanai Rīgas 94.pirmsskolas izglītības iestādes ēkā Krišjāņa Barona ielā 97B, Rīgā</t>
  </si>
  <si>
    <t>Ēkas Ausekļa ielā 25C, Valmierā energoefektivitātes paaugstināšana</t>
  </si>
  <si>
    <t>Ēkas Ausekļa ielā 25B, Valmierā energoefektivitātes paaugstināšana</t>
  </si>
  <si>
    <t>Pašvaldības ēkas Ūdens ielā 2C, Valmierā energoefektivitātes paaugstināšana un pārbūve</t>
  </si>
  <si>
    <t>Pašvaldības ēkas Lāčplēša ielā 2, Valmierā energoefektivitātes paaugstināšana</t>
  </si>
  <si>
    <t>Valmieras pilsētas 2.pirmsskolas izglītības iestādes “Ezītis” struktūrvienības “Ābelīte” ēkas Palejas ielā 5, Valmierā energoefektivitātes paaugstināšana</t>
  </si>
  <si>
    <t>Jauns projekts par 106 200 eur prognozes.</t>
  </si>
  <si>
    <t>Kārtā brīvais finansējums</t>
  </si>
  <si>
    <t>Ādažu pimsskolas izglītības iestādes energoefektivitātes paaugstināšana</t>
  </si>
  <si>
    <t>Ēkas Gaujas ielā 16 energoefektivitātes paaugstināšana</t>
  </si>
  <si>
    <t>Jauns projekts - lūgums nosakaidrot FS naudas plūsmu un MP grafiku</t>
  </si>
  <si>
    <t>Aglonas novada centrālās bibliotēkas energoefektivitātes paaugstināšana</t>
  </si>
  <si>
    <t>21.04.2017 (iesniegts)</t>
  </si>
  <si>
    <t>Energoefektivitātes uzlabošana Alūksnes novada pašvaldības administratīvajā ēkā</t>
  </si>
  <si>
    <t>Energoefektivitātes uzlabošana Alūksnes novada pašvaldības Pededzes tautas nama un administratīvajā ēkā</t>
  </si>
  <si>
    <t>Energoefektivitātes paaugstināšana Amatas novada pašvaldības ēkā - Drabešu sākumskolā</t>
  </si>
  <si>
    <t>Apes novada dome</t>
  </si>
  <si>
    <t>Apes novada, Skolas ielas 4 ēkas energoefektivitātes paaugstināšana</t>
  </si>
  <si>
    <t>Auces novada pašvaldības pirmsskolas izglītības iestādes energoefektivitātes paaugstināšana</t>
  </si>
  <si>
    <t>Energoefektivitātes paaugstināšana  sociālajā aprūpes centrā "Baldone"</t>
  </si>
  <si>
    <t>Samazināt primārās enerģijas patēriņu, sekmējot energoefektivitātes paaugstināšanu Kubulu pirmsskolas izglītības iestādē "Ieviņa"</t>
  </si>
  <si>
    <t>Daugavpils novada pašvaldība</t>
  </si>
  <si>
    <t>Naujenes bērnu nama ēkas energoefektivitātes paaugstināšana</t>
  </si>
  <si>
    <t>Sociālo pakalpojumu centra “Pīlādzis” ēkas energoefektivitātes paaugstināšana</t>
  </si>
  <si>
    <t>Energoefektivitātes paaugstināšana pašvaldības ēkā "Zītari"</t>
  </si>
  <si>
    <t>Engures novada dome</t>
  </si>
  <si>
    <t>Engures Dienas sociālā palīdzības centra energoefektivitātes paaugstināšana</t>
  </si>
  <si>
    <t>Engures novada Smārdes pagasta sociālās mājas energoefektivitātes paaugstināšana</t>
  </si>
  <si>
    <t>Šlokenbekas muižas administratīvā korpusa energoefektivitātes paaugstināšana</t>
  </si>
  <si>
    <t>4.2.2.0/17/I/008</t>
  </si>
  <si>
    <t>Grobiņas novada dome</t>
  </si>
  <si>
    <t>Ēkas Skolas ielā 1, Grobiņā, Grobiņas novadā energoefektivitātes uzlabošana</t>
  </si>
  <si>
    <t>24.03.2017 (iesniegts)</t>
  </si>
  <si>
    <t>Energoefektivitātes paaugstināšanai ēkai "Āmuļi"</t>
  </si>
  <si>
    <t>Energoefektivitātes paaugstināšana pirmsskolas izglītības iestādei "Čiekuriņš" ēkai</t>
  </si>
  <si>
    <t>Sociālās aprūpes centra "Jaungulbenes alejas" energoefektivitātes paaugstināšana</t>
  </si>
  <si>
    <t>Gulbenes novada sociālā dienesta ēkas energoefektivitātes paaugstināšana</t>
  </si>
  <si>
    <t>Kompleksi risinājumi energoefektivitātes paaugstināšanai Veselības centra "Ilūkste" jaunajā korpusā</t>
  </si>
  <si>
    <t>Jaunjelgavas novads</t>
  </si>
  <si>
    <t>Energoefektivitātes paaugstināšana Jaunjelgavas novada ēkā</t>
  </si>
  <si>
    <t>Kandavas pilsētas pirmsskolas izglītības iestādes "Zīļuks" energoefektivitātes paaugstināšana</t>
  </si>
  <si>
    <t>Ķeguma novada dome</t>
  </si>
  <si>
    <t>Ķeguma novada pašvaldības ēkas "Senliepas 1" energoefektivitātes paaugstināšana</t>
  </si>
  <si>
    <t>Energoefektivitātes paaugstināšana Kocēnu novada domes ēkā Alejas ielā 8, Kocēnos</t>
  </si>
  <si>
    <t>Energoefektivitātes paaugstināšana izglītības iestādē, Nākotnes ielā 1, Vaidavā</t>
  </si>
  <si>
    <t>12.04.2017
(apstiprinārts ar nosacījumu 2)</t>
  </si>
  <si>
    <t>Mežāres kultūras nama un pagasta ēkas rekonstrukcija energoefektivitātes paaugstināšanai</t>
  </si>
  <si>
    <t>4.2.2.0/17/I/009</t>
  </si>
  <si>
    <t>Sociālā dienesta ēkas energoefektivitātes uzlabošana Dzirnavu ielā 9, Kuldīgā, Kuldīgas novadā</t>
  </si>
  <si>
    <t>28.03.2017 (iesniegts)</t>
  </si>
  <si>
    <t>Energoefektivitātes paaugstināšana sociālo dzīvokļu mājā Lēdmanē, Lielvārdes novadā</t>
  </si>
  <si>
    <t>Energoefektivitātes paaugstināšana Jumpravas pagasta pārvaldes ēkā</t>
  </si>
  <si>
    <t>Energoefektivitātes paaugstināšana Lielvārdes novada pašvaldības administrācijas ēkā</t>
  </si>
  <si>
    <t>Pašvaldības administratīvās ēkas energoefektivitātes paaugstināšana</t>
  </si>
  <si>
    <t>Viļķenes pirmsskolas izglītības iestādes ēkas energoefektivitātes paaugstināšana</t>
  </si>
  <si>
    <t>Līvānu novada pašvaldības ēku pārbūve  un energoefektivitātes paaugstināšana – 3. kārta (Jersikas kultūras un sabiedriskā centra ēkas pārbūve un energoefektivitātes paaugstināšana).</t>
  </si>
  <si>
    <t>Līvānu novada pašvaldības ēku pārbūve  un energoefektivitātes paaugstināšana – 3. kārta (Rudzātu pagasta ēkas pārbūve un energoefektivitātes paaugstināšana).</t>
  </si>
  <si>
    <t>Līvānu novada pašvaldības ēku pārbūve  un energoefektivitātes paaugstināšana – 3. kārta (Rožupes pagasta ēkas pārbūve un energoefektivitātes paaugstināšana).</t>
  </si>
  <si>
    <t>Ludzas novada Pildas pamatskolas ēkas energoefektivitātes paaugstināšana</t>
  </si>
  <si>
    <t>Ludzas poliklīnikas ēkas energoefektivitātes paaugstināšana</t>
  </si>
  <si>
    <t>Energoefektivitātes paaugstināšanas pasākumu uzlabošana Andreja Eglīša Ļaudonas vidusskolā</t>
  </si>
  <si>
    <t>Energoefektivitātes paaugstināšanas pasākumu uzlabošana Madonas novada Liezēres pirmsskolas izglītības iestādē</t>
  </si>
  <si>
    <t>4.2.2.0/17/I/011</t>
  </si>
  <si>
    <t>Mērsraga novada pašvaldība</t>
  </si>
  <si>
    <t>Energoefektivitātes uzlabošanas pasākumi Mērsraga novada Tautas namā</t>
  </si>
  <si>
    <t>Naukšēnu novada pašvaldības administratīvās ēkas energoefektivitātes paaugstināšana</t>
  </si>
  <si>
    <t xml:space="preserve">4.2.2.0/17/I/006 </t>
  </si>
  <si>
    <t>Ēkas Ogrē, Parka ielā 1 siltināšana un rekonstrukcija, pielāgojot pirmsskolas izglītības iestādes vajadzībām</t>
  </si>
  <si>
    <t>20.03.2017 (iesniegts)</t>
  </si>
  <si>
    <t>Ēkas Ogrē, Upes prospektā 16 siltināšana un rekonstrukcija, pielāgojot Ogres novada Sociālā dienesta un tā struktūrvienību vajadzībām</t>
  </si>
  <si>
    <t>Olaines novada pašvaldības ēkas energoefektivitātes paaugstināšana pirmsskolas izglītības iestādes izveidei</t>
  </si>
  <si>
    <t>Olaines novada Sociālā aprūpes centra ēkas energoefektivitātes paaugstināšana</t>
  </si>
  <si>
    <t>Pļaviņu novada dome</t>
  </si>
  <si>
    <t xml:space="preserve">Pļaviņu novada pašvaldības strukturvienību ēkas  ,,Kūlīši", Pļaviņu novadā energoefektivitātes paaugstināšana. </t>
  </si>
  <si>
    <t>Preiļu novada pašvaldības ēkas energoefektivitātes uzlabošana Raiņa bulvārī 19, Preiļos</t>
  </si>
  <si>
    <t>Preiļu novada pašvaldības ēkas energoefektivitātes uzlabošana Rēzeknes ielā 26, Preiļos</t>
  </si>
  <si>
    <t>Sakstagala Jāņa Klīdzēja pamatskolas ēkas energoefektivitātes uzlabošana</t>
  </si>
  <si>
    <t>Rucavas novada pašvaldība</t>
  </si>
  <si>
    <t>Rucavas pamatskolas ēkas siltināšana</t>
  </si>
  <si>
    <t>Rundāles novada pašvaldība</t>
  </si>
  <si>
    <t>Viesturu kultūras centra ēkas energoefektivitātes paaugstināšana</t>
  </si>
  <si>
    <t>Rundāles novada domes ēkas energoefektivitātes paaugstināšana</t>
  </si>
  <si>
    <t>Salacgrīvas novada dome</t>
  </si>
  <si>
    <t>Energoefektivitātes paaugstināšana Salacgrīvas novada domes ēkā</t>
  </si>
  <si>
    <t>4.2.2.0/17/I/005</t>
  </si>
  <si>
    <t>Energoefektivitātes paaugstināšana sporta nama ēkā Jelgavas ielā 6, Saldū</t>
  </si>
  <si>
    <t>14.03.2017 (iesniegts)</t>
  </si>
  <si>
    <t>4.2.2.0/17/I/004</t>
  </si>
  <si>
    <t>Novadnieku pagasta administratīvās ēkas ar sporta zāli energoefektivitātes paaugstināšana</t>
  </si>
  <si>
    <t>24.04.2017 (Apstiprināts ar nosacījumu)</t>
  </si>
  <si>
    <t>Daudzfunkcionālās ēkas Raiņa ielā 7, Saulkrastos energoefektivitātes paaugstināšana</t>
  </si>
  <si>
    <t>Sējas novada dome</t>
  </si>
  <si>
    <t>Energoefektivitātes paaugstināšana kultūras namā "Loja", Lojā, Sējas novadā</t>
  </si>
  <si>
    <t xml:space="preserve">
Energoefektivitātes paaugstināšana PII „Pasaciņa”</t>
  </si>
  <si>
    <t xml:space="preserve"> 
Energoefektivitātes paaugstināšana PII „Vālodzīte”</t>
  </si>
  <si>
    <t>Energoefektivitātes paaugstināšana sociālā dzīvojamā mājā "Veļķi" Vecpiebalgas pagastā</t>
  </si>
  <si>
    <t>Energoefektivitātes paaugstināšana Ventspils novada Zūru pamatskolā</t>
  </si>
  <si>
    <t>Viļānu novada pašvaldība</t>
  </si>
  <si>
    <t>Sekmēt energoefektivitātes paaugstināšanu Viļānu Mūzikas un mākslas skolā</t>
  </si>
  <si>
    <t>Sekmēt energoefektivitātes paaugstināšanu Viļānu pilsētas pirmsskolas izglītības iestādē</t>
  </si>
  <si>
    <t>Videi draudzīgs sabiedriskais transports</t>
  </si>
  <si>
    <t>MK: 9. Maksimālais plānotais Kohēzijas fonda finansējums lielā projekta īstenošanai Rīgā ir 70 000 000 euro, pārējo projektu īstenošanai Daugavpilī un Liepājā maksimālais pieejamais Kohēzijas fonda finansējums vienam projektam ir 13 000 000 euro.</t>
  </si>
  <si>
    <t>4.5.1.1/16/I/002</t>
  </si>
  <si>
    <t>Rīgas satiksme</t>
  </si>
  <si>
    <t>Rīgas tramvaja infrastruktūras attīstība</t>
  </si>
  <si>
    <t>23.12.2016 (apstiprināts ar nosacījumu)</t>
  </si>
  <si>
    <t>nav projektu</t>
  </si>
  <si>
    <t>4.5.1.2.</t>
  </si>
  <si>
    <t>Videi draudzīgi autobusi</t>
  </si>
  <si>
    <t>Videi draudzīgas sabiedriskā transporta infrastruktūras attīstība</t>
  </si>
  <si>
    <t>Videi draudzīgu autobusu iegāde Jēkabpils pilsētai</t>
  </si>
  <si>
    <t>Autobusu parks Jūrmala - SV, SIA</t>
  </si>
  <si>
    <t>SIA "Rēzeknes satiksme" videi draudzīga transporta attīstība</t>
  </si>
  <si>
    <t>VTU Valmiera, SIA</t>
  </si>
  <si>
    <t>Deviņu jaunu videi draudzīgāku sabiedriskā transprta transportlīdzekļu (autobusi) iegāde</t>
  </si>
  <si>
    <t>Ventspils reiss, PSIA</t>
  </si>
  <si>
    <t>5.</t>
  </si>
  <si>
    <t>Vide un teritoriālā attīstība</t>
  </si>
  <si>
    <t>Nē</t>
  </si>
  <si>
    <t>P</t>
  </si>
  <si>
    <t>Sūkņu stacijas izbūve Lauceses upes rajonā</t>
  </si>
  <si>
    <t>Aizsargdambja būvniecība Nometņu ielas rajonā</t>
  </si>
  <si>
    <t>Jelgavas lidlauka poldera dambja rekonstrukcija plūdu draudu novēršanai</t>
  </si>
  <si>
    <t>Kompleksu pasākumu īstenošana Svētes upes caurplūdes atjaunošanai un plūdu apdraudējuma samazināšanai piegulošajās teritorijās</t>
  </si>
  <si>
    <t>Lielupes radīto plūdu un krasta erozijas risku apdraudējumu novēršanas pasākumi Dubultos–Majoros–Dzintaros</t>
  </si>
  <si>
    <t>Būnas izbūve Baltijas jūrā</t>
  </si>
  <si>
    <t>5.1.1.0/17/I/001</t>
  </si>
  <si>
    <t>Novērst plūdu un krasta erozijas risku apdraudējumu Ogres pilsētas teritorijā, veicot vecā aizsargdambja pārbūvi un jauna aizsargmola (straumvirzes) būvniecību pie Ogres upes ietekas Daugavā </t>
  </si>
  <si>
    <t>10.04.2017
(apstipriāts ar nosacījumu)</t>
  </si>
  <si>
    <t>Bolderājas pretplūdu pasākumu īstenošana</t>
  </si>
  <si>
    <t>Ventspils pilsētas pašvaldība</t>
  </si>
  <si>
    <t>Novērst plūdu un krasta erozijas risku apdraudējumu pilsētas teritorijā</t>
  </si>
  <si>
    <t>Starpību veido rezerves summa kuru novirzīs 3 kārtai, ja tā tiks piešķirta</t>
  </si>
  <si>
    <t>Novērst plūdu un krasta erozijas risku apdraudējumu Ādažu novadā</t>
  </si>
  <si>
    <t>Rezerves finansējums</t>
  </si>
  <si>
    <t>1a</t>
  </si>
  <si>
    <t>SAM līmenī nesadalītais fiansnējums par kuru lems pec snieguma rezervju piešķiršanas</t>
  </si>
  <si>
    <t>Plūdu risku samazināšana lauku teritorijās</t>
  </si>
  <si>
    <t>Metode atņemot 15% darbotos, ja fiansnējuma saņēmējs būtu norādījis kopējās projekta izmaksas, un būtu jānoņem līdzfiansējums šajā gadījumā jālūdz ZM precizēt projektu finansējumu saņēmēju prognozes.</t>
  </si>
  <si>
    <t>Jā</t>
  </si>
  <si>
    <t>V/SIA</t>
  </si>
  <si>
    <t>Brīvā nauda neatbilstības?</t>
  </si>
  <si>
    <t>Valsts nozīmes ūdensnotekas Meirānu kanāls, ŪSIK kods 4234:01, pik. 113/33-241/93 atjaunošana Ošupes, Barkavas pagastā, Madonas novadā un Murmastienes, Varakļānu pagastā, Varakļānu novadā</t>
  </si>
  <si>
    <t>Norādīt korektu FS plānoto maksājumu pieprasījumu plūsmu</t>
  </si>
  <si>
    <t>06.04.2017 (iesniegts)</t>
  </si>
  <si>
    <t>Ošas 1. poldera sūkņu stacija, Rožupes pagasts, Līvānu novads</t>
  </si>
  <si>
    <t>Ošas 2. poldera sūkņu stacija, Rožupes pagasts, Līvānu novads</t>
  </si>
  <si>
    <t>Strimina poldera sūkņu stacijas pārbūve Pelēču pagastā, Preiļu novadā</t>
  </si>
  <si>
    <t xml:space="preserve">Valsts nozīmes ūdensnotekas Īdeņas kanāls, ŪSIK kods 42344:01, pik. 00/00-148/10 atjaunošana Ošupes, Barkavas pagastā, Madonas novadā; Valsts nozīmes ūdensnotekas Vecmalta, ŪSIK kods 423444:01, pik. 00/00-37/00 atjaunošana Nagļu pagastā, Rēzeknes novadā </t>
  </si>
  <si>
    <t>Valsts nozīmes ūdensnotekas Rēzeknīte, ŪSIK kods 4234442:01, pik. 00/00-02/70 atjaunošana un zemtekas pārbūve Nagļu pagastā, Rēzeknes novadā</t>
  </si>
  <si>
    <t>Valsts nozīmes ūdensnotekas Gaujas - Daugavas kanāls, ŪSIK kods 4123427:01, pik. 00/00-31/42 pārbuve Ādažu pagastā, Ādažu novadā</t>
  </si>
  <si>
    <t>28.04.2017 
(apstiprināts)</t>
  </si>
  <si>
    <t xml:space="preserve">Bārtas kreisā krasta aizsargdambja, pik. 00/00-48/00 atjaunošana Nīcas pagastā, Nīcas novadā </t>
  </si>
  <si>
    <t>03.04.2017 (iesniegti precizējumi)</t>
  </si>
  <si>
    <t>Valsts nozīmes ūdensnotekas Durbe,  ŪSIK kods 3546:01, pik. 448/16-573/26 atjaunošana Tadaiķu un Dunalkas pagastā, Durbes novadā</t>
  </si>
  <si>
    <t>28.04.2017 (apstiprināts)</t>
  </si>
  <si>
    <t>Mazās Juglas poldera sūkņu stacijas pārbūve Stopiņu pagastā,Stopiņu novadā</t>
  </si>
  <si>
    <t xml:space="preserve">Valsts nozīmes ūdensnotekas Jogla, ŪSIK kods 5416:01, pik. 32/55-148/00; 204/10-310/55 atjaunošana Staiceles, Alojas un Brīvzemnieku pagastā, Alojas novadā </t>
  </si>
  <si>
    <t>Valsts nozīmes ūdensnotekas Bolupe, ŪSIK kods 4254:01, pik. 444/00-671/50  atjaunošana Kubulu, Vīksnas, Bērzkalnes pagastā, Balvu novadā, Susāju, Kupravas, Žīguru pagastā, Viļakas novadā un Liepnas pagastā, Alūksnes novadā</t>
  </si>
  <si>
    <t>Malmutas ūdensnoteka PIK 00/00 - 234/06, Dekšāres pagastā Viļānu novadā, Varakļānu pagastā Varakļānu novadā, Sīļukalna pagastā Riebiņu novadā</t>
  </si>
  <si>
    <t>Valsts nozīmes ūdensnotekas Iecava, ŪSIK kods 384:01, pik. 13/70-197/90 atjaunošana Jelgavas pilsētā un Jelgavas, Ozolnieku novadā</t>
  </si>
  <si>
    <t>Valsts nozīmes ūdensnotekas Iecava, ŪSIK kods 384:01, pik. 197/90-396/50 atjaunošana Jelgavas, Ozolnieku novadā</t>
  </si>
  <si>
    <t xml:space="preserve">Valsts nozīmes ūdensnotekas Vircava, ŪSIK kods 38532:01, pik. 08/00-128/30; pik. 343/50-359/80; pik. 384/60-416/00  atjaunošana Jelgavas pilsētā un Jaunsvirlaukas,  Vircavas, Elejas, Sesavas pagastā, Jelgavas novadā </t>
  </si>
  <si>
    <t xml:space="preserve"> Valsts nozīmes ūdensnotekas Papes kanāls atjaunošana, ŪSIK kods 338:01, pik 00/00 - 10/14,atjaunošana  Rucavas pagasts, Rucavas novads,</t>
  </si>
  <si>
    <t>Silzemnieku poldera Sūkņu stacijas  pārbūve Burtnieku pagastā, Valmieras novadā,</t>
  </si>
  <si>
    <t xml:space="preserve">Valsts nozīmes ūdensnotekas Misa, ŪSIK kods 3842:01 atjaunošana Ozolnieku, Iecavas, Bauskas un Kekavas novadā </t>
  </si>
  <si>
    <t xml:space="preserve">Dziļaunes poldera sūkņu stacija pārbūve Balvu novads </t>
  </si>
  <si>
    <t xml:space="preserve">Kapūnes poldera aizsargdambja atjaunošana Balvu novads </t>
  </si>
  <si>
    <t>Vēžu poldera sūkņu stacijas pārbūve Salas novadā</t>
  </si>
  <si>
    <t xml:space="preserve">Valsts nozīmes ūdensnotekas Platone ŪSIK kods 3852:01atjaunošana Jelgavas novadā </t>
  </si>
  <si>
    <t>Valsts nozīmes ūdensnotekas Meirānu kanāls, PIK 00/00 - 113/33 atjaunošana Madonas novads Ošupes un Barkavas pagasti</t>
  </si>
  <si>
    <t>Valsts nozīmes ūdensnotekas Dubna ŪSIK kods 432:01  Līvānu, Vārkavas novadā atjaunošana</t>
  </si>
  <si>
    <t xml:space="preserve">Valsts nozīmes ūdensnoteka Pededzes kanāls ŪSIK kods 424:01 atjaunošana Lubānas novadā </t>
  </si>
  <si>
    <t>Valgundes 1. Vasaras poldera sūkņu stacijas pārbūve Jelgavas novadā</t>
  </si>
  <si>
    <t>Ratnieku - Bitesleju poldera sūkņu stacijas pārbūve Babītes pagastā</t>
  </si>
  <si>
    <t>Jāņupītes poldera sūkņu stacijas pārbūve Babītes novadā</t>
  </si>
  <si>
    <t>Upatu poldera aizsargdambja atjaunošana Ventspils novadā</t>
  </si>
  <si>
    <t>Valsts nozīmes ūdensnotekas Tosele ŪSIK kods 34282:01 atjaunošana Nīcas novadā</t>
  </si>
  <si>
    <t xml:space="preserve">Valsts nozīmes ūdensnotekas Iča ŪSIK kods 426:01 atjaunošana Balvu novadā </t>
  </si>
  <si>
    <t>PU</t>
  </si>
  <si>
    <t>06.04.2017 (nav PMPIG)</t>
  </si>
  <si>
    <t>31.01.2017 (apstiprināts ar nosacījumu)</t>
  </si>
  <si>
    <t>5.3.1.0/16/I/008</t>
  </si>
  <si>
    <t>Ķekavas nami, SIA</t>
  </si>
  <si>
    <t>„Ūdenssaimniecības pakalpojumu attīstība Ķekavā, 4. kārta”</t>
  </si>
  <si>
    <t>13.04.2017 (nav PMPIG)</t>
  </si>
  <si>
    <t>FS snieguši prognozes par mazāku finansējumu nekā pieejams - jālūdz precizēt prognozes vai sniegt skaidrojumu par tālāko izlietojumu</t>
  </si>
  <si>
    <t>5.3.1.0/16/I/012</t>
  </si>
  <si>
    <t>Olaines ūdens un siltums, AS</t>
  </si>
  <si>
    <t>Ūdenssaimniecības attīstība Olaines pilsētā II kārta</t>
  </si>
  <si>
    <t>31.03.2017 (iesniegti precizējumi)</t>
  </si>
  <si>
    <t>5.3.1.0/16/I/015</t>
  </si>
  <si>
    <t>Saldus komunālserviss, SIA</t>
  </si>
  <si>
    <t xml:space="preserve">Saldus ūdenssaimniecības attīstības III kārta </t>
  </si>
  <si>
    <t>5.3.1.0/16/I/009</t>
  </si>
  <si>
    <t>Tukuma ūdens, SIA</t>
  </si>
  <si>
    <t>Ūdenssaimniecības pakalpojumu attīstība Tukumā, II kārta</t>
  </si>
  <si>
    <t>03.04.2017 (nav PMPIG)</t>
  </si>
  <si>
    <t>5.3.1.0/16/I/013</t>
  </si>
  <si>
    <t>Valmieras ūdens, SIA</t>
  </si>
  <si>
    <t>Ūdenssaimniecības pakalpojumu attīstība Valmieras aglomerācijā 3. kārta</t>
  </si>
  <si>
    <t>06.04.2017 (apstiprināts ar nosacījumu 2)</t>
  </si>
  <si>
    <t>Kārtas pārpalikums</t>
  </si>
  <si>
    <t>Aizputes komunālais uzņēmums, SIA</t>
  </si>
  <si>
    <t>Kanalizācijas sistēmas sakārtošana Aizputē</t>
  </si>
  <si>
    <t>Alūksne, SIA "Rūpe"</t>
  </si>
  <si>
    <t>Ūdenssaimniecības pakalpojumu attīstība Alūksnē, III kārta</t>
  </si>
  <si>
    <t xml:space="preserve">Auce, SIA "Auces komunālie pakalpojumi" </t>
  </si>
  <si>
    <t xml:space="preserve">Kanalizācijas tīklu pārbūve un paplašināšana Aucē </t>
  </si>
  <si>
    <t>Ādažu Ūdens, SIA</t>
  </si>
  <si>
    <t xml:space="preserve">Ūdenssaimniecības pakalpojumu attīstība Ādažos, III kārta     </t>
  </si>
  <si>
    <t>Baldone, SIA "BŪKS"</t>
  </si>
  <si>
    <t>„Ūdenssaimniecības infrastruktūras attīstība Baldones pilsētā”</t>
  </si>
  <si>
    <t>Baložu komunālā saimniecība, SIA</t>
  </si>
  <si>
    <t>Ūdenssaimniecības pakalpojumu attīstība Baložos, III kārta</t>
  </si>
  <si>
    <t xml:space="preserve">Baltezers, SIA "Garkalnes ūdens" </t>
  </si>
  <si>
    <t>"Ūdenssaimniecības pakalpojumu attīstība Baltezerā, 2.kārta"</t>
  </si>
  <si>
    <t>Balvu novada pašvaldības aģentūra SAN-TEX</t>
  </si>
  <si>
    <t>„Balvu ūdenssaimniecības attīstība, III kārta"</t>
  </si>
  <si>
    <t xml:space="preserve">Bauska, SIA "Bauskas ūdens" </t>
  </si>
  <si>
    <t>Bauskas ūdenssaimniecības attīstība III kārta</t>
  </si>
  <si>
    <t>Brocēnu Siltums, SIA</t>
  </si>
  <si>
    <t>"Ūdenssaimniecības attīstība Brocēnos, 2. kārta"</t>
  </si>
  <si>
    <t>Carnikavas Komunālserviss, P/A</t>
  </si>
  <si>
    <t>Ūdenssaimniecības pakalpojumu attīstība Carnikavā, III kārta</t>
  </si>
  <si>
    <t xml:space="preserve">Dundaga, SIA «Ziemeļkurzeme» </t>
  </si>
  <si>
    <t>Ūdenssaimniecības pakalpojumu attīstība Dundagā, II kārta</t>
  </si>
  <si>
    <t>Iecava SIA „Dzīvokļu komunālā saimniecība”</t>
  </si>
  <si>
    <t>“Ūdenssaimniecības pakalpojumu attīstība Iecavas novadā II kārta”</t>
  </si>
  <si>
    <t>Ikšķiles māja, PSIA</t>
  </si>
  <si>
    <t xml:space="preserve">"Ikšķiles ūdenssaimniecības attīstības II kārta" </t>
  </si>
  <si>
    <t>Īslīces ūdens, SIA</t>
  </si>
  <si>
    <t>Būvdarbi "Kanalizācijas tīklu paplašināšana Īslīces pagasts Bērzkalnu un Rītausmas ciemos"</t>
  </si>
  <si>
    <t>Jaunolaine, SIA „Zeiferti”</t>
  </si>
  <si>
    <t>Ūdenssaimniecības attīstība Jaunolaines lielciemā  III kārta</t>
  </si>
  <si>
    <t>Jaunpiebalga, Jaunpiebalgas komunālā saimniecība</t>
  </si>
  <si>
    <t>Kandavas komunālie pakalpojumi, SIA</t>
  </si>
  <si>
    <t>“Attīstīt un uzlabot ūdensapgādes un kanalizācijas sistēmas pakalpojumu kvalitāti un nodrošināt pieslēgšanas iespējas Kandavas pilsētā”</t>
  </si>
  <si>
    <t>Kārsavas namsaimnieks, SIA</t>
  </si>
  <si>
    <t>Ķegums, SIA „Ķeguma stars”</t>
  </si>
  <si>
    <t>Ūdenssaimniecības attīstība Ķeguma pašvaldībā</t>
  </si>
  <si>
    <t>Lielvārdes Remte, SIA</t>
  </si>
  <si>
    <t>Līvāni, SIA Līvānu dzīvokļu un komunālā saimniecība</t>
  </si>
  <si>
    <t>Ludzas apsaimniekotājs, SIA</t>
  </si>
  <si>
    <t xml:space="preserve">Ūdenssaimniecības pakalpojumu attīstība Ludzas pilsētā </t>
  </si>
  <si>
    <t>Malta, PSIA''Maltas DzKSU''</t>
  </si>
  <si>
    <t>'Ūdenssaimniecības attīstība Maltā III kārta''</t>
  </si>
  <si>
    <t>Ozolnieku KSDU</t>
  </si>
  <si>
    <t>Ūdenssaimniecības attīstība Ozolnieku pagastā, Ozolnieku novadā</t>
  </si>
  <si>
    <t>Pļaviņas, SIA "Pļaviņu Komunālie pakalpojumi"</t>
  </si>
  <si>
    <t xml:space="preserve">Preiļi, SIA "PREIĻU NAMSAIMNIEKS" </t>
  </si>
  <si>
    <t>Ūdenssaimniecības attīstība Preiļu novada Preiļu pilsētā</t>
  </si>
  <si>
    <t>Priekules nami, SIA</t>
  </si>
  <si>
    <t xml:space="preserve">SAM 5.3.1. “Attīstīt un uzlabot ūdensapgādes un kanalizācijas sistēmas pakalpojumu kvalitāti un nodrošināt pieslēgšanas iespējas” </t>
  </si>
  <si>
    <t>Rojas DzKU, SIA</t>
  </si>
  <si>
    <t>Ūdenssaimniecības attīstība Rojā, III kārta</t>
  </si>
  <si>
    <t>Pašvaldības SIA Rūjienas siltums</t>
  </si>
  <si>
    <t>Ūdenssaimniecības pakalpojumu attīstība Rūjienā, II kārta</t>
  </si>
  <si>
    <t>Salacgrīvas ūdens, SIA</t>
  </si>
  <si>
    <t>Ūdenssaimniecības infrastruktūras attīstība Salacgrīvas pilsētā 3.kārta</t>
  </si>
  <si>
    <t>Saulkrasti</t>
  </si>
  <si>
    <t>Smiltenes NKUP, SIA</t>
  </si>
  <si>
    <t>Ūdensapgādes un kanalizācijas tīklu paplašināšana Smiltenē 3. kārta</t>
  </si>
  <si>
    <t>Talsu ūdens, SIA (Stende)</t>
  </si>
  <si>
    <t>Stendes pilsētas ūdenssaimniecības attīstības projekts, II kārta</t>
  </si>
  <si>
    <t>Valka, Valkas novada pašvaldība</t>
  </si>
  <si>
    <t>„Ūdenssaimniecības pakalpojumu attīstība Valkā, III kārta”</t>
  </si>
  <si>
    <t>Viļāni, Viļānu namsaimnieks</t>
  </si>
  <si>
    <t>Viļānu ūdenssaimniecības attīstības 4.kārta</t>
  </si>
  <si>
    <t>nav projekti</t>
  </si>
  <si>
    <t xml:space="preserve">Rodās pārpalikums kārtas ietvarā, jo 2 pašvaldības atteicās realizēt projektus </t>
  </si>
  <si>
    <t>Daugavpils ūdens, SIA</t>
  </si>
  <si>
    <t>Ūdensapgādes un kanalizācijas sistēmas attīstība Judovkas rajonā, Daugavpilī</t>
  </si>
  <si>
    <t>Rīga, SIA “Rīgas ūdens”</t>
  </si>
  <si>
    <t>Ūdensvada un kanalizācijas tīkla paplašināšana Imantā, Berģos (Rīgas pilsētas administratīvajā teritorijā) un Beberbeķos</t>
  </si>
  <si>
    <t>norādīts kārtai piešķirtais finansējums, jo projekti vēl nav zināmi</t>
  </si>
  <si>
    <t>Vides monitorings un vides risku novēršana</t>
  </si>
  <si>
    <t>5.4.2.2.</t>
  </si>
  <si>
    <t>Vides monitorings</t>
  </si>
  <si>
    <t>piešķirtais finansējums pārbaudīts pret MKN - summas sakrīt
Projekta "Pasākumi gaisa un klimata pārmaiņu, ūdeņu, zemes monitoringa programmās noteikto uzdevumu īstenošanai" 2 daļa (LVĢMC), īstenošanai pēc 2018. gada 31. decembra pieejamais finansējums, ja saņemts Eiropas Komisijas pozitīvs lēmums par snieguma ietvara izpildi. Max KF finansējums 1 333 895 euro darbības "Papildu pasākumi ūdeņu monitoringa programmā noteikto uzdevumu īstenošanai" ietvaros.</t>
  </si>
  <si>
    <t>Latvijas vides aizsardzības fonda administrācija</t>
  </si>
  <si>
    <t xml:space="preserve">Tehniskā nodrošinājuma iegāde un infrastruktūras attīstība vides kontroles veikšanai </t>
  </si>
  <si>
    <t>Valsts vides monitoringa programmu un kontroles sistēmas attīstība un sabiedrības līdzdalības veicināšana, pilnveidojot nacionālas nozīmes vides informācijas un izglītības centru infrastruktūru</t>
  </si>
  <si>
    <t>Vides monitoringa un kontroles sistēmas attīstība</t>
  </si>
  <si>
    <t>otra karta</t>
  </si>
  <si>
    <t>Projekta 2 daļa, kuras darbības ieplānotas pēc lēmuma par snieguma rezerves piešķiršanu.</t>
  </si>
  <si>
    <t>5.4.3.</t>
  </si>
  <si>
    <t>Biotopu un sugu aizsardzība</t>
  </si>
  <si>
    <t>0.5.4.3.</t>
  </si>
  <si>
    <t>5.5.1.</t>
  </si>
  <si>
    <t>Ieguldījumi kultūras un dabas mantojumā</t>
  </si>
  <si>
    <t>Atlikums no kārtām tiks sadalīts pēc snieguma ietvara lēmuma</t>
  </si>
  <si>
    <t>0.5.5.1.</t>
  </si>
  <si>
    <t>MK 20.12.2016. rīkojumā Nr.779 1.k. kopējais fiansējums ar snieguma rezervi: 20 150 000; bez snieguma rezerves: 18 920 850
MK noteikumos 1.k. plānotais: 20 190 555; pieejamais: 18 959 027
Atlikums veidojas  no snieguma rezerves+starpības starp rīkojumu un MK noteikumos apstiprināto summu</t>
  </si>
  <si>
    <t>Kultūra, vēsture, arhitektūra Gaujas un laika lokos (projekta idejas nosaukums)</t>
  </si>
  <si>
    <t>ERAF finansējums bez snieguma rezerves atbilstoši  MK 20.12.2016. rīkojumam Nr.779</t>
  </si>
  <si>
    <t>Kuldīgas novada dome</t>
  </si>
  <si>
    <t>Jēkaba ceļa kultūras mantojuma un mākslas jaunrades magnēti (projekta idejas nosaukums)</t>
  </si>
  <si>
    <t xml:space="preserve">Rīteiropas vērtības </t>
  </si>
  <si>
    <t>31,07,17</t>
  </si>
  <si>
    <t>Nozīmīga kultūrvēsturiskā mantojuma saglabāšana un attīstība kultūras tūrisma piedāvājuma pilnveidošanai Zemgales reģionā (projekta idejas nosaukums)</t>
  </si>
  <si>
    <t>Alūksnes novada dome</t>
  </si>
  <si>
    <t>Gaismas ceļš caur gadsimtiem</t>
  </si>
  <si>
    <t xml:space="preserve"> Jēkabpils pilsētas dome</t>
  </si>
  <si>
    <t>Kultūras mantojuma saglabāšana un attīstība Daugavas ceļā (projekta idejas nosaukums)</t>
  </si>
  <si>
    <t>MK 20.12.2016. rīkojumā Nr.779 2.k. kopējais fiansējums ar snieguma rezervi: 14 975 868; bez snieguma rezerves: 14 062 340
MK noteikumos 2.k. plānotais: 15 000 000; pieejamais: 14 085 071
Atlikums veidojas  no snieguma rezerves+starpības starp rīkojumu un MK noteikumos apstiprināto summu</t>
  </si>
  <si>
    <t>Liepājas pilsētas dome</t>
  </si>
  <si>
    <t>Dienvidkurzemes piekrastes mantojums cauri gadsimtiem (projekta idejas nosaukums)</t>
  </si>
  <si>
    <t xml:space="preserve"> Jūrmalas pilsētas dome</t>
  </si>
  <si>
    <t>Jaunu dabas un kultūras tūrisma pakalpojumu radīšana Rīgas jūras līča rietumu piekrastē (projekta idejas nosaukums)</t>
  </si>
  <si>
    <t>Ventspils pilsētas pašvaldības iestāde Ventspils muzejs</t>
  </si>
  <si>
    <t>Ziemeļkurzemes kultūrvēsturis-kā un dabas mantojuma saglabāšana, eksponēšana un tūrisma piedāvājuma attīstība (projekta idejas nosaukums)</t>
  </si>
  <si>
    <t>Vidzemes piekrastes kultūras un dabas mantojuma iekļaušana tūrisma pakalpojumu izveidē un attīstībā – "Saviļņojošā Vidzeme" (projekta idejas nosaukums)</t>
  </si>
  <si>
    <t>Ieguldījumi kultūras un dabas mantojumā(nav izlotojuma)</t>
  </si>
  <si>
    <t>2a</t>
  </si>
  <si>
    <t>MK noteikumos plānotais: 80 382 791; pieejamais:75 479 823
Atlikums veidojas no snieguma rezerves</t>
  </si>
  <si>
    <t>24.04.2017 (Apstiprināts)</t>
  </si>
  <si>
    <t>06.04.2017 (Iesniegts)</t>
  </si>
  <si>
    <t>Valsts nekustamie īpašumi, VAS</t>
  </si>
  <si>
    <t>VAS</t>
  </si>
  <si>
    <t>Šķirotavas apkaimes teritorijas revitalizācijas stratēģija (stratēģijas nosaukums)</t>
  </si>
  <si>
    <t>Rīgas pilsētas Brasas apkaimes un Centra apkaimes perifērijas revitalizācija (stratēģijas nosaukums)</t>
  </si>
  <si>
    <t>Koncertzāle</t>
  </si>
  <si>
    <t>ERAF finansējums bez snieguma rezerves</t>
  </si>
  <si>
    <t>Daugavpils pilsētas Križu rūpnieciskās teritorijas publiskās infrastruktūras attīstība</t>
  </si>
  <si>
    <t>Ražošanai nozīmīgas publiskās infrastruktūras sakārtošana Spaļu ielā, Ziemeļu rūpnieciskajā zonā</t>
  </si>
  <si>
    <t>Daugavpils pilsētas Ziemeļu rūpnieciskās zonas publiskās infrastruktūras attīstība II kārta</t>
  </si>
  <si>
    <t xml:space="preserve">Tehniskās infrastruktūras sakārtošana uzņēmējdarbības attīstībai degradētā teritorijā </t>
  </si>
  <si>
    <t>Bijušā lidlauka teritorijas revitalizācija, inženiertehniskās infrastruktūras un pievedceļu sakārtošana un izveide</t>
  </si>
  <si>
    <t>Noskaidrot, kādēļ plāno izlietot mazāk finansējumu vai ir plānots papildu projekts par atlikušo finansējumu</t>
  </si>
  <si>
    <t>23.12.2016 (iesniegts)</t>
  </si>
  <si>
    <t>07.04.2017 (apstiprināts ar nosacījumu)</t>
  </si>
  <si>
    <t>Degradētās teritorijas revitalizācija uzņēmējdarbības attīstībai Jēkabpilī</t>
  </si>
  <si>
    <t>Ķemeru parka pārbūve un restaurācija</t>
  </si>
  <si>
    <t xml:space="preserve">Ceļu infrastruktūras atjaunošana un autostāvvietas izbūve Ķemeros </t>
  </si>
  <si>
    <t>Daudzfunkcionāla, interaktīva dabas tūrisma objekta izveide Ķemeros</t>
  </si>
  <si>
    <t>Ielu infrastruktūras atjaunošana Ķemeros</t>
  </si>
  <si>
    <t>Noņemta rezerve realizēs, ja piešķirs rezervi</t>
  </si>
  <si>
    <t>Pamatinfrastruktūras nodrošināšana uzņēmējdarbības veicināšanai, revitalizējot degradēto teritoriju Liepājā</t>
  </si>
  <si>
    <t>Degradēto teritoriju revitalizācija uzņēmējdarbības vajadzībām, Liepājā</t>
  </si>
  <si>
    <t>Radošo industriju attīstība, veicinot kultūrā un radošumā balstītu uzņēmējdarbību Dārza ielā, Liepājā</t>
  </si>
  <si>
    <t>Degradēto teritoriju revitalizācija un uzņēmējdarbības pamatinfrastruktūras izveide kūrorta zonā Liepājā</t>
  </si>
  <si>
    <t>Piejūras degradēto teritoriju revitalizācija un uzņēmējdarbības pamatinfrastruktūras izveide kūrorta objektos Liepājā</t>
  </si>
  <si>
    <t>5.6.2.0/17/I/002</t>
  </si>
  <si>
    <t>Uzņēmējdarbību veicinošās infrastruktūras izveide rūpniecisko teritoriju atjaunošanai Rēzeknes pilsētas Ziemeļu rajona Rēzeknes speciālās ekonomiskās zonas teritorijā </t>
  </si>
  <si>
    <t>15.02.2017 (iesniegts)</t>
  </si>
  <si>
    <t>Atbalsts komerdarbības attīstībai, izveidojot Kovšu ezera parka darbībai nepieciešamo publisko infrastruktūru. Apļveida krustojuma izbūve brīvības un Viļānu ielas krustojumā, Brīvības un Ezera ielu posmu  atjaunošana; Kovšu ezera parka būvniecība.</t>
  </si>
  <si>
    <t>Publiskās infrastruktūras izveide viesnīcas uzņēmējdarbības attīstībai. Viesnīcas būvniecība.</t>
  </si>
  <si>
    <t>Degradēto teritoriju atjaunošana, izveidojot biznesa centru un ražošanai paredzēto publisko infrastruktūru Bij. Katlu mājas atbrīvošanas alejā 155a, Rēzeknē atjaunošana un pārbūve, izveidojot biznesa centru un ražošanai paredzēto publisko infrastruktūru; Rūpnīcas ielas posma rekonstrukcija, pievadceļu un stāvlaukumu izbūve.</t>
  </si>
  <si>
    <t>Rīgas Centrāltirgus kvartāla degradētās teritorijas revitalizācija 1.kārta *</t>
  </si>
  <si>
    <t>Skanstes teritorijas revitalizācijas 1.kārta</t>
  </si>
  <si>
    <t>Uzņēmējdarbības attīstību veicinošas satiksmes un inženierkomunikāciju infrastruktūras izbūve un pārbūve pilsētas D un DA industriālās teritorijas attīstībai</t>
  </si>
  <si>
    <t>Teritorijas pilsētas DA revitalizācija - Valmieras industriālā parka izveide</t>
  </si>
  <si>
    <t xml:space="preserve">Notiek pārdales </t>
  </si>
  <si>
    <t>Investīciju piesaiste un līdzdalība veselības veicināšanas pakalpojumu centra izveidei Alūksnes pilsētā</t>
  </si>
  <si>
    <t>Teritorijas revitalizācija uzņēmējdarbības attīstībai Alūksnes pilsētā</t>
  </si>
  <si>
    <t>Lūgt FS iesniegt  projekta finansējuma plānu atbilstoši piešķirtajam  finansējumam</t>
  </si>
  <si>
    <t>Industriālās teritorijas attīstība revitalizējot īpašumus Balvu novadā</t>
  </si>
  <si>
    <t>Bauskas industriālās teritorijas attīstība, reģenerējot degradētās teritorijas</t>
  </si>
  <si>
    <t>Teritorijas revitalizācija Gailīšu pagastā,  rekonstruējot vietējā autoceļa  posmu</t>
  </si>
  <si>
    <t>Teritorijas revitalizācija Codes pagastā,  rekonstruējot vietējā autoceļa posmu</t>
  </si>
  <si>
    <t>Brīvības bulvāra revitalizācija uzņēmējdarbības attīstībai</t>
  </si>
  <si>
    <t>Bauskas vecpilsētas daļas revitalizācija  tūrisma un uzņēmējdarbības attīstībai</t>
  </si>
  <si>
    <t>Teritorijas revitalizācija Bauskas pilsētas Ziemeļu aglomerācijā</t>
  </si>
  <si>
    <t>19.04.2017 (apstiprināts)</t>
  </si>
  <si>
    <t xml:space="preserve">Degradeto teritoriju revitalizācija Cēsu novadā 2. kārta </t>
  </si>
  <si>
    <t xml:space="preserve">Degradeto teritoriju revitalizācija Cēsu novadā 3. kārta </t>
  </si>
  <si>
    <t>5.6.2.0/16/I/019</t>
  </si>
  <si>
    <t>Dobeles pilsētas degradētās rūpnieciskās apbūves teritorijas revitalizācija (1.posms)</t>
  </si>
  <si>
    <t>5.6.2.0/16/I/023</t>
  </si>
  <si>
    <t>Dobeles pilsētas degradētās rūpnieciskās apbūves teritorijas revitalizācija (2.posms)</t>
  </si>
  <si>
    <t>29.03.2017 (iesniegti precizējumi)</t>
  </si>
  <si>
    <t>Lūgt FS iesniegt informāciju, ko plāno darīt ar atlikušo finansējumu.</t>
  </si>
  <si>
    <t>Atlikums fiansējumam</t>
  </si>
  <si>
    <t>Ceļu un citas nepieciešamās infrastruktūras nodrošināšana darbavietu radīšanai un privāto investīciju piesaistei Krāslavas novadā I (20.2.)</t>
  </si>
  <si>
    <t>Krāslavas pašvaldībai SAM 5.6.2.  2. kārtā finansējums lielāks kā piešķirtais par  1 000 000 - rezerve lūgums noslkaidrot no pašvaldības ar ko izskaidrojams šāds finansējums</t>
  </si>
  <si>
    <t>Pašvaldības īpašumā esošo degradēto teritoriju sakārtošana darbavietu radīšanai un privāto investīciju piesaistei I (20.3.)</t>
  </si>
  <si>
    <t>Ražošanas zonas izveide Indras un Latgales ielās Krāslavā, II kārta (20.4.)</t>
  </si>
  <si>
    <t>Loģistikas parka attīstība I kārta (20.5.)</t>
  </si>
  <si>
    <t>Pašvaldības īpašumā esošo degradēto teritoriju rekonstrukcija darbavietu radīšanai un privāto investīciju piesaistei Krāslavas novadā II (20.6.)</t>
  </si>
  <si>
    <t>Ceļu un citas nepieciešamās infrastruktūras nodrošināšana darbavietu radīšanai un privāto investīciju piesaistei Krāslavas novadā II (20.7.)</t>
  </si>
  <si>
    <t>Kuldīgas pilsētas dienvidu daļas degradēto teritoriju infrastruktūras sakārtošana uzņēmējdarbības attīstībai</t>
  </si>
  <si>
    <t>Kuldīgas pilsētas Rietumu daļas degradēto teritoriju infrastruktūras sakārtošana industriālajai attīstībai</t>
  </si>
  <si>
    <t>Atlikušais finansējums 3 projektam</t>
  </si>
  <si>
    <t>Degradētās teritorijas revitalizācija Limbažu pilsētas ZA daļā, izbūvējot ražošanas telpas</t>
  </si>
  <si>
    <t>Degradētās teritorijas revitalizācija Limbažu pilsētas ZR daļā, izbūvējot ražošanas telpas</t>
  </si>
  <si>
    <t>Degradētās teritorijas revitalizācija Limbažu pilsētas ZA daļā, uzlabojot pieejamību</t>
  </si>
  <si>
    <t>Degradētās teritorijas revitalizācija Limbažu pagastā, izbūvējot ražošanas telpas</t>
  </si>
  <si>
    <t>Degradētās teritorijas revitalizācija Limbažu pagastā, uzlabojot pieejamību</t>
  </si>
  <si>
    <t>Degradētās teritorijas revitalizācija Katvaru pagasta Pociemā</t>
  </si>
  <si>
    <t>Limbažu pilsētas A daļas degradēto teritoriju revitalizēšana, uzlabojot pieejamību</t>
  </si>
  <si>
    <t>Bijušās ražošanas teritorijas Limbažu pilsētas Z daļā revitalizēšana, izbūvējot ražošanas telpas</t>
  </si>
  <si>
    <t>Degradētās teritorijas revitalizācija Limbažu pilsētas A daļā, izbūvējot ražošanas telpas</t>
  </si>
  <si>
    <t>Lādezera ciemata revitalizācija</t>
  </si>
  <si>
    <t>17.02.2017 (apstiprināts ar nosacījumu)</t>
  </si>
  <si>
    <t>Līvānu novada pašvaldības uzņēmuma SIA “Līvānu siltums” teritorijas pielāgošana jaunu uzņēmumu izvietošanai un uzņēmējdarbības attīstības veicināšanai Līvānu industriālajā zonā.</t>
  </si>
  <si>
    <t>Līvānu novada pašvaldības uzņēmuma SIA “Līvānu siltums” teritorijas pielāgošana jaunu uzņēmumu izvietošanai un uzņēmējdarbības attīstības veicināšanai Līvānu industriālajā zonā</t>
  </si>
  <si>
    <t>Uzņēmējdarbības veicinošās infrastruktūras izveide rūpniecisko teritoriju atjaunošanai Ludzas pilsētā</t>
  </si>
  <si>
    <t>Degradētās teritorijas revitalizācija un ražošanas zonas izveide Ludzas pilsētā</t>
  </si>
  <si>
    <t>5.6.2.0/16/I/011</t>
  </si>
  <si>
    <t>Ielu pārbūve un lietus ūdeņu novades sistēmas izbūve industriālā teritorijā Sauleskalnā, Madonas novadā’’</t>
  </si>
  <si>
    <t>5.6.2.0/16/I/015</t>
  </si>
  <si>
    <t>Ceļa posma Madonas šoseja- Saukaspurvs A11 pārbūve Barkavas pagastā, Madonas novadā’</t>
  </si>
  <si>
    <t xml:space="preserve"> Madonas biznesa attīstības centra izveide, pārbūvējot degeradētu ēku.</t>
  </si>
  <si>
    <t xml:space="preserve">Industriālās zonas un uzņēmējdarbības infrastruktūras izveide Madonā, Saules ielā 68, revitalizējot degradēto teritoriju 10 Ha platībā. </t>
  </si>
  <si>
    <t>Smilšu un Avotu ielas pārbūve, izbūvējot piekļuves ceļu uzņēmumiem</t>
  </si>
  <si>
    <t xml:space="preserve">Degradētās teritorijas Akmeņu ielā 74, Ogrē revitalizācija uzņēmējdarbības attīstībai </t>
  </si>
  <si>
    <t>5.6.2.0/16/I/013</t>
  </si>
  <si>
    <t>Preiļu novada uzņēmējdarbības vides infrastruktūras attīstība</t>
  </si>
  <si>
    <t>5.6.2.0/16/I/007</t>
  </si>
  <si>
    <t xml:space="preserve"> Publiskās infrastruktūras kvalitātes uzlabošana pašvaldības autoceļa "Gaļas kombināts-Straumēni" teritorijā.</t>
  </si>
  <si>
    <t>28.04.2017 (iesniegti prcizējumi)</t>
  </si>
  <si>
    <t>Saldus sabiedriskā un vēsturiskā centra revitalizācija uzņēmējdarbības attīstībai.</t>
  </si>
  <si>
    <t>5.6.2.0/17/I/001</t>
  </si>
  <si>
    <t>Uzņēmējdarbības vides attīstība Saldus pilsētas centrālās daļas teritorijā.</t>
  </si>
  <si>
    <t>30.01.2017 (iesniegts)</t>
  </si>
  <si>
    <t>Uzņēmējdarbības vides attīstība Saldus pilsētas Dienvidu daļā, pārbūvējot publisko infrastruktūru</t>
  </si>
  <si>
    <t>Uzņēmējdarbības vides attīstība Saldus pilsētas Ziemeļu daļā, pārbūvējot publisko infrastruktūru</t>
  </si>
  <si>
    <t xml:space="preserve"> Teritorijas revitalizācija Saldus pilsētas Dienvidrietumu ražošanas teritorijā. </t>
  </si>
  <si>
    <t>07.03.2017 (apstiprināts ar nosacījumu)</t>
  </si>
  <si>
    <t>Smiltenes pilsētas degradēto teritoriju revitalizācija, I.kārta</t>
  </si>
  <si>
    <t>Smiltenes pilsētas degradēto teritoriju revitalizācija, II.kārta</t>
  </si>
  <si>
    <t>Smiltenes pilsētas publiskās infrastruktūras sakārtošana  uzņēmējdarbības vides uzlabošanai, I.kārta</t>
  </si>
  <si>
    <t>Smiltenes pilsētas publiskās infrastruktūras sakārtošana  uzņēmējdarbības vides uzlabošanai, II.kārta</t>
  </si>
  <si>
    <t>Autoceļa posma  Smiltene-Rauziņa  infrastruktūras rekonstrukcija uzņēmējdarbības vides uzlabošanai</t>
  </si>
  <si>
    <t>brīvs finansējums Smiltenei</t>
  </si>
  <si>
    <t>Talsu pilsētas tirgus pārbūve</t>
  </si>
  <si>
    <t>Stendes pilsētas industriālās teritorijas revitalizācija</t>
  </si>
  <si>
    <t>Degradētās teritorijas sakārtošana zonā Lauktehnika - Tukums II (Stacijas-Mārtiņa-Kandavas ielas; Vilkājas-Purva ielas)</t>
  </si>
  <si>
    <t>13.04.2017 (iesniegti precizējumi 2)</t>
  </si>
  <si>
    <t>Degradētās teritorijas sakārtošana Jauntukuma mikrorajonā (Slocenes iela)</t>
  </si>
  <si>
    <t>Tukumam brīvs fiansnējums</t>
  </si>
  <si>
    <t>20.01.2017 (apstiprināts ar nosacījumu)</t>
  </si>
  <si>
    <t>Degradētās teritorijas atjaunošana uzņēmējdarbības attīstībai</t>
  </si>
  <si>
    <t>Ražošanas teritorijas izveidošana atjaunojot degradēto teritoriju Karķu pagastā</t>
  </si>
  <si>
    <t>Uzņēmējdarbībai nozīmīgas infrastruktūras attīstība Alūksnes pilsētā</t>
  </si>
  <si>
    <t>Uzņēmējdarbības attīstība Austrumu pierobežā</t>
  </si>
  <si>
    <t>5.6.2.0/17/I/003</t>
  </si>
  <si>
    <t xml:space="preserve">Degradēto rūpniecisko teritoriju reģenerācija Daugavpils pilsētas un Daugavpils novada teritorijās </t>
  </si>
  <si>
    <t>12.04.2017 (iesniegts)</t>
  </si>
  <si>
    <t>Norādītas projekta kopējās izmaksas lūgums precizēt MP atbilstoši</t>
  </si>
  <si>
    <t>Norādītas projekta kopējās izmaksas lūgums precizēt.</t>
  </si>
  <si>
    <t>Degradēto rūpniecisko teritoriju reģenerācija Daugavpils pilsētas un Ilūkstes novada teritorijās</t>
  </si>
  <si>
    <t xml:space="preserve">Dienvidlatgales pašvaldību teritoriju pilsētvides revitalizācija ekonomiskās aktivitātes paaugstināšanai </t>
  </si>
  <si>
    <t xml:space="preserve">Daugavpils pilsētas degradēto objektu revitalizācija uzņēmējdarbības veicināšanai </t>
  </si>
  <si>
    <t>Dienvidlatgales pašvaldību degradēto teritoriju revitalizācija uzņēmējdarbības attīstībai (19.1.)</t>
  </si>
  <si>
    <t>Krāslavas un Dagdas novadu ceļu tīkla rekonstrukcija uzņēmējdarbības veicināšanai degradētajās teritorijās (19.2.)</t>
  </si>
  <si>
    <t>20.12.2016 (apstiprināts ar nosacījumu)</t>
  </si>
  <si>
    <t>Notiek pārdales</t>
  </si>
  <si>
    <t>Jauna ceļa, apgaismojuma sistēmas, ūdens un kanalizācijas sistēmas celtniecības uzņēmējdarbības attīstības veicināšanai Līvānu industriālajā zonā</t>
  </si>
  <si>
    <t>Ludzas pašvaldībai 5.6.2. 3 kārtā kopējais piešķirtais finansējums un naudas plūsmas ir neprecīzas, neieskaitot rezevi neieskaitot. Lūgums lūgt pašvaldībai izskaidrot radušos situāciju.</t>
  </si>
  <si>
    <t>Konkurētspējīgas uzņēmējdarbības vides nodrošināšana Austrumlatgales pierobežas teritorijā</t>
  </si>
  <si>
    <t>Mājražotāju tīklu izveide Austrumlatgales pierobežas teriotrijā</t>
  </si>
  <si>
    <t>5.6.2.0/16/I/014</t>
  </si>
  <si>
    <t>Preiļu novada un ietekmes areāla pašvaldību uzņēmējdarbības vides infrastruktūras attīstība</t>
  </si>
  <si>
    <t>23.02.2017 (apstiprināts ar nosacījumu)</t>
  </si>
  <si>
    <t>5.6.2.0/16/I/018</t>
  </si>
  <si>
    <t xml:space="preserve">Rēzeknes pilsētas pašvaldība                            </t>
  </si>
  <si>
    <t>Industriālo teritoriju tīklojuma izveide uzņēmējdarbības veicināšanai Rēzeknes pilsētas, Rēzeknes un Viļānu novados</t>
  </si>
  <si>
    <t>21.02.2017 (apstiprināts ar nosacījumu)</t>
  </si>
  <si>
    <t>5.6.3.</t>
  </si>
  <si>
    <t>Inčukalna sanācija</t>
  </si>
  <si>
    <t>0.5.6.3.</t>
  </si>
  <si>
    <t>Valsts vides dienests</t>
  </si>
  <si>
    <t>“Vēsturiski piesārņoto vietu “Inčukalna sērskābie gudrona dīķi” sanācijas darbi” II posms</t>
  </si>
  <si>
    <t>6.</t>
  </si>
  <si>
    <t>Transports</t>
  </si>
  <si>
    <t>no 6.1.4.1. piešķirtais</t>
  </si>
  <si>
    <t>Ventspils brīvostas hidrotehnisko būvju pārbūve un atjaunošana</t>
  </si>
  <si>
    <t>Ventspils ostai projektos nesadalīts fiansējums.  Noskaidrot, vai ir plānots papildus projekts par atlikušo finansējumu vai cita rīcība</t>
  </si>
  <si>
    <t>Rīgas brīvostas pārvalde</t>
  </si>
  <si>
    <t>Satiksmes pārvads no Tvaika ielas uz Kundziņsalu</t>
  </si>
  <si>
    <t>Liepājas ostas viļņlaužu rekonstrukcija</t>
  </si>
  <si>
    <t>Lipājas ostas ūdens infrastruktūras uzlabošana</t>
  </si>
  <si>
    <t>Liepājas ostai projektos nesadalīts fiansējums. Noskaidrot, vai ir plānots papildus projekts par atlikušo finansējumu vai cita rīcība</t>
  </si>
  <si>
    <t>6.1.2.</t>
  </si>
  <si>
    <t>Atbalsts lidostai "Rīga"</t>
  </si>
  <si>
    <t>0.6.1.2.</t>
  </si>
  <si>
    <t>6.1.2.0/16/I/001</t>
  </si>
  <si>
    <t>Starptautiskā lidosta „Rīga”</t>
  </si>
  <si>
    <t>Drošas un videi draudzīgas infrastruktūras attīstība Starptautiskā lidostā “Rīga”</t>
  </si>
  <si>
    <t>Atbalsts Rīgas maģistrālo ielu rekonstrukcijai</t>
  </si>
  <si>
    <t>Salu tilta kompleksa atjaunošana, pārbūve un izbūve, 2.kārta</t>
  </si>
  <si>
    <t>Austrumu maģistrāles pieslēguma ostai izveide, 1. kārta - Pārvada pār dzelzceļa līniju Rīga-Skulte ar pievadceļiem izbūve</t>
  </si>
  <si>
    <t>Austrumu maģistrāles pieslēguma ostai izveide, 2. kārta - Tvaika ielas pārbūve</t>
  </si>
  <si>
    <t>Austrumu maģistrāles pieslēguma ostai izveide, 3. kārta - Austrumu maģistrāles izbūve posmā Ieriķu iela -Vietalvas iela</t>
  </si>
  <si>
    <t>6.1.3.2.</t>
  </si>
  <si>
    <t>Torņakalna multimodālais mezgls</t>
  </si>
  <si>
    <t>Multimodāla transporta mezgla izbūve Torņakalna apkaimē</t>
  </si>
  <si>
    <t>6.1.4.</t>
  </si>
  <si>
    <t>Pilsētu infrastruktūrassasaiste ar TEN-T tīklu</t>
  </si>
  <si>
    <t>6.1.4.1.</t>
  </si>
  <si>
    <t>Rīgas pilsētas integrēšana TEN-T tīklā</t>
  </si>
  <si>
    <t>FS plānotos PI norādījis ar finansējuma rezervi</t>
  </si>
  <si>
    <t>noņemts finansējums 6.1.4.1.</t>
  </si>
  <si>
    <t>Zemgales virziena maģistrālais transporta mezgls 1.kārta (Jāņa Čakstes gatves izbūve no Valdeķu ielas līdz Ziepniekkalna ielai)</t>
  </si>
  <si>
    <t>Pārdalāmais finansējums (uz 6.1.1. un 6.1.4.2.)</t>
  </si>
  <si>
    <t>6.1.4.2.</t>
  </si>
  <si>
    <t>Nacionālas nozīmes attīstības centru integrēšana TEN-T tīklā</t>
  </si>
  <si>
    <t>Smiltenes ielas divlīmeņu pārvada ar pievadiem būvniecība līdz Smilšu un Kauņas ielu krustojumam Daugavpilī</t>
  </si>
  <si>
    <t>Apvedceļa Kauguri – Sloka izbūve I kārta (pieslēgums A10/E22) un II kārta (pieslēgums Kolkas ielai)</t>
  </si>
  <si>
    <t>Sēlijas pieslēgums TEN-T tīklam - Dienvidu tranzīta loka izveidošana Jēkabpils pilsētā - Brīvības ielas pārbūve</t>
  </si>
  <si>
    <t>Palielināts finansējums. Lūgt FS iesniegt  projekta finansējuma plānu atbilstoši piešķirtajam  finansējumam, vai izskaidrot fiannsējuma apjoma palielināšanos.</t>
  </si>
  <si>
    <t>Loka maģistrāles pārbūve posmā no Aviācijas ielas līdz Jelgavas pilsētas administratīvajai robežai(~2 km)</t>
  </si>
  <si>
    <t>6.1.4.2/17/I/002</t>
  </si>
  <si>
    <t>Grīzupes ielas pārbūve posmā no Liepājas pilsētas robežas līdz Cukura ielas aplim</t>
  </si>
  <si>
    <t>6.1.4.2/17/I/001</t>
  </si>
  <si>
    <t xml:space="preserve">Latgales ielas posma no Daugavpils ielas līdz Ludzas ielas un Kr. Barona ielas krustojumam pārbūve, Rēzeknē  un Ludzas ielas pārbūve Rēzeknē </t>
  </si>
  <si>
    <t>15.03.2017 (apstiprināts ar nosacījumu)</t>
  </si>
  <si>
    <t>Valmieras pilsētas Rietumu industriālās maģistrāles attīstība - L.Paegles ielas savienojums ar TEN-T tīklu.</t>
  </si>
  <si>
    <t>6.1.4.2/17/I/003</t>
  </si>
  <si>
    <t>Ventspils pilsētas pašvaldības iestāde "Komunālā pārvalde"</t>
  </si>
  <si>
    <t>Alternatīva tranzītmaršruta izveide TEN-T tīklam Ventspilī</t>
  </si>
  <si>
    <t>19.04.2017 (iesniegts)</t>
  </si>
  <si>
    <t>Valsts galvenā autoceļa A10 Rīga - Ventspils (+aplis) , km 62,50 – 63,47 segas pārbūve</t>
  </si>
  <si>
    <t>6.1.5.0/17/I/002</t>
  </si>
  <si>
    <t>Valsts galvenā autoceļa A9 Rīga (Skulte) - Liepāja, km 97,58-99,74 un 102,92-113,13 segas pārbūve</t>
  </si>
  <si>
    <t>24.03.2017 (apstiprināts ar nosacījumu)</t>
  </si>
  <si>
    <t>Valsts galvenā autoceļa A3 Inčukalns - Valmiera - Igaunijas robeža (Valka), km 0,00 – 1,65 segas pārbūve</t>
  </si>
  <si>
    <t>Valsts galvenā autoceļa A2 Rīga - Sigulda - Igaunijas rob. (Veclaicene) abas brauktuves, km 25,50 - 39,40 segas pārbūve</t>
  </si>
  <si>
    <t>Valsts galvenā autoceļa A4 Rīgas apvedceļš (Baltezers - Saulkalne), km 12,48 - 19,68 segas pārbūve</t>
  </si>
  <si>
    <t>Valsts galvenā autoceļa A2 Rīga - Sigulda - Igaunijas rob. (Veclaicene), km 88,10 - 95,20 segas pārbūve</t>
  </si>
  <si>
    <t>Valsts galvenā autoceļa A8 Rīga - Jelgava - Lietuvas robeža (Meitene) kreisā brauktuve, km 19,20 - 29,95</t>
  </si>
  <si>
    <t>Valsts galvenā autoceļa A8 Rīga - Jelgava - Lietuvas robeža (Meitene) labā brauktuve, km 9,93 - 18,93</t>
  </si>
  <si>
    <t>Valsts galvenā autoceļa A12 Jēkabpils - Rēzekne - Ludza - Krievijas robeža (Terehova), km 96,60 - 106,00</t>
  </si>
  <si>
    <t>Valsts galvenā autoceļa A13 Krievijas robeža (Grebņeva) - Rēzekne - Daugavpils - Lietuvas robeža (Medumi), km 2,90 - 13,40 segas pārbūve</t>
  </si>
  <si>
    <t>6.1.5.0/17/I/001</t>
  </si>
  <si>
    <t xml:space="preserve">Valsts galvenā autoceļa A11 Liepāja - Lietuvas robeža (Rucava), km 50,547 - 58,997 segas pārbūve.  </t>
  </si>
  <si>
    <t>Valsts galvenā autoceļa A10 Rīga - Ventspils, km 41,30 - 52,74</t>
  </si>
  <si>
    <t>Projektiem statusā Pabeigts norādīts finansējuma izlietojums - samaksātā summa, kas ir mazāka nekā sākotnēji noslēgts līgums</t>
  </si>
  <si>
    <t>6.2.1.</t>
  </si>
  <si>
    <t>Atbalsts Latvijas dzelzceļa attīstībai</t>
  </si>
  <si>
    <t>6.2.1.1.</t>
  </si>
  <si>
    <t>Elektrifikācija</t>
  </si>
  <si>
    <t xml:space="preserve">6.2.1.1/17/I/001 </t>
  </si>
  <si>
    <t>Valsts akciju sabiedrība "Latvijas dzelzceļš"</t>
  </si>
  <si>
    <t>LATVIJAS DZELZCEĻA TĪKLA ELEKTRIFIKĀCIJAS PROJEKTS</t>
  </si>
  <si>
    <t>28.04.2017 (iesniegts)</t>
  </si>
  <si>
    <t>6.2.1.2.</t>
  </si>
  <si>
    <t>Dzlelzceļa infrastruktūra</t>
  </si>
  <si>
    <t>6.2.1.2/16/I/001</t>
  </si>
  <si>
    <t>Latvijas dzelzceļš, VAS</t>
  </si>
  <si>
    <t>Rīgas dzelzceļa mezgla posma Sarkandaugava - Mangaļi - Ziemeļblāzma modernizācija</t>
  </si>
  <si>
    <t>13.03.2017 (apstiprināts)</t>
  </si>
  <si>
    <t>6.2.1.2/16/I/002</t>
  </si>
  <si>
    <t>Daugavpils Šķirošanas stacijas attīstība</t>
  </si>
  <si>
    <t>6.2.1.2/16/I/003</t>
  </si>
  <si>
    <t>Daugavpils pieņemšanas parka un tam piebraucamo ceļu attīstība</t>
  </si>
  <si>
    <t>Vienotas vilcienu kustības plānošanas un vadības informācijas sistēmas ieviešana</t>
  </si>
  <si>
    <t>Dzelzceļa pasažieru apkalpošanas infrastruktūras modernizācija</t>
  </si>
  <si>
    <t>Brīvais finansējums ir iezīmētiem projektiem par kuriem lems secīgi: 2 projekti līdz 2018 no brīvā fiansējuma un par nākošajie tikai pec rezerves piešķiršanas</t>
  </si>
  <si>
    <t>Neatbilstoši veikti izdevum184550,47 un neizlietotais finansējums 173550,27</t>
  </si>
  <si>
    <t>Atlikums pēc realizācijas</t>
  </si>
  <si>
    <t>Neatbilstoši veiktie izdevumi</t>
  </si>
  <si>
    <t>Neizlietotais fiansējums</t>
  </si>
  <si>
    <t>Valsts reģionālā autoceļa P87 Bauska - Aizkraukle posma krustojums ar P85 - Jaunjelgava (km 61,20-63.36 ) pārbūve</t>
  </si>
  <si>
    <t xml:space="preserve">6.3.1.0/17/I/003  </t>
  </si>
  <si>
    <t xml:space="preserve">Valsts reģionālā autoceļa P30 Cēsis - Vecpiebalga - Madona posma km 2,14 - 8,02 pārbūve  </t>
  </si>
  <si>
    <t xml:space="preserve">6.3.1.0/17/I/001  </t>
  </si>
  <si>
    <t xml:space="preserve">6.3.1.0/17/I/002 </t>
  </si>
  <si>
    <t>Valsts reģionālā autoceļa P118 Kuldīgas apvedceļš (+rampas) Ventas tilts - P120 km 6.76 9.40</t>
  </si>
  <si>
    <t>6.3.1.0/17/I/006</t>
  </si>
  <si>
    <t>Valsts reģionālā autoceļa P32 Augšlīgatne – Skrīveri posma km 61,265 – 71,271 pārbūve (tilts)</t>
  </si>
  <si>
    <t>09.05.2017 (iesniegts)</t>
  </si>
  <si>
    <t>Valsts reģionālā autoceļaP68 Daugavpils - Skrudaliena - Baltkrievijas robeža (Silene)    
  Silene - LR robeža (Silenes RKP) km 21.00 29.15</t>
  </si>
  <si>
    <t>Valsts reģionālā autoceļaP36 Rēzekne - Gulbene Audriņi - Dricāni km 12.25 20.90</t>
  </si>
  <si>
    <t>Valsts reģionālā autoceļa P32 Augšlīgatne – Skrīveri posma km 47,20 – 60,29 pārbūve (tilts)</t>
  </si>
  <si>
    <t>Valsts reģionālā autoceļaP30 Cēsis - Vecpiebalga - Madona Vecpiebalga - Gulbēris km 49.00 61.13</t>
  </si>
  <si>
    <t>Valsts reģionālā autoceļaP37 Pļaviņas - Madona - Gulbene Madona - Cesvaine km 42.76 60.14</t>
  </si>
  <si>
    <t>Valsts reģionālā autoceļaP35 Gulbene - Balvi - Viļaka Gulbene - Litene km 2.14 12.68</t>
  </si>
  <si>
    <t>Valsts reģionālā autoceļaP98 Jelgava (Tušķi) - Tukums Tušķi - tilts pār Auci km 0.00 5.30</t>
  </si>
  <si>
    <t>Valsts reģionālā autoceļaP93 Jelgava - Iecava Jelgava (administratīvā robeža) - Garoza km 3.27 8.94</t>
  </si>
  <si>
    <t>Valsts reģionālā autoceļaP37 Pļaviņas - Madona - Gulbene krustoj. ar A6 - Madonas nov. robeža km 0.00 7.37</t>
  </si>
  <si>
    <t>Valsts reģionālā autoceļaP10 Inčukalns - Ropaži - Ikšķile Tīnūži - Ikšķile km 35.59 40.58</t>
  </si>
  <si>
    <t>Valsts reģionālā autoceļaP121 Tukums - Kuldīga Tukums - Sāti km 4,66-17,63</t>
  </si>
  <si>
    <t>Valsts reģionālā autoceļaP95 Jelgava - Tērvete - Lietuvas robeža (Žagare)*    
  Augstkalne - Valsts robeža (Žagare)+asfalts km 28.36 43.55</t>
  </si>
  <si>
    <t>Valsts reģionālā autoceļaP108 Ventspils - Kuldīga - Saldus Vārme - Ošenieki km 75,92-81,64</t>
  </si>
  <si>
    <t>Valsts reģionālā autoceļaP105 Saldus - Ezere     Kursīši-Lietuvas robeža  km 18.30 37.21</t>
  </si>
  <si>
    <t>Valsts reģionālā autoceļaP111 Ventspils (Leči) - Grobiņa Labraks - Vērgale  km 43.20 63.00</t>
  </si>
  <si>
    <t>6.3.1.0/17/I/004</t>
  </si>
  <si>
    <t>Valsts reģionālā autoceļa P62 Krāslava – Preiļi – Madona km 88,00 – 99,53 pārbūve</t>
  </si>
  <si>
    <t>26.04.2017 (iesniegts)</t>
  </si>
  <si>
    <t>Valsts reģionālā autoceļaP108 Ventspils - Kuldīga - Saldus Ventspils - krustojums ar P111 km 3.93 13.39</t>
  </si>
  <si>
    <t xml:space="preserve">Valsts reģionālā autoceļaP4 Rīga -Ērgļi    
  Vāverkrogs - Jugla km 33.64 43.35
</t>
  </si>
  <si>
    <t xml:space="preserve">Valsts reģionālā autoceļaP108 Ventspils - Kuldīga - Saldus     
  Krustojums ar P111 - Ziras km 13.39 24.26
</t>
  </si>
  <si>
    <t xml:space="preserve">Valsts reģionālā autoceļaP4 Rīga - Ērgļi     
krustojums ar A4 - Bajārkrogs  km 14.34 24.75
</t>
  </si>
  <si>
    <t xml:space="preserve">Valsts reģionālā autoceļaP70 Svente - Lietuvas robeža (Subate)    
krustojums ar A14 - pagr. uz Ilūksti km 0.00 8.20
</t>
  </si>
  <si>
    <t xml:space="preserve">Valsts reģionālā autoceļa P37 Pļaviņas - Madona - Gulbene Madonas nov. robeža - Jaunkalsnava km 7.37 13.65
</t>
  </si>
  <si>
    <t xml:space="preserve">Valsts reģionālā autoceļaP35 Gulbene - Balvi - Viļaka    
  Litene - Balvi 17.59 31.64
Balvi - Garstērdele 35.58 48.47
</t>
  </si>
  <si>
    <t xml:space="preserve">Valsts reģionālā autoceļa P45 Viļaka - Kārsava     
  a/v Rekova 16.54 19.58
</t>
  </si>
  <si>
    <t xml:space="preserve">Valsts reģionālā autoceļa P59 Viļāni - Ružina - Malta* Strupuļi - Ružina km 4.10 16.83
</t>
  </si>
  <si>
    <t xml:space="preserve">Valsts reģionālā autoceļaP4 Rīga - Ērgļi     
 Bajārkrogs - Vāverkrogs km 24.75 33.64
</t>
  </si>
  <si>
    <t xml:space="preserve">Valsts reģionālā autoceļaP121 Tukums - Kuldīga Pūces - Vāne  km33.18 41.90
</t>
  </si>
  <si>
    <t>Valsts reģionālā autoceļaP10 Inčukalns - Ropaži - Ikšķile    
krustojums ar V64 - Ropaži km 15.06 21.15</t>
  </si>
  <si>
    <t>Valsts reģionālā autoceļaP10 Inčukalns - Ropaži - Ikšķile      
 Kangari - Tīnūži  km 26.13 35.27</t>
  </si>
  <si>
    <t>Valsts reģionālā autoceļaP104 Tukums - Auce - Lietuvas robeža krustojums ar A10 - Strutele km 5.00 13.14</t>
  </si>
  <si>
    <t>Valsts reģionālā autoceļa P114 Ilmāja - Priekule - Lietuvas robeža (Plūdoņi) Ilmāja - Priekule  km 0.00 17.21</t>
  </si>
  <si>
    <t>Valsts reģionālā autoceļa P114 Ilmāja - Priekule - Lietuvas robeža (Plūdoņi)    
  Priekule - Lietuvas robeža km 19.78 38.126</t>
  </si>
  <si>
    <t>Valsts reģionālā autoceļa P35 Gulbene - Balvi - Viļaka
Balvi - Garstērdele km 35.58 48.47</t>
  </si>
  <si>
    <t>Valsts reģionālā autoceļa P37 Pļaviņas - Madona - Gulbene  Cesvaine - Dzelzava km 60.14 71.50</t>
  </si>
  <si>
    <t>7.</t>
  </si>
  <si>
    <t>Nodarbinātība</t>
  </si>
  <si>
    <t>NVI ESF 318.49
MP 5 Ieturēts uz laiku ESF 2 437.63
Līgums (fondu daļa) 77 759 928</t>
  </si>
  <si>
    <t xml:space="preserve">Darba tirgus prognozēšanas sistēma </t>
  </si>
  <si>
    <t>ESF/JNI</t>
  </si>
  <si>
    <t>7.2.1.1. ESF + JNI</t>
  </si>
  <si>
    <t>7.2.1.1. ESF</t>
  </si>
  <si>
    <t>7.2.1.1. JNI</t>
  </si>
  <si>
    <t>7.2.1.2. ESF +JNI</t>
  </si>
  <si>
    <t>7.2.1.2. ESF</t>
  </si>
  <si>
    <t>NVI ESF 491.62+47.86</t>
  </si>
  <si>
    <t>7.2.1.2. JNI</t>
  </si>
  <si>
    <t>NVI JNI 491.61</t>
  </si>
  <si>
    <t>7.2.1.3.</t>
  </si>
  <si>
    <t>Jauniešu garantijas (aktīvās nodarbinātības pasākumi) pēc 2018.gada</t>
  </si>
  <si>
    <t>Jauniešu garantijas pasākumu īstenošana pēc 2018.gada</t>
  </si>
  <si>
    <t>n/a</t>
  </si>
  <si>
    <t>8.</t>
  </si>
  <si>
    <t>Izglītība</t>
  </si>
  <si>
    <t>8. DP GROZ</t>
  </si>
  <si>
    <t>8.1.1.</t>
  </si>
  <si>
    <t>Ieguldījumi augstskolu STEM infrastruktūrā</t>
  </si>
  <si>
    <t>0.8.1.1.</t>
  </si>
  <si>
    <t>Saskaņā ar MKN pieejamais ERAF finansējums ir 35 630 917 EUR</t>
  </si>
  <si>
    <t>STEM, veselības aprūpes un mākslu studiju programmu modernizēšana Daugavpils Universitātē</t>
  </si>
  <si>
    <t>Jāzepa Vītola Latvijas Mūzikas akadēmija</t>
  </si>
  <si>
    <t>Jāzepa Vītola Latvijas Mūzikas akadēmijas īstenoto radošo industriju studiju programmu modernizācija</t>
  </si>
  <si>
    <t>Liepājas Universitāte</t>
  </si>
  <si>
    <t>Liepājas Universitātes STEM studiju programmu modernizācija</t>
  </si>
  <si>
    <t>30.05.2017.</t>
  </si>
  <si>
    <t>Latvijas Kultūras akadēmija</t>
  </si>
  <si>
    <t>Latvijas Kultūras akadēmijas un Latvijas Kultūras koledžas STEM studiju programmu modernizēšana</t>
  </si>
  <si>
    <t xml:space="preserve"> Latvijas Lauksaimniecības universitāte</t>
  </si>
  <si>
    <t>LLU STEM studiju programmu modernizācija</t>
  </si>
  <si>
    <t>Latvijas Mākslas akadēmija</t>
  </si>
  <si>
    <t>Latvijas Mākslas akadēmijas STEM (radošo industriju) studiju programmu modernizēšana</t>
  </si>
  <si>
    <t>Latvijas Sporta pedagoģijas akadēmija</t>
  </si>
  <si>
    <t>Modernizētās LSPA STEM studiju programmas veselības aprūpē</t>
  </si>
  <si>
    <t>Latvijas Universitāte</t>
  </si>
  <si>
    <t>Latvijas Universitātes STEM studiju virzienu infrastruktūras modernizācija un resursu koncentrācija</t>
  </si>
  <si>
    <t>Studiju vides attīstība Rīgas Stradiņa universitātē</t>
  </si>
  <si>
    <t>Rēzeknes Tehnoloģiju akadēmijas lāzertehnoloģiju, mehatronikas un mašīnbūves studiju programmu modernizācija</t>
  </si>
  <si>
    <t>Rīgas Tehniskās universitātes infrastruktūras attīstība STEM studiju programmu modernizēšanai.</t>
  </si>
  <si>
    <t>Transporta un sakaru institūts</t>
  </si>
  <si>
    <t>Transporta un sakaru institūta STEM studiju programmu modernizācija</t>
  </si>
  <si>
    <t>Ventspils Augstskolas STEM mācību programmu modernizācija</t>
  </si>
  <si>
    <t>Vidzemes Augstskolas STEM studiju vides modernizācija</t>
  </si>
  <si>
    <t>8.1.2.</t>
  </si>
  <si>
    <t>Ieguldījumi vispārējās izglītības infrastruktūrā</t>
  </si>
  <si>
    <t>0.8.1.2.</t>
  </si>
  <si>
    <t>Saskaņā ar MKN 15.p. plānotais ERAF ir 62 226 934 EUR, info par plānoto projektu nav sniegusi Rīgas pašvaldība, kas to izdarīs līdz 30.06.2017.</t>
  </si>
  <si>
    <t>Daugavpils Valsts ģimnāzijas materiāli tehniskās bāzes un infrastruktūras modernizācija</t>
  </si>
  <si>
    <t>Daugavpils vispārējo izglītības iestāžu materiāli tehniskās bāzes un infrastruktūras sakārtošana atbilstoši mūsdienīgām prasībām (3.vsk., 13.vsk., 16.vsk., Krievu vsk.-licejs, Saskaņas psk.)</t>
  </si>
  <si>
    <t>Jelgavas pašvaldība</t>
  </si>
  <si>
    <t xml:space="preserve">Mācību vides uzlabošana Jelgavas Valsts ģimnāzijā un Jelgavas Tehnoloģiju vidusskolā </t>
  </si>
  <si>
    <t>Jēkabpils vispārējās izglītības iestāžu mācību vides un infrastruktūras uzlabošana</t>
  </si>
  <si>
    <t>Jūrmalas pilsētas pašvaldības vidējās izglītības iestādes infrastruktūras pilnveide un dienesta viesnīcas izbūve</t>
  </si>
  <si>
    <t xml:space="preserve">Jūrmalas pilsētas Kauguru vidusskolas telpu atjaunošana </t>
  </si>
  <si>
    <t xml:space="preserve">Jūrmalas pilsētas Kauguru vidusskolas infrastruktūras pilnveide </t>
  </si>
  <si>
    <t>Projekts tiks realizēts , ja tiks piešķira snieguma rezerve</t>
  </si>
  <si>
    <t>Liepājas Valsts 1.ģimnāzijas attīstība par metodisko centru STEm un IKT jomā</t>
  </si>
  <si>
    <t>Liepājas vispārizglītojošo skolu modernizācija</t>
  </si>
  <si>
    <t>Liepājas izglītības iestāžu mācību vides uzlabošana</t>
  </si>
  <si>
    <t>Rēzeknes pašvaldība</t>
  </si>
  <si>
    <t xml:space="preserve">Nacionālās nozīmes izglītības centra attīstība Rēzenes pilsētā, izveidojot un modernizējot vispārējās vidējās izglītības mācību vidi kvalitatīvai un mūsdienīgai izglītības iegūvei </t>
  </si>
  <si>
    <t>Rīgas pašvaldība</t>
  </si>
  <si>
    <t>Rīgas Franču liceja infrastruktūras pilnveide, ergonomiskas mācību vides iekārtošana un  inovatīvu IKT risinājumu ieviešana mācību procesa nodrosināsanai</t>
  </si>
  <si>
    <t>Rīgas Angļu ģimnāzijas mācību vides infrastruktūras pilnveide, inovatīvu IKT risinājumu ieviešana mācību procesā, mācību vides ergonomiska iekārtojuma nodrošināšana un sporta laukumu iekārtošana</t>
  </si>
  <si>
    <t>Rīgas Zolitūdes ģimnāzijas mācību vides infrastruktūras pilnveide, inovatīvu IKT risinājumu ieviešana mācību procesā, mācību vides ergonomiska iekārtojuma nodrošināšana un dabaszinātņu kabinetu iekārtošana</t>
  </si>
  <si>
    <t>Mācību vides infrastruktūras uzlabošana ģimnāzijās un vispārizglītojošajās skolās, kuras atbilst Ministru kabineta 24.05.2016. noteikumu Nr. 323 “Darbības programmas “Izaugsme un nodarbinātība” 8.1.2.specifiskā atbalsta mērķa “Uzlabot vispārējās izglītības iestāžu mācību vidi” īstenošanas noteikumi” prasībām</t>
  </si>
  <si>
    <t>Nav zināms, kuru objektu modernizēs un kādos termiņos, FS info sniegs 30.06.2017. (aptuvenais finansējums 2938945.64)</t>
  </si>
  <si>
    <t>FS Info sniegs līdz 30.06.2017. Noņemta rezerve</t>
  </si>
  <si>
    <t>Valmieras vispārizglītojošo skolu un dienesta viesnīcu sakārtošana</t>
  </si>
  <si>
    <t>Ventspils pašvaldība</t>
  </si>
  <si>
    <t>Izglītības iestāžu mācību vides infrastruktūras uzlabošana un materiāltehniskās bāzes pilnveidošana</t>
  </si>
  <si>
    <t xml:space="preserve">Ventspilij projektos nesadalīts fiansējums Noskaidrot, kādēļ plāno izlietot mazāk finansējumu un vai ir plānots papildus projekts par atlikušo finansējumu vai cita rīcība </t>
  </si>
  <si>
    <t>MKN 20.p. norādītais plānotais ERAF finansējums 60 095 337 euro  sakrīt (starpību veido Krāslavas pašvaldība, kas prasa mazāku summu)</t>
  </si>
  <si>
    <t>vēl nav</t>
  </si>
  <si>
    <t>Alūksnes novada vispārējās izglītības iestāžu mācību vides uzlabošana</t>
  </si>
  <si>
    <t>Balvu pašvaldība</t>
  </si>
  <si>
    <t>Bauskas pašvaldība</t>
  </si>
  <si>
    <t>Cēsu novada vispārējo izglītības iestāžu mācību vides uzlabošana</t>
  </si>
  <si>
    <t>16.06.2017.</t>
  </si>
  <si>
    <t>Dobeles pašvaldība</t>
  </si>
  <si>
    <t>Gulbenes pašvaldība</t>
  </si>
  <si>
    <t>Krāslavas novada izglītības iestāžu infrastruktūras sakārtošana un mācību vides uzlabošana Krāslavas Valsts ģimnāzijai, Krāslavas pamatskolai un Krāslavas Varavīksnes vidusskolai</t>
  </si>
  <si>
    <t>Kuldīgas pašvaldība</t>
  </si>
  <si>
    <t>Limbažu pašvaldība</t>
  </si>
  <si>
    <t>Līvānu pašvaldība</t>
  </si>
  <si>
    <t>Līvānu 1. vidusskolas mācību vides uzlabošana, veicot jaunu dabaszinību kabinetu izveidi, nodrošinot ergonomisku vidi mācību telpās, iegādājoties mēbeles un veicot mačību telpu remontu, IKT tehnoloģiju iegāde</t>
  </si>
  <si>
    <t>27.04.2017 (iesniegts)</t>
  </si>
  <si>
    <t>Ludzas vispārējās izglītības iestāžu mācību vides modernizācija</t>
  </si>
  <si>
    <t>Madonas pašvaldība</t>
  </si>
  <si>
    <t>Vispārējās izglītības iestāžu mācību vides uzlabošana Madonas novadā</t>
  </si>
  <si>
    <t>Ogres pašvaldība</t>
  </si>
  <si>
    <t>Uzlabot vispārējās izglītības iestāžu mācību vidi Ogres novadā</t>
  </si>
  <si>
    <t>Preiļu novada vispārējās izglītības iestāžu mācību vides uzlabošana un modernizēšana</t>
  </si>
  <si>
    <t>Saldus pašvaldība</t>
  </si>
  <si>
    <t>Siguldas pašvaldība</t>
  </si>
  <si>
    <t xml:space="preserve">Siguldas valsts ģimnāzijas un Siguldas 1.pamatskolas atjaunošana, pārbūve un materiāltehniskās bāzes modernizācija  </t>
  </si>
  <si>
    <t>Smiltenes pašvaldība</t>
  </si>
  <si>
    <t>Mācību vides uzlabošana Smiltenes vidusskolā</t>
  </si>
  <si>
    <t>Talsu pašvaldība</t>
  </si>
  <si>
    <t>Vispārējās izglītības iestāžu mācību vides uzlabošana Talsu novadā </t>
  </si>
  <si>
    <t>Tukuma pašvaldība</t>
  </si>
  <si>
    <t>Valkas pašvaldība</t>
  </si>
  <si>
    <t>Uzlabot vispārējās izglītības iestāžu mācību vidi Valkas novadā</t>
  </si>
  <si>
    <t>3</t>
  </si>
  <si>
    <t>Saskaņā ar MKN 15.p. plānotais ERAF finansējums ir  15 267 130 euro, kas sakrīt ar prognozi</t>
  </si>
  <si>
    <t xml:space="preserve">Garkalnes novada dome  </t>
  </si>
  <si>
    <t>Berģu Mūzikas un mākslas pamatskolas piebūves jaunbūve/rekonstrukcija </t>
  </si>
  <si>
    <t>Ikšķiles novada pašvaldība  </t>
  </si>
  <si>
    <t>"Ikšķiles vidusskolas pārbūve" </t>
  </si>
  <si>
    <t>Mārupes novada Dome </t>
  </si>
  <si>
    <t>Mārupes vidusskolas mācību vides uzlabošana </t>
  </si>
  <si>
    <t>8.1.2.0/17/I/001</t>
  </si>
  <si>
    <t>Salaspils pašvaldība</t>
  </si>
  <si>
    <t>Salaspils 1.vidusskolas 4.mācību korpusa izbūve un aprīkošana </t>
  </si>
  <si>
    <t>Viļakas pašvaldība</t>
  </si>
  <si>
    <t>Saskaņā ar MKN 15.p. 4.kārtai plānotais ERAF finansējums ir 4895346 EUR</t>
  </si>
  <si>
    <t>Saskaņā ar MKN 15.p. pieejamais ERAF finansējums ir 69 376 476 EUR, starpību veido Rīgas stila un modes profesionālā vsk, ko iespējams neīstenos.</t>
  </si>
  <si>
    <t>12.04.2017 (Apstiprināts)</t>
  </si>
  <si>
    <t>10.04.2017 (Apstiprināts)</t>
  </si>
  <si>
    <t>Ventspils tehnikums</t>
  </si>
  <si>
    <t xml:space="preserve">Jelgavas Amatu vidusskola </t>
  </si>
  <si>
    <t xml:space="preserve">Jelgavas Amatu vidusskolas infrastruktūras uzlabošana un mācību aprīkojuma modernizācija, 2.kārta </t>
  </si>
  <si>
    <t>Cēsu Profesionālās vidusskolas modernizācija</t>
  </si>
  <si>
    <t>Cēsīm brīvais finansējums.  Noskaidrot, kādēļ plāno izlietot mazāk finansējumu un vai ir plānots papildus projekts par atlikušo finansējumu vai cita rīcība</t>
  </si>
  <si>
    <t xml:space="preserve">Rīgas Stila un modes profesionālā vidusskola </t>
  </si>
  <si>
    <t>Finansējums pieejams tikai pēc 01.01.2019. un tikai tad, ja būs PIKC statuss un ja AI piešķirs finansējumu</t>
  </si>
  <si>
    <t>Finansējums pieejams tikai pēc 01.01.2019. un tikai tad, ja ir PIKC statuss vai uzsāktas darbības PIKC statusa iegūšanai un ja atbildībā iestāde ierosinās piešķirt ERAF finansējumu - 4 107827.3 EUR apmērā</t>
  </si>
  <si>
    <t>Pieejamais kopējais attiecināmais Eiropas Reģionālās attīstības fonda finansējumsotrajai atlases kārtai – 18 490 950 euro. </t>
  </si>
  <si>
    <t xml:space="preserve">Nacionālajai Mākslu vidusskola </t>
  </si>
  <si>
    <t>nav iesniegts</t>
  </si>
  <si>
    <t>Šobrīd tiek veikti MKN grozījumi, šim projektam būs 3 993 521 ERAF finansējums lūgums lūgt precizēt finansējumu pēc jaunā piešķīruma</t>
  </si>
  <si>
    <t>8.1.3.0/16/I/010</t>
  </si>
  <si>
    <t xml:space="preserve">Rīgas Dizaina un mākslas vidusskola </t>
  </si>
  <si>
    <t>Profesionālās izglītības kompetences centra "Rīgas Dizaina un mākslas vidusskola" infrastruktūras modernizācija</t>
  </si>
  <si>
    <t>21.12.2016 (apstiprināts ar nosacījumu)</t>
  </si>
  <si>
    <t xml:space="preserve">Liepājas Mūzikas, mākslas un dizaina vidusskola </t>
  </si>
  <si>
    <t xml:space="preserve">Rēzeknes Mūzikas, mākslas un dizaina vidusskola </t>
  </si>
  <si>
    <t>Finansējums pieejams tikai pēc 01.01.2019. un tikai tad, ja ir PIKC statuss vai uzsāktas darbības PIKC statusa iegūšanai un ja atbildībā iestāde ierosinās piešķirt finansējumu- ERAF 1623476.2 apmērā (pēc MKN grozījumiem 876 907.60 EUR)</t>
  </si>
  <si>
    <t>Alfrēda Kalniņa Cēsu Mūzikas vidusskola</t>
  </si>
  <si>
    <t>Saskaņā ar MKN grozījumu projektu - Alfrēda Kalniņa Cēsu Mūzikas vidusskolai plānoto finansējumu – 152 798 euro apmērā novirza 8.1.3.specifiskā atbalsta pirmās kārtas projekta iesniedzējam – Cēsu Profesionālajai vidusskolai,</t>
  </si>
  <si>
    <t>Daugavpils Dizaina un mākslas vidusskolas "Saules skola" infrastruktūras modernizācijas II kārtas īstenošana un kultūrizglītības reģionālā metodiskā centra izveidošana</t>
  </si>
  <si>
    <t>Saskaņā ar MKN grozījumu projektu Saules skolais ERAF finansējums samazināts uz 1 804 317. Saskaņā ar 30.05.2017. MK noteikumime, fiansējums ir 2122726 Lūgums sazināties ar FS kā mainīsies FS plāns pec  MKN izmaiņām Lūgums precizēt finanšu plūsmu nesaskan ar FS info</t>
  </si>
  <si>
    <t>8.1.4.</t>
  </si>
  <si>
    <t>Ieguldījumi koledžu STEM infrastruktūrā</t>
  </si>
  <si>
    <t>0.8.1.4.</t>
  </si>
  <si>
    <t>MKN noteiktais ES fondu  pieejamais finansējums 11 321 973</t>
  </si>
  <si>
    <t>8.1.4.0/17/I/001</t>
  </si>
  <si>
    <t>profesionālās izglītības kompetences centrs "Rīgas Tehniskā koledža"</t>
  </si>
  <si>
    <t>Rīgas Tehniskās koledžas infrastruktūras attīstība</t>
  </si>
  <si>
    <t>31.03.2017 (Apstiprināts ar nosacījumu)</t>
  </si>
  <si>
    <t>8.1.4.0/17/I/002</t>
  </si>
  <si>
    <t>Rīgas Stradiņa universitātes Sarkanā Krusta medicīnas koledža</t>
  </si>
  <si>
    <t>STEM izglītības programmu infrastruktūras modernizēšana RSU Sarkanā Krusta medicīnas koledžā</t>
  </si>
  <si>
    <t>30.03.2017 (Apstiprināts ar nosacījumu)</t>
  </si>
  <si>
    <t>8.1.4.0/17/I/003</t>
  </si>
  <si>
    <t>Rīgas 1. medicīnas koledža</t>
  </si>
  <si>
    <t>STEM izglītības programmu infrastruktūras modernizēšana Rīgas 1. medicīnas koledžā</t>
  </si>
  <si>
    <t>8.1.4.0/17/I/004</t>
  </si>
  <si>
    <t>Augstākās izglītības studiju programmas "Uzņēmējdarbība lauksaimniecībā" infrastruktūras un aprīkojuma modernizēšana Malnavas koledžā</t>
  </si>
  <si>
    <t>12.04.2017 (Apstiprināts ar nosacījumu)</t>
  </si>
  <si>
    <t>8.1.4.0/17/I/005</t>
  </si>
  <si>
    <t>Studiju mācību vides uzlabošana Olaines Mehānikas un tehnoloģiju koledžā</t>
  </si>
  <si>
    <t>28.04.2017 (Apstiprināts ar nosacījumu)</t>
  </si>
  <si>
    <t>8.1.4.0/17/I/006</t>
  </si>
  <si>
    <t>Rīgas Celtniecības koledža</t>
  </si>
  <si>
    <t>Būvmateriālu īpašību pārbaudes laboratorijas modernizācija</t>
  </si>
  <si>
    <t>13.04.2017 (Apstiprināts ar nosacījumu)</t>
  </si>
  <si>
    <t>8.1.4.0/17/I/007</t>
  </si>
  <si>
    <t>Jēkabpils Agrobiznesa koledža</t>
  </si>
  <si>
    <t>Jēkabpils Agrobiznesa koledžas STEM studiju mācību vides uzlabošana</t>
  </si>
  <si>
    <t>01.03.2017 (iesniegts)</t>
  </si>
  <si>
    <t>8.1.4.0/17/I/008</t>
  </si>
  <si>
    <t>Liepājas Jūrniecības koledža</t>
  </si>
  <si>
    <t>Liepājas Jūrniecības koledžas pirmā līmeņa profesionālās augstākās izglītības STEM programmu studiju mācību vides uzlabošana</t>
  </si>
  <si>
    <t>27.04.2017. (apstiprināts ar nosacījumu)</t>
  </si>
  <si>
    <t>8.1.4.0/17/I/009</t>
  </si>
  <si>
    <t>Daugavpils Medicīnas koledža</t>
  </si>
  <si>
    <t>Daugavpils medicīnas koledžas infrastruktūras un aprīkojuma modernizācija</t>
  </si>
  <si>
    <t>Kompetenču pieejas attīšana</t>
  </si>
  <si>
    <t>Kompetenču pieejas satura aprobācija</t>
  </si>
  <si>
    <t>Individuālo kompetenču attīstība vispārējā izglītībā</t>
  </si>
  <si>
    <t xml:space="preserve">NVI Nr.2016/ESF/0001 </t>
  </si>
  <si>
    <t>Kvalitātes monitoringa sistēmas ieviešana</t>
  </si>
  <si>
    <t>2.kārtai paredzēts finansējums 3 272 500 EUR, MKN izstrādās 2019.g.</t>
  </si>
  <si>
    <t>nav projekta</t>
  </si>
  <si>
    <t>8.3.6.2.</t>
  </si>
  <si>
    <t>Izglītības kvalitātes monitoringa sistēma</t>
  </si>
  <si>
    <t>584 832 EUR ir rezerves summa (CFLA-jau tika norādīts, ka info par naudas plūsmu ņemta no MKN anotācijas, jo pasākuma MKN tikko tika izsludināti VSS) sadalīta divās vienādās daļās un atņemta no 2021. un 2022.gadiem.</t>
  </si>
  <si>
    <t>9.</t>
  </si>
  <si>
    <t>Sociālā iekļaušana</t>
  </si>
  <si>
    <t>9. DP. GROZ.</t>
  </si>
  <si>
    <t>Nelabvēlīgākā situācijā esošo bezdarbnieku iekļaušana</t>
  </si>
  <si>
    <t>NVI ESF 117.36
Līgums (fondu daļa) 23 638 326.64
Pārdalīts finansējums (palielināts) no 9.1.1.2. uz 9.1.1.1. (8 013 565 EUR, t.i. ESF 6 811 530 EUR), nepieciešamie precizējumi projektā ir saskaņošanas procesā.</t>
  </si>
  <si>
    <t>NVI nav
Līgums (fondu daļa) 34 037 125
Pārdalīts finansējums (samazināts) no 9.1.1.2. uz 9.1.1.1. (8 013 565 EUR, t.i. ESF 6 811 530 EUR), nepieciešamie precizējumi projektā ir saskaņošanas procesā.</t>
  </si>
  <si>
    <t>NVI nav
Līgums (fondu daļa) 12 682 175</t>
  </si>
  <si>
    <t>NVI nav
Līgums (fondu daļa) 4 125 213</t>
  </si>
  <si>
    <t>NVI nav
Līgums (fondu daļa) 3 374 060</t>
  </si>
  <si>
    <t>Diskriminācijas riskiem pakļauto iedzīvotāju integrācija</t>
  </si>
  <si>
    <t>NVI ERAF 21.23
Līgums (fondu daļa) 1 064 308</t>
  </si>
  <si>
    <t>NVI ESF 15.66
Līgums (fondu daļa) 1 124 780</t>
  </si>
  <si>
    <t>NVI nav
Līgums (fondu daļa) 270 346</t>
  </si>
  <si>
    <t>NVI nav
Līgums (fondu daļa) 5 791 088</t>
  </si>
  <si>
    <t>Sociālo dienestu darba efektivitātes paaugstināšana</t>
  </si>
  <si>
    <t>MP 6 Ieturēts uz laiku ESF 24 841.07
Līgums (fondu daļa) 7 247 622</t>
  </si>
  <si>
    <t>NVI nav
Līgums (fondu daļa) 917 711</t>
  </si>
  <si>
    <t>NVI nav
Līgums (fondu daļa) 1 981 562.33</t>
  </si>
  <si>
    <t xml:space="preserve">Sabiedrībā balstīti sociālie pakalpojumi personām ar invaliditāti un ģimeniskai videi pietuvināti pakalpojumi bērniem </t>
  </si>
  <si>
    <t>NVI nav
Līgums (fondu daļa) 4 853 010.40</t>
  </si>
  <si>
    <t>NVI nav
Līgums (fondu daļa) 16 046 443.65</t>
  </si>
  <si>
    <t>NVI nav
Līgums (fondu daļa) 3 681 463.90</t>
  </si>
  <si>
    <t>NVI nav
Līgums (fondu daļa) 5 342 488.85</t>
  </si>
  <si>
    <t>NVI nav
Līgums (fondu daļa) 7 037 075.20</t>
  </si>
  <si>
    <t>Sociālo pakalpojumu sistēmas pilnveide</t>
  </si>
  <si>
    <t>NVI nav
Līgums (fondu daļa) 4 018 012</t>
  </si>
  <si>
    <t>NVI nav
MP 5 Ieturēts uz laiku ESF 49 462.61
Līgums (fondu daļa) 3 918 310</t>
  </si>
  <si>
    <t>Veselības veicināšanas un slimību profilakse</t>
  </si>
  <si>
    <t>NVI nav
Līgums (fondu daļa) 14 188 878</t>
  </si>
  <si>
    <t xml:space="preserve">CFLA lūgums skaidrot joprojām esošo atlikumu, ņemot vērā, ka neraugoties uz noraidītiem, atsauktiem projektiem un rezerves pārplānošanu uz 2.kārtu, atlikums veidojas aptuveni 509 tūkst. EUR apmērā. </t>
  </si>
  <si>
    <t xml:space="preserve">CFLA lūgums skaidrot joprojām esošo atlikumu, ņemot vērā, ka neraugoties uz noraidītiem, atsauktiem projektiem un rezerves pārplānošanu uz 2.kārtu, atlikums veidojas aptuveni 509 tūkst. EUR apmērā. 
</t>
  </si>
  <si>
    <t>9.2.4.2/16/I/013</t>
  </si>
  <si>
    <t>Veselības veicināšanas un slimību profilakses pasākumi Engures novadā.</t>
  </si>
  <si>
    <t>21.02.2017 (Apstiprināts)</t>
  </si>
  <si>
    <t>06.04.2017 (Apstiprināts)</t>
  </si>
  <si>
    <t>23.03.2017 (Apstiprināts)</t>
  </si>
  <si>
    <t>05.04.2017 (Apstiprināts)</t>
  </si>
  <si>
    <t>9.2.4.2/16/I/025</t>
  </si>
  <si>
    <t>Mālpils novada dome</t>
  </si>
  <si>
    <t>Veselības veicināšanas pasākumi Mālpils novadā</t>
  </si>
  <si>
    <t>08.02.2017 (Apstiprināts)</t>
  </si>
  <si>
    <t>Statusā "Atsaukts" 08.02.2017. (ievadīts KP VIS 19.05.2017.)</t>
  </si>
  <si>
    <t>9.2.4.2/16/I/026</t>
  </si>
  <si>
    <t>Salaspils novada pašvaldība</t>
  </si>
  <si>
    <t>Veselības veicināšanas un slimību profilakses pasākumi Salaspils novadā</t>
  </si>
  <si>
    <t>9.2.4.2/16/I/028</t>
  </si>
  <si>
    <t>Alojas novada dome</t>
  </si>
  <si>
    <t>Pasākumi vietējās sabiedrības veselības veicināšanai un slimību profilaksei Alojas novadā</t>
  </si>
  <si>
    <t>23.02.2017 (Apstiprināts ar nosacījumu 2)</t>
  </si>
  <si>
    <t>9.2.4.2/16/I/029</t>
  </si>
  <si>
    <t>Auces novada  iedzīvotāju  iesaistīšana veselības veicināšanas un nostiprināšanas pasākumos</t>
  </si>
  <si>
    <t>12.04.2017  (Iesniegti precizējumi 2)</t>
  </si>
  <si>
    <t>9.2.4.2/16/I/034</t>
  </si>
  <si>
    <t>Neretas novada pašvaldība</t>
  </si>
  <si>
    <t>Dzīvo vesels Neretas novadā!</t>
  </si>
  <si>
    <t>09.03.2017 (Iesniegti precizējumi 2)</t>
  </si>
  <si>
    <t>9.2.4.2/16/I/036</t>
  </si>
  <si>
    <t>Strenču novada dome</t>
  </si>
  <si>
    <t xml:space="preserve">Veselības veicināšana un slimību profilakses pasākumi Strenču novadā </t>
  </si>
  <si>
    <t>9.2.4.2/16/I/039</t>
  </si>
  <si>
    <t>Skrundas novada pašvaldība</t>
  </si>
  <si>
    <t>Veselības veicināšanas pasākumi Skrundas novadā1.kārta</t>
  </si>
  <si>
    <t>27.04.2017 (Apstiprināts)</t>
  </si>
  <si>
    <t>9.2.4.2/16/I/042</t>
  </si>
  <si>
    <t>Alsungas novada dome</t>
  </si>
  <si>
    <t>Pasākumi Alsungas novada iedzīvotāju veselības veicināšanai un slimību profilaksei</t>
  </si>
  <si>
    <t>26.04.2017 (Apstiprināts)</t>
  </si>
  <si>
    <t>9.2.4.2/16/I/045</t>
  </si>
  <si>
    <t>Baltinavas novada dome</t>
  </si>
  <si>
    <t>Dzīvo aktīvs Baltinavā!</t>
  </si>
  <si>
    <t>19.12.2016 (Apstiprināts ar nosacījumu)</t>
  </si>
  <si>
    <t>9.2.4.2/16/I/046</t>
  </si>
  <si>
    <t>Carnikavas novada dome</t>
  </si>
  <si>
    <t>Pasākumi vietējās sabiedrības veselības veicināšanai un slimību profilaksei Carnikavas novadā</t>
  </si>
  <si>
    <t>24.03.2017 (Apstiprināts ar nosacījumu 2)</t>
  </si>
  <si>
    <t>9.2.4.2/16/I/048</t>
  </si>
  <si>
    <t>Salas novada pašvaldība</t>
  </si>
  <si>
    <t>Vietējās sabiedrības veselības veicināšanas un slimību profilakses pasākumi Salas novadā</t>
  </si>
  <si>
    <t>24.03.2017 (Iesniegti precizējumi 2)</t>
  </si>
  <si>
    <t>9.2.4.2/16/I/050</t>
  </si>
  <si>
    <t>Pasākumi vietējās sabiedrības veselības veicināšanai Balvu novadā</t>
  </si>
  <si>
    <t>10.04.2017 (Iesniegti precizējumi 2)</t>
  </si>
  <si>
    <t>9.2.4.2/16/I/051</t>
  </si>
  <si>
    <t>Beverīnas novada pašvaldība</t>
  </si>
  <si>
    <t>Veselas un veselīgas sabiedrības veidošana Beverīnas novadā</t>
  </si>
  <si>
    <t>08.03.2017 (Iesniegti precizējumi 2)</t>
  </si>
  <si>
    <t>9.2.4.2/16/I/053</t>
  </si>
  <si>
    <t>Rūjienas novada pašvaldība</t>
  </si>
  <si>
    <t>Esi vesels, Rūjienas novada iedzīvotāj!</t>
  </si>
  <si>
    <t>10.04.2017 (Apstiprināts ar nosacījumu 2)</t>
  </si>
  <si>
    <t>9.2.4.2/16/I/054</t>
  </si>
  <si>
    <t>SVEIKS UN VESELS VENTSPILS NOVADĀ!</t>
  </si>
  <si>
    <t>9.2.4.2/16/I/056</t>
  </si>
  <si>
    <t>Pasākumi vietējās sabiedrības veselības veicināšanai un slimību profilaksei Pāvilostas novadā.</t>
  </si>
  <si>
    <t>9.2.4.2/16/I/057</t>
  </si>
  <si>
    <t>Pasākumi vietējās sabiedrības veselības veicināšanai un slimību profilaksei Apes novadā</t>
  </si>
  <si>
    <t>9.2.4.2/16/I/058</t>
  </si>
  <si>
    <t>Pasākumi vietējās sabiedrības veselības veicināšanai un slimību profilaksei Ilūkstes novadā</t>
  </si>
  <si>
    <t>27.03.2017 (Apstiprināts ar nosacījumu 2)</t>
  </si>
  <si>
    <t>9.2.4.2/16/I/059</t>
  </si>
  <si>
    <t>Pasākumi vietējās sabiedrības veselības veicināšanai un slimību profilaksei Limbažu novadā</t>
  </si>
  <si>
    <t>9.2.4.2/16/I/060</t>
  </si>
  <si>
    <t>Rundāles novada dome</t>
  </si>
  <si>
    <t>Pasākumi Rundāles novadā vietējās sabiedrības veselības veicināšanai un slimību profilaksei</t>
  </si>
  <si>
    <t>28.02.2017 (Apstiprināts ar nosacījumu 2)</t>
  </si>
  <si>
    <t>9.2.4.2/16/I/061</t>
  </si>
  <si>
    <t xml:space="preserve">Bauskas novada pašvaldība </t>
  </si>
  <si>
    <t>“Pasākumi Bauskas novada sabiedrības veselības veicināšanai un slimību profilaksei”</t>
  </si>
  <si>
    <t>9.2.4.2/16/I/062</t>
  </si>
  <si>
    <t>Veselības veicināšanas un slimību profilakses pasākumi Olaines novada iedzīvotājiem no 2017.gada līdz 2020. gadam.</t>
  </si>
  <si>
    <t>31.03.2017 (Iesniegti precizējumi 2)</t>
  </si>
  <si>
    <t>9.2.4.2/16/I/063</t>
  </si>
  <si>
    <t>Vārkavas novada pašvaldība</t>
  </si>
  <si>
    <t>Veselības veicināšanas un profilakses pasākumi vietējai sabiedrībai Vārkavas novadā</t>
  </si>
  <si>
    <t>07.04.2017 (Iesniegti precizējumi 2)</t>
  </si>
  <si>
    <t>9.2.4.2/16/I/064</t>
  </si>
  <si>
    <t>Veselības veicināšanas un slimību profilakses pasākumu organizēšana Rēzeknes pilsētā</t>
  </si>
  <si>
    <t>9.2.4.2/16/I/066</t>
  </si>
  <si>
    <t>Slimību profilakses un veselības veicināšanas pasākumi Ozolnieku novadā</t>
  </si>
  <si>
    <t>9.2.4.2/16/I/067</t>
  </si>
  <si>
    <t>Ciblas novada pašvaldība</t>
  </si>
  <si>
    <t>Veselības veicināšana iedzīvotājiem Ciblas novadā</t>
  </si>
  <si>
    <t>9.2.4.2/16/I/069</t>
  </si>
  <si>
    <t>Kārsavas novada pašvaldība</t>
  </si>
  <si>
    <t>Veselības veicināšanas un slimību profilakse pasākumi Kārsavas novadā iedzīvotājiem</t>
  </si>
  <si>
    <t>29.12.2016 (Apstiprināts ar nosacījumu)</t>
  </si>
  <si>
    <t>02.05.2017 (Apstiprināts)</t>
  </si>
  <si>
    <t>9.2.4.2/16/I/071</t>
  </si>
  <si>
    <t>Veselības veicināšanas un slimību profilakses pakalpojumu pasākumi Sējas novadā</t>
  </si>
  <si>
    <t>9.2.4.2/16/I/073</t>
  </si>
  <si>
    <t>Viļakas novada dome</t>
  </si>
  <si>
    <t>Veselības veicināšanas un slimību profilakses pasākumi Viļakas novadā</t>
  </si>
  <si>
    <t>9.2.4.2/16/I/074</t>
  </si>
  <si>
    <t>Rucavas novada dome</t>
  </si>
  <si>
    <t>Veselīgs Rucavas novads</t>
  </si>
  <si>
    <t>08.02.2017 (Iesniegti precizējumi)</t>
  </si>
  <si>
    <t>9.2.4.2/16/I/076</t>
  </si>
  <si>
    <t>Veselības veicināšanas un slimību profilakses pasākumi Varakļānu novadā</t>
  </si>
  <si>
    <t>9.2.4.2/16/I/077</t>
  </si>
  <si>
    <t>Jaunpils novada dome</t>
  </si>
  <si>
    <t>Vesels Jaunpils novadā</t>
  </si>
  <si>
    <t>9.2.4.2/16/I/078</t>
  </si>
  <si>
    <t>Preiļu novada dome</t>
  </si>
  <si>
    <t>Pasākumi Preiļu novada vietējās sabiedrības veselības veicināšanai un slimību profilaksei</t>
  </si>
  <si>
    <t>9.2.4.2/16/I/079</t>
  </si>
  <si>
    <t>Mazsalacas novada pašvaldība</t>
  </si>
  <si>
    <t>Pasākumi Mazsalacas novada iedzīvotāju veselības veicināšanai un slimību profilaksei</t>
  </si>
  <si>
    <t>9.2.4.2/16/I/081</t>
  </si>
  <si>
    <t>Veselības veicināšanas un slimību profilakses pasākumi Lielvārdes novadā</t>
  </si>
  <si>
    <t>9.2.4.2/16/I/082</t>
  </si>
  <si>
    <t xml:space="preserve">Skrīveru novada dome </t>
  </si>
  <si>
    <t>Pasākumi Skrīveru novada sabiedrības veselības veicināšanai un slimību profilaksei</t>
  </si>
  <si>
    <t>16.05.2017 (Apstiprināts)</t>
  </si>
  <si>
    <t>9.2.4.2/16/I/083</t>
  </si>
  <si>
    <t>Vietējās sabiedrības veselības veicināšana un slimību profilakse Ķeguma novadā</t>
  </si>
  <si>
    <t>03.02.2017 (Iesniegti precizējumi)</t>
  </si>
  <si>
    <t>9.2.4.2/16/I/086</t>
  </si>
  <si>
    <t>Brocēnu novada pašvaldība</t>
  </si>
  <si>
    <t>Pasākumi vietējās sabiedrības veselības veicināšanai un slimību profilaksei Brocēnu novadā</t>
  </si>
  <si>
    <t>06.02.2017 (Iesniegti precizējumi)</t>
  </si>
  <si>
    <t>9.2.4.2/16/I/087</t>
  </si>
  <si>
    <t>Saulkrastu novada dome</t>
  </si>
  <si>
    <t xml:space="preserve">Veselības veicināšanas pasākumi Saulkrastu novadā </t>
  </si>
  <si>
    <t>22.12.2016 (Apstiprināts ar nosacījumu)</t>
  </si>
  <si>
    <t>9.2.4.2/16/I/089</t>
  </si>
  <si>
    <t>Zilupes novada pašvaldība</t>
  </si>
  <si>
    <t xml:space="preserve">Zilupes novada iedzīvotāju veselības veicināšanas un slimību profilakses pasākumi "Kusties, izglītojies un esi vesels"
</t>
  </si>
  <si>
    <t>02.05.2017 (Apstiprināts ar nosacījumu 2)</t>
  </si>
  <si>
    <t>9.2.4.2/16/I/090</t>
  </si>
  <si>
    <t>Kocēnu novada dome</t>
  </si>
  <si>
    <t>Veselības veicināšanas pakalpojumu pieejamība Kocēnu novada iezīvotājiem</t>
  </si>
  <si>
    <t>28.12.2016 (Apstiprināts ar nosacījumu)</t>
  </si>
  <si>
    <t>9.2.4.2/16/I/091</t>
  </si>
  <si>
    <t>Veselīga dzīvesveida veicināšanas pasākumi Pļaviņu novadā</t>
  </si>
  <si>
    <t>24.03.2017 (Apstiprināts)</t>
  </si>
  <si>
    <t>9.2.4.2/16/I/092</t>
  </si>
  <si>
    <t>Veselības veicināšanas un slimību profilakses pasākumu īstenošana Madonas novada iedzīvotājiem</t>
  </si>
  <si>
    <t>22.03.2017 (Iesniegti precizējumi 2)</t>
  </si>
  <si>
    <t>9.2.4.2/16/I/093</t>
  </si>
  <si>
    <t>Krimuldas novada dome</t>
  </si>
  <si>
    <t>Veselības vecināšanas un slimību profilakses pakalpojumu pieejamības uzlabošana Krimuldas novadā</t>
  </si>
  <si>
    <t>09.02.2017 (Apstiprināts ar nosacījumu 2)</t>
  </si>
  <si>
    <t>9.2.4.2/16/I/094</t>
  </si>
  <si>
    <t>Veselības veicināšana un slimību profilakse Ķekavas novadā, 1.kārta</t>
  </si>
  <si>
    <t>9.2.4.2/16/I/095</t>
  </si>
  <si>
    <t xml:space="preserve">“Veselības veicināšanas un slimību profilakses pakalpojumu pieejamības uzlabošana Kuldīgas novada iedzīvotājiem.” </t>
  </si>
  <si>
    <t>15.03.2017 (Apstiprināts ar nosacījumu 2)</t>
  </si>
  <si>
    <t>9.2.4.2/16/I/096</t>
  </si>
  <si>
    <t>Veselības veicināšanas un slimību profilakses pasākumi Salacgrīvas novadā</t>
  </si>
  <si>
    <t>09.03.2017 (Apstiprināts ar nosacījumu 2)</t>
  </si>
  <si>
    <t>Statusā "Noraidīts" 02.05.2017.</t>
  </si>
  <si>
    <t>9.2.4.2/16/I/097</t>
  </si>
  <si>
    <t>Krāslavas novada dome</t>
  </si>
  <si>
    <t>Pasākumi vietējās sabiedrības veselības veicināšanai un slimību profilaksei Krāslavas novadā</t>
  </si>
  <si>
    <t>13.03.2017 (Apstiprināts ar nosacījumu 2)</t>
  </si>
  <si>
    <t>9.2.4.2/16/I/099</t>
  </si>
  <si>
    <t>Riebiņu novada dome</t>
  </si>
  <si>
    <t>"Veselības veicināšanas un slimības profilakses uzlabošanas pasākumi Riebiņu novadā, 1.Kārta"</t>
  </si>
  <si>
    <t>29.12.2016 (Apstiprināts ar nosacījumu 2)</t>
  </si>
  <si>
    <t>9.2.4.2/16/I/100</t>
  </si>
  <si>
    <t>Grobiņas novada vietējās sabiedrības veselības veicināšana un slimību profilakse</t>
  </si>
  <si>
    <t>9.2.4.2/16/I/102</t>
  </si>
  <si>
    <t>Jaunpiebalgas novada dome</t>
  </si>
  <si>
    <t xml:space="preserve">Pasākumi vietējās sabiedrības veselības veicināšanai un slimību profilaksei Jaunpiebalgas novadā </t>
  </si>
  <si>
    <t>30.03.2017 (Apstiprināts ar nosacījumu 2)</t>
  </si>
  <si>
    <t>17.05.2017 (Apstiprināts)</t>
  </si>
  <si>
    <t>Atsauktie noraidītie projekti brīvais finansējums kārtā</t>
  </si>
  <si>
    <t>MK plānotais: 16 444 269
MK noteikumos norādītais pieejamais finansējums 1. un 2. kārtas ietvaros kopā ir 27 987 539 euro (ESF)
Rezerve pārcelta uz 9.2.4.2. SAMP 2.kārtu
FS + MP iesniegšanas prognoze nav zināma
MK: 50.3. katrai projektu iesniegumu atlases kārtai plāno pusi no šo noteikumu 12.2. apakšpunktā noteiktā finansējuma un otrās projektu iesniegumu atlases kārtas finansējumu palielina par pirmās projektu iesniegumu atlases kārtas finansējuma atlikumu un koriģē atbilstoši šo noteikumu 13. punktā noteiktajam attiecināmo izmaksu apjoma ierobežojumam.</t>
  </si>
  <si>
    <t>Aizputes novada pašvaldība</t>
  </si>
  <si>
    <t>Aknīstes novada pašvaldība</t>
  </si>
  <si>
    <t>Alsungas novada pašvaldība  </t>
  </si>
  <si>
    <t>Apes novada pašvaldība </t>
  </si>
  <si>
    <t>Baltinavas novada pašvaldība</t>
  </si>
  <si>
    <t>Carnikavas novada pašvaldība</t>
  </si>
  <si>
    <t>Ērgļu novada pašvaldība </t>
  </si>
  <si>
    <t>Garkalnes novada pašvaldība</t>
  </si>
  <si>
    <t>Grobiņas novada pašvaldība</t>
  </si>
  <si>
    <t>Iecavas novada pašvaldība</t>
  </si>
  <si>
    <t>Jaunpils novada pašvaldība</t>
  </si>
  <si>
    <t>Jaunpiebalgas novada pašvaldība </t>
  </si>
  <si>
    <t>Kandavas novada pašvaldība</t>
  </si>
  <si>
    <t>Krimuldas novada pašvaldība</t>
  </si>
  <si>
    <t>Ķeguma novada pašvaldība</t>
  </si>
  <si>
    <t>Lubānas novada pašvaldība</t>
  </si>
  <si>
    <t>Madonasnovada pašvaldība</t>
  </si>
  <si>
    <t>Nīcas novada pašvaldība</t>
  </si>
  <si>
    <t>Pārgaujas novada pašvaldība </t>
  </si>
  <si>
    <t>Priekuļu novada pašvaldība</t>
  </si>
  <si>
    <t>Raunas novada pašvaldība</t>
  </si>
  <si>
    <t>Rojas novada pašvaldība</t>
  </si>
  <si>
    <t>Rugāju novada pašvaldība</t>
  </si>
  <si>
    <t>Sējas novada pašvaldība </t>
  </si>
  <si>
    <t>Skrīveru novada pašvaldība</t>
  </si>
  <si>
    <t>Strenču novada pašvaldība</t>
  </si>
  <si>
    <t>Valmieras novada pašvaldība</t>
  </si>
  <si>
    <t>Vecumnieku novada pašvaldība</t>
  </si>
  <si>
    <t>Viļakas novada pašvaldība</t>
  </si>
  <si>
    <t>9.2.5.</t>
  </si>
  <si>
    <t>Ārstu piesiste darbam reģioniem</t>
  </si>
  <si>
    <t>0.9.2.5.</t>
  </si>
  <si>
    <t>9.2.6.</t>
  </si>
  <si>
    <t>Ārstu apmācības</t>
  </si>
  <si>
    <t>0.9.2.6.</t>
  </si>
  <si>
    <t>Ārstniecības un ārstniecības atbalsta personāla kvalifikācijas uzlabošana</t>
  </si>
  <si>
    <t>Infrastruktūra bērnu aprūpei ģimeniskā vidē un personu ar invaliditāti integrācijai sabiedrībā</t>
  </si>
  <si>
    <t>9.3.1.1.</t>
  </si>
  <si>
    <t>Infrastruktūra deinstitucionalizācijai</t>
  </si>
  <si>
    <t>FS + MP iesniegšanas prognoze nav zināma</t>
  </si>
  <si>
    <t>Daugavpils pilsēta</t>
  </si>
  <si>
    <t>Liepājas pilsēta</t>
  </si>
  <si>
    <t>Rēzeknes pilsēta</t>
  </si>
  <si>
    <t>Jelgavas pilsēta</t>
  </si>
  <si>
    <t>Ventspils pilsēta</t>
  </si>
  <si>
    <t>Jūrmalas pilsēta</t>
  </si>
  <si>
    <t>Jēkabpils pilsēta</t>
  </si>
  <si>
    <t>Bernu un jauniešu mājas, un dienas centra izveide Valmierā</t>
  </si>
  <si>
    <t xml:space="preserve"> Aizputes novads</t>
  </si>
  <si>
    <t xml:space="preserve"> Aknīstes novads</t>
  </si>
  <si>
    <t xml:space="preserve"> Alojas novads</t>
  </si>
  <si>
    <t xml:space="preserve"> Alsungas novads</t>
  </si>
  <si>
    <t xml:space="preserve"> Alūksnes novads</t>
  </si>
  <si>
    <t xml:space="preserve"> Amatas novads</t>
  </si>
  <si>
    <t xml:space="preserve"> Apes novads</t>
  </si>
  <si>
    <t xml:space="preserve"> Auces novads</t>
  </si>
  <si>
    <t xml:space="preserve"> Babītes novads</t>
  </si>
  <si>
    <t xml:space="preserve"> Baltinavas novads</t>
  </si>
  <si>
    <t>Balvu novads</t>
  </si>
  <si>
    <t xml:space="preserve"> Bauskas novads</t>
  </si>
  <si>
    <t xml:space="preserve"> Beverīnas novads</t>
  </si>
  <si>
    <t xml:space="preserve"> Brocēnu novads</t>
  </si>
  <si>
    <t xml:space="preserve"> Burtnieku novads</t>
  </si>
  <si>
    <t xml:space="preserve"> Carnikavas novads</t>
  </si>
  <si>
    <t xml:space="preserve"> Cesvaines novads</t>
  </si>
  <si>
    <t xml:space="preserve"> Cēsu novads</t>
  </si>
  <si>
    <t xml:space="preserve"> Dagdas novads</t>
  </si>
  <si>
    <t>Daugavpils novads</t>
  </si>
  <si>
    <t xml:space="preserve"> Dobeles novads</t>
  </si>
  <si>
    <t xml:space="preserve"> Dundagas novads</t>
  </si>
  <si>
    <t xml:space="preserve"> Durbes novads</t>
  </si>
  <si>
    <t xml:space="preserve"> Engures novads</t>
  </si>
  <si>
    <t xml:space="preserve"> Ērgļu novads</t>
  </si>
  <si>
    <t xml:space="preserve"> Garkalnes novads</t>
  </si>
  <si>
    <t xml:space="preserve"> Grobiņas novads</t>
  </si>
  <si>
    <t xml:space="preserve"> Gulbenes novads</t>
  </si>
  <si>
    <t xml:space="preserve"> Iecavas novads</t>
  </si>
  <si>
    <t xml:space="preserve"> Ikšķiles novads</t>
  </si>
  <si>
    <t xml:space="preserve"> Ilūkstes novads</t>
  </si>
  <si>
    <t xml:space="preserve"> Inčukalna novads</t>
  </si>
  <si>
    <t>Jaunpiebalgas novads</t>
  </si>
  <si>
    <t>Jaunpils novads</t>
  </si>
  <si>
    <t>Jēkabpils novads</t>
  </si>
  <si>
    <t>Jelgavas novads</t>
  </si>
  <si>
    <t>Kandavas novads</t>
  </si>
  <si>
    <t>Kārsavas novads</t>
  </si>
  <si>
    <t>Kocēnu novads</t>
  </si>
  <si>
    <t>Kokneses novads</t>
  </si>
  <si>
    <t>Krāslavas novads</t>
  </si>
  <si>
    <t>Krimuldas novads</t>
  </si>
  <si>
    <t>Krustpils novads</t>
  </si>
  <si>
    <t>Kuldīgas novads</t>
  </si>
  <si>
    <t>Ķeguma novads</t>
  </si>
  <si>
    <t>Ķekavas novads</t>
  </si>
  <si>
    <t>Lielvārdes novads</t>
  </si>
  <si>
    <t>Līgatnes novads</t>
  </si>
  <si>
    <t>Limbažu novads</t>
  </si>
  <si>
    <t xml:space="preserve"> Lubānas novads</t>
  </si>
  <si>
    <t xml:space="preserve"> Ludzas novads</t>
  </si>
  <si>
    <t xml:space="preserve"> Madonas novads</t>
  </si>
  <si>
    <t xml:space="preserve"> Mālpils novads</t>
  </si>
  <si>
    <t xml:space="preserve"> Mārupes novads</t>
  </si>
  <si>
    <t xml:space="preserve"> Mazsalacas novads</t>
  </si>
  <si>
    <t xml:space="preserve"> Mērsraga novads</t>
  </si>
  <si>
    <t xml:space="preserve"> Naukšēnu novads</t>
  </si>
  <si>
    <t xml:space="preserve"> Neretas novads</t>
  </si>
  <si>
    <t xml:space="preserve"> Nīcas novads</t>
  </si>
  <si>
    <t>Ogres novads</t>
  </si>
  <si>
    <t>Olaines novads</t>
  </si>
  <si>
    <t xml:space="preserve"> Ozolnieku novads</t>
  </si>
  <si>
    <t xml:space="preserve"> Pārgaujas novads</t>
  </si>
  <si>
    <t xml:space="preserve"> Pāvilostas novads</t>
  </si>
  <si>
    <t xml:space="preserve"> Pļaviņu novads</t>
  </si>
  <si>
    <t xml:space="preserve"> Preiļu novads</t>
  </si>
  <si>
    <t xml:space="preserve"> Priekules novads</t>
  </si>
  <si>
    <t xml:space="preserve"> Priekuļu novads</t>
  </si>
  <si>
    <t xml:space="preserve"> Raunas novads</t>
  </si>
  <si>
    <t xml:space="preserve"> Rēzeknes novads</t>
  </si>
  <si>
    <t xml:space="preserve"> Riebiņu novads</t>
  </si>
  <si>
    <t>Rojas novads</t>
  </si>
  <si>
    <t xml:space="preserve"> Ropažu novads</t>
  </si>
  <si>
    <t xml:space="preserve"> Rucavas novads</t>
  </si>
  <si>
    <t xml:space="preserve"> Rugāju novads</t>
  </si>
  <si>
    <t xml:space="preserve"> Rūjienas novads</t>
  </si>
  <si>
    <t xml:space="preserve"> Rundāles novads</t>
  </si>
  <si>
    <t xml:space="preserve"> Salacgrīvas novads</t>
  </si>
  <si>
    <t xml:space="preserve"> Salas novads</t>
  </si>
  <si>
    <t>Salaspils novads</t>
  </si>
  <si>
    <t>Saldus novads</t>
  </si>
  <si>
    <t>Saulkrastu novads</t>
  </si>
  <si>
    <t>Sējas novads</t>
  </si>
  <si>
    <t>Siguldas novads</t>
  </si>
  <si>
    <t>Skrīveru novads</t>
  </si>
  <si>
    <t>Skrundas novads</t>
  </si>
  <si>
    <t>Smiltenes novads</t>
  </si>
  <si>
    <t>Stopiņu novads</t>
  </si>
  <si>
    <t>Strenču novads</t>
  </si>
  <si>
    <t>Talsu novads</t>
  </si>
  <si>
    <t>Tērvetes novads</t>
  </si>
  <si>
    <t>Tukuma novads</t>
  </si>
  <si>
    <t xml:space="preserve"> Vaiņodes novads</t>
  </si>
  <si>
    <t xml:space="preserve"> Valkas novads</t>
  </si>
  <si>
    <t>Varakļānu novads</t>
  </si>
  <si>
    <t>Vārkavas novads</t>
  </si>
  <si>
    <t>Vecpiebalgas novads</t>
  </si>
  <si>
    <t>Vecumnieku novads</t>
  </si>
  <si>
    <t xml:space="preserve"> Ventspils novads</t>
  </si>
  <si>
    <t xml:space="preserve"> Viesītes novads</t>
  </si>
  <si>
    <t xml:space="preserve"> Viļakas novads</t>
  </si>
  <si>
    <t xml:space="preserve"> Viļānu novads</t>
  </si>
  <si>
    <t xml:space="preserve"> Zilupes novads</t>
  </si>
  <si>
    <t>NVI nav
Līgums (fondu daļa) 3 465 513</t>
  </si>
  <si>
    <t>9.3.2.</t>
  </si>
  <si>
    <t>Veselības aprūpes infrastruktūra</t>
  </si>
  <si>
    <t>0.9.3.2.</t>
  </si>
  <si>
    <t>1</t>
  </si>
  <si>
    <t>Sabiedrība ar ierobežotu atbildību "Rīgas Austrumu klīniskā universitātes slimnīca"</t>
  </si>
  <si>
    <t>SIA “Rīgas Austrumu klīniskā universitātes slimnīca” infrastruktūras attīstība</t>
  </si>
  <si>
    <t>Valsts sabiedrība ar ierobežotu atbildību "Bērnu klīniskā universitātes slimnīca"</t>
  </si>
  <si>
    <t>VSIA „Bērnu klīniskā universitātes slimnīca” veselības aprūpes infrastruktūras attīstība</t>
  </si>
  <si>
    <t>Valsts sabiedrība ar ierobežotu atbildību "Traumatoloģijas un ortopēdijas slimnīca"</t>
  </si>
  <si>
    <t>Kvalitatīvu veselības aprūpes pakalpojumu pieejamības uzlabošana VSIA "Traumatoloģijas un ortopēdijas slimnīca", attīstot veselības aprūpes infrastruktūru</t>
  </si>
  <si>
    <t>SIA "Rīgas Dzemdību nams"</t>
  </si>
  <si>
    <t>Kvalitatīvu veselības aprūpes pakalpojumu pieejamības uzlabošana, attīstot veselības aprūpes infrastruktūru SIA “Rīgas Dzemdību nams”</t>
  </si>
  <si>
    <t>Valsts sabiedrība ar ierobežotu atbildību "Nacionālais rehabilitācijas centrs "Vaivari""</t>
  </si>
  <si>
    <t>Kvalitatīvu veselības aprūpes pakalpojumu pieejamības uzlabošana Nacionālajā rehabilitācijas centrā „Vaivari”,  attīstot veselības aprūpes infrastruktūru</t>
  </si>
  <si>
    <t>Sabiedrība ar ierobežotu atbildību "LIEPĀJAS REĢIONĀLĀ SLIMNĪCA"</t>
  </si>
  <si>
    <t>Infrastruktūras attīstība SIA "Liepājas reģionālā slimnīca", uzlabojot kardioloģijas, onkoloģijas un bērnu veselības aprūpes pakalpojumu pieejamību un kvalitāti Kurzemē</t>
  </si>
  <si>
    <t>Sabiedrība ar ierobežotu atbildību "Daugavpils reģionālā slimnīca"</t>
  </si>
  <si>
    <t>Sabiedrības ar ierobežotu atbildību “Daugavpils reģionālā slimnīca” kvalitatīvu veselības aprūpes pakalpojumu pieejamības uzlabošana un infrastruktūras attīstība</t>
  </si>
  <si>
    <t>SIA "Ziemeļkurzemes reģionālā slimnīca"</t>
  </si>
  <si>
    <t>SIA “Ziemeļkurzemes reģionālā slimnīca” veselības aprūpes infrastruktūras attīstība</t>
  </si>
  <si>
    <t>SIA "JELGAVAS PILSĒTAS SLIMNĪCA"</t>
  </si>
  <si>
    <t>Veselības aprūpes infrastruktūras attīstība SIA „Jelgavas pilsētas slimnīca”, pārbūvējot C korpusu</t>
  </si>
  <si>
    <t>Sabiedrība ar ierobežotu atbildību "Vidzemes slimnīca"</t>
  </si>
  <si>
    <t>Kvalitatīvu veselības aprūpes pakalpojumu pieejamības uzlabošana Vidzemes slimnīcā, attīstot veselības aprūpes infrastruktūru</t>
  </si>
  <si>
    <t>Sabiedrība ar ierobežotu atbildību "Jēkabpils reģionālā slimnīca"</t>
  </si>
  <si>
    <t>Stacionārās un ambulatorās veselības aprūpes infrastruktūras uzlabošana SIA „Jēkabpils reģionālā slimnīca”, uzlabojot kvalitatīvu veselības aprūpes pakalpojumu pieejamību</t>
  </si>
  <si>
    <t>Sabiedrība ar ierobežotu atbildību "RĒZEKNES SLIMNĪCA"</t>
  </si>
  <si>
    <t>Uzlabot kvalitatīvu veselības aprūpes pakalpojumu pieejamību, attīstot veselības aprūpes infrastruktūru SIA “RĒZEKNES SLIMNĪCA”</t>
  </si>
  <si>
    <t>2</t>
  </si>
  <si>
    <t>Paula Stradiņa klīniskā universitātes slimnīca</t>
  </si>
  <si>
    <t>Slimnīcas A korpusa 2.kārtas būvniecība</t>
  </si>
  <si>
    <t>10.</t>
  </si>
  <si>
    <t>ESF tehniskā palīdzība</t>
  </si>
  <si>
    <t xml:space="preserve">
Finansējuma atlikumu projektā tiek plānots novirzīt uz TP 2. kārtu.</t>
  </si>
  <si>
    <t>Otrās kārtas fiansējums</t>
  </si>
  <si>
    <t xml:space="preserve">
Finansējuma atlikumu projektos tiek plānots novirzīt uz TP 2. kārtu.</t>
  </si>
  <si>
    <t>11.</t>
  </si>
  <si>
    <t>ERAF tehniskā palīdzība</t>
  </si>
  <si>
    <t>12.</t>
  </si>
  <si>
    <t>KF tehniskā palīdzība</t>
  </si>
  <si>
    <t>2017 augusts</t>
  </si>
  <si>
    <t>Row Labels</t>
  </si>
  <si>
    <t>8.1.2.0/17/I/002</t>
  </si>
  <si>
    <t>Sum of ES finansējums</t>
  </si>
  <si>
    <t>2.2.1.1/17/I/004</t>
  </si>
  <si>
    <t>6.1.5.0/17/I/003</t>
  </si>
  <si>
    <t>6.3.1.0/17/I/003</t>
  </si>
  <si>
    <t>6.3.1.0/17/I/005</t>
  </si>
  <si>
    <t>8.1.3.0/17/I/002</t>
  </si>
  <si>
    <r>
      <t xml:space="preserve">Š.g. augustā ALTUM ir iesniedzis precizētu plānoto maksājumu plūsmas prognozi samazinot prognozes 2017.gadam.
Kavējumi rodas dēļ ilgstošas tehniskās dokumentācijas izstrādes un ilgstoša iepirkumu procesa, kā arī to pārbaudēm. </t>
    </r>
    <r>
      <rPr>
        <sz val="12"/>
        <color rgb="FFFF0000"/>
        <rFont val="Times New Roman"/>
        <family val="1"/>
        <charset val="186"/>
      </rPr>
      <t>Maksājumu plāni aktualizāti pēc 01.09.2017. Altum vēstules</t>
    </r>
  </si>
  <si>
    <r>
      <t xml:space="preserve">Š.g.augustā Altum iesniedza precizētas prognozes, ar kurām samazināti izpildes plāni. Kavējuma iemesli ir skatāmi kopā ar ALTUM īstenotā projekta "Atbalsts daudzdzīvokļu dzīvojamo māju energoefektivitātes paaugstināšanas pasākumu īstenošanai daudzdzīvokļu māju dzīvokļu īpašniekiem" īstenošanu kavējošiem faktoriem. Kā arī aizdevumu  izsniegšanā nav sākotnēji prognozētās intensitātes, jo  komercbankas aktīvi  kreditē  lielāko daļu projektu.  Aizdevumiem plānotais finansējums varētu tikt novirzīts garantijām vai grantiem gadījumā, ja bankas turpina kreditēt  projektus un Altum aizdevumi nav nepieciešami.  </t>
    </r>
    <r>
      <rPr>
        <sz val="12"/>
        <color rgb="FFFF0000"/>
        <rFont val="Times New Roman"/>
        <family val="1"/>
        <charset val="186"/>
      </rPr>
      <t>Maksājumu plāni aktualizāti pēc 01.09.2017. Altum vēstules</t>
    </r>
  </si>
  <si>
    <t>7=6-5</t>
  </si>
  <si>
    <t>8=6/5*100</t>
  </si>
  <si>
    <t>Š.g. augustā ALTUM ir iesniedzis samazinātu prognozi 2017.gadam. ALTUM  kavējumus skaidro, galvenokārt, jo Biznesa enģeļu ko-investīciju fonda programma tika atcelta un to neīstenos, Mikrokreditēšanas tirgū aktīvi darbojas arī banku sektors, līdz ar to pieprasījums pēc pakalpojuma nav tik liels kā sākotnēji plānots, kavējumi iepirkumos Tehnoloģiju akseleratoriem.</t>
  </si>
  <si>
    <t xml:space="preserve">Iepirkuma rezultātā piedāvājuma summa pārsniedza plānoto līgumcenu, SM vērtēja iespējas nepieciešamo papildus finansējumu novirzīt no kopējās ceļu projektu "aploksnes" (t.sk. citu projektu ietaupījumi), tādēļ  Līgums noslēgts tikai jūlijā un, ņemot vērā, ka  maksājuma pieprasījumos iekļauj finansējumu atbilstoši faktiski paveiktajiem darbiem, iesniegtā maksājuma pieprasījuma summa ir būtiski mazāka salīdzinājumā ar plānoto. </t>
  </si>
  <si>
    <t>Tehniskas problēmās informācijas sistēmā BURVIS, kad nevarēja eksportēt jauno izglītības iestāžu un programmu sarakstus. Bezdarbnieku iesaiste atsevišķos apmācību pasākumos tika uzsākta otrajā ceturksnī. 2017.gadā apmācībās iesaistāmo skaitu samazināt nav plānots, līdz ar to netiek identificēta negatīva ietekme uz projekta darbību īstenošanu. Turpmāk kavējumi nav plānoti</t>
  </si>
  <si>
    <t>Plānotais avansa pieprasījums pārcelts no 2017.gada jūnija uz augustu saistībā ar ieilgušo būvniecības iepirkuma procedūru, kuras ietvaros saņemtas sūdzības no pretendentiem. Iepirkumu uzraudzības biroja Iesniegumu izskatīšanas komisija pieņēmusi lēmumu, kas pasūtītājam aizliedz slēgt  iepirkuma līgumu un uzdod veikt iesniegto piedāvājumu pārvērtēšanu. Līdz ar to, kamēr nav saņemts komisijas lēmums par iesnieguma izskatīšanas rezultātiem, ir aizkavējusies būvdarbu līguma slēgšana un būvdarbu uzsākšana.</t>
  </si>
  <si>
    <t>Izpilde  atbilstoši paveiktajiem darbiem līdz jūlijam bija mazāka nekā sākotnēji tika plānots. Augustā būvdarbi tiks pabeigti. Pprojektā varētu būt ietaupījums virs 1 milj. euro.</t>
  </si>
  <si>
    <t xml:space="preserve">Sagaidāms ietaupījums indikatīvi 1,86 milj. </t>
  </si>
  <si>
    <t xml:space="preserve">Samaksa par sniegtajiem ekspertu pakalpojumiem un citām aktivitātēm projektā tiks veikta nākošajā starpposmā. Vaučeru programmā nav iesniegti tik daudz pieteikumi kā sākotnēji bija plānots, līdz ar to netiek pieaicināti eksperti, kā arī līdz šim nav bijis pieprasījuma pēc tirgus pētījumiem pētniecības organizācijās.  </t>
  </si>
  <si>
    <t>NVA kavējas iepirkuma līguma slēgšana "Motivācijas programma darba meklēšanai un sociālā mentora pakalpojumi", iepirkums atsevišķās iepirkuma priekšmeta daļās noslēdzies bez rezultāta, tādēļ 30.06.2017. projekts izsludināja atkārtotu iepirkumu. 
Projekts plāno iesniegtos pretendentu piedāvājumus izvērtēt pēc iespējas īsākā laikā. Ja neiestājas neparedzēti apstākļi (piem., pārsūdzības), tad bezdarbnieku iesaisti pasākumā plānots uzsākt 2017.gada septembrī.</t>
  </si>
  <si>
    <t>29.06.2017 ir aktualizēts plānoto maksājuma pieprasījumu iesniegšanas grafiks, jo ieilgusi sadarbības partneru iesniegto karjeras atbalsta plānu pārbaude un apstiprināšana, kā arī vairāki sadarbības partneri nav varējuši nodrošināt MK noteikumu prasību - piesaistīt vienu pedagogu-karjeras konsultantu uz 700 izglītojamiem. IZM veic grozījumus MK noteikumos, paredzot izņēmumus šīs prasības piemērošanā. Lai paātrinātu maksājumu veikšanas  procesus, CFLA ir vienojušies ar VIAA par ārpuskārtas maksājuma pieprasījuma iesniegšanu novembrī, lai veicinātu 2017.g. mērķa izpildi.</t>
  </si>
  <si>
    <t>Jūlija maksājuma summa ir mazāka salīdzinājumā ar plānoto saistībā ar faktisko būvdarbu izpildi.
Projekts ir pabeigts, atbilstoši  faktiskajai gala  izpildei projektā varētu būt ietaupījums virs 1 milj. euro.</t>
  </si>
  <si>
    <t>Aizkavējusies 9.1.4.2.pasākuma “Funkcionēšanas novērtēšanas un asistīvo tehnoloģiju (tehnisko palīglīdzekļu) apmaiņas sistēmas izveide un ieviešana” ieviešana, kas ir priekšnoteikums šī pasākuma uzsākšanai. "Vaivari"  līdz 31.08.2017. jāiesniedz CFLA aktualizēts rīcības plānu. Papildus procesus ietekmē LM stingrāka iesaiste, pirms iepirkumu sludināšanas izskatot / skaņojot dokumentāciju.</t>
  </si>
  <si>
    <t>Nav uzsākta plānotā projekta darbība "Sociālo uzņēmumu atbalsta instrumentu piemērošana un sociālās uzņēmējdarbības uzsācēju biznesa plānu īstenošana", kas saistīts ar grozījumiem MK noteikumos Nr.467 (stājušies spēkā 02.06.2017). LM skaņo vienošanos pie 29.08.2016. sadarbības līguma ar Altum, kas ietekmē projekta darbību uzsākšanu. LM  maksājuma pieprasījumus pārceļ uz 22.01.2018. Risks nesasniegt finanšu rādītāju 2018. gadā. LM uzdots š.g. septembra laikā pārskatīt ieviešanas mehānismu un virzīt risinājumu būtiskam snieguma uzlabojumam.</t>
  </si>
  <si>
    <t>Aizkavējusies sadarbības līgumu slēgšana ar projekta sadarbības partneriem, ko ietekmē, piemēram viena no sadarbības partneriem - Rīgas Pedagoģijas un izglītības vadības akadēmijas (RPIVA) reorganizācija, kā arī tas, ka citu sadarbības partneru darbinieki - augstskolu docētāji atvaļinājuma laikā, kas iekrīt vasarā, nevar veikt darba pienākumus projektā. Tāpat īstenotājs skaidro, ka IKT jomas iepirkumi tiek pakārtoti Izglītības un zinātnes ministrijas iepirkumu grafikam, jo vairākiem Izglītības un zinātnes ministrijas ESF projektiem ir līdzīgi iepirkuma priekšmeti un tiek plānota vienota iepirkumu procedūra.</t>
  </si>
  <si>
    <t xml:space="preserve">Būvniecība norit lēnākos tempos kā plānots, nākamais avansa pieprasījums no augusta pārcelts uz septembri.   </t>
  </si>
  <si>
    <t xml:space="preserve">Maksājuma pieprasījums iesniegts par mazāku summu, jo nācies meklēt un piesaistīt jaunus ekspertus pieaugušo personu ar garīga rakstura traucējumiem vajadzību novērtēšanai - iepriekš iesaistītie eksperti nepagarināja līgumu. Mērķa grupas individuālo vajadzību izvērtēšanas termiņš attiecīgi pagarināts, kas, savukārt, aizkavējis deinstitucionalizācijas plāna iepirkumu.  </t>
  </si>
  <si>
    <t xml:space="preserve">Iesaistes uzsākšanu pasākumos “Subsidētās darba vietas jauniešiem bezdarbniekiem (pasākumi noteiktām mērķa grupā)”, “Pirmā darba pieredze jaunietim” un “Neformālās izglītības programmu īstenošanu” aizkavēja grozījumi MK noteikumos Nr.75 un MK noteikumos par pasākuma īstenošanu Nr.207, kuras stājās spēkā 03.03.2017., kā arī tehniskas problēmas ar NVA sistēmu BURVIS. Izvērtējot šī brīža situāciju projekts nesaskata risku nesasniegt projekta mērķi, ka arī projekts  CFLA ir iesniedzis projekta grozījumus Nr.4, ar priekšlikumu veikt izmaiņas iesaistāmo bezdarbnieku skaitam starp pasākumiem, tādējādi veicinot projekta mērķa sasniegšanu. </t>
  </si>
  <si>
    <t xml:space="preserve"> Vairāku iepirkumu rezultātu pārsūdzības Iepirkumu uzraudzībs birojam, kā arī vairāku iepirkumu pārtraukšana un izsludināšana no jauna, kas radījusi līgumu noslēgšanas aizkavēšanos.  Atbilstoši samazinājumam lielāka maksājuma pieprasījuma summa ir ieplānota 2018.gada jūlijā.</t>
  </si>
  <si>
    <t>Finansējuma saņēmējs ir aktualizējis maksājumu prognozi (26.05.2017.), pamatojoties uz sadarbības partneru (pašvaldību) iesniegtajām prognozēm par projektā iesaistāmo mērķa grupas dalībnieku skaitu.</t>
  </si>
  <si>
    <t xml:space="preserve">Būvdarbu izpilde atbilstoši paveiktajiem darbiem ir mazāka nekā sākotnēji bija plānota. </t>
  </si>
  <si>
    <t xml:space="preserve">Ietekmē novēlotā projekta īstenošanas uzsākšana. Kavējas arī iepirkumu līgumu slēgšana, jo vienu no iepirkumiem nācies izsludināt atkārtoti. Šobrīd finansējuma saņemējs ir iesniedzis </t>
  </si>
  <si>
    <t>Būvdarbu izpilde atbilstoši paveiktajiem darbiem ir mazāka nekā sākotnēji bija plānota. Būvdarbi uzsākti 22.06.2017. 11.07.2017. apstiprinātajā plānoto maksājumu pieprasījumu iesniegšanas grafikā - 2017.gadā samazinātā summa ieplānota  2018.gada janvārī.</t>
  </si>
  <si>
    <t>Iepirkumam “Dabas aizsardzības plānu izstrāde īpaši aizsargājamām teritorijām” sākotnēji izsludinātajā konkursā iesniegtie piedāvājumi pārsniedza paredzēto  cenu. Iepirkums tiek izskatīts Vides aizsardzības un reģionālās attīstības ministrijā, jo, atkārtoti izsludinot, tas beidzies bez rezultāta. Maksājums pārcelts uz 2018. gadu.</t>
  </si>
  <si>
    <t xml:space="preserve">Atbilstoši aktualizētajam iepirkumu plānam samazinātas 2017.gada 2 pusgada un 2018.gada 1 ceturkšņa maksājuma pieprasījumu summas, bet palielināts noslēguma pieprasījums, kuru plāno iesniegt 2019.gada janvārī. </t>
  </si>
  <si>
    <t xml:space="preserve">Darbu uzsākšanu kavēja klimatiskie apstākļi un darbi tika atsākti ievērojami vēlāk. </t>
  </si>
  <si>
    <t xml:space="preserve">Projektā plānotās reklāmas aktivitātes daļēji pārceltas uz vēlāku laiku. </t>
  </si>
  <si>
    <t>Maksājuma pieprasījums pārcelts uz septembri, jo būvdarbu veikšanas laikā bija tehnoloģiskais pārtraukums un tika atsākti ar kavēšanos tikai 15.05.2017. dēļ nelabvēlīgiem klimatiskie apstākļiem maija sākumā.</t>
  </si>
  <si>
    <t xml:space="preserve">Ieildzis iepirkums - veikti grozījumi un pagarināti pieteikumu iesniegšanas termiņi, arī iepirkumus regulējošās likumdošanas izmaiņas ietekmēja projekta finanšu plūsmu. Pastāv risks, ka uz 31.12.2018. netiks sasniegts plānotais finanšu rādītājs, jo aizkavējās iepirkumu izsludināšana par mērķa grupu individuālo vajadzību izvērtēšanu un individuālo atbalsta plānu izstrādi, deinstitucionalizācijas plāna izstrādi un reorganizācijas plānu izstrādi un attiecīgi arī līgumi tika noslēgti vēlāk nekā sākotnēji plānots. Sakarā ar projekta darbību īstenošanas aizkavēšanos paredzētajā apjomā nav uzsāktas arī projekta aktivitātes: “Sabiedrībā balstītu pakalpojumu īstenošana Latgales reģiona personām ar garīga rakstura traucējumiem”, darbības “Sabiedrībā balstītu pakalpojumu sniegšana bērniem ar funkcionāliem traucējumiem” un "Informatīvi un izglītojoši pasākumi."  </t>
  </si>
  <si>
    <t xml:space="preserve">Izpilde  atbilstoši paveiktajiem darbiem mazāka nekā sākotnēji tika plānots. Būvdarbi uzsākti 24.05.2017.
Ieildzis iesniegto piedāvājumu izvērtēšanas laiks, aizkavējās  līguma slēgšana un avansa maksājums. </t>
  </si>
  <si>
    <t>Plānotas intensificētas darbības rudenī. Pedagogiem un iesaistītajam personālam  darba grafiks ir pakārtots mācību gadam un vasara ir atvaļinājumu laiks.</t>
  </si>
  <si>
    <t xml:space="preserve">Izmaiņas skaidrojamas ar projekta attiecināmo izmaksu iespējamu samazināšanu (jautājums vēl tiek starp līguma pusēm precizēts). </t>
  </si>
  <si>
    <t xml:space="preserve">Atbilstoši faktiskajai projektu darbību izpildei. Projekta darbības "Projekta mērķa grupas individuālo vajadzību izvērtēšana" īstenošanas temps ir lēnāks. Izmaksas darbībā "Reorganizācijas plānu izstrāde Rīgas reģionā" netika veiktas - iepirkuma līgums ar pilnsabiedrību ”Civitta Latvija un Civitta Lietuva” ar 2017.gada 14.jūniju ir izbeigtas. </t>
  </si>
  <si>
    <t>Koriģēts atbilstoši noslēgtajiem būvdarbu līgumiem un faktiski veiktajiem darbiem.</t>
  </si>
  <si>
    <t xml:space="preserve">2. pielikums
Informatīvajam ziņojumam “Informatīvais ziņojums par Eiropas Savienības struktūrfondu un Kohēzijas fonda investīciju ieviešanas statusu” </t>
  </si>
  <si>
    <t xml:space="preserve">* visiem projektiem pēdējais apstiprinātais plānoto maksājumu pieprasījumu grafiks līdz 08.09.2017. </t>
  </si>
  <si>
    <t>Pelnis, 67095470</t>
  </si>
  <si>
    <t>Ints.Pelnis@fm.gov.lv</t>
  </si>
  <si>
    <t>Finanšu ministre</t>
  </si>
  <si>
    <t>D.Reizniece-Ozola</t>
  </si>
  <si>
    <t>Skaidrojums uz jūlija ziņojumu</t>
  </si>
  <si>
    <t>Skaidrojums uz augusta ziņojumu</t>
  </si>
  <si>
    <t xml:space="preserve">Iepirkuma rezultātā piedāvājuma summa pārsniedza plānoto līgumcenu, Satiksmes ministrija vērtēja iespējas nepieciešamo papildus finansējumu novirzīt no kopējās ceļu projektu "aploksnes" (t.sk. citu projektu ietaupījumi), tādēļ  Līgums noslēgts tikai jūlijā un, ņemot vērā, ka  maksājuma pieprasījumos iekļauj finansējumu atbilstoši faktiski paveiktajiem darbiem, iesniegtā maksājuma pieprasījuma summa ir būtiski mazāka salīdzinājumā ar plānoto. </t>
  </si>
  <si>
    <t xml:space="preserve">Tiek kavēta būvdarbu līguma noslēgšana, jo  iepirkuma rezultāti pārsūdzēti Iepirkumu uzraudzības birojam. Plānots, ka labvēlīga lēmuma gadījumā projekta ietvaros līdz gada beigām varētu tikt izmaksāts avanss. </t>
  </si>
  <si>
    <t>Nodarbinātības valsts aģentūrai kavējas iepirkuma līguma slēgšana "Motivācijas programma darba meklēšanai un sociālā mentora pakalpojumi", iepirkums atsevišķās iepirkuma priekšmeta daļās noslēdzies bez rezultāta, tādēļ 30.06.2017. projekts izsludināja atkārtotu iepirkumu. 
Projekts plāno iesniegtos pretendentu piedāvājumus izvērtēt pēc iespējas īsākā laikā. Ja neiestājas neparedzēti apstākļi (piem., pārsūdzības), tad bezdarbnieku iesaisti pasākumā plānots uzsākt 2017.gada septembrī.</t>
  </si>
  <si>
    <t>29.06.2017. ir aktualizēts plānoto maksājuma pieprasījumu iesniegšanas grafiks, jo ieilgusi sadarbības partneru iesniegto karjeras atbalsta plānu pārbaude un apstiprināšana, kā arī vairāki sadarbības partneri nav varējuši nodrošināt Ministru kabineta noteikumu prasību - piesaistīt vienu pedagogu-karjeras konsultantu uz 700 izglītojamiem. Izglītības un zinātnes ministrija veic grozījumus Ministru kabineta noteikumos, paredzot izņēmumus šīs prasības piemērošanā. Lai paātrinātu maksājumu veikšanas  procesus, centrālā finanšu un līgumu aģentūra ir vienojušies ar Valsts izglītības attīstības aģentūru par ārpuskārtas maksājuma pieprasījuma iesniegšanu novembrī, lai veicinātu 2017.gada mērķa izpildi.</t>
  </si>
  <si>
    <t>Jūlija maksājuma summa ir mazāka salīdzinājumā ar plānoto, saistībā ar faktisko būvdarbu izpildi.
Projekts ir pabeigts, atbilstoši  faktiskajai gala  izpildei projektā varētu būt ietaupījums virs 1 milj. euro.</t>
  </si>
  <si>
    <t xml:space="preserve">Izmaiņas saistītas ar sākotnēji neprecīzu maksājuma pieprasījumu iesniegšanas plānošanu. Būtiski kavējumi projektā ar darbu izpildi nav. Līdz šim brīdim plānotie būvdarbu un būvuzraudzības iepirkumi tika izsludināti laikā, kā rezultātā noslēgti 5 būvdarbu, 2 būvuzraudzības un 5 autoruzraudzības līgumi. 
Ņemot vērā, ka maksājumi līgumu ietvaros nebija veikti (nebija pieprasīti avansa maksājumi), otrais avansa pieprasījums nebija nepieciešams un nākamo starpposma maksājuma pieprasījumu finansējuma saņēmējs iesniegts atbilstoši līguma nosacījumiem – 10 dienu laikā pēc 3 mēnešu perioda beigām.
</t>
  </si>
  <si>
    <t>Projekta ietvaros noris aktīva būvniecība, taču plānoto maksājumu pieprasījumu iesniegšanas grafiks tiek koriģētas atbilstoši saņemtajiem rēķiniem, kas tiek sniegti par faktiski izpildītajiem darbiem - būvdarbu rēķini iesniegti par mazāku summu, nekā sākotnēji plānots. Nelielas nobīdes izpildes grafikā rada nepastāvīgie laika apstākļi.</t>
  </si>
  <si>
    <t xml:space="preserve">Atbilstoši aktualizētajam iepirkumu plānam samazinātas 2017.gada 2. pusgada un 2018.gada 1. ceturkšņa maksājuma pieprasījumu summas, bet palielināts noslēguma pieprasījums, kuru plāno iesniegt 2019.gada janvārī. </t>
  </si>
  <si>
    <t>Š.g. 1.septembrī ALTUM ir iesniedzis precizētu plānoto maksājumu plūsmas prognozi - 2017.gada mērķi netiks sasniegti, kā arī ir risks snieguma mērķa sasniegšanai 2018.gadā. ALTUM skaidro, ka snieguma rezerves apjoms tika noteikts un iekļauts sākotnējā biznesa plānā, nerēķinoties ar to, ka faktiskā aizkavēšanās programmas MK noteikumu izstrādē bija 2 gadi. Atbilstoši pašreizējai pieredzei periods līdz būvkomersanta rēķinu apmaksas pabeigšanai ir vidēji 12 mēneši no pozitīva ALTUM atzinuma saņemšanas. Ņemot vērā šobrīd iesniegto projektu, kuriem sniegts pozitīvs atzinums, skaitu un aktuālo projektu realizācijas pieredzi, tika aktualizēta maksājumu pieprasījumos iekļauto izmaksu prognoze.
Pēdējo mēnešu laikā veikta būtiska programma realizācijas uzlabošana, kas saistīta gan ar projektu pieteicēju izglītošanu, kas rezultējas kvalitatīvākos pieteikumos, gan dokumentu procesa vienkāršošanu, tomēr arī turpmāk kopā ar Ekonomikas ministriju, Finanšu ministriju un Centrālo finanšu un līgumu aģentūru tiek analizētas iespējas uzlabot programmas realizāciju.</t>
  </si>
  <si>
    <t>Š.g. augustā ALTUM ir iesniedzis samazinātu prognozi 2017.gadam. ALTUM  kavējumus skaidro, galvenokārt, jo Biznesa enģeļu ko-investīciju fonda programma tika atcelta un to neīstenos, Mikrokreditēšanas tirgū aktīvi darbojas arī banku sektors, līdz ar to pieprasījums pēc pakalpojuma nav tik liels kā sākotnēji plānots. Papildus informācija, ka kavējas arī akcelerācijas un riska kapitāla fondu iepirkumu process. Pārējos finanšu instrumentos vērojam laba izpilde pret sākotnēji plānotajiem apjomiem.</t>
  </si>
  <si>
    <t>Avansa maksājuma pieprasījums pārcelts uz oktobri. Iepirkuma nolikumi vairākkārt saņēma negatīvus atzinumus no Iepirkumu uzraudzības biroja tikai 28.08.2017. saņemts pozitīvs atzinums.</t>
  </si>
  <si>
    <t>Atbilstoši būvdarbu līgumam, avansa maksājumu var veikt pēc tribīņu pārbūves būvprojekta saskaņošanas. Tribīņu pārbūves būvprojekts augustā ir saņēmis pozitīvu ekspertīzes atzinumu un iesniegts Rīgas pilsētas būvvaldē, lai būvatļauju saņemtu. Tāpēc precizēts plānoto maksājuma pieprasījumu iesniegšanas grafiks un starpposma maksājuma pieprasījumu Nr.2 finansējuma saņēmējs plāno iesniegt septembrī.</t>
  </si>
  <si>
    <t xml:space="preserve">Iepirkumu uzraudzības biroja iesniegtās sūdzības rezultātā par  2,5 mēnešiem aizkavējusies līguma slēgšana par būvdarbu veikšanu. Līgums par būvniecību noslēgts 30.08.2017. ar būvdarbu izpildes termiņu 18 mēneši.                                                                                                                                                                                                                                                                                                              Ņemot vērā, ka līgums noslēgts augusta beigās, plānoto maksājumu iesniegšanas datumi un summas patreiz ir saplānotas optimistiski un var neizpildīties. Papildus tam finansējuma saņēmējs ir saņēmis vēstuli par tiesvedības ierosināšanu sakarā ar AS “BMGS”  pieteikumu par Iepirkumu uzraudzības biroja 17.07.2017. lēmumu.                                                                                                                                                                                                                                                                                                                                             Ņemot vērā būvdarbu sezonalitātes raksturu, iespējams, ka darbiem varētu būt nepieciešams tehnoloģiskais pārtraukums, kas negatīvi ietekmētu finanšu plūsmas apguvi. Uzsāktās tiesvedības dēļ pagaidām nebūs iespējams uzsākt būvniecības līguma īstenošanu. Pēc būvdarbu izpildes līguma plānoto darbu grafika iesniegšanas, finansējuma saņēmējs tiks lūgts iesniegt precizēto plānoto maksājumu pieprasījumu iesniegšanas grafiku, ņemot vērā paredzēto būvdarbu veikšanas laiku un apjomus. </t>
  </si>
  <si>
    <t>Izpilde  atbilstoši paveiktajiem darbiem līdz jūlijam bija mazāka nekā sākotnēji tika plānots. Būvdarbi ir pabeigti. Par iespējamo projektā radušos ietaupījumu precīzāka informācija būs saņemot nākamo starpposma maksājumu - oktobrī.</t>
  </si>
  <si>
    <t>Maksājuma pieprasījums iesniegts par mazāku summu, jo būvdarbu izpilde neatbilst iepriekš plānotajai - saistībā ar darbam nepiemērotiem laika apstākļiem, būvnieks darbus pēc tehnoloģiskā pārtraukuma atsāka vēlāk. 24.08.2017. precizēts plānotais maksājuma pieprasījumu iesniegšanas grafiks.</t>
  </si>
  <si>
    <t>Būvniecības darbi projekta ietvaros ir uzsākušies nesen. Septembrī aktualizēts plānoto maksājumu pieprasījumu iesniegšanas grafiks, precizējot prognozējamās būvniecības darbu izmaksas un nākamo starpposma un avansa maksājumu no septembra pārceļot uz oktobri.</t>
  </si>
  <si>
    <t>Būvdarbu izpilde notiek lēnāk, nekā sākotnēji plānots, būvdarbiem nelabvēlīgu laikapstākļu dēļ, un pārbūves procesā atklātu projektā  nenorādītu komunikāciju demontāžu, kas prasīja papildus laiku. Projekta darbības tiks pabeigtas šī gada rudenī.  Iepirkumu rezultātā noslēgtajā līgumā veidojas ietaupījums, jo iepirkumos tika iesniegti lētāki piedāvājumi, nekā plānots.</t>
  </si>
  <si>
    <t xml:space="preserve">Projektā plānotās reklāmas aktivitātes daļēji pārceltas uz vēlāku laiku, sākotnējais plāns noteikts pārāk optimistisks, LIAA sadarbībā ar EM plāno pasākumus uzlabojumiem. </t>
  </si>
  <si>
    <t xml:space="preserve">Maksājuma pieprasījuma iesniegšanas termiņš pārcelts uz 11.09.2017., jo tiek gaidīts amatu saskaņojums no Valsts kancelejas.  Plānotā  summa samazināta, jo vēl nav pieņemti darbā visi darbinieki (uz nākamajiem maksājumu pieprasījumiem plānotie izdevumi algām, darba vietām u.c.)  Daļa darbību un atbalsta pasākumu īstenošana  tiks uzsākta pēc noslēgtajiem sadarbības līgumiem ar pašvaldībām un profesionālās izglītības iestādēm sākot no septembra. Daļa  izdevumu pārcelti uz nākamiem  maksājuma pieprasījumiem, jo ir nelielas nobīdes saistībā ar iepirkumiem.
</t>
  </si>
  <si>
    <t>Aizkavējusies 9.1.4.2.pasākuma “Funkcionēšanas novērtēšanas un asistīvo tehnoloģiju (tehnisko palīglīdzekļu) apmaiņas sistēmas izveide un ieviešana” ieviešana, kas ir priekšnoteikums šī pasākuma uzsākšanai. "Vaivari"  līdz 31.08.2017. jāiesniedz Centrālai finanšu un līgumu aģentūrai grozījumi projektā.  Papildus procesus ietekmē Labklājības ministrijas stingrāka iesaiste, pirms iepirkumu sludināšanas izskatot / skaņojot dokumentāciju.  31.08.2017. finansējuma saņēmējs ir iesniedzis grozījumus saistītājā projektā 9.1.4.2. pasākuma ietvaros, pagarinot projekta īstenošanas termiņu  no 48 mēnešiem uz 74 mēnešiem, tiek iekļauta informācija par veicamajām darbībām projekta finansējuma saņēmēja maiņas gadījumā (atbilstoši Ministru kabineta noteikumu Nr.601 grozījumu projektam).  Finansējuma saņēmējs nav iesniedzis grozījumus projektā 9.3.1.2/16/I/001 nepietiekamas projekta vadības kapacitātes dēļ (attiecīgajam projektam nav projekta vadītāja).</t>
  </si>
  <si>
    <t>Nav uzsākta plānotā projekta  "Sociālo uzņēmumu atbalsta instrumentu piemērošana un sociālās uzņēmējdarbības uzsācēju biznesa plānu īstenošana" darbība, kas saistīts ar grozījumiem Ministru kabineta noteikumos Nr.467 (stājušies spēkā 02.06.2017.). Labklājības ministrija virza saskaņošanai vienošanos pie 29.08.2016. sadarbības līguma ar Altum, kas ietekmē projekta darbību uzsākšanu. Labklājības ministrija maksājuma pieprasījumus pārceļ uz 22.01.2018. Risks nesasniegt finanšu rādītāju 2018. gadā. LM uzdots š.g. septembrī pārskatīt ieviešanas mehānismu un virzīt risinājumu būtiskam snieguma uzlabojumam.</t>
  </si>
  <si>
    <t>Aizkavējusies sadarbības līgumu slēgšana ar projekta sadarbības partneriem, ko ietekmē, piemēram, viena no sadarbības partneriem - Rīgas Pedagoģijas un izglītības vadības akadēmijas (RPIVA) reorganizācija, kā arī tas, ka citu sadarbības partneru darbinieki - augstskolu docētāji atvaļinājuma laikā, kas iekrīt vasarā, nevar veikt darba pienākumus projektā. Tāpat īstenotājs skaidro, ka IKT jomas iepirkumi tiek pakārtoti Izglītības un zinātnes ministrijas iepirkumu grafikam, jo vairākiem Izglītības un zinātnes ministrijas Eiropas Sociālā fonda projektiem ir līdzīgi iepirkuma priekšmeti un tiek plānota vienota iepirkumu procedūra.</t>
  </si>
  <si>
    <t xml:space="preserve">Maksājuma pieprasījums iesniegts par mazāku summu, jo nācies meklēt un piesaistīt jaunus ekspertus pieaugušo personu ar garīga rakstura traucējumiem vajadzību novērtēšanai - iepriekš iesaistītie eksperti nepagarināja līgumu. Mērķa grupas individuālo vajadzību izvērtēšanas termiņš attiecīgi pagarināts, kas savukārt aizkavējis deinstitucionalizācijas plāna iepirkumu.  </t>
  </si>
  <si>
    <t xml:space="preserve">Iesaistes uzsākšanu pasākumos “Subsidētās darba vietas jauniešiem bezdarbniekiem (pasākumi noteiktām mērķa grupā)”, “Pirmā darba pieredze jaunietim” un “Neformālās izglītības programmu īstenošanu” aizkavēja grozījumi MK noteikumos Nr.75 un MK noteikumos par pasākuma īstenošanu Nr.207, kuri stājās spēkā 03.03.2017., kā arī tehniskas problēmas ar NVA sistēmu BURVIS. Izvērtējot šī brīža situāciju, projekts nesaskata risku nesasniegt projekta mērķi, kā arī projekts ir iesniedzis CFLA projekta grozījumus Nr.4 ar priekšlikumu veikt izmaiņas iesaistāmo bezdarbnieku skaitā starp pasākumiem, tādējādi veicinot projekta mērķa sasniegšanu. </t>
  </si>
  <si>
    <t>Vairāku iepirkumu rezultātu pārsūdzības Iepirkumu uzraudzības birojam, kā arī vairāku iepirkumu pārtraukšana un izsludināšana no jauna, kas radījusi līgumu noslēgšanas aizkavēšanos. Atbilstoši samazinājumam lielāka maksājuma pieprasījuma summa ir ieplānota 2018.gada jūlijā.</t>
  </si>
  <si>
    <t xml:space="preserve">Sākotnēji  plānotie avansi pārcelti uz vēlāku laiku, jo projekta ieviešanu kavējuši sarežģījumi ieviešanā un par risinājumiem ilgstoši Izglītības un zinātnes ministrijas (IZM) un Latvijas darba devēju konfederācijas (LDDK) nespēja vienoties (par darba vidē balstītu mācību ieviešanu (saturu, ilgumu, formu)). Tas kavējis arī grozījumu izstrādi nozares  normatīvajos aktos, kas nosaka kārtību, kādā organizē un īsteno darba vidē balstītas mācības. Pozitīvi, ka IZM tomēr rada iespēju ņemt vērā LDDK galvenos priekšlikumus un minētie MK noteikumu grozījumi 2017.gada 19.septembrī stājušies spēkā. </t>
  </si>
  <si>
    <t xml:space="preserve">Ietekmē novēlotā projekta īstenošanas uzsākšana. Kavējas arī iepirkumu līgumu slēgšana, jo vienu no iepirkumiem (vairākās daļās) nācies izsludināt atkārtoti. </t>
  </si>
  <si>
    <t xml:space="preserve">Maksājumu pieprasījumu summas samazinātas, jo būvdarbu veikšana uzsākta tikai septembrī. Oktobrī finansējuma saņēmējs plāno iesniegt starpposma maksājuma pieprasījumu par faktiski paveiktajiem būvdarbiem, pēc tam tiks iesniegts arī nākamais avansa maksājuma pieprasījums. </t>
  </si>
  <si>
    <t xml:space="preserve">03.08.2017. saskaņots  jauns maksājumu pieprasījumu iesniegšanas grafiks, kurā jūlija beigās plānotais  maksājuma pieprasījums pārcelts uz augusta sākumu (iepriekš nebija). Finansējuma saņēmējs iespēju robežās ir intensificējis maksājumus projektā. 
</t>
  </si>
  <si>
    <t xml:space="preserve">Š.g. septembrī Altum iesniedza precizētas prognozes, ar kurām samazināti izpildes plāni. Kavējuma iemesli ir skatāmi kopā ar ALTUM īstenotā projekta "Atbalsts daudzdzīvokļu dzīvojamo māju energoefektivitātes paaugstināšanas pasākumu īstenošanai daudzdzīvokļu māju dzīvokļu īpašniekiem" īstenošanu kavējošiem faktoriem. Kā arī aizdevumu  izsniegšanā nav sākotnēji prognozētās intensitātes, jo  komercbankas aktīvi  kreditē  lielāko daļu projektu.  Aizdevumiem plānotais finansējums varētu tikt novirzīts garantijām vai grantiem gadījumā, ja bankas turpina kreditēt  projektus un Altum aizdevumi nebūs nepieciešami.  </t>
  </si>
  <si>
    <t>Būvniecība norit lēnākos tempos kā sākotnēji plānots un maksājuma pieprasījumi iesniegti par mazākām summām, kas pagaidām ir pietiekamas, lai apmaksātu tekošo darbu izpildi. Septembrī un decembrī plānoti lielāki maksājumi, kā arī projektu iespējams realizēs par mazāku finansējumu, kā sākumā plānots.</t>
  </si>
  <si>
    <t>Līgums par projekta īstenošanu vēl nav noslēgts. Projekta iesniegums iesniegts 18.05.2017. un apstiprināts 19.09.2017. Saistībā ar līguma noslēgšanas aizkavēšanos aizkavējusies arī potenciālo maksājumu pieprasījumu iesniegšana. Pēc līguma noslēgšanas tiks iesniegts aktuālais maksājumu pieprasījumu plāns.</t>
  </si>
  <si>
    <t xml:space="preserve">Ieildzis iepirkums - veikti grozījumi un pagarināti pieteikumu iesniegšanas termiņi, arī iepirkumus regulējošās likumdošanas izmaiņas ietekmēja projekta finanšu plūsmu. Pastāv risks, ka uz 31.12.2018. netiks sasniegts plānotais finanšu rādītājs, jo aizkavējās iepirkumu izsludināšana par mērķa grupu individuālo vajadzību izvērtēšanu un individuālo atbalsta plānu izstrādi, deinstitucionalizācijas plāna izstrādi un reorganizācijas plānu izstrādi un attiecīgi arī līgumi tika noslēgti vēlāk nekā sākotnēji plānots. Sakarā ar projekta darbību īstenošanas aizkavēšanos paredzētajā apjomā nav uzsāktas arī projekta aktivitātes “Sabiedrībā balstītu pakalpojumu īstenošana Latgales reģiona personām ar garīga rakstura traucējumiem”, darbības “Sabiedrībā balstītu pakalpojumu sniegšana bērniem ar funkcionāliem traucējumiem” un "Informatīvi un izglītojoši pasākumi."  </t>
  </si>
  <si>
    <t xml:space="preserve">Jūnijā precizēts plānoto maksājumu pieprasījumu iesniegšanas grafiks. Avansa maksājuma pieprasījums, kuru bija plānots iesniegt augustā, pārcelts par vienu mēnesi vēlāk, jo kavējās iepirkuma izsludināšana.  </t>
  </si>
  <si>
    <t xml:space="preserve">Atbilstoši faktiskajai projektu darbību izpildei. Projekta darbības "Projekta mērķa grupas individuālo vajadzību izvērtēšana" īstenošanas temps ir lēnāks. Izmaksas darbībā "Reorganizācijas plānu izstrāde Rīgas reģionā" netika veiktas - iepirkuma līgums ar pilnsabiedrību ”Civitta Latvija un Civitta Lietuva” ar 14.06.2017 ir izbeigtas. </t>
  </si>
  <si>
    <t xml:space="preserve">Sagaidāms ietaupījums indikatīvi 1,86 milj euro.  </t>
  </si>
  <si>
    <t>Lai gan augustā maksājuma pieprasījums iesniegts par mazāku summu kā plānots, kopumā gada neizpilde netiek plānota lielāka par 0,1 milj. euro, jo oktobrī plānotais maksājuma pieprasījums nosegs iztrūkstošo summu 0,4 milj. euro. Novirzes no plāniem aizsākās š.g. I un II ceturksnī, kad dēļ tehniskām problēmām IS BURVIS nevarēja uzsākt un reģistrēt apmācības. Šī problēma ir novērsta un norit aktīvs darbs pie apmācību nodrošināšanas.</t>
  </si>
  <si>
    <t>Projektā maksājumu plūsma samazinājusies un  izdevumu pārcelti uz turpmākiem maksājuma pieprasījumiem, jo   netika veikts avansa maksājums būvniekam (būvdarbu līgumā, kas noslēgts starp Rēzeknes tehnikumu un SIA Latvijas Energoceltnieks paredzēts avanss 20% apmērā no līguma summas (482 832.87 euro apmērā)). Iepriekšējā maksājumu  iesniegšanas grafikā bija ieplānota avansa izmaksa 15% apmērā, bet būvnieks atteicās no avansa izmaksas.</t>
  </si>
  <si>
    <t>Projekta līguma ES fondu līdzfinansējums, euro</t>
  </si>
  <si>
    <t>Projekti, kuriem plānoti vai veikti maksājumi</t>
  </si>
  <si>
    <t>Gulbenes novada vispārējo izglītības iestāžu mācību vides uzlabošana</t>
  </si>
  <si>
    <t>Valsts reģionālā attīstības aģentūra</t>
  </si>
  <si>
    <t>8.1.1.0/17/I/008</t>
  </si>
  <si>
    <t>8.1.2.0/17/I/013</t>
  </si>
  <si>
    <t>2018 septembris</t>
  </si>
  <si>
    <t>Alsungas novada dome </t>
  </si>
  <si>
    <t>Pasākumi Alsungas novada iedzīvotāju veselības veicināšanai un slimību profilaksei </t>
  </si>
  <si>
    <t>1.1.1.4/17/I/004</t>
  </si>
  <si>
    <t>3.3.1.0/17/I/002</t>
  </si>
  <si>
    <t>4.2.2.0/17/I/017</t>
  </si>
  <si>
    <t>4.2.2.0/17/I/018</t>
  </si>
  <si>
    <t>4.2.2.0/17/I/019</t>
  </si>
  <si>
    <t>4.2.2.0/17/I/020</t>
  </si>
  <si>
    <t>4.2.2.0/17/I/021</t>
  </si>
  <si>
    <t>4.2.2.0/17/I/022</t>
  </si>
  <si>
    <t>4.2.2.0/17/I/023</t>
  </si>
  <si>
    <t>4.2.2.0/17/I/024</t>
  </si>
  <si>
    <t>4.2.2.0/17/I/025</t>
  </si>
  <si>
    <t>4.2.2.0/17/I/026</t>
  </si>
  <si>
    <t>4.2.2.0/17/I/027</t>
  </si>
  <si>
    <t>4.2.2.0/17/I/028</t>
  </si>
  <si>
    <t>4.2.2.0/17/I/029</t>
  </si>
  <si>
    <t>4.2.2.0/17/I/030</t>
  </si>
  <si>
    <t>4.2.2.0/17/I/031</t>
  </si>
  <si>
    <t>4.2.2.0/17/I/032</t>
  </si>
  <si>
    <t>4.2.2.0/17/I/033</t>
  </si>
  <si>
    <t>4.2.2.0/17/I/034</t>
  </si>
  <si>
    <t>4.2.2.0/17/I/035</t>
  </si>
  <si>
    <t>4.2.2.0/17/I/037</t>
  </si>
  <si>
    <t>4.2.2.0/17/I/038</t>
  </si>
  <si>
    <t>4.2.2.0/17/I/039</t>
  </si>
  <si>
    <t>4.2.2.0/17/I/040</t>
  </si>
  <si>
    <t>4.2.2.0/17/I/042</t>
  </si>
  <si>
    <t>4.2.2.0/17/I/043</t>
  </si>
  <si>
    <t>4.2.2.0/17/I/044</t>
  </si>
  <si>
    <t>4.2.2.0/17/I/045</t>
  </si>
  <si>
    <t>4.2.2.0/17/I/046</t>
  </si>
  <si>
    <t>4.2.2.0/17/I/047</t>
  </si>
  <si>
    <t>4.2.2.0/17/I/048</t>
  </si>
  <si>
    <t>4.2.2.0/17/I/049</t>
  </si>
  <si>
    <t>5.1.1.0/17/I/002</t>
  </si>
  <si>
    <t>8.1.1.0/17/I/002</t>
  </si>
  <si>
    <t>9.3.2.0/17/I/003</t>
  </si>
  <si>
    <t xml:space="preserve">Salaspils 1.vidusskolas 4.mācību korpusa izbūve un aprīkošana </t>
  </si>
  <si>
    <t>Bērnu klīniskā universitātes slimnīca</t>
  </si>
  <si>
    <t>Projekti, kumulatīvi līdz 1 oktobrim ar negatīvu izpildi</t>
  </si>
  <si>
    <t>Projekti, kumulatīvi līdz 1oktobrim ar pārsniegtu izpildi</t>
  </si>
  <si>
    <t>Vlookup fondu finansējums</t>
  </si>
  <si>
    <t>delta MP iesn- IPIA</t>
  </si>
  <si>
    <t>2.2.1.1/17/I/0041 700 000</t>
  </si>
  <si>
    <t>9.3.2.0/17/I/001</t>
  </si>
  <si>
    <t>Skaidrojums uz septembra ziņojumu</t>
  </si>
  <si>
    <t>9.3.2.0/17/I/004</t>
  </si>
  <si>
    <r>
      <t xml:space="preserve">* izcelti (iekrāsoti) samazinājumi virs 200 000 </t>
    </r>
    <r>
      <rPr>
        <i/>
        <sz val="12"/>
        <rFont val="Times New Roman"/>
        <family val="2"/>
        <charset val="186"/>
      </rPr>
      <t xml:space="preserve">euro. </t>
    </r>
    <r>
      <rPr>
        <sz val="12"/>
        <rFont val="Times New Roman"/>
        <family val="2"/>
        <charset val="186"/>
      </rPr>
      <t>Informācija par visiem projektiem pieejama interneta tīmekļa vietnē www. esfondi.lv http://www.esfondi.lv/finansu-un-raditaju-plani-to-izpilde</t>
    </r>
  </si>
  <si>
    <r>
      <t xml:space="preserve">** izcelti (iekrāsoti) samazinājumi virs 500 000 </t>
    </r>
    <r>
      <rPr>
        <i/>
        <sz val="12"/>
        <rFont val="Times New Roman"/>
        <family val="2"/>
        <charset val="186"/>
      </rPr>
      <t xml:space="preserve">euro. </t>
    </r>
    <r>
      <rPr>
        <sz val="12"/>
        <rFont val="Times New Roman"/>
        <family val="2"/>
        <charset val="186"/>
      </rPr>
      <t xml:space="preserve"> Informācija par visiem projektiem pieejama interneta tīmekļa vietnē www. esfondi.lv http://www.esfondi.lv/finansu-un-raditaju-plani-to-izpilde</t>
    </r>
  </si>
  <si>
    <t>1.1.1.4/17/I/015 </t>
  </si>
  <si>
    <t>2.2.1.1/17/I/009 </t>
  </si>
  <si>
    <t>2.2.1.1/17/I/008 </t>
  </si>
  <si>
    <t>2.2.1.1/17/I/013 </t>
  </si>
  <si>
    <t xml:space="preserve">2.2.1.1/17/I/010  </t>
  </si>
  <si>
    <t xml:space="preserve">2.2.1.1/17/I/012  </t>
  </si>
  <si>
    <t xml:space="preserve">2.2.1.1/17/I/011  </t>
  </si>
  <si>
    <t>4.2.2.0/17/I/059 </t>
  </si>
  <si>
    <t>5.3.1.0/17/I/005 </t>
  </si>
  <si>
    <t>5.3.1.0/17/I/001 </t>
  </si>
  <si>
    <t>5.6.3.0/17/I/001 </t>
  </si>
  <si>
    <t>8.1.1.0/17/I/010 </t>
  </si>
  <si>
    <t>8.1.2.0/17/I/022 </t>
  </si>
  <si>
    <t>8.1.2.0/17/I/007</t>
  </si>
  <si>
    <t>9.3.2.0/17/I/008 </t>
  </si>
  <si>
    <t>9.3.2.0/17/I/009 </t>
  </si>
  <si>
    <t xml:space="preserve">9.3.2.0/17/I/007  </t>
  </si>
  <si>
    <t>2017oktobris</t>
  </si>
  <si>
    <t>1.1.1.4/17/I/005</t>
  </si>
  <si>
    <t>4.2.1.2/17/I/014</t>
  </si>
  <si>
    <t>4.2.2.0/17/I/006</t>
  </si>
  <si>
    <t>5.5.1.0/17/I/001</t>
  </si>
  <si>
    <t>8.1.1.0/17/I/003</t>
  </si>
  <si>
    <t>8.1.1.0/17/I/004</t>
  </si>
  <si>
    <t>8.1.2.0/17/I/003</t>
  </si>
  <si>
    <t>8.1.3.0/17/I/003</t>
  </si>
  <si>
    <t>9.2.6.0/17/I/001</t>
  </si>
  <si>
    <t>9.3.2.0/17/I/005</t>
  </si>
  <si>
    <t>Liepājas Universitāte </t>
  </si>
  <si>
    <t>Liepājas Universitātes ēkas pārbūve </t>
  </si>
  <si>
    <t>9.3.2.0/17/I/006</t>
  </si>
  <si>
    <t>Grand Total</t>
  </si>
  <si>
    <t>Oktobrī ar negatīvu izpildi</t>
  </si>
  <si>
    <t>Oktobrī ar pārpildi</t>
  </si>
  <si>
    <t>3.3.1.0/17/I/006</t>
  </si>
  <si>
    <t>4.2.2.0/17/I/014</t>
  </si>
  <si>
    <t>5.3.1.0/17/I/003</t>
  </si>
  <si>
    <t>8.1.1.0/17/I/001</t>
  </si>
  <si>
    <t>9.3.2.0/17/I/002</t>
  </si>
  <si>
    <t xml:space="preserve">Ierobežotas projektu iesniegumu atlases (IPIA) projektiem noteikto maksājumu pieprasījumu iesniegšanas plānu līdz 2017.gada 1.novembrim neizpildes </t>
  </si>
  <si>
    <t>Līvānu ūdenssaimniecības attīstības III kārta </t>
  </si>
  <si>
    <t>8.1.2.0/17/I/024 </t>
  </si>
  <si>
    <t>Neizpilde mēnesī
(negatīvo skaitļu summa)</t>
  </si>
  <si>
    <t>Pārpilde kumulatīvi
( kumulatīvi pozītīvo vērtību summa)</t>
  </si>
  <si>
    <t>Neizpilde kumulatīvi 
(kumulatīvi negatīvo vērtību summa)</t>
  </si>
  <si>
    <t>Pārpilde mēnesī
(pozitīvo vērtību summa)</t>
  </si>
  <si>
    <t>Izmaiņas SAM kumulatīvas</t>
  </si>
  <si>
    <t>SAM mēneša izmaiņas</t>
  </si>
  <si>
    <t>Kopā</t>
  </si>
  <si>
    <t>Sum of fondi</t>
  </si>
  <si>
    <t>Projektu iesniedzēju skaidrojumi par kavēšanās iemesliem</t>
  </si>
  <si>
    <t>Kumulatīvi no 2017 gada janvāra  līdz 2017 gada 01 novembrim</t>
  </si>
  <si>
    <t xml:space="preserve">Ierobežotas projektu iesniegumu atlases (IPIA) projektiem noteikto maksājumu pieprasījumu iesniegšanas plānu līdz 2017.gada 1.novembrim  neizpildes </t>
  </si>
  <si>
    <t>Īstenotāja aktualizētais līdz 03.11.2017</t>
  </si>
  <si>
    <t>IPIA projektu maksājumu iesniegumu kopsavilkums specifisko artbalsa mērķu dalījumā</t>
  </si>
  <si>
    <t>3.1.2.(visi 3.PV FI)</t>
  </si>
  <si>
    <t>Maksājuma pieprasījuma summas ir samazinātas atbilstoši faktiskajai izpildei, kas neatbilst plānotajam, jo no klientiem saņemtas nekvalitatīvas tehniskās specifikācijas (klientiem nav pieredzes normatīvo dokumentu sagatavošanā, strauji mainās pieteiktie apjomi, vēlmes), atteikumi no pieteiktiem pakalpojumiem (mainās pakalpojuma nepieciešamība, problēmas ar naudas plūsmu lai nodrošinātu 50% līdzfinansējumu). 
Samazināta arī plānotā summa, ievērojot līdz šim saņemto pakalpojumu pieteikumu skaitu un pieteikto pakalpojumu izpildes termiņus, kā arī ievērojot, ka daļa no izsludinātiem iepirkumiem noslēdzās bez rezultātiem. Papildus kavējošais faktors ir problēmas ar projekta īstenošanas personālu (neaizpildītas vakances, nav/maza pieredze valsts pārvaldē).</t>
  </si>
  <si>
    <t xml:space="preserve">Sākotnējais plāns noteikts pārāk optimistisks. Projektā plānotās reklāmas aktivitātes daļēji pārceltas uz vēlāku laiku vai atceltas, plānojot citas tūrisma piedāvājuma popularizēšanas iespējas, lai nodrošinātu atbilstību komercdarbības atbalsta nosacījumiem. Ir iekavēta mērķa tirgus pētījuma organizēšana- pētījums tiks īstenots gada beigās tāpēc norēķins notiks tikai nākamajā gadā.
</t>
  </si>
  <si>
    <t xml:space="preserve">Būvniecības procesu pagarināja šī gada nelabvēlīgie laika apstākļi, bet rēķins par būvdarbiem iesniegts vēlāk nekā attiecīgā maksājuma pieprasījuma periods, tāpēc prognozētā summa pārcelta uz nākamo maksājuma pieprasījumu. </t>
  </si>
  <si>
    <t>Darbu izpildes apjomu ietekmēja nelabvēlīgi laika apstākļi (biežās un spēcīgās lietavas), kas kavēja izbūvēto ielu labiekārtošanas darbu veikšanu un iekavēšanās ar projekta 5.etapa - spiedvads Saulkalne - Salaspils saskaņošanu.</t>
  </si>
  <si>
    <t xml:space="preserve">Līvānu ūdenssaimniecības attīstības III kārta </t>
  </si>
  <si>
    <t>Maksājuma pieprasījumu summas samazinājums saistīts ar to, ka gala rēķini par Salu tilta 2.kārtas 1.etapa objektu projektēšanas pakalpojumiem, kurus bija plānots saņemt 2017.gada augusta beigās, saņemti tikai 28.09., tāpēc to apmaksa tiks faktiski veikta tikai nākamajā atskaites periodā un iekļauta nākamajā maksājuma pieprasījumā, kuru plānots iesniegt decembra beigās.</t>
  </si>
  <si>
    <t>Plānoto darbu izpildes apjomu sasniegšanu ietekmējuši būvdarbiem nelabvēlīgi klimatiskie apstākļi, būvdarbu veicēja nespēja piesaistīt nepieciešamo papildu darbaspēku, iepriekš neprognozējami ierobežojumi būvdarbu veikšanai, kuri prasa papildu resursus darbu pārplānojumam citās ielās. Iespējams, ka ar būvdarbu veicēju var tik pārtrauktas līgumattiecības un būs nepieciešams izsludināt jaunu iepirkuma procedūru būvdarbu veikšanai.</t>
  </si>
  <si>
    <t>Ņemot vērā būvdarbiem nelabvēlīgos laikapstākļus, būvdarbu izpildītājs precizējis darbu izpildes laika grafiku, līdz ar to prognožu plānā tiek precizēti starpposma maksājumu laiki un apjoms, kā arī avansa pieprasījumu apjoms un termiņi.</t>
  </si>
  <si>
    <t>Projekta īstenošana kavējas, ņemot vērā nobīdi atsevišķu pasākumu ieviešanas grafikā, kas saistīts ar problēmām iepirkumos.</t>
  </si>
  <si>
    <t>Aktuāla iepriekš sniegtā informācija, ko ierosinām saīsināt.</t>
  </si>
  <si>
    <t>Atsevišķas projekta darbības uzsāktas vēlāk, nekā sākotnēji plānots, kas saistīts ar  grozījumiem Ministru kabineta noteikumos Nr.467 (stājušies spēkā 02.06.2017.) un vienošanās pie 29.08.2016. sadarbības līguma starp Labklājības ministrijas un Altum saskaņošanu. Maksājuma pieprasījumus pārceļ uz 2018.gada sākumu un vērš uzmanību uz risku nesasniegt finanšu rādītāju 2018. gadā. Labklājības ministrijai ir uzdots pārskatīt ieviešanas mehānismu un virzīt risinājumu būtiskam snieguma uzlabojumam.</t>
  </si>
  <si>
    <t>Plānojot finansējumu tika rēķināts, ka 2016.gada septembrī 1-gadīgā izglītības programmā tiks uzņemti 1500 izglītojamie, no kuriem kvalifikāciju ieguvušo skaits sastādīs 1052 no uzņemtajiem izglītojamiem. Taču 2016.gada septembra 1-gadīgās profesionālās izglītības programmās mācības uzsāka 1206 izglītojamie jeb 80,4% no sākotnēji plānotā izglītojamo skaita, no kuriem profesionālo kvalifikāciju ieguva 875 izglītojamie jeb 83,2% no sākotnēji plānotā kvalfikāciju ieguvušo skaita. Ņemot vērā iepriekš minēto, mērķstipendija tika izmaksāta atbilstoši faktiskjamam izglītojamo skaitam, arī profesionālās izglītības iestādei vai koledžai izglītības programmu īstenošanai saskaņā ar vienas vienības izmaksu metodi viena vienība tika piešķirta faktiskajam kvalifikāciju ieguvušo skaitam, kā arī viena vienība atbalsta personālam tika piešķirta faktiskajam izglītojamo skaitam uz mēneša pirmo datumu. Neizlietoto finansējumu pārceļ uz pēdējo pārskata periodu. Ņemot vērā faktu, ka projekta īstenošanas beigu termiņš tiks pagarināts, tiks aktualizēts arī plānoto maksājumu pieprasījumu iesniegšanas grafiks.</t>
  </si>
  <si>
    <t>Vairāku projekta darbību uzsākšana aizkavējās iepirkumu procedūru rezultātā, pārplānota savstarpēji saistīto darbību uzsākšana, atsevišķās darbībās radies finansējuma ietaupījums (piemēram, sadarbības partnesu personāla atlīdzībās, apmācību īstenošanā, semināru, braucienu organizēšanā) tiks izmantots turpmākajā projekta īstenošanā.</t>
  </si>
  <si>
    <t xml:space="preserve">Būtiskākais kavējošais faktors - ieilgušie, laikā neizsludinātie iepirkumi kā rezultātā līgumi tika noslēgti vēlāk nekā sākotnēji plānots, aizkavējusies projekta darbību īstenošana un atsevišķas darbības (“Sabiedrībā balstītu pakalpojumu īstenošana Latgales reģiona personām ar garīga rakstura traucējumiem”, darbības “Sabiedrībā balstītu pakalpojumu sniegšana bērniem ar funkcionāliem traucējumiem” un "Informatīvi un izglītojoši pasākumi.") nevar veikt paredzētajā apjomā. Pastāv risks, ka uz 31.12.2018. netiks sasniegts plānotais finanšu rādītājs. </t>
  </si>
  <si>
    <t xml:space="preserve">Projekta darbības iekavējās, jo Sociālā darbinieka un sociālā mentora pakalpojumu iepirkuma procedūrā izvēlētā pakalpojuma sniedzējam bija jāpiešķir PVN maksātāja statuss, par ievērojami mazāku summu sniegti sociālā darbinieka un sociālā mentora pakalpojumi, jo faktiskā bēgļu un patvēruma meklētāju plūsma ir ievērojami mazāka par plānoto. Atsevišķām darbībām aizkavējās iepirkuma izsludināšana, tas saistīts ar nepieciešamiem grozījumiem projekta iesniegumā un MK noteikumos Nr.102, kas ļautu iekļaut PVN pakalpojuma izmaksās. Vairākos gadījumos iepirkuma procedūras rezultātā noslēgts līgums par ievērojami zemāku summu nekā tika sākotnēji plānots, piemēram, iepirkumā par izglītojošiem pasākumiem par sociālās iekļaušanas un diskriminācijas novēršanas pasākumiem faktiskā līguma summa ir par ceturtdaļu zemāka par plānoto.  </t>
  </si>
  <si>
    <t>Projektā pirmajos divos ceturkšņos radās aizkavēšanās iepirkumu procedūrās, kas saistīta ar grūtībam atrast projektam iepirkumu speciālistu, tas ietekmēja projektu darbību un finanšu plūsmu, kas pārplānota uz vēlāku laiku - 2018.g.</t>
  </si>
  <si>
    <t>Maksājuma pieprasījuma summa koriģēta atbilstoši jaunākajām prognozēm. Uz vēlākiem maksājuma pieprasījumiem pārcelti izdevumi par komandējumiem, kas tika izņemti no iesniegtā maksājuma pieprasījuma, jo uz iesniegšanas brīdi nebija saņemtas parakstītas atskaites no visiem komandējuma dalībniekiem. 
Pārējās plānotās summas koriģētas atbilstoši jaunākajām prognozēm par izmaksu attiecināšanu. Atbilstoši noslēgtajam līgumam par videokonferenču uzstādīšanu, paredzams, ka visas iekārtas tiks uzstādītas novembrī un samaksa tiks veikta par visām piegādātajam iekārtām vienā maksājumā, nevis sadalot pa daļām kā tika plānots iepriekš.</t>
  </si>
  <si>
    <t xml:space="preserve">Precizētas izmaksas atbilstoši noslēgtajiem grozījumiem noslēgtajās vienošanās par būvdarbu, būvuzraudzības un autoruzraudzības darbu īstenošanu, sakarā ar izslēgtajām izmaksām pēc izmaiņu aktiem. </t>
  </si>
  <si>
    <t xml:space="preserve">Aktuāla iepriekš sniegtā informācija, papildinājums ar zaļu </t>
  </si>
  <si>
    <t>Aktuāla iepriekš sniegtā informācija</t>
  </si>
  <si>
    <t>Aktualizēts</t>
  </si>
  <si>
    <t xml:space="preserve">
Kavējumi, jo Biznesa eņģeļu ko-investīciju fonda programma tika atcelta un to neīstenos, Mikrokreditēšanas tirgū aktīvi darbojas arī banku sektors, līdz ar to pieprasījums pēc pakalpojuma nav tik liels kā sākotnēji plānots.Kavējas arī akcelerācijas un riska kapitāla fondu iepirkumu process. Pārējos finanšu instrumentos vērojam laba izpilde pret sākotnēji plānotajiem apjomiem.</t>
  </si>
  <si>
    <t>Pēc līguma noslēgšanas, maijā, prognozētās summas aktualizētas. Šobrīd aktuālākajā plānoto maksājumu pieprasījumu iesniegšanas grafikā plānots 2017.gadā iesniegt maksājumus par 8,67 milj. ERAF līdzfinansējumu. Līdz septembrim iesniegtie maksājumi būtiski no plāna neatšķiras. Oktobra beigās grafiks aktualizēts, izņemot no maksājuma pieprasījumiem projektēšanas izmaksas, par kurām samaksu veiks tikai pēc pilnīgas projektēšanas pabeigšanas.</t>
  </si>
  <si>
    <t>Projektā darbību uzsākšana aizkavējusies, jo iepriekš bija nepieciešams amatu saskaņojums no Valsts kancelejas, iekavējās darbinieku pieņemšana (maksājumu grafikos uz nākamajiem maksājumu pieprasījumiem pārcelti plānotie izdevumi algām, darba vietām u.c.).  Daļa darbību un atbalsta pasākumu īstenošana  tiks uzsākta pēc noslēgtajiem sadarbības līgumiem ar pašvaldībām un profesionālās izglītības iestādēm sākot no septembra. Daļa  izdevumu pārcelti uz nākamiem  maksājuma pieprasījumiem, jo ir nelielas nobīdes saistībā ar iepirkumiem.</t>
  </si>
  <si>
    <t>Aizkavējusies 9.1.4.2.pasākuma “Funkcionēšanas novērtēšanas un asistīvo tehnoloģiju (tehnisko palīglīdzekļu) apmaiņas sistēmas izveide un ieviešana” ieviešana, kas ir priekšnoteikums šī pasākuma uzsākšanai. "Vaivari" jāiesniedz Centrālai finanšu un līgumu aģentūrai grozījumi projektā.  Papildus procesus ietekmē Labklājības ministrijas stingrāka iesaiste, pirms iepirkumu sludināšanas izskatot / skaņojot dokumentāciju. 31.08.2017.finansējuma saņēmējs ir iesniedzis grozījumus saistītājā projektā 9.1.4.2. pasākuma ietvaros, pagarinot projekta īstenošanas termiņu  no 48 mēnešiem uz 74 mēnešiem, tiek iekļauta informācija par veicamajām darbībām projekta finansējuma saņēmēja maiņas gadījumā (atbilstoši Ministru kabineta noteikumu Nr.601 grozījumu projektam).  Finansējuma saņēmējs nav iesniedzis grozījumus projektā 9.3.1.2/16/I/001 nepietiekamas projekta vadības kapacitātes dēļ (attiecīgajam projektam nav projekta vadītāja).</t>
  </si>
  <si>
    <t>Kavēšanās ar atsevišķu darbību uzsākšanu iepirkuma problēmu dēļ, plānoto sadarbības partneru atteikšanās no dalības projektā. Oktobrī iesniegts aktualizēts plānoto maksājumu pieprasījumu grafiks, kurā tika veikti precizējumi ņemot vērā sadarbības partneru iesniegto informāciju, prognozes, iepirkumu plānus - daļa no 2018.gada  izdevumiem pārcelti uz 2022.gadu, jo šajā laikā prognozējams lielākais sabiedrībā balstīto pakalpojumu kompensācijas pieprasījums.</t>
  </si>
  <si>
    <t>Būvdarbi aizkavējās sakarā ar nelabvēlīgiem klimatiskiem laika apstākļiem (lietavas).</t>
  </si>
  <si>
    <t xml:space="preserve">Izmaiņas maksājumu pieprasījumu summās saistītas ar to, ka projekta vadības intensitāte un faktiski nostrādātās stundas projekta vadībā nesakrīt ar sākotnēji plānoto izlīdzināto vidējo intensitāti, tāpat iekavējās darbības, kas saistītas ar būvdarbiem mācību poligonā un dabaszinību, mežsaimniecības kabinetos Rankā, līdz ar to izmaksas pārceltas uz vēlāk iesniedzamajiem maksājuma pieprasījumiem. Tiek gatavoti grozījumi projekta īstenošanas laika grafikā, kā arī finansēšanas plānā pa gadiem.  </t>
  </si>
  <si>
    <t xml:space="preserve">Darbības "Darba vides un cilvēkresursu potenciāla izvērtējums" uzsākšana aizkavējās sarežģītā iepirkuma dokumentācijas saskaņošanas procesa rezultātā, kas ietekmē  darbības "Atbalsta pasākumi mērķa grupai" uzsākšanu, jo paredzētas secīgi, un to īstenot varēs uzsākt ne ātrāk kā 2018.gada maijā. Ņemot vērā minēto tiks precizēts plānoto maksājuma pieprasījumu iesniegšanas grafiks. Sertificēto izdevumu investīcijas uz 2018.gada 31.decembri tiks nodrošināta 24-25% apjomā no MK noteiktās summas.  </t>
  </si>
  <si>
    <t>Kavējumi investīcijās saistīti ar iepirkumu procedūru kavēšanos. </t>
  </si>
  <si>
    <r>
      <t xml:space="preserve">Projektā darbi ir pabeigti un sagatavošanā ir noslēguma maksājuma pieprasījums, kuru plānots iesniegt novembrī. Ir radies ietaupījums, kas ir indikatīvi 109 611.55 </t>
    </r>
    <r>
      <rPr>
        <i/>
        <sz val="12"/>
        <rFont val="Times New Roman"/>
        <family val="1"/>
        <charset val="186"/>
      </rPr>
      <t>euro</t>
    </r>
    <r>
      <rPr>
        <sz val="12"/>
        <rFont val="Times New Roman"/>
        <family val="1"/>
        <charset val="186"/>
      </rPr>
      <t xml:space="preserve"> no ERAF līdzfinansējuma summas.</t>
    </r>
  </si>
  <si>
    <r>
      <t xml:space="preserve">Projektā maksājumu plūsma samazinājusies un  izdevumu pārcelti uz turpmākiem maksājuma pieprasījumiem, jo netika veikts avansa maksājums būvniekam (būvdarbu līgumā, kas noslēgts starp Rēzeknes tehnikumu un SIA Latvijas Energoceltnieks paredzēts avanss 20% apmērā no līguma summas (482 832.87 </t>
    </r>
    <r>
      <rPr>
        <i/>
        <sz val="12"/>
        <rFont val="Times New Roman"/>
        <family val="1"/>
        <charset val="186"/>
      </rPr>
      <t>euro</t>
    </r>
    <r>
      <rPr>
        <sz val="12"/>
        <rFont val="Times New Roman"/>
        <family val="1"/>
        <charset val="186"/>
      </rPr>
      <t xml:space="preserve"> apmērā)). Iepriekšējā maksājumu  iesniegšanas grafikā bija ieplānota avansa izmaksa 15% apmērā, bet būvnieks atteicās no avansa izmaksas.</t>
    </r>
  </si>
  <si>
    <t>Samaksa par sniegtajiem ekspertu pakalpojumiem un citām aktivitātēm projektā tiks veikta nākošajā starpposmā. Vaučeru programmā nav iesniegti tik daudz pieteikumi kā sākotnēji bija plānots, līdz ar to netiek pieaicināti eksperti, kā arī līdz šim nav bijis pieprasījuma pēc tirgus pētījumiem pētniecības organizācijās.
09.11.2017. ir stājušies spēkā specifiskā atbalsta mērķa MK noteikumu grozījumi, kas paredz papildus atbalstāmās  darbības un attiecināmās izmaksas, kā rezultātā situācija 2018.gadā varētu būtiski uzlaboties.</t>
  </si>
  <si>
    <t xml:space="preserve">Projektā aizkavējusies iepirkumu veikšana - iepirkumi tiek pakārtoti Izglītības un zinātnes ministrijas vienotajam iepirkumam, ņemot vērā līdzīgos iepirkuma priekšmetus. Attiecīgi kavējas arī pārējo projektā plānoto pasākumu uzsākšana. Lai intensificētu plānoto maksājumu plūsmu, finansējuma saņēmējs ir precizējis plānoto maksājumu pieprasījumu iesniegšanas grafiku, paredzot 2017. gada nogalē tos iesniegt biežāk. </t>
  </si>
  <si>
    <t xml:space="preserve">Ieilgusi sadarbības partneru iesniegto karjeras atbalsta plānu pārbaude un apstiprināšana, kā arī vairāki sadarbības partneri nav varējuši nodrošināt MK noteikumu prasību - piesaistīt vienu pedagogu-karjeras konsultantu uz 700 izglītojamiem. Izglītības un zinātnes ministrija veic grozījumus MK noteikumos, paredzot izņēmumus šīs prasības piemērošanā. Lai paātrinātu maksājumu veikšanas  procesus, Centrālā finanšu un līgumu aģentūra ir vienojušies ar Valsts izglītības attīstības aģentūru par ārpuskārtas maksājuma pieprasījuma iesniegšanu decembrī, lai veicinātu 2017.gada mērķa izpildi. </t>
  </si>
  <si>
    <t>Precizēta oktobrī iesniegtā maksājuma pieprasījuma summa. Tās samazinājums lielākoties saistīts ar iepirkumu realizācijas novirzi, kuras starpība pārnesta uz novembra un janvāra maksājuma pieprasījumiem.</t>
  </si>
  <si>
    <t xml:space="preserve">Finansējuma saņēmējs regulāri aktualizē maksājumu pieprasījumu iesniegšanas grafiku, pamatojoties uz sadarbības partneru (pašvaldību) iesniegtajām prognozēm par projektā iesaistāmo mērķa grupas dalībnieku skaitu.
Lai veicinātu dalībnieku iesaisti plānotajā apmērā individuālajās klātienes konsultācijās, informatīvajos un pieredzes apmaiņas pasākumos par labās prakses piemēriem, dalībnieku iesaistīšanai tiek  pievērsta pastiprināta uzmanība, rosinājums projekta ieviešanā iesaistīt stratēģiskos partnerus, kuriem ir pieejama informācija par potenciālajiem projekta mērķa grupas jauniešiem (Sociālais dienests, Jauniešu centrs, Probācijas dienests u.tml.). </t>
  </si>
  <si>
    <t xml:space="preserve">Sākotnēji  plānotie avansi pārcelti uz vēlāku laiku, jo projekta ieviešanu kavējuši sarežģījumi ieviešanā un par risinājumiem ilgstoši Izglītības un zinātnes ministrijas (IZM) un Latvijas darba devēju konfederācijas (LDDK) nespēja vienoties (par darba vidē balstītu mācību ieviešanu (saturu, ilgumu, formu)). Tas kavējis arī grozījumu izstrādi nozares  normatīvajos aktos, kas nosaka kārtību, kādā organizē un īsteno darba vidē balstītas mācības. Pozitīvi, ka IZM tomēr rada iespēju ņemt vērā LDDK galvenos priekšlikumus un minētie MK noteikumu grozījumi 2017.gada 19.septembrī stājušies spēkā. 
Septembrī veikti grozījumi plānoto maksājuma pieprasījmu grafīkā, balsoties uz šobrīd plānotājiem maksājumiem 2017.gadā - ņemot vērā minētās problēmas maksājuma summas tiek pārceltas uz turpmākajiem projekta ieviešanas gadiem. </t>
  </si>
  <si>
    <t>Plānotas intensificētas darbības rudenī. Pedagogiem un iesaistītajam personālam  darba grafiks ir pakārtots mācību gadam un vasara ir atvaļinājumu laiks.
Pēc 2017. un 2018.gada finanšu plāna grozījumiem, precizēts projekta maksājuma pieprasījumu iesniegšanas grafiks.</t>
  </si>
  <si>
    <t>5.3.1.0/17/I/001</t>
  </si>
  <si>
    <t>1.1.1.4/17/I/015</t>
  </si>
  <si>
    <t>5.6.3.0/17/I/001</t>
  </si>
  <si>
    <t>8.1.1.0/17/I/010</t>
  </si>
  <si>
    <t>5.3.1.0/17/I/005</t>
  </si>
  <si>
    <t xml:space="preserve">Būvniecības darbi projekta ietvaros ir uzsākušies nesen. Septembrī aktualizēts plānoto maksājumu pieprasījumu iesniegšanas grafiks, precizējot prognozējamās būvniecības darbu izmaksas un nākamo starpposma un avansa maksājumu no septembra pārceļot uz oktobri. </t>
  </si>
  <si>
    <t>Aizkavējās būvatļaujas "ar nosacījumu" izpilde un būvdarbu uzsākšana Būvniecību kavēja nelabvēlīgie klimatiskie apstākļi: ilgstošas lietavas.</t>
  </si>
  <si>
    <t xml:space="preserve">Būvdarbu izpilde notiek lēnāk, nekā sākotnēji plānots, būvdarbiem nelabvēlīgu laikapstākļu dēļ, un pārbūves procesā atklātu projektā  nenorādītu komunikāciju demontāžu, kas prasīja papildus laiku. Projekta darbības tiks pabeigtas šī gada rudenī.  Iepirkumu rezultātā noslēgtajā līgumā veidojas ietaupījums, jo iepirkumos tika iesniegti lētāki piedāvājumi, nekā plānots. Novembra beigās, plāno iesniegt pilno dokumentācijas komplektu par ekspluatācijā pieņemtajām būvēm.  </t>
  </si>
  <si>
    <t xml:space="preserve">Līgums par projekta īstenošanu noslēgts tikai 13.11.2017.   </t>
  </si>
  <si>
    <t>Projekts apstiprināts 25.10.2017 un novembra mēnesī plānojās noslēgt līgumu. Visi maksājumu pieprasījumi pārcelti uz 2018 gadu.</t>
  </si>
  <si>
    <t xml:space="preserve">Maksājumu pieprasījumu summas samazinātas, jo būvdarbu veikšana uzsākta tikai septembrī. Aizkavēšanās saistīta ar normatīvajos dokumentos nepieciešamo dokumentu sagatavošanu: atzīme par būvdarbu uzsākšanas nosacījumi izpildi saņemta 06. septembrī un būvniecībai nepiemērotiem klimatiskiem apstākļiem. Oktobrī finansējuma saņēmējs iesniedza starpposma maksājuma pieprasījumu par faktiski paveiktajiem būvdarbiem, bet nākamais avansa un starpposma maksājuma pieprasījums paredzēts decembrī, jo pārbūvei nepieciešamās iekārtas plānots piegādāt tikai decembrī. </t>
  </si>
  <si>
    <t xml:space="preserve">Projekts iesniegts nepilnīgs un turpinās tā vērtēšana. Projekts stausā  apstiprināts ar nosacījumiem  trūkumu novēšana līdz 27.12.2017. </t>
  </si>
  <si>
    <t xml:space="preserve">Projekta iesniegums apstiprināts 27.10.2017. Maksājumi plānojās pēc līguma noslēģšanas. </t>
  </si>
  <si>
    <t>Līgums par projekta īstenošanu tika noslēgts 19.09.2017 un oktobrī iesniegts pirmais plānoto maksājuma pieprasījumu iesniegšanas grafiks, kur iekļauta precīzāka infomācija par maksājumu pieprasījumiem, nekā tika prognozēts gada sākumā, kad projekta iesniegums bija sagatavošanas stadijā.</t>
  </si>
  <si>
    <t>Projekts tika aptisprināts 01.11.2017., bet līgums tika noslēgts 10.11.2017., Maksājumu pieprasījumu iesniegšanas grafiks 21.11.2017. vēl nav iesniegts</t>
  </si>
  <si>
    <t>Projekts tika aptisprināts 14.11.2017., bet līgums 21.11.2017. vēl nav noslēgts</t>
  </si>
  <si>
    <t>Projekts tika aptisprināts 24.10.2017., bet līgums tika noslēgts 15.11.2017., Maksājumu pieprasījumu iesniegšanas grafiks 21.11.2017. vēl nav iesniegts. Projektu plāno pabeitg 01.09.2018., līdz ar to visi paredzētie maksājumi gaidāmi līdz nākamā gada beigām.</t>
  </si>
  <si>
    <t>Projekts tika aptisprināts 27.10.2017., bet līgums 21.11.2017. vēl nav noslēgts</t>
  </si>
  <si>
    <r>
      <t xml:space="preserve">Maksājumu neizpilde ir rēķināta pret pirmo - martā iesniegto plānoto maksājuma pieprasījumu iesniegšanas grafiku, kur jūlijā bija plānots avansa maksājums 595 000 </t>
    </r>
    <r>
      <rPr>
        <i/>
        <sz val="12"/>
        <rFont val="Times New Roman"/>
        <family val="1"/>
        <charset val="186"/>
      </rPr>
      <t xml:space="preserve">euro </t>
    </r>
    <r>
      <rPr>
        <sz val="12"/>
        <rFont val="Times New Roman"/>
        <family val="1"/>
        <charset val="186"/>
      </rPr>
      <t>apmērā, bet, sākot ar jūniju plānoto maksājuma pieprasījumu iesniegšanas grafiks tika precizēts, ņemot vērā nobīdi projekta ieviešanas laika grafikā, kas galvenokārt saistīta ar iepirkumu procedūru norises aizkavēšanos.</t>
    </r>
  </si>
  <si>
    <t xml:space="preserve">
Iepirkuma rezultāti tika apstrīdēti un veikta iesniegto piedāvājumu atkārtota izvērtēšana, kā rezultātā būvdarbu līgums noslēgts tikai vasaras sezonas beigās. Pārplānota būvdarbu izpilde un iesniegts precizēts plānoto maksājumu pieprasījumu iesniegšanas grafiks.</t>
  </si>
  <si>
    <t xml:space="preserve">Kavējās būvdarbu līguma noslēgšana, jo iepirkuma rezultāti bija pārsūdzēti Iepirkumu uzraudzības birojam. 04.09.2017. tika noslēgts būvdarbu līgums. Maksājumi vēl nav veikti.  </t>
  </si>
  <si>
    <t>Turpinās iepirkumā iesniegto piedāvājumu vērtēšana. Līdz gada beigām projektā netiks veikti maksājumi, atbilstoši aktualizētajam plānoto maksājumu pieprasījumu grafikam un visi izdevumi plānoti tikai 2018.gadā.</t>
  </si>
  <si>
    <t>Rēķins par augustā veiktajiem būvdarbiem netika iesniegts, lai nodrošinātu tā iekļaušanu oktobra maksājuma pieprasījumā. Aktualizētajā maksājumu pieprasījumu iesniegšanas grafikā summa pārcelta uz 2018.gadu.</t>
  </si>
  <si>
    <r>
      <t xml:space="preserve">Objektā būvdarbi pabeigti. Sagaidāms ietaupījums indikatīvi 1,86 milj </t>
    </r>
    <r>
      <rPr>
        <i/>
        <sz val="12"/>
        <rFont val="Times New Roman"/>
        <family val="1"/>
        <charset val="186"/>
      </rPr>
      <t>euro</t>
    </r>
    <r>
      <rPr>
        <sz val="12"/>
        <rFont val="Times New Roman"/>
        <family val="1"/>
        <charset val="186"/>
      </rPr>
      <t xml:space="preserve">.  </t>
    </r>
  </si>
  <si>
    <t xml:space="preserve">Maksājuma pieprasījuma summa koriģēta atbilstoši saņemtajiem rēķiniem. Projektā paredzams ietaupījums. </t>
  </si>
  <si>
    <t>Izmaiņas saistītas ar sākotnēji neprecīzu maksājuma pieprasījumu iesniegšanas plānošanu. Plānotie būvdarbu un būvuzraudzības iepirkumi tika izsludināti laikā. 3 būvobjektiem būvdarbi pabeigti 2 būvobjektiem - uzsākti.</t>
  </si>
  <si>
    <t>Maksājuma pieprasījumi tiek sniegti atbilstoši faktiskai darbu izpildei, kas augustā atpalika no plānotā. Septembrī un oktobrī darbi paveikti lielākā apjomā. Lielāka maksājuma pieprasījuma summa paredzēta 2018.g. sākumā, kad maksājuma pieprasījumā tiks iekļautas izmaksas par 2017.gada pēdējā ceturksnī veiktajiem darbiem.</t>
  </si>
  <si>
    <t xml:space="preserve">Nobīdes izpildes grafikā un būvdarbu rēķini iesniegti par mazāku summu, nekā plānots dēļ nepastāvīgiem laika apstākļiem. Precizēts plānoto maksājumu pieprasījumu iesniegšanas grafiks.  </t>
  </si>
  <si>
    <t>Problēmas iepirkumos, projekta darbinieku piesaistē, precizējumiem normatīvajos aktos (e-adreses likumā) un nepieciešamo papildu analīzes veikšanu  piemērotāko tehnisko risinājumu izvēlei. Atsevišķu aktivitāšu maksājumi pārcelti uz projekta noslēguma posmu.</t>
  </si>
  <si>
    <t xml:space="preserve">Maksājuma pieprasījumi tiek sniegti atbilstoši faktiskajai būvdarbu izpildei. Projektā radies ietaupījums. </t>
  </si>
  <si>
    <t xml:space="preserve">Būvdarbu veicējs nav iesniedzis avansa rēķinu, kuru bija plānots apmaksāt pēc līguma noslēgšanas.  </t>
  </si>
  <si>
    <r>
      <t xml:space="preserve">Maksājuma pieprasījums iesniegts atbilstoši faktiskajai būvdarbu izpildei. Būvdarbi objektā ir pabeigti. Projektā radies ietaupījums indikatīvi 0.3 milj. </t>
    </r>
    <r>
      <rPr>
        <i/>
        <sz val="12"/>
        <rFont val="Times New Roman"/>
        <family val="1"/>
        <charset val="186"/>
      </rPr>
      <t>euro</t>
    </r>
    <r>
      <rPr>
        <sz val="12"/>
        <rFont val="Times New Roman"/>
        <family val="1"/>
        <charset val="186"/>
      </rPr>
      <t xml:space="preserve"> no ERAF līdzfinansējuma summas. </t>
    </r>
  </si>
  <si>
    <r>
      <t xml:space="preserve">Brojektā būvdarbi ir pabeigti. Projektā ir radies ietaupījums indikatīvi 1,6 milj. </t>
    </r>
    <r>
      <rPr>
        <i/>
        <sz val="12"/>
        <rFont val="Times New Roman"/>
        <family val="1"/>
        <charset val="186"/>
      </rPr>
      <t>euro</t>
    </r>
    <r>
      <rPr>
        <sz val="12"/>
        <rFont val="Times New Roman"/>
        <family val="1"/>
        <charset val="186"/>
      </rPr>
      <t xml:space="preserve"> no KF līdzfinansējuma summas.</t>
    </r>
  </si>
  <si>
    <r>
      <t xml:space="preserve">Objektā būvdarbi ir pabeigti. Projektā radies ietaupījums indikatīvi 1 milj. </t>
    </r>
    <r>
      <rPr>
        <i/>
        <sz val="12"/>
        <rFont val="Times New Roman"/>
        <family val="1"/>
        <charset val="186"/>
      </rPr>
      <t>euro</t>
    </r>
    <r>
      <rPr>
        <sz val="12"/>
        <rFont val="Times New Roman"/>
        <family val="1"/>
        <charset val="186"/>
      </rPr>
      <t xml:space="preserve"> no ERAF līdzfinansējuma summas.</t>
    </r>
  </si>
  <si>
    <r>
      <t xml:space="preserve">Projektā būvdarbi ir pabeigti. Projektā ietaupījums indikatīvi 0,9 milj. </t>
    </r>
    <r>
      <rPr>
        <i/>
        <sz val="12"/>
        <rFont val="Times New Roman"/>
        <family val="1"/>
        <charset val="186"/>
      </rPr>
      <t xml:space="preserve">euro </t>
    </r>
    <r>
      <rPr>
        <sz val="12"/>
        <rFont val="Times New Roman"/>
        <family val="1"/>
        <charset val="186"/>
      </rPr>
      <t>no ERAF līdzfinansējuma summas.</t>
    </r>
  </si>
  <si>
    <r>
      <t xml:space="preserve">Maksājuma pieprasījums iesniegts par mazāku summu, jo būvdarbu izpilde neatbilst iepriekš plānotajai - saistībā ar darbam nepiemērotiem laika apstākļiem, būvnieks darbus pēc tehnoloģiskā pārtraukuma atsāka vēlāk. 
Projektā paredzams ietaupījums indikatīvi 0,5 milj. </t>
    </r>
    <r>
      <rPr>
        <i/>
        <sz val="12"/>
        <rFont val="Times New Roman"/>
        <family val="1"/>
        <charset val="186"/>
      </rPr>
      <t>euro</t>
    </r>
    <r>
      <rPr>
        <sz val="12"/>
        <rFont val="Times New Roman"/>
        <family val="1"/>
        <charset val="186"/>
      </rPr>
      <t xml:space="preserve"> no KF līdzfinansējuma summas.</t>
    </r>
  </si>
  <si>
    <r>
      <t xml:space="preserve">Projekta paredzams ietaupījums indikatīvi 2 milj. </t>
    </r>
    <r>
      <rPr>
        <i/>
        <sz val="12"/>
        <rFont val="Times New Roman"/>
        <family val="1"/>
        <charset val="186"/>
      </rPr>
      <t>euro</t>
    </r>
    <r>
      <rPr>
        <sz val="12"/>
        <rFont val="Times New Roman"/>
        <family val="1"/>
        <charset val="186"/>
      </rPr>
      <t xml:space="preserve"> no KF līdzfinansējuma summas.</t>
    </r>
  </si>
  <si>
    <r>
      <t xml:space="preserve">Objektā būvdarbi ir pabeigti. Projektā indakatīvi ietaupījums ~1,4 milj. </t>
    </r>
    <r>
      <rPr>
        <i/>
        <sz val="12"/>
        <rFont val="Times New Roman"/>
        <family val="1"/>
        <charset val="186"/>
      </rPr>
      <t>euro</t>
    </r>
    <r>
      <rPr>
        <sz val="12"/>
        <rFont val="Times New Roman"/>
        <family val="1"/>
        <charset val="186"/>
      </rPr>
      <t xml:space="preserve"> no ERAF līdzfinansējuma summas.</t>
    </r>
  </si>
  <si>
    <t xml:space="preserve">Iepirkuma rezultātā piedāvājuma summa pārsniedza plānoto līgumcenu, tādēļ  līgums noslēgts tikai jūlijā. 
Darbu izpildi plānotajā apmērā negatīvi arī ietekmēja laika apstākļi. Atbilstoši iesniegtajiem rēķiniem šobrīd darbu apjomi ir pieauguši.  </t>
  </si>
  <si>
    <t xml:space="preserve">Iesaistes uzsākšanu pasākumos “Subsidētās darba vietas jauniešiem bezdarbniekiem (pasākumi noteiktām mērķa grupā)”, “Pirmā darba pieredze jaunietim” un “Neformālās izglītības programmu īstenošanu” aizkavēja grozījumi MK noteikumos Nr.75, kuri stājās spēkā 03.03.2017. un MK noteikumos par pasākuma īstenošanu Nr.207, kuri stājās spēkā 01.09.2017. Kā arī tehniskas problēmas ar NVA sistēmu BURVIS, kas novērstas tikai novembra sākumā. Projektā nesaskata risku nesasniegt projekta mērķi,  kā arī projektā ir veikti grozījumi, paredzot izmaiņas iesaistāmo bezdarbnieku skaitā starp pasākumiem, tādējādi veicinot projekta mērķa sasniegšanu. </t>
  </si>
  <si>
    <r>
      <t xml:space="preserve">Š.g. 1.septembrī ALTUM ir iesniedzis precizētu plānoto maksājumu plūsmas prognozi - 2017.gada mērķi netiks sasniegti, kā arī ir risks snieguma mērķa sasniegšanai 2018.gadā. ALTUM skaidro, ka snieguma rezerves apjoms tika noteikts un iekļauts sākotnējā biznesa plānā, nerēķinoties ar to, ka faktiskā aizkavēšanās programmas MK noteikumu izstrādē bija 2 gadi. Atbilstoši pašreizējai pieredzei periods līdz būvkomersanta rēķinu apmaksas pabeigšanai ir vidēji 12 mēneši no pozitīva ALTUM atzinuma saņemšanas. Ņemot vērā šobrīd iesniegto projektu, kuriem sniegts pozitīvs atzinums, skaitu un aktuālo projektu realizācijas pieredzi, tika aktualizēta maksājumu pieprasījumos iekļauto izmaksu prognoze.
Pēdējo mēnešu laikā veikta būtiska programma realizācijas uzlabošana, kas saistīta gan ar projektu pieteicēju izglītošanu, kas rezultējas kvalitatīvākos pieteikumos, gan dokumentu procesa vienkāršošanu, tomēr arī turpmāk kopā ar Ekonomikas ministriju, Finanšu ministriju un Centrālo finanšu un līgumu aģentūru tiek analizētas iespējas uzlabot programmas realizāciju. 
Novembrī iesniegts avansa maksājuma pieprasījums ar ERAF finansējumu 2 339 150.00 </t>
    </r>
    <r>
      <rPr>
        <i/>
        <sz val="12"/>
        <rFont val="Times New Roman"/>
        <family val="1"/>
        <charset val="186"/>
      </rPr>
      <t>euro</t>
    </r>
    <r>
      <rPr>
        <sz val="12"/>
        <rFont val="Times New Roman"/>
        <family val="1"/>
        <charset val="186"/>
      </rPr>
      <t xml:space="preserve"> apmērā, kas šobrīd ir izskatīšanā.</t>
    </r>
  </si>
  <si>
    <t xml:space="preserve">Projektā  ir būtiskas kavēšanas laika grafikā, jo kavējas  iepirkumu procedūras. Finansējuma saņēmējs norāda, ka  ir būtiskas aizkavēšanās laika grafikā:  
1) 27.02.2017. Iepirkumu uzraudzības biroja mājaslapā tika izsludināts atklāts konkurss tehnikuma metodisko korpusa/biznesa inkubatora pārbuves darbu un dienestas viensīcas jaunbūves celtniecības īstenošanā (id.Nr.VIAA 2017/07 ERAF RVT), sākotnējais piedāvājumu iesniegšanas termiņš - 27.03.2017. Termiņš tika vairākkārtīgi pagarināts (pēdējais termiņš – 11.07.2017.), jo tika saņemti jautājumi par konkursa nolikumu no pretendentiem. Bet no konkursa uzvarētāja 22.08.2017. tika saņemts atteikums slēgt iepirkuma līgumu.
2) 02.02.2017. tika izsludināts metu konkurss tehnikuma multifunkcionālās zāles jaunbūves celtniecībai (id.Nr.VIAA 2017/05 ERAF RVT), bet no vienīgā pretendenta tika saņemta vēstule ar atteikumu piedalīties sarunu procedūrā.
Radusies situācijas rada nobīdi projekta darbu īstenošanā un attiecīgi finanšu līdzekļu investīcijās. Finansējuma saņēmējs atkārtoti precizēs  plānoto maksājumu pieprasījumu iesniegšanas grafikā norādītās pārskata periodu summas pēc iepirkuma līguma noslēgšanas ar būvdarbu veicēju.
                                                                       </t>
  </si>
  <si>
    <t xml:space="preserve">Ņemot vērā specifiskos ērģeļu uzstādīšanas nosacījumus, nobīdes būvdarbu izpildes grafikā ietekmē ērģeļu izgatavošanas, piegādes un uzstādīšanas līguma ietvaros darba kārtībā noteiktos starptermiņus un samaksas kārtību. 
Tāpat projektā ir būvdarbu tehnoloģisko procesu norises nobīde laikā (neietekmē būvdarbu kopējo izpildes termiņu). 
Viss iepriekš minētais ietekmē kopējo maksājumu pieprasījumu apjomu 2017., 2018. un 2019.gadu ietvaros. 
Atbilstoši būvdarbu izpildītāja sniegtajai informācijai, būvdarbu izpildītājs aktualizēto naudas plūsmas grafiku pasūtītājam plāno iesniegt līdz 15.11. Atbilstoši tiks iesniegts precizēts plānotais maksājuma pieprasījumu iesniegšanas grafiks.
</t>
  </si>
  <si>
    <t>Būvdarbi ir pabeigti ātrāk nekā plānots, tāpēc precizēts plānoto maksājumu pieprasījumu iesniegšanas grafiks pēdējo 3 makšajumu pieprasījumu vietā paredzot 2.  Novembrī plānotā summa tiks izpildīta decembrī.</t>
  </si>
  <si>
    <r>
      <t xml:space="preserve">Darbi posmā no 0.006-4.12 km ir pabeigti. Pārējais posms netiks pabeigts 2017.g. būvniecības sezonā dēl asfalta virskārtas ieklāšanai nepiemērotiem metroloģiskiem laika apstākļiem (apakškārta). 
Plānotie zemes darbu apjomi netiks izstrādāti pilnā apmērā (darbu izpildes gaitā atklājies, ka kūdras apjomi nav tik lieli, kā paredzēts būvprojektā) projektā paredzams ietaupījums indikatīvi 2 milj. </t>
    </r>
    <r>
      <rPr>
        <i/>
        <sz val="12"/>
        <rFont val="Times New Roman"/>
        <family val="1"/>
        <charset val="186"/>
      </rPr>
      <t>euro</t>
    </r>
    <r>
      <rPr>
        <sz val="12"/>
        <rFont val="Times New Roman"/>
        <family val="1"/>
        <charset val="186"/>
      </rPr>
      <t xml:space="preserve"> apmērā no ERAF līdzfinansnējuma summas.</t>
    </r>
  </si>
  <si>
    <t>Līgums ir noslēgts tikai 2017.gada 10.novembrī, līdz ar to maksājumi sagaidāmi vēlākos mēnešos.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</si>
</sst>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_-;\-* #,##0_-;_-* &quot;-&quot;_-;_-@_-"/>
    <numFmt numFmtId="165" formatCode="_-* #,##0.00_-;\-* #,##0.00_-;_-* &quot;-&quot;??_-;_-@_-"/>
    <numFmt numFmtId="166" formatCode="#,##0.00_ ;\-#,##0.00\ "/>
    <numFmt numFmtId="167" formatCode="#,##0_ ;\-#,##0\ "/>
  </numFmts>
  <fonts count="40" x14ac:knownFonts="1">
    <font>
      <sz val="12"/>
      <color theme="1"/>
      <name val="Times New Roman"/>
      <family val="2"/>
      <charset val="186"/>
    </font>
    <font>
      <sz val="10"/>
      <color rgb="FF000000"/>
      <name val="Arial"/>
      <family val="2"/>
      <charset val="186"/>
    </font>
    <font>
      <sz val="12"/>
      <color theme="1"/>
      <name val="Times New Roman"/>
      <family val="2"/>
      <charset val="186"/>
    </font>
    <font>
      <sz val="10"/>
      <name val="Times New Roman"/>
      <family val="2"/>
      <charset val="186"/>
    </font>
    <font>
      <sz val="8"/>
      <name val="Times New Roman"/>
      <family val="2"/>
      <charset val="186"/>
    </font>
    <font>
      <sz val="12"/>
      <name val="Times New Roman"/>
      <family val="2"/>
      <charset val="186"/>
    </font>
    <font>
      <sz val="11"/>
      <color theme="1"/>
      <name val="Calibri"/>
      <family val="2"/>
      <charset val="186"/>
      <scheme val="minor"/>
    </font>
    <font>
      <sz val="11"/>
      <name val="Times New Roman"/>
      <family val="2"/>
      <charset val="186"/>
    </font>
    <font>
      <b/>
      <sz val="11"/>
      <name val="Times New Roman"/>
      <family val="2"/>
      <charset val="186"/>
    </font>
    <font>
      <b/>
      <sz val="10"/>
      <name val="Times New Roman"/>
      <family val="1"/>
      <charset val="186"/>
    </font>
    <font>
      <sz val="10"/>
      <name val="Times New Roman"/>
      <family val="1"/>
      <charset val="186"/>
    </font>
    <font>
      <b/>
      <sz val="12"/>
      <name val="Times New Roman"/>
      <family val="1"/>
      <charset val="186"/>
    </font>
    <font>
      <b/>
      <sz val="11"/>
      <name val="Times New Roman"/>
      <family val="1"/>
      <charset val="186"/>
    </font>
    <font>
      <b/>
      <sz val="12"/>
      <name val="Times New Roman"/>
      <family val="2"/>
      <charset val="186"/>
    </font>
    <font>
      <sz val="12"/>
      <color rgb="FF000000"/>
      <name val="Times New Roman"/>
      <family val="2"/>
      <charset val="186"/>
    </font>
    <font>
      <i/>
      <sz val="12"/>
      <name val="Times New Roman"/>
      <family val="2"/>
      <charset val="186"/>
    </font>
    <font>
      <sz val="12"/>
      <name val="Times New Roman"/>
      <family val="1"/>
      <charset val="186"/>
    </font>
    <font>
      <sz val="12"/>
      <color theme="1"/>
      <name val="Times New Roman"/>
      <family val="1"/>
      <charset val="186"/>
    </font>
    <font>
      <sz val="12"/>
      <color rgb="FF000000"/>
      <name val="Times New Roman"/>
      <family val="1"/>
      <charset val="186"/>
    </font>
    <font>
      <sz val="18"/>
      <name val="Times New Roman"/>
      <family val="2"/>
      <charset val="186"/>
    </font>
    <font>
      <b/>
      <sz val="14"/>
      <name val="Times New Roman"/>
      <family val="1"/>
      <charset val="186"/>
    </font>
    <font>
      <b/>
      <sz val="8"/>
      <name val="Times New Roman"/>
      <family val="1"/>
      <charset val="186"/>
    </font>
    <font>
      <sz val="8"/>
      <name val="Times New Roman"/>
      <family val="1"/>
      <charset val="186"/>
    </font>
    <font>
      <sz val="10"/>
      <color rgb="FF000000"/>
      <name val="Times New Roman"/>
      <family val="1"/>
      <charset val="186"/>
    </font>
    <font>
      <sz val="10"/>
      <color rgb="FFFF0000"/>
      <name val="Times New Roman"/>
      <family val="1"/>
      <charset val="186"/>
    </font>
    <font>
      <sz val="11"/>
      <name val="Times New Roman"/>
      <family val="1"/>
      <charset val="186"/>
    </font>
    <font>
      <sz val="11"/>
      <name val="Calibri"/>
      <family val="2"/>
      <charset val="186"/>
    </font>
    <font>
      <sz val="10"/>
      <name val="Arial"/>
      <family val="2"/>
      <charset val="186"/>
    </font>
    <font>
      <b/>
      <sz val="9"/>
      <color indexed="81"/>
      <name val="Tahoma"/>
      <family val="2"/>
      <charset val="186"/>
    </font>
    <font>
      <sz val="9"/>
      <color indexed="81"/>
      <name val="Tahoma"/>
      <family val="2"/>
      <charset val="186"/>
    </font>
    <font>
      <b/>
      <sz val="10"/>
      <color theme="1"/>
      <name val="Arial"/>
      <family val="2"/>
      <charset val="186"/>
    </font>
    <font>
      <sz val="12"/>
      <color rgb="FFFF0000"/>
      <name val="Times New Roman"/>
      <family val="1"/>
      <charset val="186"/>
    </font>
    <font>
      <u/>
      <sz val="12"/>
      <color theme="10"/>
      <name val="Times New Roman"/>
      <family val="2"/>
      <charset val="186"/>
    </font>
    <font>
      <sz val="11"/>
      <color theme="1"/>
      <name val="Times New Roman"/>
      <family val="2"/>
      <charset val="186"/>
    </font>
    <font>
      <sz val="12"/>
      <name val="Times New Roman"/>
      <family val="1"/>
    </font>
    <font>
      <sz val="10"/>
      <name val="Arial"/>
      <family val="2"/>
    </font>
    <font>
      <u/>
      <sz val="11"/>
      <color theme="10"/>
      <name val="Calibri"/>
      <family val="2"/>
      <charset val="186"/>
      <scheme val="minor"/>
    </font>
    <font>
      <b/>
      <sz val="18"/>
      <name val="Times New Roman"/>
      <family val="1"/>
      <charset val="186"/>
    </font>
    <font>
      <i/>
      <sz val="12"/>
      <name val="Times New Roman"/>
      <family val="1"/>
      <charset val="186"/>
    </font>
    <font>
      <u/>
      <sz val="11"/>
      <color theme="10"/>
      <name val="Times New Roman"/>
      <family val="2"/>
      <charset val="186"/>
    </font>
  </fonts>
  <fills count="15">
    <fill>
      <patternFill patternType="none"/>
    </fill>
    <fill>
      <patternFill patternType="gray125"/>
    </fill>
    <fill>
      <patternFill patternType="solid">
        <fgColor theme="0" tint="-0.14999847407452621"/>
        <bgColor indexed="64"/>
      </patternFill>
    </fill>
    <fill>
      <gradientFill degree="90">
        <stop position="0">
          <color theme="0"/>
        </stop>
        <stop position="1">
          <color theme="9"/>
        </stop>
      </gradientFill>
    </fill>
    <fill>
      <gradientFill degree="90">
        <stop position="0">
          <color theme="0"/>
        </stop>
        <stop position="1">
          <color rgb="FFFF0000"/>
        </stop>
      </gradientFill>
    </fill>
    <fill>
      <patternFill patternType="solid">
        <fgColor theme="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
      <patternFill patternType="solid">
        <fgColor theme="0"/>
        <bgColor auto="1"/>
      </patternFill>
    </fill>
    <fill>
      <patternFill patternType="solid">
        <fgColor theme="4" tint="0.59999389629810485"/>
        <bgColor indexed="64"/>
      </patternFill>
    </fill>
    <fill>
      <patternFill patternType="solid">
        <fgColor theme="4" tint="0.79998168889431442"/>
        <bgColor theme="4" tint="0.79998168889431442"/>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auto="1"/>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D3D3D3"/>
      </left>
      <right style="thin">
        <color rgb="FFD3D3D3"/>
      </right>
      <top style="thin">
        <color rgb="FFD3D3D3"/>
      </top>
      <bottom style="thin">
        <color rgb="FFD3D3D3"/>
      </bottom>
      <diagonal/>
    </border>
    <border>
      <left/>
      <right/>
      <top/>
      <bottom style="thin">
        <color theme="4" tint="0.39997558519241921"/>
      </bottom>
      <diagonal/>
    </border>
    <border>
      <left/>
      <right/>
      <top style="thin">
        <color theme="4" tint="0.3999755851924192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5">
    <xf numFmtId="0" fontId="0" fillId="0" borderId="0"/>
    <xf numFmtId="0" fontId="1" fillId="0" borderId="0"/>
    <xf numFmtId="9" fontId="2" fillId="0" borderId="0" applyFont="0" applyFill="0" applyBorder="0" applyAlignment="0" applyProtection="0"/>
    <xf numFmtId="0" fontId="6" fillId="0" borderId="0"/>
    <xf numFmtId="165" fontId="2" fillId="0" borderId="0" applyFont="0" applyFill="0" applyBorder="0" applyAlignment="0" applyProtection="0"/>
    <xf numFmtId="0" fontId="6" fillId="0" borderId="0"/>
    <xf numFmtId="0" fontId="32" fillId="0" borderId="0" applyNumberFormat="0" applyFill="0" applyBorder="0" applyAlignment="0" applyProtection="0"/>
    <xf numFmtId="0" fontId="27" fillId="0" borderId="0"/>
    <xf numFmtId="165" fontId="27" fillId="0" borderId="0" applyFont="0" applyFill="0" applyBorder="0" applyAlignment="0" applyProtection="0"/>
    <xf numFmtId="0" fontId="35" fillId="0" borderId="0"/>
    <xf numFmtId="0" fontId="27" fillId="0" borderId="0"/>
    <xf numFmtId="165" fontId="27" fillId="0" borderId="0" applyFont="0" applyFill="0" applyBorder="0" applyAlignment="0" applyProtection="0"/>
    <xf numFmtId="0" fontId="36" fillId="0" borderId="0" applyNumberFormat="0" applyFill="0" applyBorder="0" applyAlignment="0" applyProtection="0"/>
    <xf numFmtId="0" fontId="27" fillId="0" borderId="0"/>
    <xf numFmtId="9" fontId="27" fillId="0" borderId="0" applyFont="0" applyFill="0" applyBorder="0" applyAlignment="0" applyProtection="0"/>
  </cellStyleXfs>
  <cellXfs count="649">
    <xf numFmtId="0" fontId="0" fillId="0" borderId="0" xfId="0"/>
    <xf numFmtId="0" fontId="3" fillId="0" borderId="0" xfId="1" applyFont="1"/>
    <xf numFmtId="0" fontId="5" fillId="0" borderId="0" xfId="0" applyFont="1"/>
    <xf numFmtId="0" fontId="4" fillId="2" borderId="1" xfId="1" applyFont="1" applyFill="1" applyBorder="1" applyAlignment="1">
      <alignment horizontal="center" vertical="center"/>
    </xf>
    <xf numFmtId="0" fontId="7" fillId="0" borderId="0" xfId="1" applyFont="1" applyAlignment="1">
      <alignment horizontal="center" vertical="center"/>
    </xf>
    <xf numFmtId="0" fontId="8" fillId="0" borderId="0" xfId="1" applyFont="1" applyFill="1" applyAlignment="1">
      <alignment horizontal="center" vertical="center" wrapText="1"/>
    </xf>
    <xf numFmtId="0" fontId="7" fillId="0" borderId="0" xfId="1" applyFont="1" applyFill="1" applyAlignment="1">
      <alignment horizontal="center" vertical="center"/>
    </xf>
    <xf numFmtId="0" fontId="7" fillId="0" borderId="0" xfId="1" applyFont="1"/>
    <xf numFmtId="0" fontId="5" fillId="0" borderId="0" xfId="0" applyFont="1"/>
    <xf numFmtId="0" fontId="4" fillId="2" borderId="1" xfId="1" applyFont="1" applyFill="1" applyBorder="1" applyAlignment="1">
      <alignment horizontal="center" vertical="center"/>
    </xf>
    <xf numFmtId="0" fontId="3" fillId="0" borderId="0" xfId="0" applyFont="1"/>
    <xf numFmtId="0" fontId="3" fillId="0" borderId="1" xfId="0" applyFont="1" applyBorder="1"/>
    <xf numFmtId="0" fontId="5" fillId="0" borderId="0" xfId="0" applyFont="1" applyAlignment="1">
      <alignment wrapText="1"/>
    </xf>
    <xf numFmtId="0" fontId="4" fillId="2" borderId="1" xfId="1" applyFont="1" applyFill="1" applyBorder="1" applyAlignment="1">
      <alignment horizontal="center" vertical="center" wrapText="1"/>
    </xf>
    <xf numFmtId="0" fontId="3" fillId="0" borderId="1" xfId="0" applyFont="1" applyBorder="1" applyAlignment="1">
      <alignment wrapText="1"/>
    </xf>
    <xf numFmtId="0" fontId="3" fillId="0" borderId="1" xfId="0" applyFont="1" applyFill="1" applyBorder="1"/>
    <xf numFmtId="0" fontId="3" fillId="0" borderId="1" xfId="0" applyFont="1" applyFill="1" applyBorder="1" applyAlignment="1">
      <alignment wrapText="1"/>
    </xf>
    <xf numFmtId="0" fontId="3" fillId="0" borderId="0" xfId="0" applyFont="1" applyFill="1"/>
    <xf numFmtId="0" fontId="10" fillId="0" borderId="1" xfId="1" applyFont="1" applyBorder="1" applyAlignment="1">
      <alignment horizontal="left" vertical="center"/>
    </xf>
    <xf numFmtId="0" fontId="10" fillId="0" borderId="1" xfId="1" applyFont="1" applyBorder="1" applyAlignment="1">
      <alignment horizontal="left" vertical="center" wrapText="1"/>
    </xf>
    <xf numFmtId="0" fontId="10" fillId="0" borderId="1" xfId="1" applyFont="1" applyFill="1" applyBorder="1" applyAlignment="1">
      <alignment horizontal="left" vertical="center"/>
    </xf>
    <xf numFmtId="0" fontId="10" fillId="0" borderId="1" xfId="1" applyFont="1" applyFill="1" applyBorder="1" applyAlignment="1">
      <alignment horizontal="left" vertical="center" wrapText="1"/>
    </xf>
    <xf numFmtId="0" fontId="9" fillId="0" borderId="1" xfId="1" applyFont="1" applyFill="1" applyBorder="1" applyAlignment="1">
      <alignment horizontal="center" vertical="center"/>
    </xf>
    <xf numFmtId="0" fontId="8" fillId="3" borderId="8" xfId="0" applyFont="1" applyFill="1" applyBorder="1" applyAlignment="1" applyProtection="1">
      <alignment vertical="center" wrapText="1"/>
    </xf>
    <xf numFmtId="0" fontId="5" fillId="0" borderId="1" xfId="0" applyFont="1" applyBorder="1"/>
    <xf numFmtId="0" fontId="5" fillId="0" borderId="1" xfId="0" applyFont="1" applyBorder="1" applyAlignment="1">
      <alignment wrapText="1"/>
    </xf>
    <xf numFmtId="3" fontId="5" fillId="0" borderId="1" xfId="0" applyNumberFormat="1" applyFont="1" applyBorder="1"/>
    <xf numFmtId="0" fontId="5" fillId="0" borderId="1" xfId="0" applyFont="1" applyFill="1" applyBorder="1"/>
    <xf numFmtId="0" fontId="5" fillId="0" borderId="1" xfId="0" applyFont="1" applyFill="1" applyBorder="1" applyAlignment="1">
      <alignment wrapText="1"/>
    </xf>
    <xf numFmtId="0" fontId="5" fillId="0" borderId="0" xfId="0" applyFont="1" applyFill="1"/>
    <xf numFmtId="0" fontId="12" fillId="2" borderId="1" xfId="1" applyFont="1" applyFill="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left" vertical="center" wrapText="1"/>
    </xf>
    <xf numFmtId="0" fontId="5" fillId="0" borderId="1" xfId="1" applyFont="1" applyFill="1" applyBorder="1" applyAlignment="1">
      <alignment horizontal="left" vertical="center"/>
    </xf>
    <xf numFmtId="0" fontId="5" fillId="0" borderId="1" xfId="1" applyFont="1" applyFill="1" applyBorder="1" applyAlignment="1">
      <alignment horizontal="left" vertical="center" wrapText="1"/>
    </xf>
    <xf numFmtId="3" fontId="5" fillId="0" borderId="1" xfId="1" applyNumberFormat="1" applyFont="1" applyBorder="1" applyAlignment="1">
      <alignment horizontal="center" vertical="center"/>
    </xf>
    <xf numFmtId="3" fontId="13" fillId="0" borderId="1" xfId="0" applyNumberFormat="1" applyFont="1" applyFill="1" applyBorder="1" applyAlignment="1" applyProtection="1">
      <alignment horizontal="center" vertical="center" wrapText="1"/>
    </xf>
    <xf numFmtId="3" fontId="5" fillId="0" borderId="1" xfId="1" applyNumberFormat="1" applyFont="1" applyFill="1" applyBorder="1" applyAlignment="1">
      <alignment horizontal="center" vertical="center"/>
    </xf>
    <xf numFmtId="3" fontId="14" fillId="0" borderId="1" xfId="1" applyNumberFormat="1" applyFont="1" applyFill="1" applyBorder="1" applyAlignment="1">
      <alignment horizontal="center" vertical="center"/>
    </xf>
    <xf numFmtId="3" fontId="13" fillId="0" borderId="1" xfId="0" applyNumberFormat="1" applyFont="1" applyBorder="1" applyAlignment="1">
      <alignment horizontal="center" vertical="center"/>
    </xf>
    <xf numFmtId="3" fontId="5" fillId="0" borderId="1" xfId="0" applyNumberFormat="1" applyFont="1" applyFill="1" applyBorder="1" applyAlignment="1">
      <alignment horizontal="center" vertical="center"/>
    </xf>
    <xf numFmtId="3" fontId="5" fillId="0" borderId="1" xfId="0" applyNumberFormat="1" applyFont="1" applyBorder="1" applyAlignment="1">
      <alignment horizontal="center" vertical="center"/>
    </xf>
    <xf numFmtId="0" fontId="5" fillId="0" borderId="1" xfId="1" applyFont="1" applyFill="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 xfId="0"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3" fontId="5" fillId="0" borderId="1" xfId="0" applyNumberFormat="1" applyFont="1" applyBorder="1" applyAlignment="1">
      <alignment vertical="center" wrapText="1"/>
    </xf>
    <xf numFmtId="9" fontId="13" fillId="4" borderId="1" xfId="2" applyFont="1" applyFill="1" applyBorder="1" applyAlignment="1" applyProtection="1">
      <alignment horizontal="center" vertical="center" wrapText="1"/>
    </xf>
    <xf numFmtId="0" fontId="10" fillId="0" borderId="1" xfId="1" applyFont="1" applyFill="1" applyBorder="1" applyAlignment="1">
      <alignment horizontal="center" vertical="center"/>
    </xf>
    <xf numFmtId="0" fontId="10" fillId="0" borderId="1" xfId="1" applyNumberFormat="1" applyFont="1" applyFill="1" applyBorder="1" applyAlignment="1">
      <alignment horizontal="left" vertical="center"/>
    </xf>
    <xf numFmtId="0" fontId="3" fillId="0" borderId="3" xfId="0" applyFont="1" applyBorder="1"/>
    <xf numFmtId="0" fontId="10" fillId="0" borderId="1" xfId="1" applyFont="1" applyBorder="1" applyAlignment="1">
      <alignment horizontal="center" vertical="center"/>
    </xf>
    <xf numFmtId="0" fontId="10" fillId="0" borderId="1" xfId="1" applyNumberFormat="1" applyFont="1" applyBorder="1" applyAlignment="1">
      <alignment horizontal="left" vertical="center"/>
    </xf>
    <xf numFmtId="3" fontId="5" fillId="0" borderId="1" xfId="1" applyNumberFormat="1" applyFont="1" applyFill="1" applyBorder="1" applyAlignment="1">
      <alignment horizontal="left" vertical="center"/>
    </xf>
    <xf numFmtId="3" fontId="5" fillId="0" borderId="1" xfId="1" applyNumberFormat="1" applyFont="1" applyBorder="1" applyAlignment="1">
      <alignment horizontal="right" vertical="center"/>
    </xf>
    <xf numFmtId="14" fontId="5" fillId="0" borderId="1" xfId="1" applyNumberFormat="1" applyFont="1" applyFill="1" applyBorder="1" applyAlignment="1">
      <alignment horizontal="center" vertical="center" wrapText="1"/>
    </xf>
    <xf numFmtId="3" fontId="13" fillId="3" borderId="1" xfId="0" applyNumberFormat="1"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5" fillId="0" borderId="4" xfId="0" applyFont="1" applyBorder="1" applyAlignment="1"/>
    <xf numFmtId="0" fontId="5" fillId="0" borderId="2" xfId="0" applyFont="1" applyBorder="1"/>
    <xf numFmtId="0" fontId="5" fillId="0" borderId="2" xfId="0" applyFont="1" applyBorder="1" applyAlignment="1">
      <alignment wrapText="1"/>
    </xf>
    <xf numFmtId="3" fontId="5" fillId="0" borderId="2" xfId="0" applyNumberFormat="1" applyFont="1" applyBorder="1"/>
    <xf numFmtId="0" fontId="5" fillId="0" borderId="0" xfId="0" applyFont="1" applyAlignment="1"/>
    <xf numFmtId="0" fontId="13" fillId="0" borderId="0" xfId="0" applyFont="1"/>
    <xf numFmtId="0" fontId="15" fillId="0" borderId="1" xfId="0" applyFont="1" applyBorder="1"/>
    <xf numFmtId="0" fontId="13" fillId="3" borderId="1" xfId="0" applyFont="1" applyFill="1" applyBorder="1" applyAlignment="1" applyProtection="1">
      <alignment vertical="center" wrapText="1"/>
    </xf>
    <xf numFmtId="0" fontId="13" fillId="2" borderId="7" xfId="1" applyFont="1" applyFill="1" applyBorder="1" applyAlignment="1">
      <alignment horizontal="center" vertical="center"/>
    </xf>
    <xf numFmtId="0" fontId="13" fillId="2" borderId="7" xfId="1" applyFont="1" applyFill="1" applyBorder="1" applyAlignment="1">
      <alignment horizontal="center" vertical="center" wrapText="1"/>
    </xf>
    <xf numFmtId="0" fontId="5" fillId="0" borderId="1" xfId="1" applyFont="1" applyBorder="1" applyAlignment="1">
      <alignment horizontal="center" vertical="center"/>
    </xf>
    <xf numFmtId="0" fontId="5" fillId="0" borderId="1" xfId="0" applyFont="1" applyBorder="1" applyAlignment="1">
      <alignment horizontal="left" vertical="center" wrapText="1"/>
    </xf>
    <xf numFmtId="0" fontId="16" fillId="0" borderId="0" xfId="0" applyFont="1" applyAlignment="1">
      <alignment horizontal="left"/>
    </xf>
    <xf numFmtId="0" fontId="17" fillId="5" borderId="1" xfId="1" applyFont="1" applyFill="1" applyBorder="1" applyAlignment="1">
      <alignment horizontal="left" vertical="center" wrapText="1"/>
    </xf>
    <xf numFmtId="3" fontId="16" fillId="0" borderId="1" xfId="1" applyNumberFormat="1" applyFont="1" applyFill="1" applyBorder="1" applyAlignment="1">
      <alignment horizontal="left" vertical="center"/>
    </xf>
    <xf numFmtId="3" fontId="18" fillId="0" borderId="1" xfId="1" applyNumberFormat="1" applyFont="1" applyFill="1" applyBorder="1" applyAlignment="1">
      <alignment horizontal="left" vertical="center"/>
    </xf>
    <xf numFmtId="0" fontId="16" fillId="0" borderId="1" xfId="0" applyFont="1" applyBorder="1" applyAlignment="1">
      <alignment horizontal="left"/>
    </xf>
    <xf numFmtId="3" fontId="13"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0" fontId="20" fillId="0" borderId="0" xfId="1" applyFont="1" applyAlignment="1">
      <alignment wrapText="1"/>
    </xf>
    <xf numFmtId="0" fontId="9" fillId="0" borderId="0" xfId="1" applyFont="1" applyAlignment="1"/>
    <xf numFmtId="3" fontId="9" fillId="0" borderId="0" xfId="1" applyNumberFormat="1" applyFont="1" applyAlignment="1"/>
    <xf numFmtId="3" fontId="10" fillId="0" borderId="0" xfId="1" applyNumberFormat="1" applyFont="1" applyAlignment="1" applyProtection="1">
      <protection locked="0"/>
    </xf>
    <xf numFmtId="0" fontId="9" fillId="0" borderId="0" xfId="1" applyFont="1" applyAlignment="1">
      <alignment horizontal="left"/>
    </xf>
    <xf numFmtId="0" fontId="10" fillId="0" borderId="0" xfId="1" applyFont="1" applyAlignment="1">
      <alignment horizontal="left"/>
    </xf>
    <xf numFmtId="0" fontId="10" fillId="0" borderId="0" xfId="1" applyFont="1" applyAlignment="1">
      <alignment horizontal="left" wrapText="1"/>
    </xf>
    <xf numFmtId="49" fontId="10" fillId="0" borderId="0" xfId="1" applyNumberFormat="1" applyFont="1" applyAlignment="1">
      <alignment horizontal="left"/>
    </xf>
    <xf numFmtId="14" fontId="10" fillId="0" borderId="0" xfId="1" applyNumberFormat="1" applyFont="1" applyAlignment="1">
      <alignment horizontal="left"/>
    </xf>
    <xf numFmtId="3" fontId="10" fillId="0" borderId="0" xfId="1" applyNumberFormat="1" applyFont="1" applyAlignment="1">
      <alignment horizontal="left" wrapText="1"/>
    </xf>
    <xf numFmtId="0" fontId="10" fillId="0" borderId="0" xfId="1" applyFont="1"/>
    <xf numFmtId="3" fontId="10" fillId="0" borderId="0" xfId="1" applyNumberFormat="1" applyFont="1" applyAlignment="1"/>
    <xf numFmtId="3" fontId="10" fillId="0" borderId="0" xfId="1" applyNumberFormat="1" applyFont="1" applyAlignment="1">
      <alignment horizontal="left"/>
    </xf>
    <xf numFmtId="0" fontId="9" fillId="0" borderId="0" xfId="0" applyFont="1" applyAlignment="1">
      <alignment horizontal="left" vertical="center"/>
    </xf>
    <xf numFmtId="0" fontId="9" fillId="6" borderId="18" xfId="1" applyFont="1" applyFill="1" applyBorder="1" applyAlignment="1">
      <alignment horizontal="left" vertical="center"/>
    </xf>
    <xf numFmtId="0" fontId="10" fillId="0" borderId="0" xfId="1" applyFont="1" applyAlignment="1">
      <alignment horizontal="left" vertical="center"/>
    </xf>
    <xf numFmtId="0" fontId="9" fillId="6" borderId="1" xfId="1" applyFont="1" applyFill="1" applyBorder="1" applyAlignment="1">
      <alignment horizontal="center" vertical="center" wrapText="1"/>
    </xf>
    <xf numFmtId="0" fontId="9" fillId="0" borderId="0" xfId="1" applyFont="1" applyFill="1" applyAlignment="1">
      <alignment horizontal="left" vertical="center" wrapText="1"/>
    </xf>
    <xf numFmtId="0" fontId="10" fillId="6" borderId="1" xfId="1" applyFont="1" applyFill="1" applyBorder="1" applyAlignment="1">
      <alignment horizontal="center" vertical="center"/>
    </xf>
    <xf numFmtId="0" fontId="10" fillId="0" borderId="0" xfId="1" applyFont="1" applyFill="1" applyAlignment="1">
      <alignment horizontal="left" vertical="center"/>
    </xf>
    <xf numFmtId="3" fontId="9" fillId="6" borderId="1" xfId="1" applyNumberFormat="1" applyFont="1" applyFill="1" applyBorder="1" applyAlignment="1">
      <alignment horizontal="left" vertical="center" wrapText="1"/>
    </xf>
    <xf numFmtId="3" fontId="9" fillId="6" borderId="7" xfId="1" applyNumberFormat="1" applyFont="1" applyFill="1" applyBorder="1" applyAlignment="1">
      <alignment horizontal="left" vertical="center" wrapText="1"/>
    </xf>
    <xf numFmtId="3" fontId="9" fillId="6" borderId="7" xfId="1" applyNumberFormat="1" applyFont="1" applyFill="1" applyBorder="1" applyAlignment="1">
      <alignment horizontal="center" vertical="center" wrapText="1"/>
    </xf>
    <xf numFmtId="3" fontId="9" fillId="6" borderId="7" xfId="1" applyNumberFormat="1" applyFont="1" applyFill="1" applyBorder="1" applyAlignment="1">
      <alignment vertical="center" wrapText="1"/>
    </xf>
    <xf numFmtId="3" fontId="10" fillId="6" borderId="7" xfId="1" applyNumberFormat="1" applyFont="1" applyFill="1" applyBorder="1" applyAlignment="1" applyProtection="1">
      <alignment vertical="center" wrapText="1"/>
      <protection locked="0"/>
    </xf>
    <xf numFmtId="0" fontId="9" fillId="6" borderId="1" xfId="0" applyFont="1" applyFill="1" applyBorder="1" applyAlignment="1">
      <alignment horizontal="left" vertical="center"/>
    </xf>
    <xf numFmtId="3" fontId="9" fillId="7" borderId="7" xfId="1" applyNumberFormat="1" applyFont="1" applyFill="1" applyBorder="1" applyAlignment="1">
      <alignment horizontal="left" vertical="center" wrapText="1"/>
    </xf>
    <xf numFmtId="0" fontId="21" fillId="2" borderId="1" xfId="1" applyFont="1" applyFill="1" applyBorder="1" applyAlignment="1">
      <alignment horizontal="center" vertical="center"/>
    </xf>
    <xf numFmtId="0" fontId="22" fillId="2" borderId="1" xfId="1" applyFont="1" applyFill="1" applyBorder="1" applyAlignment="1">
      <alignment horizontal="center" vertical="center"/>
    </xf>
    <xf numFmtId="0" fontId="22" fillId="2" borderId="1" xfId="1" applyFont="1" applyFill="1" applyBorder="1" applyAlignment="1">
      <alignment horizontal="center"/>
    </xf>
    <xf numFmtId="0" fontId="22" fillId="2" borderId="1" xfId="1" applyFont="1" applyFill="1" applyBorder="1" applyAlignment="1">
      <alignment horizontal="center" wrapText="1"/>
    </xf>
    <xf numFmtId="49" fontId="22" fillId="2" borderId="1" xfId="1" applyNumberFormat="1" applyFont="1" applyFill="1" applyBorder="1" applyAlignment="1">
      <alignment horizontal="center" vertical="center"/>
    </xf>
    <xf numFmtId="3" fontId="22" fillId="2" borderId="1" xfId="1" applyNumberFormat="1" applyFont="1" applyFill="1" applyBorder="1" applyAlignment="1">
      <alignment horizontal="center" vertical="center" wrapText="1"/>
    </xf>
    <xf numFmtId="0" fontId="10" fillId="2" borderId="1" xfId="1" applyFont="1" applyFill="1" applyBorder="1" applyAlignment="1">
      <alignment horizontal="center" vertical="center"/>
    </xf>
    <xf numFmtId="3" fontId="22" fillId="2" borderId="1" xfId="1" applyNumberFormat="1" applyFont="1" applyFill="1" applyBorder="1" applyAlignment="1">
      <alignment horizontal="center" vertical="center"/>
    </xf>
    <xf numFmtId="3" fontId="10" fillId="2" borderId="1" xfId="1" applyNumberFormat="1" applyFont="1" applyFill="1" applyBorder="1" applyAlignment="1" applyProtection="1">
      <alignment horizontal="center" vertical="center"/>
      <protection locked="0"/>
    </xf>
    <xf numFmtId="3" fontId="10" fillId="2" borderId="1" xfId="1" applyNumberFormat="1" applyFont="1" applyFill="1" applyBorder="1" applyAlignment="1">
      <alignment horizontal="center" vertical="center"/>
    </xf>
    <xf numFmtId="0" fontId="21" fillId="2" borderId="1" xfId="0" applyFont="1" applyFill="1" applyBorder="1" applyAlignment="1">
      <alignment horizontal="center" vertical="center"/>
    </xf>
    <xf numFmtId="0" fontId="22" fillId="0" borderId="0" xfId="1" applyFont="1" applyAlignment="1">
      <alignment horizontal="center"/>
    </xf>
    <xf numFmtId="0" fontId="9" fillId="8" borderId="1" xfId="1" applyFont="1" applyFill="1" applyBorder="1" applyAlignment="1">
      <alignment horizontal="left" vertical="center"/>
    </xf>
    <xf numFmtId="0" fontId="9" fillId="8" borderId="1" xfId="1" applyFont="1" applyFill="1" applyBorder="1" applyAlignment="1">
      <alignment horizontal="left"/>
    </xf>
    <xf numFmtId="0" fontId="9" fillId="8" borderId="1" xfId="1" applyFont="1" applyFill="1" applyBorder="1" applyAlignment="1">
      <alignment horizontal="left" wrapText="1"/>
    </xf>
    <xf numFmtId="0" fontId="9" fillId="8" borderId="1" xfId="1" applyFont="1" applyFill="1" applyBorder="1" applyAlignment="1">
      <alignment horizontal="center" vertical="center"/>
    </xf>
    <xf numFmtId="0" fontId="9" fillId="8" borderId="1" xfId="1" applyFont="1" applyFill="1" applyBorder="1" applyAlignment="1">
      <alignment horizontal="center" vertical="center" wrapText="1"/>
    </xf>
    <xf numFmtId="3" fontId="9" fillId="8" borderId="1" xfId="1" applyNumberFormat="1" applyFont="1" applyFill="1" applyBorder="1" applyAlignment="1">
      <alignment horizontal="center" vertical="center" wrapText="1"/>
    </xf>
    <xf numFmtId="0" fontId="22" fillId="0" borderId="0" xfId="1" applyFont="1"/>
    <xf numFmtId="0" fontId="9" fillId="9" borderId="1" xfId="1" applyFont="1" applyFill="1" applyBorder="1" applyAlignment="1">
      <alignment horizontal="center" vertical="center"/>
    </xf>
    <xf numFmtId="0" fontId="9" fillId="9" borderId="1" xfId="1" applyFont="1" applyFill="1" applyBorder="1" applyAlignment="1">
      <alignment horizontal="center" vertical="center" wrapText="1"/>
    </xf>
    <xf numFmtId="3" fontId="9" fillId="9" borderId="1" xfId="1" applyNumberFormat="1" applyFont="1" applyFill="1" applyBorder="1" applyAlignment="1">
      <alignment horizontal="center" vertical="center" wrapText="1"/>
    </xf>
    <xf numFmtId="0" fontId="9" fillId="9" borderId="1" xfId="0" applyFont="1" applyFill="1" applyBorder="1" applyAlignment="1">
      <alignment horizontal="center" vertical="center"/>
    </xf>
    <xf numFmtId="0" fontId="9" fillId="0" borderId="1" xfId="1" applyFont="1" applyFill="1" applyBorder="1"/>
    <xf numFmtId="0" fontId="9" fillId="0" borderId="1" xfId="1" applyFont="1" applyFill="1" applyBorder="1" applyAlignment="1">
      <alignment horizontal="left" vertical="center"/>
    </xf>
    <xf numFmtId="0" fontId="9" fillId="0" borderId="1" xfId="1" applyFont="1" applyFill="1" applyBorder="1" applyAlignment="1">
      <alignment horizontal="left" vertical="center" wrapText="1"/>
    </xf>
    <xf numFmtId="0" fontId="21" fillId="0" borderId="1" xfId="1" applyFont="1" applyFill="1" applyBorder="1" applyAlignment="1">
      <alignment horizontal="center" vertical="center"/>
    </xf>
    <xf numFmtId="14" fontId="9" fillId="0" borderId="1" xfId="1" applyNumberFormat="1" applyFont="1" applyFill="1" applyBorder="1" applyAlignment="1">
      <alignment horizontal="center" vertical="center"/>
    </xf>
    <xf numFmtId="3" fontId="9" fillId="0" borderId="1" xfId="1" applyNumberFormat="1" applyFont="1" applyFill="1" applyBorder="1" applyAlignment="1">
      <alignment horizontal="center" vertical="center"/>
    </xf>
    <xf numFmtId="3" fontId="9" fillId="0" borderId="1" xfId="1" applyNumberFormat="1" applyFont="1" applyFill="1" applyBorder="1" applyAlignment="1">
      <alignment horizontal="right" vertical="center"/>
    </xf>
    <xf numFmtId="3" fontId="9" fillId="0" borderId="1" xfId="1" applyNumberFormat="1" applyFont="1" applyFill="1" applyBorder="1" applyAlignment="1">
      <alignment horizontal="center" vertical="center" wrapText="1"/>
    </xf>
    <xf numFmtId="3" fontId="10" fillId="0" borderId="1" xfId="1" applyNumberFormat="1" applyFont="1" applyFill="1" applyBorder="1" applyAlignment="1">
      <alignment horizontal="center" vertical="center" wrapText="1"/>
    </xf>
    <xf numFmtId="3" fontId="21" fillId="0" borderId="1" xfId="1" applyNumberFormat="1" applyFont="1" applyFill="1" applyBorder="1" applyAlignment="1">
      <alignment horizontal="center" vertical="center" wrapText="1"/>
    </xf>
    <xf numFmtId="0" fontId="9" fillId="0" borderId="1" xfId="0" applyFont="1" applyFill="1" applyBorder="1" applyAlignment="1">
      <alignment vertical="center" wrapText="1"/>
    </xf>
    <xf numFmtId="0" fontId="10" fillId="0" borderId="1" xfId="1" applyFont="1" applyBorder="1" applyAlignment="1">
      <alignment horizontal="left"/>
    </xf>
    <xf numFmtId="14" fontId="10" fillId="0" borderId="1" xfId="1" applyNumberFormat="1" applyFont="1" applyBorder="1" applyAlignment="1">
      <alignment horizontal="left" vertical="center"/>
    </xf>
    <xf numFmtId="3" fontId="10" fillId="0" borderId="1" xfId="1" applyNumberFormat="1" applyFont="1" applyBorder="1" applyAlignment="1">
      <alignment horizontal="left" vertical="center"/>
    </xf>
    <xf numFmtId="3" fontId="10" fillId="0" borderId="1" xfId="1" applyNumberFormat="1" applyFont="1" applyBorder="1" applyAlignment="1">
      <alignment horizontal="right" vertical="center"/>
    </xf>
    <xf numFmtId="3" fontId="10" fillId="0" borderId="1" xfId="1" applyNumberFormat="1" applyFont="1" applyFill="1" applyBorder="1" applyAlignment="1">
      <alignment horizontal="left" vertical="center" wrapText="1"/>
    </xf>
    <xf numFmtId="3" fontId="10" fillId="0" borderId="1" xfId="1" applyNumberFormat="1" applyFont="1" applyFill="1" applyBorder="1" applyAlignment="1">
      <alignment horizontal="left" vertical="center"/>
    </xf>
    <xf numFmtId="0" fontId="10" fillId="0" borderId="1" xfId="0" applyFont="1" applyFill="1" applyBorder="1" applyAlignment="1">
      <alignment horizontal="left" vertical="center" wrapText="1"/>
    </xf>
    <xf numFmtId="3" fontId="9" fillId="0" borderId="1" xfId="1" applyNumberFormat="1" applyFont="1" applyFill="1" applyBorder="1" applyAlignment="1">
      <alignment horizontal="left" vertical="center" wrapText="1"/>
    </xf>
    <xf numFmtId="0" fontId="10" fillId="0" borderId="1" xfId="1" applyFont="1" applyBorder="1"/>
    <xf numFmtId="14" fontId="10" fillId="0" borderId="1" xfId="1" applyNumberFormat="1" applyFont="1" applyBorder="1" applyAlignment="1">
      <alignment horizontal="center" vertical="center"/>
    </xf>
    <xf numFmtId="3" fontId="10" fillId="0" borderId="1" xfId="1" applyNumberFormat="1" applyFont="1" applyBorder="1" applyAlignment="1">
      <alignment horizontal="center" vertical="center"/>
    </xf>
    <xf numFmtId="3" fontId="10" fillId="0" borderId="1" xfId="1" applyNumberFormat="1" applyFont="1" applyFill="1" applyBorder="1" applyAlignment="1">
      <alignment horizontal="right" vertical="center"/>
    </xf>
    <xf numFmtId="0" fontId="10" fillId="0" borderId="1" xfId="0" applyFont="1" applyFill="1" applyBorder="1" applyAlignment="1">
      <alignment vertical="center" wrapText="1"/>
    </xf>
    <xf numFmtId="0" fontId="10" fillId="0" borderId="1" xfId="1" applyFont="1" applyBorder="1" applyAlignment="1">
      <alignment horizontal="center" vertical="center" wrapText="1"/>
    </xf>
    <xf numFmtId="0" fontId="3" fillId="0" borderId="1" xfId="1" applyFont="1" applyBorder="1" applyAlignment="1">
      <alignment horizontal="center" vertical="center" wrapText="1"/>
    </xf>
    <xf numFmtId="0" fontId="23" fillId="0" borderId="0" xfId="0" applyFont="1" applyAlignment="1">
      <alignment wrapText="1"/>
    </xf>
    <xf numFmtId="0" fontId="10" fillId="0" borderId="1" xfId="1" applyFont="1" applyFill="1" applyBorder="1" applyAlignment="1">
      <alignment horizontal="left"/>
    </xf>
    <xf numFmtId="14" fontId="10" fillId="0" borderId="1" xfId="1" applyNumberFormat="1" applyFont="1" applyFill="1" applyBorder="1" applyAlignment="1">
      <alignment horizontal="left" vertical="center"/>
    </xf>
    <xf numFmtId="14" fontId="10" fillId="0" borderId="1" xfId="1" applyNumberFormat="1" applyFont="1" applyFill="1" applyBorder="1" applyAlignment="1">
      <alignment horizontal="left" vertical="center" wrapText="1"/>
    </xf>
    <xf numFmtId="0" fontId="10" fillId="0" borderId="0" xfId="1" applyFont="1" applyFill="1" applyAlignment="1">
      <alignment horizontal="left"/>
    </xf>
    <xf numFmtId="14" fontId="10" fillId="5" borderId="1" xfId="0" applyNumberFormat="1" applyFont="1" applyFill="1" applyBorder="1" applyAlignment="1">
      <alignment horizontal="center" vertical="center" wrapText="1"/>
    </xf>
    <xf numFmtId="14" fontId="9" fillId="9" borderId="1" xfId="1" applyNumberFormat="1" applyFont="1" applyFill="1" applyBorder="1" applyAlignment="1">
      <alignment horizontal="center" vertical="center"/>
    </xf>
    <xf numFmtId="3" fontId="9" fillId="9" borderId="1" xfId="1" applyNumberFormat="1" applyFont="1" applyFill="1" applyBorder="1" applyAlignment="1">
      <alignment horizontal="center" vertical="center"/>
    </xf>
    <xf numFmtId="3" fontId="9" fillId="0" borderId="1" xfId="1" applyNumberFormat="1" applyFont="1" applyFill="1" applyBorder="1" applyAlignment="1">
      <alignment horizontal="left" vertical="center"/>
    </xf>
    <xf numFmtId="3" fontId="10" fillId="8" borderId="1" xfId="1" applyNumberFormat="1" applyFont="1" applyFill="1" applyBorder="1" applyAlignment="1">
      <alignment horizontal="right" vertical="center"/>
    </xf>
    <xf numFmtId="3" fontId="24" fillId="0" borderId="1" xfId="1" applyNumberFormat="1" applyFont="1" applyBorder="1" applyAlignment="1">
      <alignment horizontal="left" vertical="center"/>
    </xf>
    <xf numFmtId="3" fontId="10" fillId="0" borderId="0" xfId="1" applyNumberFormat="1" applyFont="1" applyFill="1" applyAlignment="1">
      <alignment horizontal="left"/>
    </xf>
    <xf numFmtId="3" fontId="10" fillId="0" borderId="1" xfId="1" applyNumberFormat="1" applyFont="1" applyBorder="1" applyAlignment="1">
      <alignment horizontal="left" wrapText="1"/>
    </xf>
    <xf numFmtId="3" fontId="10" fillId="0" borderId="1" xfId="1" applyNumberFormat="1" applyFont="1" applyFill="1" applyBorder="1" applyAlignment="1">
      <alignment horizontal="left" wrapText="1"/>
    </xf>
    <xf numFmtId="0" fontId="10" fillId="0" borderId="1" xfId="1" applyFont="1" applyFill="1" applyBorder="1" applyAlignment="1">
      <alignment horizontal="left" wrapText="1"/>
    </xf>
    <xf numFmtId="3" fontId="10" fillId="0" borderId="1" xfId="1" applyNumberFormat="1" applyFont="1" applyBorder="1" applyAlignment="1">
      <alignment horizontal="left" vertical="center" wrapText="1"/>
    </xf>
    <xf numFmtId="0" fontId="9" fillId="0" borderId="1" xfId="1" applyFont="1" applyFill="1" applyBorder="1" applyAlignment="1">
      <alignment horizontal="left"/>
    </xf>
    <xf numFmtId="0" fontId="9" fillId="8" borderId="1" xfId="1" applyNumberFormat="1" applyFont="1" applyFill="1" applyBorder="1"/>
    <xf numFmtId="0" fontId="9" fillId="8" borderId="1" xfId="1" applyNumberFormat="1" applyFont="1" applyFill="1" applyBorder="1" applyAlignment="1">
      <alignment horizontal="left" vertical="center"/>
    </xf>
    <xf numFmtId="0" fontId="9" fillId="8" borderId="1" xfId="1" applyNumberFormat="1" applyFont="1" applyFill="1" applyBorder="1" applyAlignment="1">
      <alignment horizontal="left"/>
    </xf>
    <xf numFmtId="0" fontId="9" fillId="8" borderId="1" xfId="1" applyNumberFormat="1" applyFont="1" applyFill="1" applyBorder="1" applyAlignment="1">
      <alignment horizontal="center" vertical="center"/>
    </xf>
    <xf numFmtId="0" fontId="9" fillId="8" borderId="1" xfId="1" applyNumberFormat="1" applyFont="1" applyFill="1" applyBorder="1" applyAlignment="1">
      <alignment horizontal="left" vertical="center" wrapText="1"/>
    </xf>
    <xf numFmtId="3" fontId="9" fillId="8" borderId="1" xfId="1" applyNumberFormat="1" applyFont="1" applyFill="1" applyBorder="1" applyAlignment="1">
      <alignment horizontal="center" vertical="center"/>
    </xf>
    <xf numFmtId="0" fontId="10" fillId="0" borderId="0" xfId="1" applyNumberFormat="1" applyFont="1"/>
    <xf numFmtId="0" fontId="9" fillId="9" borderId="1" xfId="1" applyNumberFormat="1" applyFont="1" applyFill="1" applyBorder="1" applyAlignment="1">
      <alignment horizontal="center" vertical="center"/>
    </xf>
    <xf numFmtId="0" fontId="9" fillId="9" borderId="1" xfId="1" applyNumberFormat="1" applyFont="1" applyFill="1" applyBorder="1" applyAlignment="1">
      <alignment horizontal="center" vertical="center" wrapText="1"/>
    </xf>
    <xf numFmtId="3" fontId="10" fillId="9" borderId="1" xfId="1" applyNumberFormat="1" applyFont="1" applyFill="1" applyBorder="1" applyAlignment="1" applyProtection="1">
      <alignment horizontal="center" vertical="center" wrapText="1"/>
      <protection locked="0"/>
    </xf>
    <xf numFmtId="14" fontId="10" fillId="0" borderId="1" xfId="0" applyNumberFormat="1" applyFont="1" applyBorder="1" applyAlignment="1">
      <alignment horizontal="center" vertical="center" wrapText="1"/>
    </xf>
    <xf numFmtId="3" fontId="10" fillId="5" borderId="1" xfId="4" applyNumberFormat="1" applyFont="1" applyFill="1" applyBorder="1" applyAlignment="1" applyProtection="1">
      <alignment horizontal="right" vertical="center"/>
      <protection locked="0"/>
    </xf>
    <xf numFmtId="14" fontId="9" fillId="9" borderId="1" xfId="0" applyNumberFormat="1" applyFont="1" applyFill="1" applyBorder="1" applyAlignment="1">
      <alignment horizontal="center" vertical="center" wrapText="1"/>
    </xf>
    <xf numFmtId="14" fontId="10" fillId="0" borderId="1" xfId="1" applyNumberFormat="1" applyFont="1" applyBorder="1" applyAlignment="1">
      <alignment horizontal="left" vertical="center" wrapText="1"/>
    </xf>
    <xf numFmtId="14" fontId="10" fillId="0" borderId="1" xfId="1" applyNumberFormat="1" applyFont="1" applyFill="1" applyBorder="1" applyAlignment="1">
      <alignment horizontal="center" vertical="center"/>
    </xf>
    <xf numFmtId="3" fontId="10" fillId="0" borderId="1" xfId="1" applyNumberFormat="1" applyFont="1" applyFill="1" applyBorder="1" applyAlignment="1">
      <alignment horizontal="center" vertical="center"/>
    </xf>
    <xf numFmtId="0" fontId="9" fillId="8" borderId="1" xfId="1" applyFont="1" applyFill="1" applyBorder="1"/>
    <xf numFmtId="0" fontId="9" fillId="8" borderId="1" xfId="1" applyFont="1" applyFill="1" applyBorder="1" applyAlignment="1">
      <alignment horizontal="left" vertical="center" wrapText="1"/>
    </xf>
    <xf numFmtId="14" fontId="9" fillId="8" borderId="1" xfId="1" applyNumberFormat="1" applyFont="1" applyFill="1" applyBorder="1" applyAlignment="1">
      <alignment horizontal="center" vertical="center"/>
    </xf>
    <xf numFmtId="166" fontId="10" fillId="0" borderId="0" xfId="0" applyNumberFormat="1" applyFont="1" applyFill="1" applyBorder="1" applyAlignment="1" applyProtection="1">
      <alignment horizontal="center" vertical="center"/>
      <protection locked="0"/>
    </xf>
    <xf numFmtId="3" fontId="10" fillId="10" borderId="1" xfId="1" applyNumberFormat="1" applyFont="1" applyFill="1" applyBorder="1" applyAlignment="1">
      <alignment horizontal="left" vertical="center"/>
    </xf>
    <xf numFmtId="166" fontId="10" fillId="0" borderId="1" xfId="0" applyNumberFormat="1" applyFont="1" applyFill="1" applyBorder="1" applyAlignment="1" applyProtection="1">
      <alignment horizontal="center" vertical="center"/>
      <protection locked="0"/>
    </xf>
    <xf numFmtId="3" fontId="9" fillId="9" borderId="1" xfId="1" applyNumberFormat="1" applyFont="1" applyFill="1" applyBorder="1" applyAlignment="1">
      <alignment vertical="center"/>
    </xf>
    <xf numFmtId="3" fontId="10" fillId="9" borderId="1" xfId="1" applyNumberFormat="1" applyFont="1" applyFill="1" applyBorder="1" applyAlignment="1" applyProtection="1">
      <alignment vertical="center" wrapText="1"/>
      <protection locked="0"/>
    </xf>
    <xf numFmtId="3" fontId="9" fillId="0" borderId="1" xfId="1" applyNumberFormat="1" applyFont="1" applyFill="1" applyBorder="1" applyAlignment="1">
      <alignment vertical="center"/>
    </xf>
    <xf numFmtId="3" fontId="10" fillId="0" borderId="1" xfId="1" applyNumberFormat="1" applyFont="1" applyFill="1" applyBorder="1" applyAlignment="1">
      <alignment vertical="center" wrapText="1"/>
    </xf>
    <xf numFmtId="3" fontId="9" fillId="0" borderId="1" xfId="1" applyNumberFormat="1" applyFont="1" applyFill="1" applyBorder="1" applyAlignment="1">
      <alignment vertical="center" wrapText="1"/>
    </xf>
    <xf numFmtId="3" fontId="10" fillId="0" borderId="1" xfId="1" applyNumberFormat="1" applyFont="1" applyBorder="1" applyAlignment="1">
      <alignment vertical="center"/>
    </xf>
    <xf numFmtId="3" fontId="10" fillId="0" borderId="1" xfId="0" applyNumberFormat="1" applyFont="1" applyBorder="1" applyAlignment="1">
      <alignment vertical="center"/>
    </xf>
    <xf numFmtId="164" fontId="10" fillId="0" borderId="1" xfId="0" applyNumberFormat="1" applyFont="1" applyFill="1" applyBorder="1" applyAlignment="1">
      <alignment horizontal="left" vertical="center"/>
    </xf>
    <xf numFmtId="0" fontId="12" fillId="0" borderId="1" xfId="1" applyFont="1" applyFill="1" applyBorder="1"/>
    <xf numFmtId="0" fontId="12" fillId="0" borderId="1" xfId="1" applyFont="1" applyFill="1" applyBorder="1" applyAlignment="1">
      <alignment horizontal="left" vertical="center"/>
    </xf>
    <xf numFmtId="0" fontId="12" fillId="0" borderId="1" xfId="1" applyFont="1" applyFill="1" applyBorder="1" applyAlignment="1">
      <alignment horizontal="left" vertical="center" wrapText="1"/>
    </xf>
    <xf numFmtId="0" fontId="12" fillId="0" borderId="1" xfId="1" applyFont="1" applyFill="1" applyBorder="1" applyAlignment="1">
      <alignment horizontal="center" vertical="center"/>
    </xf>
    <xf numFmtId="14" fontId="12" fillId="0" borderId="1" xfId="1" applyNumberFormat="1" applyFont="1" applyFill="1" applyBorder="1" applyAlignment="1">
      <alignment horizontal="center" vertical="center"/>
    </xf>
    <xf numFmtId="3" fontId="12" fillId="0" borderId="1" xfId="1" applyNumberFormat="1" applyFont="1" applyFill="1" applyBorder="1" applyAlignment="1">
      <alignment horizontal="center" vertical="center"/>
    </xf>
    <xf numFmtId="3" fontId="12" fillId="0" borderId="1" xfId="1" applyNumberFormat="1" applyFont="1" applyFill="1" applyBorder="1" applyAlignment="1">
      <alignment horizontal="right" vertical="center"/>
    </xf>
    <xf numFmtId="3" fontId="12" fillId="0" borderId="1" xfId="1" applyNumberFormat="1" applyFont="1" applyFill="1" applyBorder="1" applyAlignment="1">
      <alignment horizontal="center" vertical="center" wrapText="1"/>
    </xf>
    <xf numFmtId="0" fontId="12" fillId="0" borderId="0" xfId="1" applyFont="1"/>
    <xf numFmtId="164" fontId="10" fillId="0" borderId="1" xfId="1" applyNumberFormat="1" applyFont="1" applyFill="1" applyBorder="1" applyAlignment="1">
      <alignment horizontal="left" vertical="center"/>
    </xf>
    <xf numFmtId="14" fontId="10" fillId="0" borderId="1" xfId="1" applyNumberFormat="1" applyFont="1" applyFill="1" applyBorder="1" applyAlignment="1" applyProtection="1">
      <alignment horizontal="left" vertical="center" wrapText="1"/>
    </xf>
    <xf numFmtId="3" fontId="10" fillId="0" borderId="5" xfId="0" applyNumberFormat="1" applyFont="1" applyBorder="1" applyAlignment="1">
      <alignment vertical="center"/>
    </xf>
    <xf numFmtId="3" fontId="10" fillId="0" borderId="7" xfId="1" applyNumberFormat="1" applyFont="1" applyFill="1" applyBorder="1" applyAlignment="1">
      <alignment vertical="center" wrapText="1"/>
    </xf>
    <xf numFmtId="164" fontId="10" fillId="0" borderId="5" xfId="0" applyNumberFormat="1" applyFont="1" applyFill="1" applyBorder="1" applyAlignment="1">
      <alignment horizontal="left" vertical="center"/>
    </xf>
    <xf numFmtId="3" fontId="10" fillId="0" borderId="0" xfId="0" applyNumberFormat="1" applyFont="1" applyBorder="1" applyAlignment="1">
      <alignment vertical="center"/>
    </xf>
    <xf numFmtId="3" fontId="10" fillId="0" borderId="1" xfId="1" applyNumberFormat="1" applyFont="1" applyFill="1" applyBorder="1" applyAlignment="1">
      <alignment vertical="center"/>
    </xf>
    <xf numFmtId="0" fontId="10" fillId="0" borderId="1" xfId="1" applyFont="1" applyFill="1" applyBorder="1"/>
    <xf numFmtId="0" fontId="10" fillId="0" borderId="0" xfId="1" applyFont="1" applyFill="1"/>
    <xf numFmtId="3" fontId="10" fillId="0" borderId="0" xfId="1" applyNumberFormat="1" applyFont="1" applyFill="1" applyBorder="1" applyAlignment="1">
      <alignment vertical="center"/>
    </xf>
    <xf numFmtId="164" fontId="10" fillId="0" borderId="0" xfId="1" applyNumberFormat="1" applyFont="1" applyFill="1" applyBorder="1" applyAlignment="1">
      <alignment horizontal="left" vertical="center"/>
    </xf>
    <xf numFmtId="3" fontId="10" fillId="0" borderId="1" xfId="0" applyNumberFormat="1" applyFont="1" applyBorder="1" applyAlignment="1">
      <alignment horizontal="right" vertical="center" wrapText="1"/>
    </xf>
    <xf numFmtId="3" fontId="10" fillId="8" borderId="1" xfId="0" applyNumberFormat="1" applyFont="1" applyFill="1" applyBorder="1" applyAlignment="1">
      <alignment horizontal="right" vertical="center" wrapText="1"/>
    </xf>
    <xf numFmtId="3" fontId="10" fillId="0" borderId="1" xfId="0" applyNumberFormat="1" applyFont="1" applyBorder="1" applyAlignment="1">
      <alignment horizontal="left" vertical="center" wrapText="1"/>
    </xf>
    <xf numFmtId="3" fontId="10" fillId="0" borderId="1" xfId="0" applyNumberFormat="1" applyFont="1" applyFill="1" applyBorder="1" applyAlignment="1">
      <alignment horizontal="left" vertical="center" wrapText="1"/>
    </xf>
    <xf numFmtId="14" fontId="9" fillId="8" borderId="1" xfId="1" applyNumberFormat="1" applyFont="1" applyFill="1" applyBorder="1" applyAlignment="1">
      <alignment horizontal="center" vertical="center" wrapText="1"/>
    </xf>
    <xf numFmtId="14" fontId="9" fillId="9" borderId="1" xfId="1" applyNumberFormat="1" applyFont="1" applyFill="1" applyBorder="1" applyAlignment="1">
      <alignment horizontal="center" vertical="center" wrapText="1"/>
    </xf>
    <xf numFmtId="14" fontId="9" fillId="0" borderId="1" xfId="1" applyNumberFormat="1" applyFont="1" applyFill="1" applyBorder="1" applyAlignment="1">
      <alignment horizontal="left" vertical="center"/>
    </xf>
    <xf numFmtId="3" fontId="21" fillId="0" borderId="1" xfId="1" applyNumberFormat="1" applyFont="1" applyFill="1" applyBorder="1" applyAlignment="1">
      <alignment horizontal="left" vertical="center" wrapText="1"/>
    </xf>
    <xf numFmtId="14" fontId="10" fillId="0" borderId="1" xfId="1" applyNumberFormat="1" applyFont="1" applyFill="1" applyBorder="1" applyAlignment="1">
      <alignment horizontal="center" vertical="center" wrapText="1"/>
    </xf>
    <xf numFmtId="0" fontId="10" fillId="0" borderId="0" xfId="1" applyFont="1" applyAlignment="1">
      <alignment horizontal="right" vertical="center"/>
    </xf>
    <xf numFmtId="0" fontId="10" fillId="0" borderId="1" xfId="1" applyFont="1" applyBorder="1" applyAlignment="1">
      <alignment vertical="center" wrapText="1"/>
    </xf>
    <xf numFmtId="14" fontId="10" fillId="0" borderId="1" xfId="0" applyNumberFormat="1" applyFont="1" applyFill="1" applyBorder="1" applyAlignment="1">
      <alignment horizontal="center" vertical="center" wrapText="1"/>
    </xf>
    <xf numFmtId="3" fontId="9" fillId="0" borderId="1" xfId="1" applyNumberFormat="1" applyFont="1" applyFill="1" applyBorder="1" applyAlignment="1">
      <alignment horizontal="centerContinuous" vertical="justify"/>
    </xf>
    <xf numFmtId="0" fontId="10" fillId="10" borderId="1" xfId="1" applyFont="1" applyFill="1" applyBorder="1"/>
    <xf numFmtId="0" fontId="10" fillId="10" borderId="1" xfId="1" applyFont="1" applyFill="1" applyBorder="1" applyAlignment="1">
      <alignment horizontal="left" vertical="center"/>
    </xf>
    <xf numFmtId="0" fontId="10" fillId="10" borderId="1" xfId="1" applyFont="1" applyFill="1" applyBorder="1" applyAlignment="1">
      <alignment horizontal="left" vertical="center" wrapText="1"/>
    </xf>
    <xf numFmtId="0" fontId="10" fillId="10" borderId="1" xfId="1" applyFont="1" applyFill="1" applyBorder="1" applyAlignment="1">
      <alignment horizontal="center" vertical="center"/>
    </xf>
    <xf numFmtId="14" fontId="10" fillId="10" borderId="1" xfId="1" applyNumberFormat="1" applyFont="1" applyFill="1" applyBorder="1" applyAlignment="1">
      <alignment horizontal="center" vertical="center" wrapText="1"/>
    </xf>
    <xf numFmtId="14" fontId="10" fillId="10" borderId="1" xfId="1" applyNumberFormat="1" applyFont="1" applyFill="1" applyBorder="1" applyAlignment="1">
      <alignment horizontal="center" vertical="center"/>
    </xf>
    <xf numFmtId="3" fontId="10" fillId="10" borderId="1" xfId="1" applyNumberFormat="1" applyFont="1" applyFill="1" applyBorder="1" applyAlignment="1">
      <alignment horizontal="center" vertical="center"/>
    </xf>
    <xf numFmtId="3" fontId="10" fillId="10" borderId="1" xfId="1" applyNumberFormat="1" applyFont="1" applyFill="1" applyBorder="1" applyAlignment="1">
      <alignment horizontal="right" vertical="center"/>
    </xf>
    <xf numFmtId="3" fontId="9" fillId="10" borderId="1" xfId="1" applyNumberFormat="1" applyFont="1" applyFill="1" applyBorder="1" applyAlignment="1">
      <alignment horizontal="right" vertical="center"/>
    </xf>
    <xf numFmtId="3" fontId="9" fillId="10" borderId="1" xfId="1" applyNumberFormat="1" applyFont="1" applyFill="1" applyBorder="1" applyAlignment="1">
      <alignment horizontal="center" vertical="center"/>
    </xf>
    <xf numFmtId="3" fontId="9" fillId="10" borderId="1" xfId="1" applyNumberFormat="1" applyFont="1" applyFill="1" applyBorder="1" applyAlignment="1">
      <alignment horizontal="center" vertical="center" wrapText="1"/>
    </xf>
    <xf numFmtId="0" fontId="10" fillId="10" borderId="0" xfId="1" applyFont="1" applyFill="1"/>
    <xf numFmtId="0" fontId="10" fillId="11" borderId="1" xfId="1" applyFont="1" applyFill="1" applyBorder="1"/>
    <xf numFmtId="0" fontId="10" fillId="11" borderId="1" xfId="1" applyFont="1" applyFill="1" applyBorder="1" applyAlignment="1">
      <alignment horizontal="left" vertical="center"/>
    </xf>
    <xf numFmtId="0" fontId="10" fillId="11" borderId="1" xfId="1" applyFont="1" applyFill="1" applyBorder="1" applyAlignment="1">
      <alignment horizontal="left" vertical="center" wrapText="1"/>
    </xf>
    <xf numFmtId="0" fontId="10" fillId="11" borderId="1" xfId="1" applyFont="1" applyFill="1" applyBorder="1" applyAlignment="1">
      <alignment horizontal="center" vertical="center"/>
    </xf>
    <xf numFmtId="0" fontId="10" fillId="11" borderId="19" xfId="0" applyFont="1" applyFill="1" applyBorder="1" applyAlignment="1">
      <alignment horizontal="left" vertical="center" wrapText="1"/>
    </xf>
    <xf numFmtId="14" fontId="10" fillId="11" borderId="19" xfId="0" applyNumberFormat="1" applyFont="1" applyFill="1" applyBorder="1" applyAlignment="1">
      <alignment horizontal="center" vertical="center"/>
    </xf>
    <xf numFmtId="14" fontId="10" fillId="11" borderId="0" xfId="0" applyNumberFormat="1" applyFont="1" applyFill="1" applyBorder="1" applyAlignment="1">
      <alignment horizontal="center" vertical="center"/>
    </xf>
    <xf numFmtId="0" fontId="10" fillId="11" borderId="0" xfId="1" applyFont="1" applyFill="1"/>
    <xf numFmtId="3" fontId="10" fillId="11" borderId="1" xfId="1" applyNumberFormat="1" applyFont="1" applyFill="1" applyBorder="1" applyAlignment="1">
      <alignment horizontal="center" vertical="center"/>
    </xf>
    <xf numFmtId="3" fontId="10" fillId="11" borderId="1" xfId="1" applyNumberFormat="1" applyFont="1" applyFill="1" applyBorder="1" applyAlignment="1">
      <alignment horizontal="right" vertical="center"/>
    </xf>
    <xf numFmtId="3" fontId="9" fillId="11" borderId="1" xfId="1" applyNumberFormat="1" applyFont="1" applyFill="1" applyBorder="1" applyAlignment="1">
      <alignment horizontal="centerContinuous" vertical="justify"/>
    </xf>
    <xf numFmtId="3" fontId="9" fillId="11" borderId="1" xfId="1" applyNumberFormat="1" applyFont="1" applyFill="1" applyBorder="1" applyAlignment="1">
      <alignment horizontal="center" vertical="center" wrapText="1"/>
    </xf>
    <xf numFmtId="3" fontId="10" fillId="0" borderId="17" xfId="1" applyNumberFormat="1" applyFont="1" applyBorder="1" applyAlignment="1">
      <alignment horizontal="left"/>
    </xf>
    <xf numFmtId="3" fontId="10" fillId="0" borderId="20" xfId="1" applyNumberFormat="1" applyFont="1" applyBorder="1" applyAlignment="1">
      <alignment horizontal="left"/>
    </xf>
    <xf numFmtId="49" fontId="9" fillId="8" borderId="1" xfId="1" applyNumberFormat="1" applyFont="1" applyFill="1" applyBorder="1" applyAlignment="1">
      <alignment horizontal="left" vertical="center" wrapText="1"/>
    </xf>
    <xf numFmtId="14" fontId="9" fillId="8" borderId="1" xfId="1" applyNumberFormat="1" applyFont="1" applyFill="1" applyBorder="1" applyAlignment="1">
      <alignment horizontal="left" vertical="center"/>
    </xf>
    <xf numFmtId="3" fontId="9" fillId="8" borderId="1" xfId="1" applyNumberFormat="1" applyFont="1" applyFill="1" applyBorder="1" applyAlignment="1">
      <alignment horizontal="left" vertical="center"/>
    </xf>
    <xf numFmtId="0" fontId="9" fillId="9" borderId="1" xfId="1" applyFont="1" applyFill="1" applyBorder="1" applyAlignment="1">
      <alignment horizontal="left" vertical="center"/>
    </xf>
    <xf numFmtId="0" fontId="9" fillId="9" borderId="1" xfId="1" applyFont="1" applyFill="1" applyBorder="1" applyAlignment="1">
      <alignment horizontal="left" vertical="center" wrapText="1"/>
    </xf>
    <xf numFmtId="49" fontId="9" fillId="9" borderId="1" xfId="1" applyNumberFormat="1" applyFont="1" applyFill="1" applyBorder="1" applyAlignment="1">
      <alignment horizontal="left" vertical="center" wrapText="1"/>
    </xf>
    <xf numFmtId="14" fontId="9" fillId="9" borderId="1" xfId="1" applyNumberFormat="1" applyFont="1" applyFill="1" applyBorder="1" applyAlignment="1">
      <alignment horizontal="left" vertical="center"/>
    </xf>
    <xf numFmtId="3" fontId="9" fillId="9" borderId="1" xfId="1" applyNumberFormat="1" applyFont="1" applyFill="1" applyBorder="1" applyAlignment="1">
      <alignment horizontal="left" vertical="center"/>
    </xf>
    <xf numFmtId="3" fontId="10" fillId="9" borderId="1" xfId="1" applyNumberFormat="1" applyFont="1" applyFill="1" applyBorder="1" applyAlignment="1" applyProtection="1">
      <alignment horizontal="left" vertical="center" wrapText="1"/>
      <protection locked="0"/>
    </xf>
    <xf numFmtId="3" fontId="9" fillId="9" borderId="1" xfId="1" applyNumberFormat="1" applyFont="1" applyFill="1" applyBorder="1" applyAlignment="1">
      <alignment horizontal="left" vertical="center" wrapText="1"/>
    </xf>
    <xf numFmtId="0" fontId="21" fillId="0" borderId="1" xfId="1" applyFont="1" applyFill="1" applyBorder="1" applyAlignment="1">
      <alignment horizontal="left" vertical="center"/>
    </xf>
    <xf numFmtId="49" fontId="9" fillId="0" borderId="1" xfId="1" applyNumberFormat="1" applyFont="1" applyFill="1" applyBorder="1" applyAlignment="1">
      <alignment horizontal="left" vertical="center" wrapText="1"/>
    </xf>
    <xf numFmtId="49" fontId="10" fillId="0" borderId="1" xfId="1" applyNumberFormat="1" applyFont="1" applyBorder="1" applyAlignment="1">
      <alignment horizontal="left" vertical="center" wrapText="1"/>
    </xf>
    <xf numFmtId="3" fontId="10" fillId="0" borderId="1" xfId="1" applyNumberFormat="1" applyFont="1" applyFill="1" applyBorder="1" applyAlignment="1">
      <alignment horizontal="left"/>
    </xf>
    <xf numFmtId="49" fontId="10" fillId="0" borderId="1" xfId="1" applyNumberFormat="1" applyFont="1" applyFill="1" applyBorder="1" applyAlignment="1">
      <alignment horizontal="left" vertical="center" wrapText="1"/>
    </xf>
    <xf numFmtId="3" fontId="10" fillId="0" borderId="20" xfId="0" applyNumberFormat="1" applyFont="1" applyBorder="1" applyAlignment="1">
      <alignment horizontal="left"/>
    </xf>
    <xf numFmtId="3" fontId="10" fillId="0" borderId="1" xfId="0" applyNumberFormat="1" applyFont="1" applyBorder="1" applyAlignment="1">
      <alignment horizontal="left"/>
    </xf>
    <xf numFmtId="3" fontId="10" fillId="0" borderId="1" xfId="1" applyNumberFormat="1" applyFont="1" applyFill="1" applyBorder="1" applyAlignment="1" applyProtection="1">
      <alignment horizontal="right" vertical="center"/>
    </xf>
    <xf numFmtId="3" fontId="10" fillId="0" borderId="1" xfId="1" applyNumberFormat="1" applyFont="1" applyFill="1" applyBorder="1" applyAlignment="1" applyProtection="1">
      <alignment horizontal="left" vertical="center"/>
    </xf>
    <xf numFmtId="167" fontId="10" fillId="0" borderId="1" xfId="0" applyNumberFormat="1" applyFont="1" applyFill="1" applyBorder="1" applyAlignment="1" applyProtection="1">
      <alignment horizontal="center"/>
      <protection locked="0"/>
    </xf>
    <xf numFmtId="3" fontId="10" fillId="0" borderId="1" xfId="0" applyNumberFormat="1" applyFont="1" applyFill="1" applyBorder="1" applyAlignment="1">
      <alignment horizontal="left"/>
    </xf>
    <xf numFmtId="3" fontId="10" fillId="0" borderId="0" xfId="0" applyNumberFormat="1" applyFont="1" applyFill="1" applyBorder="1" applyAlignment="1">
      <alignment horizontal="left"/>
    </xf>
    <xf numFmtId="3" fontId="10" fillId="0" borderId="0" xfId="1" applyNumberFormat="1" applyFont="1" applyFill="1" applyBorder="1" applyAlignment="1">
      <alignment horizontal="left"/>
    </xf>
    <xf numFmtId="0" fontId="10" fillId="0" borderId="2" xfId="1" applyFont="1" applyBorder="1" applyAlignment="1">
      <alignment horizontal="left" vertical="center"/>
    </xf>
    <xf numFmtId="0" fontId="10" fillId="0" borderId="2" xfId="1" applyFont="1" applyBorder="1" applyAlignment="1">
      <alignment horizontal="left" vertical="center" wrapText="1"/>
    </xf>
    <xf numFmtId="14" fontId="10" fillId="0" borderId="2" xfId="1" applyNumberFormat="1" applyFont="1" applyBorder="1" applyAlignment="1">
      <alignment horizontal="left" vertical="center"/>
    </xf>
    <xf numFmtId="3" fontId="10" fillId="0" borderId="2" xfId="1" applyNumberFormat="1" applyFont="1" applyBorder="1" applyAlignment="1">
      <alignment horizontal="left" vertical="center"/>
    </xf>
    <xf numFmtId="3" fontId="10" fillId="0" borderId="2" xfId="1" applyNumberFormat="1" applyFont="1" applyBorder="1" applyAlignment="1">
      <alignment horizontal="right" vertical="center"/>
    </xf>
    <xf numFmtId="3" fontId="10" fillId="0" borderId="2" xfId="1" applyNumberFormat="1" applyFont="1" applyFill="1" applyBorder="1" applyAlignment="1">
      <alignment horizontal="left" vertical="center"/>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14" fontId="9" fillId="0" borderId="1" xfId="0" applyNumberFormat="1" applyFont="1" applyFill="1" applyBorder="1" applyAlignment="1">
      <alignment horizontal="left" vertical="center" wrapText="1"/>
    </xf>
    <xf numFmtId="3" fontId="9" fillId="0" borderId="1" xfId="0" applyNumberFormat="1" applyFont="1" applyFill="1" applyBorder="1" applyAlignment="1">
      <alignment horizontal="right" vertical="center" wrapText="1"/>
    </xf>
    <xf numFmtId="3" fontId="9" fillId="0" borderId="1" xfId="0" applyNumberFormat="1" applyFont="1" applyFill="1" applyBorder="1" applyAlignment="1">
      <alignment horizontal="left" vertical="center" wrapText="1"/>
    </xf>
    <xf numFmtId="0" fontId="10" fillId="0" borderId="0" xfId="0" applyFont="1" applyBorder="1" applyAlignment="1">
      <alignment horizontal="left" vertical="center" wrapText="1"/>
    </xf>
    <xf numFmtId="0" fontId="9" fillId="9" borderId="1" xfId="0" applyFont="1" applyFill="1" applyBorder="1" applyAlignment="1">
      <alignment horizontal="left" vertical="center" wrapText="1"/>
    </xf>
    <xf numFmtId="0" fontId="9" fillId="9" borderId="7" xfId="0" applyFont="1" applyFill="1" applyBorder="1" applyAlignment="1">
      <alignment horizontal="left" vertical="center" wrapText="1"/>
    </xf>
    <xf numFmtId="49" fontId="9" fillId="9" borderId="7" xfId="0" applyNumberFormat="1" applyFont="1" applyFill="1" applyBorder="1" applyAlignment="1">
      <alignment horizontal="left" vertical="center" wrapText="1"/>
    </xf>
    <xf numFmtId="14" fontId="9" fillId="9" borderId="7" xfId="0" applyNumberFormat="1" applyFont="1" applyFill="1" applyBorder="1" applyAlignment="1">
      <alignment horizontal="left" vertical="center" wrapText="1"/>
    </xf>
    <xf numFmtId="3" fontId="9" fillId="9" borderId="7" xfId="0" applyNumberFormat="1" applyFont="1" applyFill="1" applyBorder="1" applyAlignment="1">
      <alignment horizontal="left" vertical="center" wrapText="1"/>
    </xf>
    <xf numFmtId="3" fontId="9" fillId="9" borderId="7"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11" borderId="1" xfId="1" applyFont="1" applyFill="1" applyBorder="1" applyAlignment="1">
      <alignment horizontal="left"/>
    </xf>
    <xf numFmtId="14" fontId="10" fillId="11" borderId="1" xfId="1" applyNumberFormat="1" applyFont="1" applyFill="1" applyBorder="1" applyAlignment="1">
      <alignment horizontal="left" vertical="center"/>
    </xf>
    <xf numFmtId="3" fontId="10" fillId="11" borderId="1" xfId="1" applyNumberFormat="1" applyFont="1" applyFill="1" applyBorder="1" applyAlignment="1">
      <alignment horizontal="left" vertical="center"/>
    </xf>
    <xf numFmtId="3" fontId="9" fillId="11" borderId="1" xfId="1" applyNumberFormat="1" applyFont="1" applyFill="1" applyBorder="1" applyAlignment="1">
      <alignment horizontal="left" vertical="center" wrapText="1"/>
    </xf>
    <xf numFmtId="3" fontId="9" fillId="11" borderId="1" xfId="1" applyNumberFormat="1" applyFont="1" applyFill="1" applyBorder="1" applyAlignment="1">
      <alignment horizontal="left" vertical="center"/>
    </xf>
    <xf numFmtId="0" fontId="10" fillId="10" borderId="1" xfId="1" applyFont="1" applyFill="1" applyBorder="1" applyAlignment="1">
      <alignment horizontal="left"/>
    </xf>
    <xf numFmtId="14" fontId="10" fillId="10" borderId="1" xfId="1" applyNumberFormat="1" applyFont="1" applyFill="1" applyBorder="1" applyAlignment="1">
      <alignment horizontal="left" vertical="center"/>
    </xf>
    <xf numFmtId="3" fontId="9" fillId="10" borderId="1" xfId="1" applyNumberFormat="1" applyFont="1" applyFill="1" applyBorder="1" applyAlignment="1">
      <alignment horizontal="left" vertical="center"/>
    </xf>
    <xf numFmtId="3" fontId="9" fillId="10" borderId="1" xfId="1" applyNumberFormat="1" applyFont="1" applyFill="1" applyBorder="1" applyAlignment="1">
      <alignment horizontal="left" vertical="center" wrapText="1"/>
    </xf>
    <xf numFmtId="49" fontId="9" fillId="0" borderId="1" xfId="1" applyNumberFormat="1" applyFont="1" applyBorder="1" applyAlignment="1">
      <alignment horizontal="left" vertical="center" wrapText="1"/>
    </xf>
    <xf numFmtId="3" fontId="10" fillId="0" borderId="1" xfId="1" applyNumberFormat="1" applyFont="1" applyBorder="1" applyAlignment="1">
      <alignment horizontal="left"/>
    </xf>
    <xf numFmtId="164" fontId="10" fillId="0" borderId="1" xfId="1" applyNumberFormat="1" applyFont="1" applyFill="1" applyBorder="1" applyAlignment="1">
      <alignment horizontal="left"/>
    </xf>
    <xf numFmtId="164" fontId="10" fillId="0" borderId="1" xfId="0" applyNumberFormat="1" applyFont="1" applyFill="1" applyBorder="1" applyAlignment="1">
      <alignment horizontal="left"/>
    </xf>
    <xf numFmtId="14" fontId="9" fillId="9" borderId="1" xfId="1" applyNumberFormat="1" applyFont="1" applyFill="1" applyBorder="1" applyAlignment="1">
      <alignment horizontal="left" vertical="center" wrapText="1"/>
    </xf>
    <xf numFmtId="3" fontId="25" fillId="12" borderId="1" xfId="5" applyNumberFormat="1" applyFont="1" applyFill="1" applyBorder="1" applyAlignment="1" applyProtection="1">
      <alignment horizontal="right" vertical="center"/>
    </xf>
    <xf numFmtId="0" fontId="9" fillId="0" borderId="0" xfId="1" applyFont="1"/>
    <xf numFmtId="3" fontId="9" fillId="0" borderId="0" xfId="1" applyNumberFormat="1" applyFont="1" applyFill="1" applyBorder="1" applyAlignment="1">
      <alignment horizontal="right" vertical="center"/>
    </xf>
    <xf numFmtId="0" fontId="9" fillId="0" borderId="1" xfId="1" applyFont="1" applyBorder="1" applyAlignment="1">
      <alignment horizontal="left"/>
    </xf>
    <xf numFmtId="3" fontId="10" fillId="0" borderId="0" xfId="1" applyNumberFormat="1" applyFont="1" applyBorder="1" applyAlignment="1">
      <alignment horizontal="left" vertical="center"/>
    </xf>
    <xf numFmtId="0" fontId="9" fillId="0" borderId="1" xfId="1" applyFont="1" applyBorder="1"/>
    <xf numFmtId="14" fontId="10" fillId="0" borderId="1" xfId="1" applyNumberFormat="1" applyFont="1" applyBorder="1" applyAlignment="1">
      <alignment horizontal="center" vertical="center" wrapText="1"/>
    </xf>
    <xf numFmtId="3" fontId="10" fillId="0" borderId="1" xfId="1" applyNumberFormat="1" applyFont="1" applyFill="1" applyBorder="1" applyAlignment="1">
      <alignment horizontal="right" vertical="center" wrapText="1"/>
    </xf>
    <xf numFmtId="3" fontId="10" fillId="8" borderId="1" xfId="1" applyNumberFormat="1" applyFont="1" applyFill="1" applyBorder="1" applyAlignment="1" applyProtection="1">
      <alignment horizontal="right" vertical="center" wrapText="1"/>
      <protection locked="0"/>
    </xf>
    <xf numFmtId="3" fontId="10" fillId="0" borderId="1" xfId="1" applyNumberFormat="1" applyFont="1" applyFill="1" applyBorder="1" applyAlignment="1" applyProtection="1">
      <alignment horizontal="right" vertical="center" wrapText="1"/>
      <protection locked="0"/>
    </xf>
    <xf numFmtId="3" fontId="10" fillId="0" borderId="7" xfId="1" applyNumberFormat="1" applyFont="1" applyFill="1" applyBorder="1" applyAlignment="1">
      <alignment horizontal="left" vertical="center" wrapText="1"/>
    </xf>
    <xf numFmtId="164" fontId="10" fillId="0" borderId="0" xfId="1" applyNumberFormat="1" applyFont="1" applyFill="1" applyBorder="1" applyAlignment="1">
      <alignment horizontal="left"/>
    </xf>
    <xf numFmtId="3" fontId="10" fillId="5" borderId="1" xfId="4" applyNumberFormat="1" applyFont="1" applyFill="1" applyBorder="1" applyAlignment="1">
      <alignment horizontal="right"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3" fontId="10" fillId="0" borderId="1" xfId="0" applyNumberFormat="1" applyFont="1" applyFill="1" applyBorder="1" applyAlignment="1">
      <alignment horizontal="right" vertical="center" wrapText="1"/>
    </xf>
    <xf numFmtId="0" fontId="10" fillId="0" borderId="0" xfId="0" applyFont="1" applyAlignment="1">
      <alignment vertical="center" wrapText="1"/>
    </xf>
    <xf numFmtId="0" fontId="10" fillId="0" borderId="0" xfId="0" applyFont="1" applyBorder="1" applyAlignment="1">
      <alignment vertical="center" wrapText="1"/>
    </xf>
    <xf numFmtId="3" fontId="10" fillId="0" borderId="3" xfId="0" applyNumberFormat="1" applyFont="1" applyBorder="1" applyAlignment="1">
      <alignment horizontal="right" vertical="center" wrapText="1"/>
    </xf>
    <xf numFmtId="3" fontId="10" fillId="0" borderId="1" xfId="0" applyNumberFormat="1" applyFont="1" applyBorder="1" applyAlignment="1">
      <alignment vertical="center" wrapText="1"/>
    </xf>
    <xf numFmtId="3" fontId="10" fillId="0" borderId="1" xfId="0" applyNumberFormat="1" applyFont="1" applyFill="1" applyBorder="1" applyAlignment="1">
      <alignment vertical="center" wrapText="1"/>
    </xf>
    <xf numFmtId="0" fontId="10" fillId="0" borderId="0" xfId="1" applyFont="1" applyFill="1" applyBorder="1" applyAlignment="1">
      <alignment horizontal="left" vertical="center"/>
    </xf>
    <xf numFmtId="0" fontId="10" fillId="0" borderId="21"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14" fontId="10" fillId="0" borderId="1" xfId="0" applyNumberFormat="1" applyFont="1" applyFill="1" applyBorder="1" applyAlignment="1">
      <alignment horizontal="left" vertical="center" wrapText="1"/>
    </xf>
    <xf numFmtId="0" fontId="9" fillId="9" borderId="0" xfId="1" applyFont="1" applyFill="1" applyBorder="1" applyAlignment="1">
      <alignment horizontal="center" vertical="center"/>
    </xf>
    <xf numFmtId="0" fontId="9" fillId="9" borderId="0" xfId="0" applyNumberFormat="1" applyFont="1" applyFill="1" applyBorder="1" applyAlignment="1">
      <alignment horizontal="center" vertical="center" wrapText="1"/>
    </xf>
    <xf numFmtId="3" fontId="9" fillId="9" borderId="1" xfId="0" applyNumberFormat="1" applyFont="1" applyFill="1" applyBorder="1" applyAlignment="1">
      <alignment horizontal="center" vertical="center" wrapText="1"/>
    </xf>
    <xf numFmtId="0" fontId="10" fillId="5" borderId="0" xfId="1" applyFont="1" applyFill="1"/>
    <xf numFmtId="0" fontId="10" fillId="13" borderId="1" xfId="1" applyFont="1" applyFill="1" applyBorder="1" applyAlignment="1">
      <alignment horizontal="left" vertical="center" wrapText="1"/>
    </xf>
    <xf numFmtId="3" fontId="10" fillId="8" borderId="1" xfId="1" applyNumberFormat="1" applyFont="1" applyFill="1" applyBorder="1" applyAlignment="1">
      <alignment horizontal="center" vertical="center" wrapText="1"/>
    </xf>
    <xf numFmtId="9" fontId="9" fillId="8" borderId="1" xfId="2" applyFont="1" applyFill="1" applyBorder="1" applyAlignment="1">
      <alignment horizontal="center" vertical="center" wrapText="1"/>
    </xf>
    <xf numFmtId="3" fontId="26" fillId="0" borderId="0" xfId="0" applyNumberFormat="1" applyFont="1" applyFill="1" applyBorder="1"/>
    <xf numFmtId="0" fontId="27" fillId="0" borderId="1" xfId="0" applyFont="1" applyBorder="1"/>
    <xf numFmtId="0" fontId="10" fillId="2" borderId="1" xfId="1" applyFont="1" applyFill="1" applyBorder="1" applyAlignment="1">
      <alignment horizontal="left" vertical="center"/>
    </xf>
    <xf numFmtId="0" fontId="10" fillId="2" borderId="1" xfId="1" applyFont="1" applyFill="1" applyBorder="1" applyAlignment="1">
      <alignment horizontal="left" vertical="center" wrapText="1"/>
    </xf>
    <xf numFmtId="14" fontId="10" fillId="2" borderId="1" xfId="1" applyNumberFormat="1" applyFont="1" applyFill="1" applyBorder="1" applyAlignment="1">
      <alignment horizontal="center" vertical="center"/>
    </xf>
    <xf numFmtId="3" fontId="10" fillId="2" borderId="1" xfId="1" applyNumberFormat="1" applyFont="1" applyFill="1" applyBorder="1" applyAlignment="1">
      <alignment horizontal="right" vertical="center"/>
    </xf>
    <xf numFmtId="3" fontId="9" fillId="2" borderId="1" xfId="1" applyNumberFormat="1" applyFont="1" applyFill="1" applyBorder="1" applyAlignment="1">
      <alignment horizontal="center" vertical="center"/>
    </xf>
    <xf numFmtId="3" fontId="9" fillId="2" borderId="1" xfId="1" applyNumberFormat="1" applyFont="1" applyFill="1" applyBorder="1" applyAlignment="1">
      <alignment horizontal="center" vertical="center" wrapText="1"/>
    </xf>
    <xf numFmtId="3" fontId="10" fillId="5" borderId="1" xfId="1" applyNumberFormat="1" applyFont="1" applyFill="1" applyBorder="1" applyAlignment="1">
      <alignment horizontal="right" vertical="center"/>
    </xf>
    <xf numFmtId="0" fontId="10" fillId="0" borderId="0" xfId="0" applyNumberFormat="1" applyFont="1" applyBorder="1" applyAlignment="1">
      <alignment horizontal="center" vertical="center"/>
    </xf>
    <xf numFmtId="14" fontId="10" fillId="5" borderId="1" xfId="1" applyNumberFormat="1" applyFont="1" applyFill="1" applyBorder="1" applyAlignment="1">
      <alignment horizontal="center" vertical="center"/>
    </xf>
    <xf numFmtId="0" fontId="1" fillId="0" borderId="0" xfId="0" applyFont="1"/>
    <xf numFmtId="0" fontId="10" fillId="0" borderId="1" xfId="0" applyNumberFormat="1" applyFont="1" applyFill="1" applyBorder="1" applyAlignment="1">
      <alignment horizontal="left" vertical="top" wrapText="1"/>
    </xf>
    <xf numFmtId="0" fontId="9" fillId="9" borderId="1" xfId="0" applyNumberFormat="1" applyFont="1" applyFill="1" applyBorder="1" applyAlignment="1">
      <alignment horizontal="center" vertical="center" wrapText="1"/>
    </xf>
    <xf numFmtId="3" fontId="10" fillId="0" borderId="0" xfId="1" applyNumberFormat="1" applyFont="1" applyFill="1" applyAlignment="1">
      <alignment horizontal="left" vertical="center"/>
    </xf>
    <xf numFmtId="0" fontId="9" fillId="0" borderId="0" xfId="1" applyFont="1" applyFill="1" applyAlignment="1">
      <alignment horizontal="left"/>
    </xf>
    <xf numFmtId="3" fontId="10" fillId="0" borderId="1" xfId="0" applyNumberFormat="1" applyFont="1" applyBorder="1" applyAlignment="1">
      <alignment horizontal="left" vertical="center"/>
    </xf>
    <xf numFmtId="3" fontId="10" fillId="0" borderId="1" xfId="0" applyNumberFormat="1" applyFont="1" applyFill="1" applyBorder="1" applyAlignment="1">
      <alignment horizontal="left" vertical="center"/>
    </xf>
    <xf numFmtId="3" fontId="10" fillId="0" borderId="1" xfId="0" applyNumberFormat="1" applyFont="1" applyFill="1" applyBorder="1" applyAlignment="1">
      <alignment horizontal="right" vertical="center"/>
    </xf>
    <xf numFmtId="3" fontId="10" fillId="0" borderId="3" xfId="0" applyNumberFormat="1" applyFont="1" applyFill="1" applyBorder="1" applyAlignment="1">
      <alignment horizontal="right" vertical="center" wrapText="1"/>
    </xf>
    <xf numFmtId="14" fontId="10" fillId="0" borderId="1" xfId="0" applyNumberFormat="1" applyFont="1" applyBorder="1" applyAlignment="1">
      <alignment horizontal="left" vertical="center" wrapText="1"/>
    </xf>
    <xf numFmtId="166" fontId="16" fillId="0" borderId="1" xfId="0" applyNumberFormat="1" applyFont="1" applyFill="1" applyBorder="1" applyAlignment="1" applyProtection="1">
      <alignment horizontal="center"/>
      <protection locked="0"/>
    </xf>
    <xf numFmtId="3" fontId="23" fillId="0" borderId="1" xfId="1" applyNumberFormat="1" applyFont="1" applyFill="1" applyBorder="1" applyAlignment="1">
      <alignment horizontal="left" vertical="center"/>
    </xf>
    <xf numFmtId="14" fontId="10" fillId="10" borderId="1" xfId="0" applyNumberFormat="1" applyFont="1" applyFill="1" applyBorder="1" applyAlignment="1">
      <alignment horizontal="left" vertical="center" wrapText="1"/>
    </xf>
    <xf numFmtId="3" fontId="10" fillId="10" borderId="1" xfId="0" applyNumberFormat="1" applyFont="1" applyFill="1" applyBorder="1" applyAlignment="1">
      <alignment horizontal="left" vertical="center" wrapText="1"/>
    </xf>
    <xf numFmtId="3" fontId="23" fillId="0" borderId="1" xfId="1" applyNumberFormat="1" applyFont="1" applyFill="1" applyBorder="1" applyAlignment="1">
      <alignment horizontal="right" vertical="center"/>
    </xf>
    <xf numFmtId="3" fontId="23" fillId="8" borderId="1" xfId="1" applyNumberFormat="1" applyFont="1" applyFill="1" applyBorder="1" applyAlignment="1">
      <alignment horizontal="right" vertical="center"/>
    </xf>
    <xf numFmtId="3" fontId="23" fillId="10" borderId="1" xfId="1" applyNumberFormat="1" applyFont="1" applyFill="1" applyBorder="1" applyAlignment="1">
      <alignment horizontal="right" vertical="center"/>
    </xf>
    <xf numFmtId="3" fontId="23" fillId="10" borderId="1" xfId="1" applyNumberFormat="1" applyFont="1" applyFill="1" applyBorder="1" applyAlignment="1">
      <alignment horizontal="left" vertical="center"/>
    </xf>
    <xf numFmtId="3" fontId="21" fillId="0" borderId="0" xfId="1" applyNumberFormat="1" applyFont="1" applyFill="1" applyBorder="1" applyAlignment="1">
      <alignment horizontal="center" vertical="center" wrapText="1"/>
    </xf>
    <xf numFmtId="3" fontId="10" fillId="0" borderId="0" xfId="1" applyNumberFormat="1" applyFont="1" applyFill="1" applyBorder="1" applyAlignment="1">
      <alignment horizontal="left" vertical="center"/>
    </xf>
    <xf numFmtId="3" fontId="10" fillId="0" borderId="0" xfId="1" applyNumberFormat="1" applyFont="1" applyFill="1" applyBorder="1" applyAlignment="1">
      <alignment horizontal="right" vertical="center"/>
    </xf>
    <xf numFmtId="14" fontId="9" fillId="0" borderId="17" xfId="1" applyNumberFormat="1" applyFont="1" applyBorder="1" applyAlignment="1"/>
    <xf numFmtId="0" fontId="9" fillId="6" borderId="2" xfId="1" applyFont="1" applyFill="1" applyBorder="1" applyAlignment="1">
      <alignment vertical="center" textRotation="90" wrapText="1"/>
    </xf>
    <xf numFmtId="0" fontId="9" fillId="6" borderId="2" xfId="1" applyFont="1" applyFill="1" applyBorder="1" applyAlignment="1">
      <alignment vertical="center" wrapText="1"/>
    </xf>
    <xf numFmtId="49" fontId="9" fillId="6" borderId="2" xfId="1" applyNumberFormat="1" applyFont="1" applyFill="1" applyBorder="1" applyAlignment="1">
      <alignment vertical="center" wrapText="1"/>
    </xf>
    <xf numFmtId="14" fontId="9" fillId="6" borderId="2" xfId="1" applyNumberFormat="1" applyFont="1" applyFill="1" applyBorder="1" applyAlignment="1">
      <alignment vertical="center" wrapText="1"/>
    </xf>
    <xf numFmtId="3" fontId="9" fillId="6" borderId="2" xfId="1" applyNumberFormat="1" applyFont="1" applyFill="1" applyBorder="1" applyAlignment="1">
      <alignment vertical="center" wrapText="1"/>
    </xf>
    <xf numFmtId="0" fontId="9" fillId="6" borderId="3" xfId="1" applyFont="1" applyFill="1" applyBorder="1" applyAlignment="1">
      <alignment vertical="center"/>
    </xf>
    <xf numFmtId="0" fontId="9" fillId="6" borderId="18" xfId="1" applyFont="1" applyFill="1" applyBorder="1" applyAlignment="1">
      <alignment vertical="center"/>
    </xf>
    <xf numFmtId="0" fontId="9" fillId="6" borderId="4" xfId="1" applyFont="1" applyFill="1" applyBorder="1" applyAlignment="1">
      <alignment vertical="center"/>
    </xf>
    <xf numFmtId="3" fontId="9" fillId="6" borderId="2" xfId="1" applyNumberFormat="1" applyFont="1" applyFill="1" applyBorder="1" applyAlignment="1" applyProtection="1">
      <alignment vertical="center" wrapText="1"/>
      <protection locked="0"/>
    </xf>
    <xf numFmtId="0" fontId="9" fillId="6" borderId="1" xfId="0" applyFont="1" applyFill="1" applyBorder="1" applyAlignment="1">
      <alignment vertical="center"/>
    </xf>
    <xf numFmtId="0" fontId="9" fillId="6" borderId="1" xfId="1" applyFont="1" applyFill="1" applyBorder="1" applyAlignment="1">
      <alignment vertical="center"/>
    </xf>
    <xf numFmtId="0" fontId="9" fillId="7" borderId="5" xfId="1" applyFont="1" applyFill="1" applyBorder="1" applyAlignment="1">
      <alignment vertical="center"/>
    </xf>
    <xf numFmtId="0" fontId="9" fillId="7" borderId="0" xfId="1" applyFont="1" applyFill="1" applyBorder="1" applyAlignment="1">
      <alignment vertical="center"/>
    </xf>
    <xf numFmtId="0" fontId="9" fillId="6" borderId="6" xfId="1" applyFont="1" applyFill="1" applyBorder="1" applyAlignment="1">
      <alignment vertical="center" textRotation="90" wrapText="1"/>
    </xf>
    <xf numFmtId="0" fontId="9" fillId="6" borderId="6" xfId="1" applyFont="1" applyFill="1" applyBorder="1" applyAlignment="1">
      <alignment vertical="center" wrapText="1"/>
    </xf>
    <xf numFmtId="49" fontId="9" fillId="6" borderId="6" xfId="1" applyNumberFormat="1" applyFont="1" applyFill="1" applyBorder="1" applyAlignment="1">
      <alignment vertical="center" wrapText="1"/>
    </xf>
    <xf numFmtId="14" fontId="9" fillId="6" borderId="6" xfId="1" applyNumberFormat="1" applyFont="1" applyFill="1" applyBorder="1" applyAlignment="1">
      <alignment vertical="center" wrapText="1"/>
    </xf>
    <xf numFmtId="3" fontId="9" fillId="6" borderId="6" xfId="1" applyNumberFormat="1" applyFont="1" applyFill="1" applyBorder="1" applyAlignment="1">
      <alignment vertical="center" wrapText="1"/>
    </xf>
    <xf numFmtId="0" fontId="9" fillId="6" borderId="1" xfId="1" applyFont="1" applyFill="1" applyBorder="1" applyAlignment="1">
      <alignment vertical="center" wrapText="1"/>
    </xf>
    <xf numFmtId="3" fontId="9" fillId="6" borderId="6" xfId="1" applyNumberFormat="1" applyFont="1" applyFill="1" applyBorder="1" applyAlignment="1" applyProtection="1">
      <alignment vertical="center" wrapText="1"/>
      <protection locked="0"/>
    </xf>
    <xf numFmtId="0" fontId="9" fillId="7" borderId="2" xfId="1" applyFont="1" applyFill="1" applyBorder="1" applyAlignment="1">
      <alignment vertical="center" wrapText="1"/>
    </xf>
    <xf numFmtId="0" fontId="9" fillId="6" borderId="7" xfId="1" applyFont="1" applyFill="1" applyBorder="1" applyAlignment="1">
      <alignment vertical="center" wrapText="1"/>
    </xf>
    <xf numFmtId="3" fontId="9" fillId="6" borderId="7" xfId="1" applyNumberFormat="1" applyFont="1" applyFill="1" applyBorder="1" applyAlignment="1" applyProtection="1">
      <alignment vertical="center" wrapText="1"/>
      <protection locked="0"/>
    </xf>
    <xf numFmtId="0" fontId="9" fillId="7" borderId="7" xfId="1" applyFont="1" applyFill="1" applyBorder="1" applyAlignment="1">
      <alignment vertical="center" wrapText="1"/>
    </xf>
    <xf numFmtId="0" fontId="9" fillId="6" borderId="7" xfId="1" applyFont="1" applyFill="1" applyBorder="1" applyAlignment="1">
      <alignment vertical="center" textRotation="90" wrapText="1"/>
    </xf>
    <xf numFmtId="49" fontId="9" fillId="6" borderId="7" xfId="1" applyNumberFormat="1" applyFont="1" applyFill="1" applyBorder="1" applyAlignment="1">
      <alignment vertical="center" wrapText="1"/>
    </xf>
    <xf numFmtId="14" fontId="9" fillId="6" borderId="7" xfId="1" applyNumberFormat="1" applyFont="1" applyFill="1" applyBorder="1" applyAlignment="1">
      <alignment vertical="center" wrapText="1"/>
    </xf>
    <xf numFmtId="0" fontId="9" fillId="13" borderId="0" xfId="1" applyFont="1" applyFill="1" applyAlignment="1"/>
    <xf numFmtId="0" fontId="10" fillId="13" borderId="0" xfId="1" applyFont="1" applyFill="1"/>
    <xf numFmtId="0" fontId="9" fillId="13" borderId="18" xfId="1" applyFont="1" applyFill="1" applyBorder="1" applyAlignment="1">
      <alignment vertical="center"/>
    </xf>
    <xf numFmtId="0" fontId="9" fillId="13" borderId="1" xfId="1" applyFont="1" applyFill="1" applyBorder="1" applyAlignment="1">
      <alignment horizontal="center" vertical="center" wrapText="1"/>
    </xf>
    <xf numFmtId="0" fontId="10" fillId="13" borderId="1" xfId="1" applyFont="1" applyFill="1" applyBorder="1" applyAlignment="1">
      <alignment horizontal="center" vertical="center"/>
    </xf>
    <xf numFmtId="3" fontId="9" fillId="13" borderId="7" xfId="1" applyNumberFormat="1" applyFont="1" applyFill="1" applyBorder="1" applyAlignment="1">
      <alignment horizontal="center" vertical="center" wrapText="1"/>
    </xf>
    <xf numFmtId="0" fontId="22" fillId="13" borderId="1" xfId="1" applyFont="1" applyFill="1" applyBorder="1" applyAlignment="1">
      <alignment horizontal="center" vertical="center"/>
    </xf>
    <xf numFmtId="3" fontId="10" fillId="13" borderId="1" xfId="1" applyNumberFormat="1" applyFont="1" applyFill="1" applyBorder="1" applyAlignment="1">
      <alignment horizontal="right" vertical="center"/>
    </xf>
    <xf numFmtId="3" fontId="10" fillId="13" borderId="1" xfId="1" applyNumberFormat="1" applyFont="1" applyFill="1" applyBorder="1" applyAlignment="1">
      <alignment vertical="center"/>
    </xf>
    <xf numFmtId="3" fontId="23" fillId="13" borderId="1" xfId="1" applyNumberFormat="1" applyFont="1" applyFill="1" applyBorder="1" applyAlignment="1">
      <alignment horizontal="right" vertical="center"/>
    </xf>
    <xf numFmtId="0" fontId="0" fillId="5" borderId="1" xfId="1" applyFont="1" applyFill="1" applyBorder="1" applyAlignment="1">
      <alignment horizontal="left" vertical="center" wrapText="1"/>
    </xf>
    <xf numFmtId="0" fontId="5" fillId="0" borderId="1" xfId="0" applyFont="1" applyBorder="1" applyAlignment="1">
      <alignment horizontal="left"/>
    </xf>
    <xf numFmtId="0" fontId="5" fillId="0" borderId="1" xfId="1" applyFont="1" applyBorder="1"/>
    <xf numFmtId="3" fontId="5" fillId="0" borderId="1" xfId="2" applyNumberFormat="1" applyFont="1" applyBorder="1" applyAlignment="1">
      <alignment horizontal="center" vertical="center"/>
    </xf>
    <xf numFmtId="3" fontId="5" fillId="0" borderId="1" xfId="1" applyNumberFormat="1" applyFont="1" applyFill="1" applyBorder="1" applyAlignment="1">
      <alignment horizontal="center" vertical="center" wrapText="1"/>
    </xf>
    <xf numFmtId="3" fontId="5" fillId="0" borderId="1" xfId="1" applyNumberFormat="1" applyFont="1" applyFill="1" applyBorder="1" applyAlignment="1" applyProtection="1">
      <alignment horizontal="center" vertical="center" wrapText="1"/>
      <protection locked="0"/>
    </xf>
    <xf numFmtId="3" fontId="5" fillId="0" borderId="1" xfId="0" applyNumberFormat="1" applyFont="1" applyFill="1" applyBorder="1" applyAlignment="1">
      <alignment horizontal="center" vertical="center" wrapText="1"/>
    </xf>
    <xf numFmtId="3" fontId="5" fillId="0" borderId="1" xfId="1" applyNumberFormat="1" applyFont="1" applyFill="1" applyBorder="1" applyAlignment="1" applyProtection="1">
      <alignment horizontal="center" vertical="center"/>
    </xf>
    <xf numFmtId="14" fontId="5" fillId="0" borderId="1" xfId="1" applyNumberFormat="1" applyFont="1" applyFill="1" applyBorder="1" applyAlignment="1">
      <alignment horizontal="center" vertical="center"/>
    </xf>
    <xf numFmtId="3" fontId="5" fillId="0" borderId="0" xfId="0" applyNumberFormat="1" applyFont="1" applyBorder="1" applyAlignment="1">
      <alignment horizontal="center" vertical="center"/>
    </xf>
    <xf numFmtId="3" fontId="14" fillId="0" borderId="1" xfId="0" applyNumberFormat="1" applyFont="1" applyBorder="1" applyAlignment="1">
      <alignment horizontal="center" vertical="center"/>
    </xf>
    <xf numFmtId="0" fontId="30" fillId="14" borderId="22" xfId="0" applyFont="1" applyFill="1" applyBorder="1"/>
    <xf numFmtId="0" fontId="0" fillId="0" borderId="0" xfId="0" applyAlignment="1">
      <alignment horizontal="left"/>
    </xf>
    <xf numFmtId="0" fontId="0" fillId="0" borderId="0" xfId="0" applyNumberFormat="1"/>
    <xf numFmtId="0" fontId="16" fillId="0" borderId="1" xfId="0" applyFont="1" applyBorder="1" applyAlignment="1">
      <alignment horizontal="center" vertical="center" wrapText="1"/>
    </xf>
    <xf numFmtId="0" fontId="11" fillId="0" borderId="1" xfId="1" applyFont="1" applyFill="1" applyBorder="1" applyAlignment="1">
      <alignment horizontal="center" vertical="center"/>
    </xf>
    <xf numFmtId="0" fontId="16" fillId="0" borderId="1" xfId="1" applyFont="1" applyBorder="1" applyAlignment="1">
      <alignment horizontal="center" vertical="center"/>
    </xf>
    <xf numFmtId="0" fontId="16" fillId="0" borderId="1" xfId="1" applyFont="1" applyBorder="1" applyAlignment="1">
      <alignment horizontal="center" vertical="center" wrapText="1"/>
    </xf>
    <xf numFmtId="3" fontId="16" fillId="0" borderId="1" xfId="1" applyNumberFormat="1" applyFont="1" applyBorder="1" applyAlignment="1">
      <alignment horizontal="center" vertical="center"/>
    </xf>
    <xf numFmtId="0" fontId="16" fillId="0" borderId="1" xfId="1" applyFont="1" applyFill="1" applyBorder="1" applyAlignment="1">
      <alignment horizontal="center" vertical="center"/>
    </xf>
    <xf numFmtId="0" fontId="16" fillId="0" borderId="1" xfId="1" applyFont="1" applyFill="1" applyBorder="1" applyAlignment="1">
      <alignment horizontal="center" vertical="center" wrapText="1"/>
    </xf>
    <xf numFmtId="3" fontId="16" fillId="0" borderId="1" xfId="1" applyNumberFormat="1" applyFont="1" applyFill="1" applyBorder="1" applyAlignment="1">
      <alignment horizontal="center" vertical="center"/>
    </xf>
    <xf numFmtId="3" fontId="5" fillId="0" borderId="7" xfId="0" applyNumberFormat="1" applyFont="1" applyBorder="1" applyAlignment="1">
      <alignment horizontal="center" vertical="center"/>
    </xf>
    <xf numFmtId="3" fontId="5" fillId="0" borderId="7" xfId="0" applyNumberFormat="1" applyFont="1" applyFill="1" applyBorder="1" applyAlignment="1">
      <alignment horizontal="center" vertical="center"/>
    </xf>
    <xf numFmtId="0" fontId="16" fillId="0" borderId="1" xfId="0" applyFont="1" applyBorder="1" applyAlignment="1">
      <alignment horizontal="center" vertical="center"/>
    </xf>
    <xf numFmtId="0" fontId="16" fillId="0" borderId="3" xfId="1" applyFont="1" applyBorder="1" applyAlignment="1">
      <alignment horizontal="center" vertical="center"/>
    </xf>
    <xf numFmtId="0" fontId="16" fillId="0" borderId="1" xfId="0" applyNumberFormat="1" applyFont="1" applyFill="1" applyBorder="1" applyAlignment="1">
      <alignment horizontal="center" vertical="center" wrapText="1"/>
    </xf>
    <xf numFmtId="3" fontId="13" fillId="3" borderId="1" xfId="0" applyNumberFormat="1" applyFont="1" applyFill="1" applyBorder="1" applyAlignment="1" applyProtection="1">
      <alignment horizontal="center" vertical="center" wrapText="1"/>
    </xf>
    <xf numFmtId="0" fontId="17" fillId="8" borderId="1" xfId="1" applyFont="1" applyFill="1" applyBorder="1" applyAlignment="1">
      <alignment horizontal="left" vertical="center" wrapText="1"/>
    </xf>
    <xf numFmtId="3" fontId="16" fillId="8" borderId="1" xfId="1" applyNumberFormat="1" applyFont="1" applyFill="1" applyBorder="1" applyAlignment="1">
      <alignment horizontal="left" vertical="center" wrapText="1"/>
    </xf>
    <xf numFmtId="0" fontId="17" fillId="8" borderId="1" xfId="0" applyFont="1" applyFill="1" applyBorder="1" applyAlignment="1">
      <alignment horizontal="left" vertical="center" wrapText="1"/>
    </xf>
    <xf numFmtId="0" fontId="16" fillId="8" borderId="1" xfId="1" applyFont="1" applyFill="1" applyBorder="1" applyAlignment="1">
      <alignment vertical="center" wrapText="1"/>
    </xf>
    <xf numFmtId="0" fontId="16" fillId="8" borderId="1" xfId="0" applyFont="1" applyFill="1" applyBorder="1" applyAlignment="1">
      <alignment horizontal="left" vertical="center" wrapText="1"/>
    </xf>
    <xf numFmtId="0" fontId="16" fillId="8" borderId="1" xfId="0" applyFont="1" applyFill="1" applyBorder="1" applyAlignment="1">
      <alignment horizontal="left" wrapText="1"/>
    </xf>
    <xf numFmtId="0" fontId="0" fillId="8" borderId="1" xfId="1" applyFont="1" applyFill="1" applyBorder="1" applyAlignment="1">
      <alignment horizontal="left" vertical="center" wrapText="1"/>
    </xf>
    <xf numFmtId="0" fontId="5" fillId="8" borderId="1" xfId="0" applyFont="1" applyFill="1" applyBorder="1" applyAlignment="1">
      <alignment vertical="center" wrapText="1"/>
    </xf>
    <xf numFmtId="9" fontId="5" fillId="0" borderId="1" xfId="2" applyFont="1" applyBorder="1" applyAlignment="1">
      <alignment horizontal="center" vertical="center"/>
    </xf>
    <xf numFmtId="3" fontId="13" fillId="3" borderId="1" xfId="0" applyNumberFormat="1" applyFont="1" applyFill="1" applyBorder="1" applyAlignment="1" applyProtection="1">
      <alignment horizontal="center" vertical="center" wrapText="1"/>
    </xf>
    <xf numFmtId="0" fontId="5" fillId="0" borderId="0" xfId="0" applyFont="1" applyBorder="1"/>
    <xf numFmtId="3" fontId="5" fillId="0" borderId="0" xfId="0" applyNumberFormat="1" applyFont="1" applyFill="1" applyBorder="1" applyAlignment="1">
      <alignment horizontal="center" vertical="center"/>
    </xf>
    <xf numFmtId="9" fontId="5" fillId="0" borderId="0" xfId="2" applyFont="1" applyBorder="1" applyAlignment="1">
      <alignment horizontal="center" vertical="center"/>
    </xf>
    <xf numFmtId="0" fontId="0" fillId="5" borderId="0" xfId="1" applyFont="1" applyFill="1" applyBorder="1" applyAlignment="1">
      <alignment horizontal="left" vertical="center" wrapText="1"/>
    </xf>
    <xf numFmtId="3" fontId="10" fillId="0" borderId="0" xfId="1" applyNumberFormat="1" applyFont="1" applyBorder="1" applyAlignment="1">
      <alignment horizontal="right" vertical="center"/>
    </xf>
    <xf numFmtId="0" fontId="13" fillId="3" borderId="1" xfId="0" applyFont="1" applyFill="1" applyBorder="1" applyAlignment="1" applyProtection="1">
      <alignment horizontal="center" vertical="center" wrapText="1"/>
    </xf>
    <xf numFmtId="0" fontId="10" fillId="0" borderId="0" xfId="1" applyFont="1" applyBorder="1" applyAlignment="1">
      <alignment horizontal="center" vertical="center"/>
    </xf>
    <xf numFmtId="3" fontId="13" fillId="3" borderId="1" xfId="0" applyNumberFormat="1" applyFont="1" applyFill="1" applyBorder="1" applyAlignment="1" applyProtection="1">
      <alignment horizontal="center" vertical="center" wrapText="1"/>
    </xf>
    <xf numFmtId="0" fontId="5" fillId="0" borderId="3" xfId="0" applyFont="1" applyBorder="1" applyAlignment="1">
      <alignment wrapText="1"/>
    </xf>
    <xf numFmtId="0" fontId="5" fillId="0" borderId="1" xfId="0" applyFont="1" applyBorder="1" applyAlignment="1">
      <alignment horizontal="center"/>
    </xf>
    <xf numFmtId="0" fontId="5" fillId="0" borderId="1" xfId="0" applyFont="1" applyBorder="1" applyAlignment="1">
      <alignment horizontal="center" wrapText="1"/>
    </xf>
    <xf numFmtId="0" fontId="3" fillId="0" borderId="1" xfId="0" applyFont="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10"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1" applyFont="1" applyBorder="1" applyAlignment="1">
      <alignment horizontal="center" vertical="center" wrapText="1"/>
    </xf>
    <xf numFmtId="0" fontId="5" fillId="0" borderId="1" xfId="0" applyFont="1" applyBorder="1" applyAlignment="1">
      <alignment horizontal="center" vertical="top" wrapText="1"/>
    </xf>
    <xf numFmtId="0" fontId="5" fillId="0" borderId="3" xfId="0" applyFont="1" applyBorder="1" applyAlignment="1">
      <alignment horizontal="center"/>
    </xf>
    <xf numFmtId="0" fontId="3" fillId="0" borderId="3" xfId="0" applyFont="1" applyBorder="1" applyAlignment="1">
      <alignment horizontal="center"/>
    </xf>
    <xf numFmtId="0" fontId="10" fillId="0" borderId="3" xfId="1" applyFont="1" applyBorder="1" applyAlignment="1">
      <alignment horizontal="center" vertical="center"/>
    </xf>
    <xf numFmtId="0" fontId="10" fillId="0" borderId="1" xfId="1" applyNumberFormat="1" applyFont="1" applyBorder="1" applyAlignment="1">
      <alignment horizontal="center" vertical="center"/>
    </xf>
    <xf numFmtId="3" fontId="5" fillId="0" borderId="1" xfId="0" applyNumberFormat="1" applyFont="1" applyBorder="1" applyAlignment="1">
      <alignment horizontal="center" vertical="center" wrapText="1"/>
    </xf>
    <xf numFmtId="0" fontId="3" fillId="0" borderId="1" xfId="0" applyFont="1" applyFill="1" applyBorder="1" applyAlignment="1">
      <alignment horizontal="center"/>
    </xf>
    <xf numFmtId="0" fontId="3" fillId="0" borderId="1" xfId="0" applyFont="1" applyFill="1" applyBorder="1" applyAlignment="1">
      <alignment horizont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xf>
    <xf numFmtId="0" fontId="5" fillId="0" borderId="1" xfId="0" applyFont="1" applyFill="1" applyBorder="1" applyAlignment="1">
      <alignment horizontal="center" wrapText="1"/>
    </xf>
    <xf numFmtId="0" fontId="0" fillId="0" borderId="1" xfId="0" applyBorder="1" applyAlignment="1">
      <alignment horizontal="center"/>
    </xf>
    <xf numFmtId="3" fontId="10" fillId="0" borderId="1" xfId="1" applyNumberFormat="1" applyFont="1" applyBorder="1" applyAlignment="1">
      <alignment horizontal="center" vertical="center" wrapText="1"/>
    </xf>
    <xf numFmtId="0" fontId="1" fillId="0" borderId="1" xfId="0" applyFont="1" applyBorder="1" applyAlignment="1">
      <alignment horizontal="center"/>
    </xf>
    <xf numFmtId="3" fontId="10" fillId="5" borderId="1" xfId="1" applyNumberFormat="1" applyFont="1" applyFill="1" applyBorder="1" applyAlignment="1">
      <alignment horizontal="center" vertical="center"/>
    </xf>
    <xf numFmtId="0" fontId="10" fillId="0" borderId="1" xfId="0" applyNumberFormat="1" applyFont="1" applyFill="1" applyBorder="1" applyAlignment="1">
      <alignment horizontal="center" vertical="top" wrapText="1"/>
    </xf>
    <xf numFmtId="3" fontId="23" fillId="0" borderId="1" xfId="1" applyNumberFormat="1" applyFont="1" applyFill="1" applyBorder="1" applyAlignment="1">
      <alignment horizontal="center" vertical="center"/>
    </xf>
    <xf numFmtId="3" fontId="0" fillId="0" borderId="0" xfId="0" applyNumberFormat="1"/>
    <xf numFmtId="0" fontId="3" fillId="0" borderId="2" xfId="0" applyFont="1" applyBorder="1" applyAlignment="1">
      <alignment horizontal="center"/>
    </xf>
    <xf numFmtId="0" fontId="3" fillId="0" borderId="2" xfId="0" applyFont="1" applyBorder="1" applyAlignment="1">
      <alignment horizontal="center" wrapText="1"/>
    </xf>
    <xf numFmtId="0" fontId="3" fillId="0" borderId="2" xfId="0" applyFont="1" applyBorder="1" applyAlignment="1">
      <alignment horizontal="center" vertical="center"/>
    </xf>
    <xf numFmtId="0" fontId="5" fillId="0" borderId="2" xfId="0" applyFont="1" applyBorder="1" applyAlignment="1">
      <alignment horizontal="center" vertical="center" wrapText="1"/>
    </xf>
    <xf numFmtId="3" fontId="5" fillId="0" borderId="2" xfId="0" applyNumberFormat="1" applyFont="1" applyBorder="1" applyAlignment="1">
      <alignment horizontal="center" vertical="center"/>
    </xf>
    <xf numFmtId="0" fontId="30" fillId="14" borderId="0" xfId="0" applyFont="1" applyFill="1" applyBorder="1"/>
    <xf numFmtId="4" fontId="0" fillId="0" borderId="0" xfId="0" applyNumberFormat="1"/>
    <xf numFmtId="0" fontId="30" fillId="14" borderId="23" xfId="0" applyFont="1" applyFill="1" applyBorder="1" applyAlignment="1">
      <alignment horizontal="left"/>
    </xf>
    <xf numFmtId="0" fontId="30" fillId="14" borderId="23" xfId="0" applyNumberFormat="1" applyFont="1" applyFill="1" applyBorder="1"/>
    <xf numFmtId="0" fontId="0" fillId="0" borderId="0" xfId="0" applyFont="1"/>
    <xf numFmtId="0" fontId="0" fillId="0" borderId="0" xfId="0" applyFont="1" applyAlignment="1">
      <alignment horizontal="right" wrapText="1"/>
    </xf>
    <xf numFmtId="3" fontId="13" fillId="3" borderId="1" xfId="0" applyNumberFormat="1" applyFont="1" applyFill="1" applyBorder="1" applyAlignment="1" applyProtection="1">
      <alignment horizontal="center" vertical="center" wrapText="1"/>
    </xf>
    <xf numFmtId="3" fontId="13" fillId="4" borderId="1" xfId="0" applyNumberFormat="1" applyFont="1" applyFill="1" applyBorder="1" applyAlignment="1" applyProtection="1">
      <alignment horizontal="center" vertical="center" wrapText="1"/>
    </xf>
    <xf numFmtId="0" fontId="0" fillId="0" borderId="0" xfId="0" applyFont="1" applyAlignment="1">
      <alignment vertical="top"/>
    </xf>
    <xf numFmtId="3" fontId="25" fillId="12" borderId="1" xfId="5" applyNumberFormat="1" applyFont="1" applyFill="1" applyBorder="1" applyAlignment="1" applyProtection="1">
      <alignment horizontal="center" vertical="center"/>
    </xf>
    <xf numFmtId="0" fontId="0" fillId="0" borderId="1" xfId="0" applyBorder="1"/>
    <xf numFmtId="3" fontId="5" fillId="8" borderId="1" xfId="1" applyNumberFormat="1" applyFont="1" applyFill="1" applyBorder="1" applyAlignment="1">
      <alignment horizontal="center" vertical="center"/>
    </xf>
    <xf numFmtId="0" fontId="10" fillId="0" borderId="0" xfId="1" applyFont="1" applyBorder="1" applyAlignment="1">
      <alignment horizontal="center" vertical="center" wrapText="1"/>
    </xf>
    <xf numFmtId="0" fontId="16" fillId="0" borderId="0" xfId="1" applyFont="1" applyBorder="1" applyAlignment="1">
      <alignment horizontal="center" vertical="center"/>
    </xf>
    <xf numFmtId="3" fontId="10" fillId="0" borderId="0" xfId="1" applyNumberFormat="1" applyFont="1" applyBorder="1" applyAlignment="1">
      <alignment horizontal="center" vertical="center"/>
    </xf>
    <xf numFmtId="0" fontId="13" fillId="3" borderId="1" xfId="0"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11" fillId="3" borderId="1" xfId="0" applyNumberFormat="1" applyFont="1" applyFill="1" applyBorder="1" applyAlignment="1" applyProtection="1">
      <alignment horizontal="center" vertical="center" wrapText="1"/>
    </xf>
    <xf numFmtId="3" fontId="13" fillId="4" borderId="1" xfId="0" applyNumberFormat="1" applyFont="1" applyFill="1" applyBorder="1" applyAlignment="1" applyProtection="1">
      <alignment horizontal="center" vertical="center" wrapText="1"/>
    </xf>
    <xf numFmtId="0" fontId="10" fillId="0" borderId="0" xfId="1" applyFont="1" applyBorder="1" applyAlignment="1">
      <alignment horizontal="left" vertical="center"/>
    </xf>
    <xf numFmtId="0" fontId="10" fillId="0" borderId="0" xfId="1" applyFont="1" applyBorder="1" applyAlignment="1">
      <alignment horizontal="left" vertical="center" wrapText="1"/>
    </xf>
    <xf numFmtId="14" fontId="10" fillId="0" borderId="0" xfId="1" applyNumberFormat="1" applyFont="1" applyBorder="1" applyAlignment="1">
      <alignment horizontal="left" vertical="center"/>
    </xf>
    <xf numFmtId="14" fontId="10" fillId="0" borderId="0" xfId="1" applyNumberFormat="1" applyFont="1" applyBorder="1" applyAlignment="1">
      <alignment horizontal="left" vertical="center" wrapText="1"/>
    </xf>
    <xf numFmtId="0" fontId="10" fillId="0" borderId="3" xfId="1" applyFont="1" applyBorder="1" applyAlignment="1">
      <alignment horizontal="left" vertical="center"/>
    </xf>
    <xf numFmtId="0" fontId="5" fillId="0" borderId="7" xfId="0" applyFont="1" applyBorder="1" applyAlignment="1">
      <alignment horizontal="center"/>
    </xf>
    <xf numFmtId="0" fontId="5" fillId="0" borderId="7" xfId="0" applyFont="1" applyBorder="1" applyAlignment="1">
      <alignment horizontal="center" wrapText="1"/>
    </xf>
    <xf numFmtId="0" fontId="0" fillId="0" borderId="1" xfId="0" applyBorder="1" applyAlignment="1">
      <alignment horizontal="left"/>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16" fillId="0" borderId="21" xfId="1" applyFont="1" applyBorder="1" applyAlignment="1">
      <alignment horizontal="center" vertical="center"/>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3" fontId="0" fillId="0" borderId="1" xfId="0" applyNumberFormat="1" applyBorder="1" applyAlignment="1">
      <alignment horizontal="center" vertical="center"/>
    </xf>
    <xf numFmtId="3" fontId="10" fillId="0" borderId="0" xfId="1" applyNumberFormat="1" applyFont="1" applyBorder="1" applyAlignment="1">
      <alignment vertical="center"/>
    </xf>
    <xf numFmtId="0" fontId="17" fillId="5" borderId="0" xfId="1" applyFont="1" applyFill="1" applyBorder="1" applyAlignment="1">
      <alignment horizontal="left" vertical="center" wrapText="1"/>
    </xf>
    <xf numFmtId="0" fontId="16" fillId="0" borderId="0" xfId="0" applyFont="1" applyBorder="1" applyAlignment="1">
      <alignment horizontal="left"/>
    </xf>
    <xf numFmtId="0" fontId="17" fillId="8" borderId="0" xfId="1" applyFont="1" applyFill="1" applyBorder="1" applyAlignment="1">
      <alignment horizontal="left" vertical="center" wrapText="1"/>
    </xf>
    <xf numFmtId="0" fontId="16" fillId="0" borderId="0" xfId="0" applyFont="1" applyBorder="1" applyAlignment="1">
      <alignment horizontal="left" vertical="center" wrapText="1"/>
    </xf>
    <xf numFmtId="0" fontId="5" fillId="0" borderId="0" xfId="0" applyFont="1" applyBorder="1" applyAlignment="1">
      <alignment horizontal="left"/>
    </xf>
    <xf numFmtId="3" fontId="16" fillId="0" borderId="0" xfId="0" applyNumberFormat="1" applyFont="1" applyFill="1" applyBorder="1" applyAlignment="1">
      <alignment horizontal="left" vertical="center"/>
    </xf>
    <xf numFmtId="0" fontId="10" fillId="0" borderId="0" xfId="1" applyFont="1" applyBorder="1"/>
    <xf numFmtId="0" fontId="5" fillId="0" borderId="0" xfId="0" applyFont="1" applyBorder="1" applyAlignment="1">
      <alignment wrapText="1"/>
    </xf>
    <xf numFmtId="0" fontId="3" fillId="0" borderId="0" xfId="0" applyFont="1" applyBorder="1"/>
    <xf numFmtId="0" fontId="10" fillId="0" borderId="0" xfId="1" applyFont="1" applyFill="1" applyBorder="1" applyAlignment="1">
      <alignment horizontal="left"/>
    </xf>
    <xf numFmtId="0" fontId="11" fillId="0" borderId="0" xfId="0" applyFont="1"/>
    <xf numFmtId="3" fontId="11" fillId="4" borderId="1" xfId="0"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xf>
    <xf numFmtId="3" fontId="11" fillId="0" borderId="1" xfId="0" applyNumberFormat="1" applyFont="1" applyFill="1" applyBorder="1" applyAlignment="1" applyProtection="1">
      <alignment horizontal="center" vertical="center" wrapText="1"/>
    </xf>
    <xf numFmtId="3" fontId="9" fillId="0" borderId="1" xfId="1" applyNumberFormat="1" applyFont="1" applyBorder="1" applyAlignment="1">
      <alignment horizontal="center" vertical="center"/>
    </xf>
    <xf numFmtId="3" fontId="11" fillId="0" borderId="1" xfId="0" applyNumberFormat="1" applyFont="1" applyFill="1" applyBorder="1" applyAlignment="1">
      <alignment horizontal="center" vertical="center"/>
    </xf>
    <xf numFmtId="3" fontId="11" fillId="0" borderId="1" xfId="0" applyNumberFormat="1" applyFont="1" applyBorder="1" applyAlignment="1">
      <alignment horizontal="center" vertical="center"/>
    </xf>
    <xf numFmtId="3" fontId="11" fillId="0" borderId="1" xfId="1" applyNumberFormat="1" applyFont="1" applyFill="1" applyBorder="1" applyAlignment="1">
      <alignment horizontal="center" vertical="center"/>
    </xf>
    <xf numFmtId="3" fontId="11" fillId="0" borderId="1" xfId="1" applyNumberFormat="1" applyFont="1" applyBorder="1" applyAlignment="1">
      <alignment horizontal="center" vertical="center"/>
    </xf>
    <xf numFmtId="3" fontId="11" fillId="0" borderId="2" xfId="0" applyNumberFormat="1" applyFont="1" applyFill="1" applyBorder="1" applyAlignment="1" applyProtection="1">
      <alignment horizontal="center" vertical="center" wrapText="1"/>
    </xf>
    <xf numFmtId="3" fontId="11" fillId="0" borderId="7" xfId="0" applyNumberFormat="1" applyFont="1" applyFill="1" applyBorder="1" applyAlignment="1" applyProtection="1">
      <alignment horizontal="center" vertical="center" wrapText="1"/>
    </xf>
    <xf numFmtId="3" fontId="11" fillId="0" borderId="0" xfId="0" applyNumberFormat="1" applyFont="1" applyFill="1" applyBorder="1" applyAlignment="1" applyProtection="1">
      <alignment horizontal="center" vertical="center" wrapText="1"/>
    </xf>
    <xf numFmtId="3" fontId="9" fillId="0" borderId="0" xfId="1" applyNumberFormat="1" applyFont="1" applyBorder="1" applyAlignment="1">
      <alignment horizontal="center" vertical="center"/>
    </xf>
    <xf numFmtId="0" fontId="19" fillId="0" borderId="0" xfId="0" applyFont="1" applyAlignment="1"/>
    <xf numFmtId="3" fontId="0" fillId="0" borderId="1" xfId="0" applyNumberFormat="1" applyBorder="1"/>
    <xf numFmtId="14" fontId="0" fillId="0" borderId="1" xfId="0" applyNumberFormat="1" applyBorder="1"/>
    <xf numFmtId="16" fontId="0" fillId="0" borderId="1" xfId="0" applyNumberFormat="1" applyBorder="1"/>
    <xf numFmtId="3" fontId="0" fillId="0" borderId="1" xfId="0" applyNumberFormat="1" applyFill="1" applyBorder="1"/>
    <xf numFmtId="0" fontId="0" fillId="0" borderId="2" xfId="0" applyBorder="1"/>
    <xf numFmtId="3" fontId="0" fillId="0" borderId="2" xfId="0" applyNumberFormat="1" applyBorder="1" applyAlignment="1">
      <alignment wrapText="1"/>
    </xf>
    <xf numFmtId="0" fontId="0" fillId="0" borderId="7" xfId="0" applyBorder="1"/>
    <xf numFmtId="3" fontId="0" fillId="0" borderId="7" xfId="0" applyNumberFormat="1" applyBorder="1"/>
    <xf numFmtId="0" fontId="0" fillId="0" borderId="24" xfId="0" applyBorder="1"/>
    <xf numFmtId="3" fontId="0" fillId="0" borderId="25" xfId="0" applyNumberFormat="1" applyBorder="1" applyAlignment="1">
      <alignment wrapText="1"/>
    </xf>
    <xf numFmtId="3" fontId="0" fillId="0" borderId="26" xfId="0" applyNumberFormat="1" applyBorder="1" applyAlignment="1">
      <alignment wrapText="1"/>
    </xf>
    <xf numFmtId="3" fontId="13" fillId="3" borderId="1" xfId="0" applyNumberFormat="1" applyFont="1" applyFill="1" applyBorder="1" applyAlignment="1" applyProtection="1">
      <alignment horizontal="center" vertical="center" wrapText="1"/>
    </xf>
    <xf numFmtId="3" fontId="30" fillId="14" borderId="23" xfId="0" applyNumberFormat="1" applyFont="1" applyFill="1" applyBorder="1"/>
    <xf numFmtId="0" fontId="0" fillId="0" borderId="1" xfId="0" applyBorder="1" applyAlignment="1">
      <alignment wrapText="1"/>
    </xf>
    <xf numFmtId="0" fontId="13" fillId="3" borderId="1"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10" fillId="0" borderId="1" xfId="1" applyNumberFormat="1" applyFont="1" applyFill="1" applyBorder="1" applyAlignment="1">
      <alignment horizontal="center" vertical="center"/>
    </xf>
    <xf numFmtId="0" fontId="5" fillId="0" borderId="1" xfId="1" applyNumberFormat="1" applyFont="1" applyFill="1" applyBorder="1" applyAlignment="1">
      <alignment horizontal="center" vertical="center"/>
    </xf>
    <xf numFmtId="0" fontId="0"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19" fillId="0" borderId="0" xfId="0" applyFont="1" applyAlignment="1">
      <alignment horizontal="center" vertical="center"/>
    </xf>
    <xf numFmtId="0" fontId="3" fillId="0" borderId="1" xfId="0" applyFont="1" applyFill="1" applyBorder="1" applyAlignment="1">
      <alignment horizontal="center" vertical="center" wrapText="1"/>
    </xf>
    <xf numFmtId="0" fontId="5" fillId="0" borderId="0" xfId="0" applyFont="1" applyAlignment="1">
      <alignment horizontal="left" vertical="center"/>
    </xf>
    <xf numFmtId="3" fontId="13" fillId="4" borderId="1" xfId="0" applyNumberFormat="1" applyFont="1" applyFill="1" applyBorder="1" applyAlignment="1" applyProtection="1">
      <alignment horizontal="center" vertical="center" wrapText="1"/>
    </xf>
    <xf numFmtId="0" fontId="16" fillId="0" borderId="1" xfId="0" applyFont="1" applyFill="1" applyBorder="1" applyAlignment="1">
      <alignment vertical="center" wrapText="1"/>
    </xf>
    <xf numFmtId="3" fontId="16" fillId="0" borderId="1" xfId="1" applyNumberFormat="1" applyFont="1" applyFill="1" applyBorder="1" applyAlignment="1">
      <alignment horizontal="left" vertical="center" wrapText="1"/>
    </xf>
    <xf numFmtId="0" fontId="18" fillId="0" borderId="1" xfId="0" applyFont="1" applyBorder="1" applyAlignment="1">
      <alignment vertical="center" wrapText="1"/>
    </xf>
    <xf numFmtId="0" fontId="3" fillId="0" borderId="0" xfId="0" applyFont="1" applyAlignment="1">
      <alignment vertical="center"/>
    </xf>
    <xf numFmtId="0" fontId="16" fillId="0" borderId="1" xfId="0" applyFont="1" applyBorder="1" applyAlignment="1">
      <alignment vertical="center" wrapText="1"/>
    </xf>
    <xf numFmtId="0" fontId="5" fillId="0" borderId="0" xfId="0" applyFont="1" applyAlignment="1">
      <alignment vertical="center"/>
    </xf>
    <xf numFmtId="0" fontId="0" fillId="0" borderId="0" xfId="0" applyFont="1" applyAlignment="1">
      <alignment vertical="center"/>
    </xf>
    <xf numFmtId="0" fontId="16" fillId="5" borderId="1" xfId="0" applyFont="1" applyFill="1" applyBorder="1" applyAlignment="1">
      <alignment vertical="center" wrapText="1"/>
    </xf>
    <xf numFmtId="0" fontId="16" fillId="0" borderId="1" xfId="0" applyFont="1" applyFill="1" applyBorder="1" applyAlignment="1">
      <alignment horizontal="left" vertical="center" wrapText="1"/>
    </xf>
    <xf numFmtId="4" fontId="16" fillId="0" borderId="1" xfId="0" applyNumberFormat="1" applyFont="1" applyFill="1" applyBorder="1" applyAlignment="1">
      <alignment vertical="center" wrapText="1"/>
    </xf>
    <xf numFmtId="0" fontId="7" fillId="0" borderId="0" xfId="1" applyFont="1" applyAlignment="1">
      <alignment vertical="center"/>
    </xf>
    <xf numFmtId="0" fontId="3" fillId="0" borderId="0" xfId="1" applyFont="1" applyAlignment="1">
      <alignment vertical="center"/>
    </xf>
    <xf numFmtId="0" fontId="3" fillId="0" borderId="0" xfId="0" applyFont="1" applyFill="1" applyAlignment="1">
      <alignment vertical="center"/>
    </xf>
    <xf numFmtId="0" fontId="19" fillId="0" borderId="0" xfId="0" applyFont="1" applyAlignment="1">
      <alignment horizontal="left" vertical="center"/>
    </xf>
    <xf numFmtId="3" fontId="16" fillId="0" borderId="1" xfId="0" applyNumberFormat="1" applyFont="1" applyFill="1" applyBorder="1" applyAlignment="1">
      <alignment horizontal="left" vertical="center"/>
    </xf>
    <xf numFmtId="3" fontId="16" fillId="0" borderId="1" xfId="0" applyNumberFormat="1" applyFont="1" applyFill="1" applyBorder="1" applyAlignment="1">
      <alignment horizontal="left" vertical="center" wrapText="1"/>
    </xf>
    <xf numFmtId="4" fontId="34" fillId="0" borderId="3" xfId="10" applyNumberFormat="1" applyFont="1" applyFill="1" applyBorder="1" applyAlignment="1" applyProtection="1">
      <alignment horizontal="center" vertical="center"/>
      <protection locked="0"/>
    </xf>
    <xf numFmtId="4" fontId="34" fillId="0" borderId="18" xfId="10" applyNumberFormat="1" applyFont="1" applyFill="1" applyBorder="1" applyAlignment="1" applyProtection="1">
      <alignment horizontal="center" vertical="center"/>
      <protection locked="0"/>
    </xf>
    <xf numFmtId="4" fontId="34" fillId="0" borderId="4" xfId="10" applyNumberFormat="1"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0" fontId="8" fillId="3" borderId="13" xfId="0" applyFont="1" applyFill="1" applyBorder="1" applyAlignment="1" applyProtection="1">
      <alignment horizontal="center" vertical="center" textRotation="90" wrapText="1"/>
    </xf>
    <xf numFmtId="0" fontId="8" fillId="3" borderId="12" xfId="0" applyFont="1" applyFill="1" applyBorder="1" applyAlignment="1" applyProtection="1">
      <alignment horizontal="center" vertical="center" textRotation="90" wrapText="1"/>
    </xf>
    <xf numFmtId="0" fontId="8" fillId="3" borderId="14" xfId="0" applyFont="1" applyFill="1" applyBorder="1" applyAlignment="1" applyProtection="1">
      <alignment horizontal="center" vertical="center" textRotation="90" wrapText="1"/>
    </xf>
    <xf numFmtId="0" fontId="13" fillId="3" borderId="1" xfId="0" applyFont="1" applyFill="1" applyBorder="1" applyAlignment="1" applyProtection="1">
      <alignment horizontal="center" vertical="center" wrapText="1"/>
    </xf>
    <xf numFmtId="0" fontId="8" fillId="3" borderId="16" xfId="0" applyFont="1" applyFill="1" applyBorder="1" applyAlignment="1" applyProtection="1">
      <alignment horizontal="center" vertical="center" wrapText="1"/>
    </xf>
    <xf numFmtId="0" fontId="8" fillId="3" borderId="15"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textRotation="90" wrapText="1"/>
    </xf>
    <xf numFmtId="0" fontId="8" fillId="3" borderId="2" xfId="0" applyFont="1" applyFill="1" applyBorder="1" applyAlignment="1" applyProtection="1">
      <alignment horizontal="center" vertical="center" textRotation="90" wrapText="1"/>
    </xf>
    <xf numFmtId="0" fontId="8" fillId="3" borderId="6" xfId="0" applyFont="1" applyFill="1" applyBorder="1" applyAlignment="1" applyProtection="1">
      <alignment horizontal="center" vertical="center" textRotation="90" wrapText="1"/>
    </xf>
    <xf numFmtId="0" fontId="8" fillId="3" borderId="7" xfId="0" applyFont="1" applyFill="1" applyBorder="1" applyAlignment="1" applyProtection="1">
      <alignment horizontal="center" vertical="center" textRotation="90" wrapText="1"/>
    </xf>
    <xf numFmtId="3" fontId="13" fillId="3" borderId="3" xfId="0" applyNumberFormat="1" applyFont="1" applyFill="1" applyBorder="1" applyAlignment="1" applyProtection="1">
      <alignment horizontal="center" vertical="center" wrapText="1"/>
    </xf>
    <xf numFmtId="3" fontId="13" fillId="3" borderId="18" xfId="0" applyNumberFormat="1" applyFont="1" applyFill="1" applyBorder="1" applyAlignment="1" applyProtection="1">
      <alignment horizontal="center" vertical="center" wrapText="1"/>
    </xf>
    <xf numFmtId="3" fontId="13" fillId="3" borderId="4" xfId="0" applyNumberFormat="1" applyFont="1" applyFill="1" applyBorder="1" applyAlignment="1" applyProtection="1">
      <alignment horizontal="center" vertical="center" wrapText="1"/>
    </xf>
    <xf numFmtId="14" fontId="5" fillId="0" borderId="0" xfId="0" applyNumberFormat="1" applyFont="1" applyAlignment="1">
      <alignment horizontal="left"/>
    </xf>
    <xf numFmtId="0" fontId="19" fillId="0" borderId="0" xfId="0" applyFont="1" applyAlignment="1">
      <alignment horizontal="center"/>
    </xf>
    <xf numFmtId="0" fontId="37" fillId="0" borderId="0" xfId="0" applyFont="1" applyAlignment="1">
      <alignment horizontal="center"/>
    </xf>
    <xf numFmtId="3" fontId="11" fillId="3" borderId="1" xfId="0" applyNumberFormat="1" applyFont="1" applyFill="1" applyBorder="1" applyAlignment="1" applyProtection="1">
      <alignment horizontal="center" vertical="center" wrapText="1"/>
    </xf>
    <xf numFmtId="3" fontId="13" fillId="4" borderId="1" xfId="0" applyNumberFormat="1" applyFont="1" applyFill="1" applyBorder="1" applyAlignment="1" applyProtection="1">
      <alignment horizontal="center" vertical="center" wrapText="1"/>
    </xf>
    <xf numFmtId="3" fontId="13" fillId="4" borderId="3" xfId="0" applyNumberFormat="1" applyFont="1" applyFill="1" applyBorder="1" applyAlignment="1" applyProtection="1">
      <alignment horizontal="center" vertical="center" wrapText="1"/>
    </xf>
    <xf numFmtId="3" fontId="13" fillId="4" borderId="18" xfId="0" applyNumberFormat="1" applyFont="1" applyFill="1" applyBorder="1" applyAlignment="1" applyProtection="1">
      <alignment horizontal="center" vertical="center" wrapText="1"/>
    </xf>
    <xf numFmtId="3" fontId="13" fillId="4" borderId="4" xfId="0" applyNumberFormat="1"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18"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0" fillId="0" borderId="0" xfId="0" applyFont="1" applyAlignment="1">
      <alignment horizontal="right" vertical="center" wrapText="1"/>
    </xf>
    <xf numFmtId="0" fontId="0" fillId="0" borderId="0" xfId="0" applyFont="1" applyAlignment="1">
      <alignment horizontal="right" vertical="center"/>
    </xf>
    <xf numFmtId="0" fontId="0" fillId="0" borderId="0" xfId="0" applyFont="1" applyAlignment="1">
      <alignment horizontal="right" vertical="top" wrapText="1"/>
    </xf>
    <xf numFmtId="0" fontId="0" fillId="0" borderId="0" xfId="0" applyFont="1" applyAlignment="1">
      <alignment horizontal="right" vertical="top"/>
    </xf>
    <xf numFmtId="14" fontId="5" fillId="0" borderId="0" xfId="0" applyNumberFormat="1" applyFont="1" applyAlignment="1">
      <alignment horizontal="center" vertical="center"/>
    </xf>
    <xf numFmtId="0" fontId="0" fillId="0" borderId="17" xfId="0" applyBorder="1" applyAlignment="1">
      <alignment horizontal="center" wrapText="1"/>
    </xf>
    <xf numFmtId="14" fontId="5" fillId="0" borderId="0" xfId="1" applyNumberFormat="1" applyFont="1" applyBorder="1" applyAlignment="1">
      <alignment horizontal="center" vertical="center"/>
    </xf>
    <xf numFmtId="0" fontId="33" fillId="0" borderId="0" xfId="0" applyFont="1" applyAlignment="1">
      <alignment horizontal="center" vertical="center"/>
    </xf>
    <xf numFmtId="0" fontId="39" fillId="0" borderId="0" xfId="6" applyFont="1" applyAlignment="1">
      <alignment horizontal="center" vertical="center"/>
    </xf>
    <xf numFmtId="0" fontId="5" fillId="0" borderId="0" xfId="0" applyFont="1" applyAlignment="1">
      <alignment horizontal="center"/>
    </xf>
  </cellXfs>
  <cellStyles count="15">
    <cellStyle name="Comma 11" xfId="4"/>
    <cellStyle name="Comma 2" xfId="8"/>
    <cellStyle name="Comma 3" xfId="11"/>
    <cellStyle name="Hyperlink" xfId="6" builtinId="8"/>
    <cellStyle name="Hyperlink 2" xfId="12"/>
    <cellStyle name="Normal" xfId="0" builtinId="0"/>
    <cellStyle name="Normal 2" xfId="3"/>
    <cellStyle name="Normal 2 2" xfId="9"/>
    <cellStyle name="Normal 2 2 2 2 2 3 13" xfId="5"/>
    <cellStyle name="Normal 3" xfId="1"/>
    <cellStyle name="Normal 3 2" xfId="10"/>
    <cellStyle name="Normal 4" xfId="7"/>
    <cellStyle name="Normal 5 2" xfId="13"/>
    <cellStyle name="Percent" xfId="2" builtinId="5"/>
    <cellStyle name="Percent 2" xfId="14"/>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printerSettings" Target="../printerSettings/printerSettings8.bin"/><Relationship Id="rId4" Type="http://schemas.openxmlformats.org/officeDocument/2006/relationships/hyperlink" Target="mailto:Ints.Pelnis@fm.gov.lv"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51"/>
  <sheetViews>
    <sheetView topLeftCell="H1" zoomScale="70" zoomScaleNormal="70" workbookViewId="0">
      <pane xSplit="34" ySplit="11" topLeftCell="AU12" activePane="bottomRight" state="frozen"/>
      <selection activeCell="H1" sqref="H1"/>
      <selection pane="topRight" activeCell="AP1" sqref="AP1"/>
      <selection pane="bottomLeft" activeCell="H12" sqref="H12"/>
      <selection pane="bottomRight" activeCell="H90" sqref="H90"/>
    </sheetView>
  </sheetViews>
  <sheetFormatPr defaultRowHeight="15.75" outlineLevelCol="1" x14ac:dyDescent="0.25"/>
  <cols>
    <col min="1" max="1" width="4.75" style="2" hidden="1" customWidth="1" outlineLevel="1"/>
    <col min="2" max="2" width="6.25" style="2" hidden="1" customWidth="1" outlineLevel="1"/>
    <col min="3" max="3" width="16.375" style="12" hidden="1" customWidth="1" outlineLevel="1"/>
    <col min="4" max="4" width="2.875" style="2" hidden="1" customWidth="1" outlineLevel="1"/>
    <col min="5" max="5" width="9" style="2" hidden="1" customWidth="1" outlineLevel="1"/>
    <col min="6" max="6" width="5.75" style="2" hidden="1" customWidth="1" outlineLevel="1"/>
    <col min="7" max="7" width="15.25" style="2" hidden="1" customWidth="1" outlineLevel="1"/>
    <col min="8" max="8" width="4.625" style="8" customWidth="1" collapsed="1"/>
    <col min="9" max="9" width="7.5" style="8" customWidth="1"/>
    <col min="10" max="10" width="18.625" style="12" customWidth="1"/>
    <col min="11" max="11" width="31.875" style="12" customWidth="1"/>
    <col min="12" max="12" width="9" style="8" hidden="1" customWidth="1" outlineLevel="1"/>
    <col min="13" max="13" width="14.375" style="8" hidden="1" customWidth="1" outlineLevel="1"/>
    <col min="14" max="14" width="12.125" style="8" hidden="1" customWidth="1" outlineLevel="1"/>
    <col min="15" max="15" width="14.625" style="8" hidden="1" customWidth="1" outlineLevel="1"/>
    <col min="16" max="16" width="11.125" style="8" hidden="1" customWidth="1" outlineLevel="1"/>
    <col min="17" max="17" width="11.5" style="8" hidden="1" customWidth="1" outlineLevel="1"/>
    <col min="18" max="18" width="11.25" style="8" hidden="1" customWidth="1" outlineLevel="1"/>
    <col min="19" max="19" width="11.125" style="8" hidden="1" customWidth="1" outlineLevel="1"/>
    <col min="20" max="20" width="11.5" style="8" hidden="1" customWidth="1" outlineLevel="1"/>
    <col min="21" max="22" width="11.125" style="8" hidden="1" customWidth="1" outlineLevel="1"/>
    <col min="23" max="23" width="11.375" style="8" hidden="1" customWidth="1" outlineLevel="1"/>
    <col min="24" max="25" width="11.125" style="8" hidden="1" customWidth="1" outlineLevel="1"/>
    <col min="26" max="26" width="10.75" style="8" hidden="1" customWidth="1" outlineLevel="1"/>
    <col min="27" max="28" width="11.125" style="8" hidden="1" customWidth="1" outlineLevel="1"/>
    <col min="29" max="29" width="12" style="8" hidden="1" customWidth="1" outlineLevel="1"/>
    <col min="30" max="30" width="13.875" style="8" hidden="1" customWidth="1" outlineLevel="1"/>
    <col min="31" max="31" width="13.25" style="8" hidden="1" customWidth="1" outlineLevel="1"/>
    <col min="32" max="32" width="10.625" style="8" hidden="1" customWidth="1" outlineLevel="1"/>
    <col min="33" max="33" width="11.75" style="8" hidden="1" customWidth="1" outlineLevel="1" collapsed="1"/>
    <col min="34" max="34" width="12.875" style="8" hidden="1" customWidth="1" outlineLevel="1"/>
    <col min="35" max="35" width="13.375" style="8" hidden="1" customWidth="1" outlineLevel="1"/>
    <col min="36" max="41" width="14.75" style="8" hidden="1" customWidth="1" outlineLevel="1"/>
    <col min="42" max="42" width="14.75" style="8" customWidth="1" collapsed="1"/>
    <col min="43" max="48" width="14.75" style="8" customWidth="1"/>
    <col min="49" max="50" width="14.75" style="8" hidden="1" customWidth="1" outlineLevel="1"/>
    <col min="51" max="51" width="15" style="8" customWidth="1" collapsed="1"/>
    <col min="52" max="52" width="16" style="8" customWidth="1"/>
    <col min="53" max="53" width="13.75" style="549" customWidth="1"/>
    <col min="54" max="55" width="13.75" style="8" customWidth="1" outlineLevel="1"/>
    <col min="56" max="56" width="13.875" style="67" customWidth="1" outlineLevel="1"/>
    <col min="57" max="57" width="14.75" style="8" customWidth="1" outlineLevel="1"/>
    <col min="58" max="58" width="12.125" style="8" customWidth="1" outlineLevel="1"/>
    <col min="59" max="59" width="12.625" style="8" customWidth="1" outlineLevel="1"/>
    <col min="60" max="60" width="12.125" style="8" customWidth="1" outlineLevel="1"/>
    <col min="61" max="61" width="12.125" style="8" customWidth="1"/>
    <col min="62" max="62" width="41.25" style="8" hidden="1" customWidth="1" outlineLevel="1"/>
    <col min="63" max="63" width="49.875" style="8" hidden="1" customWidth="1" outlineLevel="1"/>
    <col min="64" max="64" width="49.875" style="8" customWidth="1" collapsed="1"/>
    <col min="65" max="16384" width="9" style="2"/>
  </cols>
  <sheetData>
    <row r="1" spans="1:64" s="8" customFormat="1" ht="32.25" customHeight="1" x14ac:dyDescent="0.25">
      <c r="C1" s="12"/>
      <c r="H1" s="628">
        <v>43047</v>
      </c>
      <c r="I1" s="628"/>
      <c r="J1" s="628"/>
      <c r="K1" s="12"/>
      <c r="BA1" s="549"/>
      <c r="BD1" s="67"/>
    </row>
    <row r="2" spans="1:64" s="8" customFormat="1" ht="23.25" x14ac:dyDescent="0.35">
      <c r="B2" s="604"/>
      <c r="C2" s="605"/>
      <c r="D2" s="605"/>
      <c r="E2" s="606"/>
      <c r="H2" s="629" t="s">
        <v>2879</v>
      </c>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629"/>
      <c r="AL2" s="629"/>
      <c r="AM2" s="629"/>
      <c r="AN2" s="629"/>
      <c r="AO2" s="629"/>
      <c r="AP2" s="629"/>
      <c r="AQ2" s="629"/>
      <c r="AR2" s="629"/>
      <c r="AS2" s="629"/>
      <c r="AT2" s="629"/>
      <c r="AU2" s="629"/>
      <c r="AV2" s="629"/>
      <c r="AW2" s="629"/>
      <c r="AX2" s="629"/>
      <c r="AY2" s="629"/>
      <c r="AZ2" s="629"/>
      <c r="BA2" s="630"/>
      <c r="BB2" s="629"/>
      <c r="BC2" s="629"/>
      <c r="BD2" s="629"/>
      <c r="BE2" s="629"/>
      <c r="BF2" s="629"/>
      <c r="BG2" s="629"/>
      <c r="BH2" s="629"/>
      <c r="BI2" s="629"/>
      <c r="BJ2" s="629"/>
      <c r="BK2" s="629"/>
      <c r="BL2" s="629"/>
    </row>
    <row r="3" spans="1:64" s="8" customFormat="1" x14ac:dyDescent="0.25">
      <c r="C3" s="12"/>
      <c r="H3" s="66"/>
      <c r="I3" s="66"/>
      <c r="J3" s="12"/>
      <c r="K3" s="469"/>
      <c r="L3" s="62"/>
      <c r="M3" s="24"/>
      <c r="N3" s="24"/>
      <c r="O3" s="24"/>
      <c r="P3" s="24"/>
      <c r="Q3" s="24"/>
      <c r="R3" s="24"/>
      <c r="S3" s="24"/>
      <c r="T3" s="24"/>
      <c r="U3" s="24"/>
      <c r="V3" s="24"/>
      <c r="W3" s="24"/>
      <c r="X3" s="24"/>
      <c r="Y3" s="24"/>
      <c r="Z3" s="24"/>
      <c r="AA3" s="24"/>
      <c r="AB3" s="24"/>
      <c r="AC3" s="24"/>
      <c r="AD3" s="24"/>
      <c r="AE3" s="24"/>
      <c r="AP3" s="25" t="s">
        <v>947</v>
      </c>
      <c r="AQ3" s="68" t="s">
        <v>948</v>
      </c>
      <c r="AR3" s="24"/>
      <c r="AS3" s="25" t="s">
        <v>947</v>
      </c>
      <c r="AT3" s="68" t="s">
        <v>948</v>
      </c>
      <c r="AX3" s="549"/>
      <c r="BI3" s="67"/>
    </row>
    <row r="4" spans="1:64" s="8" customFormat="1" ht="31.5" x14ac:dyDescent="0.25">
      <c r="C4" s="12"/>
      <c r="H4" s="66"/>
      <c r="I4" s="66"/>
      <c r="J4" s="12"/>
      <c r="K4" s="25" t="s">
        <v>2817</v>
      </c>
      <c r="L4" s="24"/>
      <c r="M4" s="24"/>
      <c r="N4" s="24"/>
      <c r="O4" s="24"/>
      <c r="P4" s="24"/>
      <c r="Q4" s="24"/>
      <c r="R4" s="24"/>
      <c r="S4" s="24"/>
      <c r="T4" s="24"/>
      <c r="U4" s="24"/>
      <c r="V4" s="24"/>
      <c r="W4" s="24"/>
      <c r="X4" s="24"/>
      <c r="Y4" s="24"/>
      <c r="Z4" s="24"/>
      <c r="AA4" s="24"/>
      <c r="AB4" s="24"/>
      <c r="AC4" s="24"/>
      <c r="AD4" s="24"/>
      <c r="AE4" s="24"/>
      <c r="AP4" s="25">
        <f>COUNTIF(AU12:AU11115, "&lt;0")</f>
        <v>215</v>
      </c>
      <c r="AQ4" s="26">
        <f>SUMIF(AU12:AU1115,"&lt;0")</f>
        <v>-104422259.64173704</v>
      </c>
      <c r="AR4" s="25" t="s">
        <v>2859</v>
      </c>
      <c r="AS4" s="24">
        <f>COUNTIF(AO12:AO2320, "&lt;0")</f>
        <v>48</v>
      </c>
      <c r="AT4" s="26">
        <f>SUMIF(AR11:AR1331, "&lt;0")</f>
        <v>-42149913.266499996</v>
      </c>
      <c r="AX4" s="549"/>
      <c r="BI4" s="67"/>
    </row>
    <row r="5" spans="1:64" s="8" customFormat="1" ht="32.25" thickBot="1" x14ac:dyDescent="0.3">
      <c r="C5" s="12"/>
      <c r="J5" s="12"/>
      <c r="K5" s="64" t="s">
        <v>2818</v>
      </c>
      <c r="L5" s="63"/>
      <c r="AP5" s="64">
        <f>COUNTIF(AU12:AU1115, "&gt;0")</f>
        <v>200</v>
      </c>
      <c r="AQ5" s="65">
        <f>SUMIF(AU12:AU1115,"&gt;0")</f>
        <v>67921055.110000014</v>
      </c>
      <c r="AR5" s="25" t="s">
        <v>2860</v>
      </c>
      <c r="AS5" s="24">
        <f>COUNTIF(AO12:AO3131, "&gt;0")</f>
        <v>112</v>
      </c>
      <c r="AT5" s="26">
        <f>SUMIF(AR12:AR1333, "&gt;0")</f>
        <v>34374877.399999999</v>
      </c>
      <c r="AX5" s="549"/>
      <c r="BI5" s="67"/>
    </row>
    <row r="6" spans="1:64" s="4" customFormat="1" ht="33.75" customHeight="1" x14ac:dyDescent="0.25">
      <c r="A6" s="615" t="s">
        <v>642</v>
      </c>
      <c r="B6" s="616"/>
      <c r="C6" s="617"/>
      <c r="D6" s="23"/>
      <c r="E6" s="23"/>
      <c r="F6" s="618" t="s">
        <v>551</v>
      </c>
      <c r="G6" s="619" t="s">
        <v>552</v>
      </c>
      <c r="H6" s="621" t="s">
        <v>643</v>
      </c>
      <c r="I6" s="621" t="s">
        <v>644</v>
      </c>
      <c r="J6" s="614" t="s">
        <v>553</v>
      </c>
      <c r="K6" s="614" t="s">
        <v>554</v>
      </c>
      <c r="L6" s="636" t="s">
        <v>858</v>
      </c>
      <c r="M6" s="637"/>
      <c r="N6" s="637"/>
      <c r="O6" s="637"/>
      <c r="P6" s="637"/>
      <c r="Q6" s="637"/>
      <c r="R6" s="637"/>
      <c r="S6" s="637"/>
      <c r="T6" s="637"/>
      <c r="U6" s="637"/>
      <c r="V6" s="637"/>
      <c r="W6" s="637"/>
      <c r="X6" s="637"/>
      <c r="Y6" s="637"/>
      <c r="Z6" s="637"/>
      <c r="AA6" s="637"/>
      <c r="AB6" s="637"/>
      <c r="AC6" s="637"/>
      <c r="AD6" s="637"/>
      <c r="AE6" s="637"/>
      <c r="AF6" s="637"/>
      <c r="AG6" s="637"/>
      <c r="AH6" s="637"/>
      <c r="AI6" s="637"/>
      <c r="AJ6" s="637"/>
      <c r="AK6" s="637"/>
      <c r="AL6" s="637"/>
      <c r="AM6" s="637"/>
      <c r="AN6" s="637"/>
      <c r="AO6" s="637"/>
      <c r="AP6" s="637"/>
      <c r="AQ6" s="637"/>
      <c r="AR6" s="637"/>
      <c r="AS6" s="637"/>
      <c r="AT6" s="637"/>
      <c r="AU6" s="637"/>
      <c r="AV6" s="637"/>
      <c r="AW6" s="637"/>
      <c r="AX6" s="637"/>
      <c r="AY6" s="637"/>
      <c r="AZ6" s="637"/>
      <c r="BA6" s="638"/>
      <c r="BB6" s="69"/>
      <c r="BC6" s="69"/>
      <c r="BD6" s="69"/>
      <c r="BE6" s="69"/>
      <c r="BF6" s="69"/>
      <c r="BG6" s="69"/>
      <c r="BH6" s="69"/>
      <c r="BI6" s="610" t="s">
        <v>2770</v>
      </c>
      <c r="BJ6" s="631" t="s">
        <v>2730</v>
      </c>
      <c r="BK6" s="631" t="s">
        <v>2731</v>
      </c>
      <c r="BL6" s="631" t="s">
        <v>2823</v>
      </c>
    </row>
    <row r="7" spans="1:64" s="5" customFormat="1" ht="15.75" customHeight="1" x14ac:dyDescent="0.25">
      <c r="A7" s="611" t="s">
        <v>644</v>
      </c>
      <c r="B7" s="622" t="s">
        <v>549</v>
      </c>
      <c r="C7" s="607" t="s">
        <v>645</v>
      </c>
      <c r="D7" s="622" t="s">
        <v>550</v>
      </c>
      <c r="E7" s="607" t="s">
        <v>646</v>
      </c>
      <c r="F7" s="608"/>
      <c r="G7" s="620"/>
      <c r="H7" s="621"/>
      <c r="I7" s="621"/>
      <c r="J7" s="614"/>
      <c r="K7" s="614"/>
      <c r="L7" s="61">
        <v>2014</v>
      </c>
      <c r="M7" s="61">
        <v>2015</v>
      </c>
      <c r="N7" s="61">
        <v>2016</v>
      </c>
      <c r="O7" s="614" t="s">
        <v>638</v>
      </c>
      <c r="P7" s="614"/>
      <c r="Q7" s="614"/>
      <c r="R7" s="614" t="s">
        <v>639</v>
      </c>
      <c r="S7" s="614"/>
      <c r="T7" s="614"/>
      <c r="U7" s="614" t="s">
        <v>640</v>
      </c>
      <c r="V7" s="614"/>
      <c r="W7" s="614"/>
      <c r="X7" s="614" t="s">
        <v>641</v>
      </c>
      <c r="Y7" s="614"/>
      <c r="Z7" s="614"/>
      <c r="AA7" s="614" t="s">
        <v>652</v>
      </c>
      <c r="AB7" s="614"/>
      <c r="AC7" s="614"/>
      <c r="AD7" s="610" t="s">
        <v>770</v>
      </c>
      <c r="AE7" s="610"/>
      <c r="AF7" s="610"/>
      <c r="AG7" s="625" t="s">
        <v>890</v>
      </c>
      <c r="AH7" s="626"/>
      <c r="AI7" s="627"/>
      <c r="AJ7" s="625" t="s">
        <v>2679</v>
      </c>
      <c r="AK7" s="626"/>
      <c r="AL7" s="627"/>
      <c r="AM7" s="625" t="s">
        <v>2776</v>
      </c>
      <c r="AN7" s="626"/>
      <c r="AO7" s="627"/>
      <c r="AP7" s="633" t="s">
        <v>2844</v>
      </c>
      <c r="AQ7" s="634"/>
      <c r="AR7" s="635"/>
      <c r="AS7" s="632" t="s">
        <v>2878</v>
      </c>
      <c r="AT7" s="632"/>
      <c r="AU7" s="632"/>
      <c r="AV7" s="632"/>
      <c r="AW7" s="60">
        <v>2017</v>
      </c>
      <c r="AX7" s="60">
        <v>2017</v>
      </c>
      <c r="AY7" s="60" t="s">
        <v>555</v>
      </c>
      <c r="AZ7" s="610" t="s">
        <v>555</v>
      </c>
      <c r="BA7" s="631"/>
      <c r="BB7" s="610">
        <v>2018</v>
      </c>
      <c r="BC7" s="610">
        <v>2019</v>
      </c>
      <c r="BD7" s="610">
        <v>2020</v>
      </c>
      <c r="BE7" s="610">
        <v>2021</v>
      </c>
      <c r="BF7" s="610">
        <v>2022</v>
      </c>
      <c r="BG7" s="610">
        <v>2023</v>
      </c>
      <c r="BH7" s="610">
        <v>2024</v>
      </c>
      <c r="BI7" s="610"/>
      <c r="BJ7" s="631"/>
      <c r="BK7" s="631"/>
      <c r="BL7" s="631"/>
    </row>
    <row r="8" spans="1:64" s="6" customFormat="1" ht="47.25" customHeight="1" x14ac:dyDescent="0.25">
      <c r="A8" s="612"/>
      <c r="B8" s="623"/>
      <c r="C8" s="608"/>
      <c r="D8" s="623"/>
      <c r="E8" s="608"/>
      <c r="F8" s="608"/>
      <c r="G8" s="620"/>
      <c r="H8" s="621"/>
      <c r="I8" s="621"/>
      <c r="J8" s="614"/>
      <c r="K8" s="466"/>
      <c r="L8" s="61"/>
      <c r="M8" s="61"/>
      <c r="N8" s="61"/>
      <c r="O8" s="61" t="s">
        <v>637</v>
      </c>
      <c r="P8" s="61" t="s">
        <v>636</v>
      </c>
      <c r="Q8" s="61" t="s">
        <v>653</v>
      </c>
      <c r="R8" s="61" t="s">
        <v>637</v>
      </c>
      <c r="S8" s="61" t="s">
        <v>636</v>
      </c>
      <c r="T8" s="61" t="s">
        <v>653</v>
      </c>
      <c r="U8" s="61" t="s">
        <v>637</v>
      </c>
      <c r="V8" s="61" t="s">
        <v>636</v>
      </c>
      <c r="W8" s="61" t="s">
        <v>653</v>
      </c>
      <c r="X8" s="61" t="s">
        <v>637</v>
      </c>
      <c r="Y8" s="61" t="s">
        <v>636</v>
      </c>
      <c r="Z8" s="61" t="s">
        <v>653</v>
      </c>
      <c r="AA8" s="61" t="s">
        <v>637</v>
      </c>
      <c r="AB8" s="61" t="s">
        <v>636</v>
      </c>
      <c r="AC8" s="61" t="s">
        <v>653</v>
      </c>
      <c r="AD8" s="60" t="s">
        <v>637</v>
      </c>
      <c r="AE8" s="60" t="s">
        <v>636</v>
      </c>
      <c r="AF8" s="60" t="s">
        <v>653</v>
      </c>
      <c r="AG8" s="79" t="s">
        <v>637</v>
      </c>
      <c r="AH8" s="79" t="s">
        <v>636</v>
      </c>
      <c r="AI8" s="79" t="s">
        <v>653</v>
      </c>
      <c r="AJ8" s="460" t="s">
        <v>637</v>
      </c>
      <c r="AK8" s="460" t="s">
        <v>636</v>
      </c>
      <c r="AL8" s="460" t="s">
        <v>653</v>
      </c>
      <c r="AM8" s="510" t="s">
        <v>637</v>
      </c>
      <c r="AN8" s="510" t="s">
        <v>636</v>
      </c>
      <c r="AO8" s="510" t="s">
        <v>653</v>
      </c>
      <c r="AP8" s="511" t="s">
        <v>637</v>
      </c>
      <c r="AQ8" s="511" t="s">
        <v>636</v>
      </c>
      <c r="AR8" s="511" t="s">
        <v>653</v>
      </c>
      <c r="AS8" s="511" t="s">
        <v>637</v>
      </c>
      <c r="AT8" s="511" t="s">
        <v>636</v>
      </c>
      <c r="AU8" s="511" t="s">
        <v>653</v>
      </c>
      <c r="AV8" s="511" t="s">
        <v>647</v>
      </c>
      <c r="AW8" s="60" t="s">
        <v>559</v>
      </c>
      <c r="AX8" s="60" t="s">
        <v>560</v>
      </c>
      <c r="AY8" s="468" t="s">
        <v>561</v>
      </c>
      <c r="AZ8" s="574" t="s">
        <v>2880</v>
      </c>
      <c r="BA8" s="521" t="s">
        <v>649</v>
      </c>
      <c r="BB8" s="610"/>
      <c r="BC8" s="610"/>
      <c r="BD8" s="610"/>
      <c r="BE8" s="610"/>
      <c r="BF8" s="610"/>
      <c r="BG8" s="610"/>
      <c r="BH8" s="610"/>
      <c r="BI8" s="610"/>
      <c r="BJ8" s="631"/>
      <c r="BK8" s="631"/>
      <c r="BL8" s="631"/>
    </row>
    <row r="9" spans="1:64" s="6" customFormat="1" ht="31.5" x14ac:dyDescent="0.25">
      <c r="A9" s="612"/>
      <c r="B9" s="623"/>
      <c r="C9" s="608"/>
      <c r="D9" s="623"/>
      <c r="E9" s="608"/>
      <c r="F9" s="608"/>
      <c r="G9" s="620"/>
      <c r="H9" s="621"/>
      <c r="I9" s="621"/>
      <c r="J9" s="614"/>
      <c r="K9" s="69" t="s">
        <v>2771</v>
      </c>
      <c r="L9" s="61"/>
      <c r="M9" s="60">
        <f>SUM(M12:M3038)</f>
        <v>42421376.329999998</v>
      </c>
      <c r="N9" s="60">
        <f>SUM(N12:N2318)</f>
        <v>227924564.2700001</v>
      </c>
      <c r="O9" s="60">
        <f>SUM(O12:O3038)</f>
        <v>20584858.749999996</v>
      </c>
      <c r="P9" s="60">
        <f>SUM(P12:P3038)</f>
        <v>21194422.389999997</v>
      </c>
      <c r="Q9" s="60">
        <f>SUM(Q12:Q3038)</f>
        <v>609563.63999999966</v>
      </c>
      <c r="R9" s="60">
        <f t="shared" ref="R9:AA9" si="0">SUM(R12:R3135)</f>
        <v>18206655.109999999</v>
      </c>
      <c r="S9" s="60">
        <f t="shared" si="0"/>
        <v>13796863.189999999</v>
      </c>
      <c r="T9" s="60">
        <f t="shared" si="0"/>
        <v>-4409791.9200000009</v>
      </c>
      <c r="U9" s="60">
        <f t="shared" si="0"/>
        <v>21580358.419999998</v>
      </c>
      <c r="V9" s="60">
        <f t="shared" si="0"/>
        <v>22841566.600000005</v>
      </c>
      <c r="W9" s="60">
        <f t="shared" si="0"/>
        <v>1261208.1799999997</v>
      </c>
      <c r="X9" s="60">
        <f t="shared" si="0"/>
        <v>24849965.43</v>
      </c>
      <c r="Y9" s="60">
        <f t="shared" si="0"/>
        <v>23820210.084762909</v>
      </c>
      <c r="Z9" s="60">
        <f t="shared" si="0"/>
        <v>-1029755.3452370958</v>
      </c>
      <c r="AA9" s="60">
        <f t="shared" si="0"/>
        <v>18900125.360000003</v>
      </c>
      <c r="AB9" s="60">
        <f>SUM(AB12:AB3225)</f>
        <v>11806269.720000001</v>
      </c>
      <c r="AC9" s="60">
        <f>SUM(AC12:AC3225)</f>
        <v>-7093855.6399999997</v>
      </c>
      <c r="AD9" s="60">
        <f>SUM(AD12:AD3135)</f>
        <v>18564954.790000003</v>
      </c>
      <c r="AE9" s="60">
        <f>SUM(AE12:AE3225)</f>
        <v>21708882.350000009</v>
      </c>
      <c r="AF9" s="60">
        <f>SUM(AF12:AF3135)</f>
        <v>3143927.5600000005</v>
      </c>
      <c r="AG9" s="79">
        <f>SUM(AG12:AG3135)</f>
        <v>45132593.689999998</v>
      </c>
      <c r="AH9" s="79">
        <f>SUM(AH12:AH3135)</f>
        <v>26243062.519999988</v>
      </c>
      <c r="AI9" s="79">
        <f>SUM(AI12:AI3375)</f>
        <v>-18889531.170000002</v>
      </c>
      <c r="AJ9" s="460">
        <f t="shared" ref="AJ9:AS9" si="1">SUM(AJ12:AJ3269)</f>
        <v>24390077.720000003</v>
      </c>
      <c r="AK9" s="520">
        <f t="shared" si="1"/>
        <v>26420343.610000003</v>
      </c>
      <c r="AL9" s="520">
        <f t="shared" si="1"/>
        <v>2029075.8899999983</v>
      </c>
      <c r="AM9" s="520">
        <f t="shared" si="1"/>
        <v>40708409.609999985</v>
      </c>
      <c r="AN9" s="520">
        <f t="shared" si="1"/>
        <v>36361399.75</v>
      </c>
      <c r="AO9" s="520">
        <f t="shared" si="1"/>
        <v>-4347009.8600000124</v>
      </c>
      <c r="AP9" s="511">
        <f t="shared" si="1"/>
        <v>68803651.816500008</v>
      </c>
      <c r="AQ9" s="522">
        <f t="shared" si="1"/>
        <v>61028615.95000001</v>
      </c>
      <c r="AR9" s="522">
        <f t="shared" si="1"/>
        <v>-7775035.8665000014</v>
      </c>
      <c r="AS9" s="511">
        <f t="shared" si="1"/>
        <v>301721650.69650018</v>
      </c>
      <c r="AT9" s="511">
        <f>SUM(AT12:AT3269)</f>
        <v>265221636.16476312</v>
      </c>
      <c r="AU9" s="511">
        <f>SUM(AU12:AU3269)</f>
        <v>-36501204.531737193</v>
      </c>
      <c r="AV9" s="51">
        <f>AT9/AS9</f>
        <v>0.87902752604103906</v>
      </c>
      <c r="AW9" s="80"/>
      <c r="AX9" s="80"/>
      <c r="AY9" s="468"/>
      <c r="AZ9" s="468"/>
      <c r="BA9" s="521"/>
      <c r="BB9" s="80">
        <f t="shared" ref="BB9:BH9" si="2">SUM(BB12:BB3269)</f>
        <v>622183872.04983628</v>
      </c>
      <c r="BC9" s="468">
        <f t="shared" si="2"/>
        <v>372783896.01531649</v>
      </c>
      <c r="BD9" s="468">
        <f t="shared" si="2"/>
        <v>217318876.59273961</v>
      </c>
      <c r="BE9" s="468">
        <f t="shared" si="2"/>
        <v>120277849.83999999</v>
      </c>
      <c r="BF9" s="468">
        <f t="shared" si="2"/>
        <v>77737327.920000017</v>
      </c>
      <c r="BG9" s="468">
        <f t="shared" si="2"/>
        <v>43735527.500000015</v>
      </c>
      <c r="BH9" s="468">
        <f t="shared" si="2"/>
        <v>6676662.4699999988</v>
      </c>
      <c r="BI9" s="610"/>
      <c r="BJ9" s="631"/>
      <c r="BK9" s="631"/>
      <c r="BL9" s="631"/>
    </row>
    <row r="10" spans="1:64" s="7" customFormat="1" ht="31.5" x14ac:dyDescent="0.25">
      <c r="A10" s="613"/>
      <c r="B10" s="624"/>
      <c r="C10" s="609"/>
      <c r="D10" s="624"/>
      <c r="E10" s="609"/>
      <c r="F10" s="609"/>
      <c r="G10" s="620"/>
      <c r="H10" s="621"/>
      <c r="I10" s="621"/>
      <c r="J10" s="614"/>
      <c r="K10" s="69" t="s">
        <v>648</v>
      </c>
      <c r="L10" s="61"/>
      <c r="M10" s="61"/>
      <c r="N10" s="61"/>
      <c r="O10" s="61"/>
      <c r="P10" s="61"/>
      <c r="Q10" s="61"/>
      <c r="R10" s="61"/>
      <c r="S10" s="61"/>
      <c r="T10" s="61"/>
      <c r="U10" s="61"/>
      <c r="V10" s="61"/>
      <c r="W10" s="61"/>
      <c r="X10" s="61"/>
      <c r="Y10" s="61"/>
      <c r="Z10" s="61"/>
      <c r="AA10" s="60"/>
      <c r="AB10" s="60"/>
      <c r="AC10" s="60"/>
      <c r="AD10" s="60"/>
      <c r="AE10" s="60"/>
      <c r="AF10" s="60"/>
      <c r="AG10" s="60"/>
      <c r="AH10" s="60"/>
      <c r="AI10" s="60"/>
      <c r="AJ10" s="460"/>
      <c r="AK10" s="460"/>
      <c r="AL10" s="460"/>
      <c r="AM10" s="510"/>
      <c r="AN10" s="510"/>
      <c r="AO10" s="510"/>
      <c r="AP10" s="511"/>
      <c r="AQ10" s="511"/>
      <c r="AR10" s="511"/>
      <c r="AS10" s="511">
        <f>SUM(AS12:AS72)</f>
        <v>195492698.79650006</v>
      </c>
      <c r="AT10" s="511">
        <f>SUM(AT12:AT72)</f>
        <v>102970381.15476288</v>
      </c>
      <c r="AU10" s="511">
        <f>SUM(AU12:AU90)</f>
        <v>-97823708.871737063</v>
      </c>
      <c r="AV10" s="51">
        <f>AT10/AS10</f>
        <v>0.52672238804146265</v>
      </c>
      <c r="AW10" s="60"/>
      <c r="AX10" s="60"/>
      <c r="AY10" s="60">
        <f>SUM(AY12:AY62)</f>
        <v>215294512.55050004</v>
      </c>
      <c r="AZ10" s="450">
        <f>SUM(AZ12:AZ62)</f>
        <v>143881207.76000002</v>
      </c>
      <c r="BA10" s="550">
        <f>SUM(BA12:BA93)</f>
        <v>-78928552.619999975</v>
      </c>
      <c r="BB10" s="60"/>
      <c r="BC10" s="60"/>
      <c r="BD10" s="60"/>
      <c r="BE10" s="60"/>
      <c r="BF10" s="60"/>
      <c r="BG10" s="60"/>
      <c r="BH10" s="60"/>
      <c r="BI10" s="610"/>
      <c r="BJ10" s="631"/>
      <c r="BK10" s="631"/>
      <c r="BL10" s="631"/>
    </row>
    <row r="11" spans="1:64" s="1" customFormat="1" x14ac:dyDescent="0.2">
      <c r="A11" s="3">
        <v>1</v>
      </c>
      <c r="B11" s="3">
        <v>2</v>
      </c>
      <c r="C11" s="13">
        <v>3</v>
      </c>
      <c r="D11" s="9">
        <v>4</v>
      </c>
      <c r="E11" s="9">
        <v>5</v>
      </c>
      <c r="F11" s="9">
        <v>6</v>
      </c>
      <c r="G11" s="30">
        <v>1</v>
      </c>
      <c r="H11" s="70">
        <v>1</v>
      </c>
      <c r="I11" s="70">
        <v>2</v>
      </c>
      <c r="J11" s="71">
        <v>3</v>
      </c>
      <c r="K11" s="71">
        <v>4</v>
      </c>
      <c r="L11" s="70" t="s">
        <v>891</v>
      </c>
      <c r="M11" s="70" t="s">
        <v>891</v>
      </c>
      <c r="N11" s="70" t="s">
        <v>891</v>
      </c>
      <c r="O11" s="70" t="s">
        <v>891</v>
      </c>
      <c r="P11" s="70" t="s">
        <v>891</v>
      </c>
      <c r="Q11" s="70" t="s">
        <v>891</v>
      </c>
      <c r="R11" s="70" t="s">
        <v>891</v>
      </c>
      <c r="S11" s="70" t="s">
        <v>891</v>
      </c>
      <c r="T11" s="70" t="s">
        <v>891</v>
      </c>
      <c r="U11" s="70" t="s">
        <v>891</v>
      </c>
      <c r="V11" s="70" t="s">
        <v>891</v>
      </c>
      <c r="W11" s="70" t="s">
        <v>891</v>
      </c>
      <c r="X11" s="70" t="s">
        <v>891</v>
      </c>
      <c r="Y11" s="70" t="s">
        <v>891</v>
      </c>
      <c r="Z11" s="70" t="s">
        <v>891</v>
      </c>
      <c r="AA11" s="70" t="s">
        <v>891</v>
      </c>
      <c r="AB11" s="71" t="s">
        <v>891</v>
      </c>
      <c r="AC11" s="70" t="s">
        <v>891</v>
      </c>
      <c r="AD11" s="70" t="s">
        <v>891</v>
      </c>
      <c r="AE11" s="70" t="s">
        <v>891</v>
      </c>
      <c r="AF11" s="70" t="s">
        <v>891</v>
      </c>
      <c r="AG11" s="70" t="s">
        <v>891</v>
      </c>
      <c r="AH11" s="70" t="s">
        <v>891</v>
      </c>
      <c r="AI11" s="70" t="s">
        <v>891</v>
      </c>
      <c r="AJ11" s="70" t="s">
        <v>891</v>
      </c>
      <c r="AK11" s="70" t="s">
        <v>891</v>
      </c>
      <c r="AL11" s="70" t="s">
        <v>891</v>
      </c>
      <c r="AM11" s="70" t="s">
        <v>891</v>
      </c>
      <c r="AN11" s="70" t="s">
        <v>891</v>
      </c>
      <c r="AO11" s="70" t="s">
        <v>891</v>
      </c>
      <c r="AP11" s="70" t="s">
        <v>891</v>
      </c>
      <c r="AQ11" s="70"/>
      <c r="AR11" s="70"/>
      <c r="AS11" s="70">
        <v>5</v>
      </c>
      <c r="AT11" s="70">
        <v>6</v>
      </c>
      <c r="AU11" s="70" t="s">
        <v>2690</v>
      </c>
      <c r="AV11" s="70" t="s">
        <v>2691</v>
      </c>
      <c r="AW11" s="70" t="s">
        <v>891</v>
      </c>
      <c r="AX11" s="70" t="s">
        <v>891</v>
      </c>
      <c r="AY11" s="70">
        <v>9</v>
      </c>
      <c r="AZ11" s="70">
        <v>10</v>
      </c>
      <c r="BA11" s="551">
        <v>11</v>
      </c>
      <c r="BB11" s="70" t="s">
        <v>891</v>
      </c>
      <c r="BC11" s="70" t="s">
        <v>891</v>
      </c>
      <c r="BD11" s="70" t="s">
        <v>891</v>
      </c>
      <c r="BE11" s="70" t="s">
        <v>891</v>
      </c>
      <c r="BF11" s="70" t="s">
        <v>891</v>
      </c>
      <c r="BG11" s="70" t="s">
        <v>891</v>
      </c>
      <c r="BH11" s="70" t="s">
        <v>891</v>
      </c>
      <c r="BI11" s="70">
        <v>12</v>
      </c>
      <c r="BJ11" s="70">
        <v>12</v>
      </c>
      <c r="BK11" s="70">
        <v>12</v>
      </c>
      <c r="BL11" s="70">
        <v>13</v>
      </c>
    </row>
    <row r="12" spans="1:64" s="10" customFormat="1" ht="63.75" customHeight="1" x14ac:dyDescent="0.25">
      <c r="A12" s="11" t="s">
        <v>89</v>
      </c>
      <c r="B12" s="11" t="s">
        <v>90</v>
      </c>
      <c r="C12" s="14" t="s">
        <v>571</v>
      </c>
      <c r="D12" s="11" t="s">
        <v>3</v>
      </c>
      <c r="E12" s="11" t="s">
        <v>11</v>
      </c>
      <c r="F12" s="11" t="s">
        <v>5</v>
      </c>
      <c r="G12" s="44" t="s">
        <v>93</v>
      </c>
      <c r="H12" s="45">
        <v>1</v>
      </c>
      <c r="I12" s="45" t="s">
        <v>89</v>
      </c>
      <c r="J12" s="46" t="s">
        <v>49</v>
      </c>
      <c r="K12" s="46" t="s">
        <v>94</v>
      </c>
      <c r="L12" s="41">
        <v>0</v>
      </c>
      <c r="M12" s="41">
        <v>0</v>
      </c>
      <c r="N12" s="41">
        <v>0</v>
      </c>
      <c r="O12" s="41">
        <v>0</v>
      </c>
      <c r="P12" s="41">
        <v>0</v>
      </c>
      <c r="Q12" s="41">
        <f t="shared" ref="Q12:Q17" si="3">P12-O12</f>
        <v>0</v>
      </c>
      <c r="R12" s="41">
        <v>0</v>
      </c>
      <c r="S12" s="41">
        <v>0</v>
      </c>
      <c r="T12" s="41">
        <f t="shared" ref="T12:T17" si="4">S12-R12</f>
        <v>0</v>
      </c>
      <c r="U12" s="41"/>
      <c r="V12" s="41">
        <v>0</v>
      </c>
      <c r="W12" s="41">
        <f t="shared" ref="W12:W17" si="5">V12-U12</f>
        <v>0</v>
      </c>
      <c r="X12" s="41">
        <v>350666.58</v>
      </c>
      <c r="Y12" s="41"/>
      <c r="Z12" s="41">
        <f t="shared" ref="Z12:Z17" si="6">Y12-X12</f>
        <v>-350666.58</v>
      </c>
      <c r="AA12" s="41">
        <v>6379500</v>
      </c>
      <c r="AB12" s="41">
        <v>0</v>
      </c>
      <c r="AC12" s="41">
        <f t="shared" ref="AC12:AC17" si="7">AB12-AA12</f>
        <v>-6379500</v>
      </c>
      <c r="AD12" s="41">
        <v>0</v>
      </c>
      <c r="AE12" s="41">
        <v>346720.77</v>
      </c>
      <c r="AF12" s="41">
        <f t="shared" ref="AF12:AF17" si="8">AE12-AD12</f>
        <v>346720.77</v>
      </c>
      <c r="AG12" s="41">
        <v>1191537</v>
      </c>
      <c r="AH12" s="41">
        <v>93398.54</v>
      </c>
      <c r="AI12" s="41">
        <f t="shared" ref="AI12:AI31" si="9">AH12-AG12</f>
        <v>-1098138.46</v>
      </c>
      <c r="AJ12" s="41">
        <v>0</v>
      </c>
      <c r="AK12" s="41">
        <v>0</v>
      </c>
      <c r="AL12" s="41">
        <f t="shared" ref="AL12:AL31" si="10">AK12-AJ12</f>
        <v>0</v>
      </c>
      <c r="AM12" s="41">
        <v>0</v>
      </c>
      <c r="AN12" s="41">
        <v>1791576.25</v>
      </c>
      <c r="AO12" s="41">
        <f t="shared" ref="AO12:AO31" si="11">AN12-AM12</f>
        <v>1791576.25</v>
      </c>
      <c r="AP12" s="41">
        <v>10004144.77</v>
      </c>
      <c r="AQ12" s="41">
        <f>IFERROR(VLOOKUP(G12,'10'!A:B,2,0),0)</f>
        <v>0</v>
      </c>
      <c r="AR12" s="41">
        <f t="shared" ref="AR12:AR75" si="12">AQ12-AP12</f>
        <v>-10004144.77</v>
      </c>
      <c r="AS12" s="41">
        <f t="shared" ref="AS12:AT14" si="13">AM12+AJ12+AG12+AD12+AA12+X12+U12+R12+O12+AP12</f>
        <v>17925848.350000001</v>
      </c>
      <c r="AT12" s="41">
        <f>AN12+AK12+AH12+AE12+AB12+Y12+V12+S12+P12+AQ12</f>
        <v>2231695.56</v>
      </c>
      <c r="AU12" s="522">
        <f>AO12+AL12+AI12+AF12+AC12+Z12+W12+T12+Q12+AR12</f>
        <v>-15694152.789999999</v>
      </c>
      <c r="AV12" s="459">
        <f t="shared" ref="AV12:AV43" si="14">AT12/AS12</f>
        <v>0.1244959522375966</v>
      </c>
      <c r="AW12" s="41">
        <v>0</v>
      </c>
      <c r="AX12" s="41">
        <v>0</v>
      </c>
      <c r="AY12" s="41">
        <f t="shared" ref="AY12:AY75" si="15">AX12+AW12+AP12+AM12+AJ12+AG12+AA12+X12+U12+R12+O12+AD12</f>
        <v>17925848.349999998</v>
      </c>
      <c r="AZ12" s="41">
        <v>4740007.66</v>
      </c>
      <c r="BA12" s="550">
        <f t="shared" ref="BA12:BA31" si="16">AZ12-AY12</f>
        <v>-13185840.689999998</v>
      </c>
      <c r="BB12" s="41">
        <v>52171854.43</v>
      </c>
      <c r="BC12" s="41">
        <v>37239329.68</v>
      </c>
      <c r="BD12" s="41">
        <v>17268048.510000002</v>
      </c>
      <c r="BE12" s="41">
        <v>2427223.94</v>
      </c>
      <c r="BF12" s="41">
        <v>0</v>
      </c>
      <c r="BG12" s="41">
        <v>2427223.94</v>
      </c>
      <c r="BH12" s="41">
        <v>0</v>
      </c>
      <c r="BI12" s="41">
        <v>107361816.59</v>
      </c>
      <c r="BJ12" s="451" t="s">
        <v>2688</v>
      </c>
      <c r="BK12" s="25" t="s">
        <v>2740</v>
      </c>
    </row>
    <row r="13" spans="1:64" s="17" customFormat="1" ht="64.5" customHeight="1" x14ac:dyDescent="0.25">
      <c r="A13" s="11" t="s">
        <v>46</v>
      </c>
      <c r="B13" s="11" t="s">
        <v>660</v>
      </c>
      <c r="C13" s="14" t="s">
        <v>47</v>
      </c>
      <c r="D13" s="11" t="s">
        <v>3</v>
      </c>
      <c r="E13" s="11" t="s">
        <v>11</v>
      </c>
      <c r="F13" s="11" t="s">
        <v>5</v>
      </c>
      <c r="G13" s="44" t="s">
        <v>48</v>
      </c>
      <c r="H13" s="45">
        <v>2</v>
      </c>
      <c r="I13" s="45" t="s">
        <v>46</v>
      </c>
      <c r="J13" s="46" t="s">
        <v>49</v>
      </c>
      <c r="K13" s="46" t="s">
        <v>50</v>
      </c>
      <c r="L13" s="41">
        <v>0</v>
      </c>
      <c r="M13" s="41">
        <v>0</v>
      </c>
      <c r="N13" s="41">
        <v>31597272.489999998</v>
      </c>
      <c r="O13" s="41">
        <v>1501559.09</v>
      </c>
      <c r="P13" s="41">
        <v>0</v>
      </c>
      <c r="Q13" s="41">
        <f t="shared" si="3"/>
        <v>-1501559.09</v>
      </c>
      <c r="R13" s="41">
        <v>0</v>
      </c>
      <c r="S13" s="41">
        <v>0</v>
      </c>
      <c r="T13" s="41">
        <f t="shared" si="4"/>
        <v>0</v>
      </c>
      <c r="U13" s="41"/>
      <c r="V13" s="41">
        <v>1501559.09</v>
      </c>
      <c r="W13" s="41">
        <f t="shared" si="5"/>
        <v>1501559.09</v>
      </c>
      <c r="X13" s="41">
        <v>3992857.16</v>
      </c>
      <c r="Y13" s="41">
        <v>1940102.2547629038</v>
      </c>
      <c r="Z13" s="41">
        <f t="shared" si="6"/>
        <v>-2052754.9052370964</v>
      </c>
      <c r="AA13" s="41">
        <v>0</v>
      </c>
      <c r="AB13" s="432">
        <v>0</v>
      </c>
      <c r="AC13" s="41">
        <f t="shared" si="7"/>
        <v>0</v>
      </c>
      <c r="AD13" s="41">
        <v>0</v>
      </c>
      <c r="AE13" s="41">
        <v>0</v>
      </c>
      <c r="AF13" s="41">
        <f t="shared" si="8"/>
        <v>0</v>
      </c>
      <c r="AG13" s="41">
        <v>3992857.16</v>
      </c>
      <c r="AH13" s="41">
        <v>2574239</v>
      </c>
      <c r="AI13" s="41">
        <f t="shared" si="9"/>
        <v>-1418618.1600000001</v>
      </c>
      <c r="AJ13" s="41">
        <v>0</v>
      </c>
      <c r="AK13" s="41">
        <v>0</v>
      </c>
      <c r="AL13" s="41">
        <f t="shared" si="10"/>
        <v>0</v>
      </c>
      <c r="AM13" s="41">
        <v>0</v>
      </c>
      <c r="AN13" s="41">
        <v>0</v>
      </c>
      <c r="AO13" s="41">
        <f t="shared" si="11"/>
        <v>0</v>
      </c>
      <c r="AP13" s="41">
        <v>3992857.16</v>
      </c>
      <c r="AQ13" s="41">
        <f>IFERROR(VLOOKUP(G13,'10'!A:B,2,0),0)</f>
        <v>0</v>
      </c>
      <c r="AR13" s="41">
        <f t="shared" si="12"/>
        <v>-3992857.16</v>
      </c>
      <c r="AS13" s="41">
        <f t="shared" si="13"/>
        <v>13480130.57</v>
      </c>
      <c r="AT13" s="41">
        <f t="shared" si="13"/>
        <v>6015900.3447629036</v>
      </c>
      <c r="AU13" s="522">
        <f t="shared" ref="AU13:AU76" si="17">AO13+AL13+AI13+AF13+AC13+Z13+W13+T13+Q13+AR13</f>
        <v>-7464230.2252370967</v>
      </c>
      <c r="AV13" s="459">
        <f t="shared" si="14"/>
        <v>0.44627908561592688</v>
      </c>
      <c r="AW13" s="41">
        <v>0</v>
      </c>
      <c r="AX13" s="41">
        <v>0</v>
      </c>
      <c r="AY13" s="41">
        <f t="shared" si="15"/>
        <v>13480130.57</v>
      </c>
      <c r="AZ13" s="41">
        <v>9905242.6199999992</v>
      </c>
      <c r="BA13" s="550">
        <f t="shared" si="16"/>
        <v>-3574887.9500000011</v>
      </c>
      <c r="BB13" s="41">
        <v>20906461.890000001</v>
      </c>
      <c r="BC13" s="41">
        <v>22533376.979999997</v>
      </c>
      <c r="BD13" s="41">
        <v>16659423.530000001</v>
      </c>
      <c r="BE13" s="41">
        <v>13537217.08</v>
      </c>
      <c r="BF13" s="41">
        <v>11600459.26</v>
      </c>
      <c r="BG13" s="41">
        <v>13994522.060000001</v>
      </c>
      <c r="BH13" s="41">
        <v>3741136.13</v>
      </c>
      <c r="BI13" s="41">
        <v>118439999.99000001</v>
      </c>
      <c r="BJ13" s="451" t="s">
        <v>2692</v>
      </c>
      <c r="BK13" s="25" t="s">
        <v>2741</v>
      </c>
    </row>
    <row r="14" spans="1:64" s="17" customFormat="1" ht="40.5" customHeight="1" x14ac:dyDescent="0.25">
      <c r="A14" s="11" t="s">
        <v>9</v>
      </c>
      <c r="B14" s="11" t="s">
        <v>15</v>
      </c>
      <c r="C14" s="14" t="s">
        <v>563</v>
      </c>
      <c r="D14" s="11" t="s">
        <v>3</v>
      </c>
      <c r="E14" s="11" t="s">
        <v>11</v>
      </c>
      <c r="F14" s="11" t="s">
        <v>5</v>
      </c>
      <c r="G14" s="44" t="s">
        <v>16</v>
      </c>
      <c r="H14" s="45">
        <v>3</v>
      </c>
      <c r="I14" s="45" t="s">
        <v>9</v>
      </c>
      <c r="J14" s="46" t="s">
        <v>17</v>
      </c>
      <c r="K14" s="46" t="s">
        <v>18</v>
      </c>
      <c r="L14" s="41">
        <v>0</v>
      </c>
      <c r="M14" s="41">
        <v>0</v>
      </c>
      <c r="N14" s="41">
        <v>0</v>
      </c>
      <c r="O14" s="41">
        <v>0</v>
      </c>
      <c r="P14" s="41">
        <v>0</v>
      </c>
      <c r="Q14" s="41">
        <f t="shared" si="3"/>
        <v>0</v>
      </c>
      <c r="R14" s="41">
        <v>0</v>
      </c>
      <c r="S14" s="41">
        <v>0</v>
      </c>
      <c r="T14" s="41">
        <f t="shared" si="4"/>
        <v>0</v>
      </c>
      <c r="U14" s="41">
        <v>0</v>
      </c>
      <c r="V14" s="41">
        <v>0</v>
      </c>
      <c r="W14" s="41">
        <f t="shared" si="5"/>
        <v>0</v>
      </c>
      <c r="X14" s="41">
        <v>75022</v>
      </c>
      <c r="Y14" s="41">
        <v>74073.88</v>
      </c>
      <c r="Z14" s="41">
        <f t="shared" si="6"/>
        <v>-948.11999999999534</v>
      </c>
      <c r="AA14" s="41">
        <v>0</v>
      </c>
      <c r="AB14" s="41">
        <v>0</v>
      </c>
      <c r="AC14" s="41">
        <f t="shared" si="7"/>
        <v>0</v>
      </c>
      <c r="AD14" s="41">
        <v>0</v>
      </c>
      <c r="AE14" s="41">
        <v>0</v>
      </c>
      <c r="AF14" s="41">
        <f t="shared" si="8"/>
        <v>0</v>
      </c>
      <c r="AG14" s="41">
        <v>1602066.61</v>
      </c>
      <c r="AH14" s="41">
        <v>96545.23</v>
      </c>
      <c r="AI14" s="41">
        <f t="shared" si="9"/>
        <v>-1505521.3800000001</v>
      </c>
      <c r="AJ14" s="41">
        <v>0</v>
      </c>
      <c r="AK14" s="41">
        <v>0</v>
      </c>
      <c r="AL14" s="41">
        <f t="shared" si="10"/>
        <v>0</v>
      </c>
      <c r="AM14" s="41">
        <v>1899564.7</v>
      </c>
      <c r="AN14" s="41">
        <v>0</v>
      </c>
      <c r="AO14" s="41">
        <f t="shared" si="11"/>
        <v>-1899564.7</v>
      </c>
      <c r="AP14" s="41">
        <v>0</v>
      </c>
      <c r="AQ14" s="41">
        <f>IFERROR(VLOOKUP(G14,'10'!A:B,2,0),0)</f>
        <v>0</v>
      </c>
      <c r="AR14" s="41">
        <f t="shared" si="12"/>
        <v>0</v>
      </c>
      <c r="AS14" s="41">
        <f t="shared" si="13"/>
        <v>3576653.31</v>
      </c>
      <c r="AT14" s="41">
        <f t="shared" si="13"/>
        <v>170619.11</v>
      </c>
      <c r="AU14" s="522">
        <f t="shared" si="17"/>
        <v>-3406034.2</v>
      </c>
      <c r="AV14" s="459">
        <f t="shared" si="14"/>
        <v>4.7703563977801358E-2</v>
      </c>
      <c r="AW14" s="41">
        <v>0</v>
      </c>
      <c r="AX14" s="41">
        <v>0</v>
      </c>
      <c r="AY14" s="41">
        <f t="shared" si="15"/>
        <v>3576653.31</v>
      </c>
      <c r="AZ14" s="41">
        <f>VLOOKUP(G14,'2017'!A:B,2,0)</f>
        <v>634824.05000000005</v>
      </c>
      <c r="BA14" s="550">
        <f t="shared" si="16"/>
        <v>-2941829.26</v>
      </c>
      <c r="BB14" s="41">
        <v>4401609.84</v>
      </c>
      <c r="BC14" s="41">
        <v>3382428.76</v>
      </c>
      <c r="BD14" s="41">
        <v>2096360.24</v>
      </c>
      <c r="BE14" s="41">
        <v>1704466.11</v>
      </c>
      <c r="BF14" s="41">
        <v>1672868.98</v>
      </c>
      <c r="BG14" s="41">
        <v>415587.26</v>
      </c>
      <c r="BH14" s="41">
        <v>0</v>
      </c>
      <c r="BI14" s="41">
        <v>17249974.5</v>
      </c>
      <c r="BJ14" s="451" t="s">
        <v>2698</v>
      </c>
      <c r="BK14" s="25" t="s">
        <v>2698</v>
      </c>
    </row>
    <row r="15" spans="1:64" s="17" customFormat="1" ht="68.25" customHeight="1" x14ac:dyDescent="0.25">
      <c r="A15" s="11" t="s">
        <v>172</v>
      </c>
      <c r="B15" s="11" t="s">
        <v>173</v>
      </c>
      <c r="C15" s="14" t="s">
        <v>579</v>
      </c>
      <c r="D15" s="11" t="s">
        <v>3</v>
      </c>
      <c r="E15" s="11" t="s">
        <v>29</v>
      </c>
      <c r="F15" s="11" t="s">
        <v>5</v>
      </c>
      <c r="G15" s="44" t="s">
        <v>182</v>
      </c>
      <c r="H15" s="45">
        <v>4</v>
      </c>
      <c r="I15" s="45" t="s">
        <v>172</v>
      </c>
      <c r="J15" s="46" t="s">
        <v>98</v>
      </c>
      <c r="K15" s="46" t="s">
        <v>183</v>
      </c>
      <c r="L15" s="41">
        <v>0</v>
      </c>
      <c r="M15" s="41">
        <v>0</v>
      </c>
      <c r="N15" s="41">
        <v>3402729.03</v>
      </c>
      <c r="O15" s="41">
        <v>0</v>
      </c>
      <c r="P15" s="41">
        <v>0</v>
      </c>
      <c r="Q15" s="41">
        <f t="shared" si="3"/>
        <v>0</v>
      </c>
      <c r="R15" s="41">
        <v>0</v>
      </c>
      <c r="S15" s="41">
        <v>0</v>
      </c>
      <c r="T15" s="41">
        <f t="shared" si="4"/>
        <v>0</v>
      </c>
      <c r="U15" s="41">
        <v>787670.64</v>
      </c>
      <c r="V15" s="41">
        <v>787670.64</v>
      </c>
      <c r="W15" s="41">
        <f t="shared" si="5"/>
        <v>0</v>
      </c>
      <c r="X15" s="41">
        <v>0</v>
      </c>
      <c r="Y15" s="41">
        <v>0</v>
      </c>
      <c r="Z15" s="41">
        <f t="shared" si="6"/>
        <v>0</v>
      </c>
      <c r="AA15" s="41">
        <v>0</v>
      </c>
      <c r="AB15" s="41">
        <v>0</v>
      </c>
      <c r="AC15" s="41">
        <f t="shared" si="7"/>
        <v>0</v>
      </c>
      <c r="AD15" s="41">
        <v>242540.7</v>
      </c>
      <c r="AE15" s="41">
        <v>0</v>
      </c>
      <c r="AF15" s="41">
        <f t="shared" si="8"/>
        <v>-242540.7</v>
      </c>
      <c r="AG15" s="41">
        <v>0</v>
      </c>
      <c r="AH15" s="41">
        <v>0</v>
      </c>
      <c r="AI15" s="41">
        <f t="shared" si="9"/>
        <v>0</v>
      </c>
      <c r="AJ15" s="41">
        <v>0</v>
      </c>
      <c r="AK15" s="41">
        <v>0</v>
      </c>
      <c r="AL15" s="41">
        <f t="shared" si="10"/>
        <v>0</v>
      </c>
      <c r="AM15" s="41">
        <v>4020845.95</v>
      </c>
      <c r="AN15" s="41">
        <v>1174928.76</v>
      </c>
      <c r="AO15" s="41">
        <f t="shared" si="11"/>
        <v>-2845917.1900000004</v>
      </c>
      <c r="AP15" s="41">
        <v>0</v>
      </c>
      <c r="AQ15" s="41">
        <f>IFERROR(VLOOKUP(G15,'10'!A:B,2,0),0)</f>
        <v>0</v>
      </c>
      <c r="AR15" s="41">
        <f t="shared" si="12"/>
        <v>0</v>
      </c>
      <c r="AS15" s="41">
        <f t="shared" ref="AS15:AS78" si="18">AM15+AJ15+AG15+AD15+AA15+X15+U15+R15+O15+AP15</f>
        <v>5051057.29</v>
      </c>
      <c r="AT15" s="41">
        <f>AN15+AK15+AH15+AE15+AB15+-Y15+V15+S15+P15+AQ15</f>
        <v>1962599.4</v>
      </c>
      <c r="AU15" s="522">
        <f t="shared" si="17"/>
        <v>-3088457.8900000006</v>
      </c>
      <c r="AV15" s="459">
        <f t="shared" si="14"/>
        <v>0.38855219557408738</v>
      </c>
      <c r="AW15" s="41">
        <v>0</v>
      </c>
      <c r="AX15" s="41">
        <v>1418201.2</v>
      </c>
      <c r="AY15" s="41">
        <f t="shared" si="15"/>
        <v>6469258.4900000002</v>
      </c>
      <c r="AZ15" s="41">
        <f>VLOOKUP(G15,'2017'!A:B,2,0)</f>
        <v>4683236.5299999993</v>
      </c>
      <c r="BA15" s="550">
        <f t="shared" si="16"/>
        <v>-1786021.9600000009</v>
      </c>
      <c r="BB15" s="41">
        <v>1486724.54</v>
      </c>
      <c r="BC15" s="41">
        <v>0</v>
      </c>
      <c r="BD15" s="41">
        <v>0</v>
      </c>
      <c r="BE15" s="41">
        <v>0</v>
      </c>
      <c r="BF15" s="41">
        <v>0</v>
      </c>
      <c r="BG15" s="41">
        <v>0</v>
      </c>
      <c r="BH15" s="41">
        <v>0</v>
      </c>
      <c r="BI15" s="41">
        <v>11358712.059999999</v>
      </c>
      <c r="BJ15" s="455" t="s">
        <v>2717</v>
      </c>
      <c r="BK15" s="25" t="s">
        <v>2717</v>
      </c>
    </row>
    <row r="16" spans="1:64" s="17" customFormat="1" ht="63.75" customHeight="1" x14ac:dyDescent="0.25">
      <c r="A16" s="11" t="s">
        <v>330</v>
      </c>
      <c r="B16" s="11" t="s">
        <v>334</v>
      </c>
      <c r="C16" s="14" t="s">
        <v>333</v>
      </c>
      <c r="D16" s="11" t="s">
        <v>3</v>
      </c>
      <c r="E16" s="11" t="s">
        <v>210</v>
      </c>
      <c r="F16" s="11" t="s">
        <v>77</v>
      </c>
      <c r="G16" s="44" t="s">
        <v>335</v>
      </c>
      <c r="H16" s="45">
        <v>5</v>
      </c>
      <c r="I16" s="45" t="s">
        <v>330</v>
      </c>
      <c r="J16" s="46" t="s">
        <v>212</v>
      </c>
      <c r="K16" s="46" t="s">
        <v>336</v>
      </c>
      <c r="L16" s="41">
        <v>0</v>
      </c>
      <c r="M16" s="41">
        <v>0</v>
      </c>
      <c r="N16" s="41">
        <v>678549.25999999989</v>
      </c>
      <c r="O16" s="41">
        <v>366419.21</v>
      </c>
      <c r="P16" s="41">
        <v>366419.21</v>
      </c>
      <c r="Q16" s="41">
        <f t="shared" si="3"/>
        <v>0</v>
      </c>
      <c r="R16" s="41">
        <v>0</v>
      </c>
      <c r="S16" s="41">
        <v>0</v>
      </c>
      <c r="T16" s="41">
        <f t="shared" si="4"/>
        <v>0</v>
      </c>
      <c r="U16" s="41">
        <v>0</v>
      </c>
      <c r="V16" s="41">
        <v>0</v>
      </c>
      <c r="W16" s="41">
        <f t="shared" si="5"/>
        <v>0</v>
      </c>
      <c r="X16" s="41">
        <v>328818.88</v>
      </c>
      <c r="Y16" s="41">
        <v>328757.37</v>
      </c>
      <c r="Z16" s="41">
        <f t="shared" si="6"/>
        <v>-61.510000000009313</v>
      </c>
      <c r="AA16" s="41">
        <v>0</v>
      </c>
      <c r="AB16" s="41">
        <v>0</v>
      </c>
      <c r="AC16" s="41">
        <f t="shared" si="7"/>
        <v>0</v>
      </c>
      <c r="AD16" s="41">
        <v>0</v>
      </c>
      <c r="AE16" s="41">
        <v>0</v>
      </c>
      <c r="AF16" s="41">
        <f t="shared" si="8"/>
        <v>0</v>
      </c>
      <c r="AG16" s="41">
        <v>1356466.55</v>
      </c>
      <c r="AH16" s="41">
        <v>526547.06999999995</v>
      </c>
      <c r="AI16" s="41">
        <f t="shared" si="9"/>
        <v>-829919.4800000001</v>
      </c>
      <c r="AJ16" s="41">
        <v>0</v>
      </c>
      <c r="AK16" s="41">
        <v>0</v>
      </c>
      <c r="AL16" s="41">
        <f t="shared" si="10"/>
        <v>0</v>
      </c>
      <c r="AM16" s="41">
        <v>0</v>
      </c>
      <c r="AN16" s="41">
        <v>0</v>
      </c>
      <c r="AO16" s="41">
        <f t="shared" si="11"/>
        <v>0</v>
      </c>
      <c r="AP16" s="41">
        <v>3072194.1</v>
      </c>
      <c r="AQ16" s="41">
        <f>IFERROR(VLOOKUP(G16,'10'!A:B,2,0),0)</f>
        <v>927776.79</v>
      </c>
      <c r="AR16" s="41">
        <f t="shared" si="12"/>
        <v>-2144417.31</v>
      </c>
      <c r="AS16" s="41">
        <f t="shared" si="18"/>
        <v>5123898.74</v>
      </c>
      <c r="AT16" s="41">
        <f>AN16+AK16+AH16+AE16+AB16+Y16+V16+S16+P16+AQ16</f>
        <v>2149500.44</v>
      </c>
      <c r="AU16" s="522">
        <f t="shared" si="17"/>
        <v>-2974398.3000000003</v>
      </c>
      <c r="AV16" s="459">
        <f t="shared" si="14"/>
        <v>0.41950486320500546</v>
      </c>
      <c r="AW16" s="41">
        <v>0</v>
      </c>
      <c r="AX16" s="41">
        <v>0</v>
      </c>
      <c r="AY16" s="41">
        <f t="shared" si="15"/>
        <v>5123898.74</v>
      </c>
      <c r="AZ16" s="41">
        <f>VLOOKUP(G16,'2017'!A:B,2,0)</f>
        <v>2143910.91</v>
      </c>
      <c r="BA16" s="550">
        <f t="shared" si="16"/>
        <v>-2979987.83</v>
      </c>
      <c r="BB16" s="41">
        <v>9729228.3300000001</v>
      </c>
      <c r="BC16" s="41">
        <v>9541597.4699999988</v>
      </c>
      <c r="BD16" s="41">
        <v>4541928.7300000004</v>
      </c>
      <c r="BE16" s="41">
        <v>3963019.9</v>
      </c>
      <c r="BF16" s="41">
        <v>458902.59</v>
      </c>
      <c r="BG16" s="41">
        <v>0</v>
      </c>
      <c r="BH16" s="41">
        <v>0</v>
      </c>
      <c r="BI16" s="41">
        <v>34037125.020000003</v>
      </c>
      <c r="BJ16" s="451" t="s">
        <v>2699</v>
      </c>
      <c r="BK16" s="25" t="s">
        <v>2734</v>
      </c>
      <c r="BL16" s="10"/>
    </row>
    <row r="17" spans="1:64" s="17" customFormat="1" ht="54" customHeight="1" x14ac:dyDescent="0.25">
      <c r="A17" s="11" t="s">
        <v>106</v>
      </c>
      <c r="B17" s="11" t="s">
        <v>107</v>
      </c>
      <c r="C17" s="14" t="s">
        <v>108</v>
      </c>
      <c r="D17" s="11">
        <v>1</v>
      </c>
      <c r="E17" s="11" t="s">
        <v>109</v>
      </c>
      <c r="F17" s="11" t="s">
        <v>5</v>
      </c>
      <c r="G17" s="44" t="s">
        <v>625</v>
      </c>
      <c r="H17" s="45">
        <v>6</v>
      </c>
      <c r="I17" s="45" t="s">
        <v>106</v>
      </c>
      <c r="J17" s="46" t="s">
        <v>111</v>
      </c>
      <c r="K17" s="46" t="s">
        <v>626</v>
      </c>
      <c r="L17" s="41">
        <v>0</v>
      </c>
      <c r="M17" s="41">
        <v>0</v>
      </c>
      <c r="N17" s="41">
        <v>59957.56</v>
      </c>
      <c r="O17" s="41">
        <v>41064.229999999996</v>
      </c>
      <c r="P17" s="41">
        <v>41064.229999999996</v>
      </c>
      <c r="Q17" s="41">
        <f t="shared" si="3"/>
        <v>0</v>
      </c>
      <c r="R17" s="41">
        <v>0</v>
      </c>
      <c r="S17" s="41">
        <v>0</v>
      </c>
      <c r="T17" s="41">
        <f t="shared" si="4"/>
        <v>0</v>
      </c>
      <c r="U17" s="41">
        <v>0</v>
      </c>
      <c r="V17" s="41">
        <v>0</v>
      </c>
      <c r="W17" s="41">
        <f t="shared" si="5"/>
        <v>0</v>
      </c>
      <c r="X17" s="41">
        <v>0</v>
      </c>
      <c r="Y17" s="41">
        <v>0</v>
      </c>
      <c r="Z17" s="41">
        <f t="shared" si="6"/>
        <v>0</v>
      </c>
      <c r="AA17" s="41">
        <v>0</v>
      </c>
      <c r="AB17" s="41">
        <v>0</v>
      </c>
      <c r="AC17" s="41">
        <f t="shared" si="7"/>
        <v>0</v>
      </c>
      <c r="AD17" s="41">
        <v>0</v>
      </c>
      <c r="AE17" s="41">
        <v>0</v>
      </c>
      <c r="AF17" s="41">
        <f t="shared" si="8"/>
        <v>0</v>
      </c>
      <c r="AG17" s="41">
        <v>1360059</v>
      </c>
      <c r="AH17" s="41">
        <v>326491.13</v>
      </c>
      <c r="AI17" s="41">
        <f t="shared" si="9"/>
        <v>-1033567.87</v>
      </c>
      <c r="AJ17" s="41">
        <v>0</v>
      </c>
      <c r="AK17" s="41">
        <v>0</v>
      </c>
      <c r="AL17" s="41">
        <f t="shared" si="10"/>
        <v>0</v>
      </c>
      <c r="AM17" s="41">
        <f>1347335+1377552</f>
        <v>2724887</v>
      </c>
      <c r="AN17" s="41">
        <v>0</v>
      </c>
      <c r="AO17" s="41">
        <f t="shared" si="11"/>
        <v>-2724887</v>
      </c>
      <c r="AP17" s="41">
        <v>0</v>
      </c>
      <c r="AQ17" s="41">
        <f>IFERROR(VLOOKUP(G17,'10'!A:B,2,0),0)</f>
        <v>846573.14</v>
      </c>
      <c r="AR17" s="41">
        <f t="shared" si="12"/>
        <v>846573.14</v>
      </c>
      <c r="AS17" s="41">
        <f t="shared" si="18"/>
        <v>4126010.23</v>
      </c>
      <c r="AT17" s="41">
        <f>AN17+AK17+AH17+AE17+AB17+-Y17+V17+S17+P17+AQ17</f>
        <v>1214128.5</v>
      </c>
      <c r="AU17" s="522">
        <f t="shared" si="17"/>
        <v>-2911881.73</v>
      </c>
      <c r="AV17" s="459">
        <f t="shared" si="14"/>
        <v>0.29426211577764316</v>
      </c>
      <c r="AW17" s="41">
        <v>1228765.96</v>
      </c>
      <c r="AX17" s="41">
        <v>148785.71</v>
      </c>
      <c r="AY17" s="41">
        <f t="shared" si="15"/>
        <v>5503561.9000000004</v>
      </c>
      <c r="AZ17" s="41">
        <f>VLOOKUP(G17,'2017'!A:B,2,0)</f>
        <v>3661499.7800000003</v>
      </c>
      <c r="BA17" s="550">
        <f t="shared" si="16"/>
        <v>-1842062.12</v>
      </c>
      <c r="BB17" s="41">
        <v>0</v>
      </c>
      <c r="BC17" s="41">
        <v>0</v>
      </c>
      <c r="BD17" s="41">
        <v>0</v>
      </c>
      <c r="BE17" s="41">
        <v>0</v>
      </c>
      <c r="BF17" s="41">
        <v>0</v>
      </c>
      <c r="BG17" s="41">
        <v>0</v>
      </c>
      <c r="BH17" s="41">
        <v>0</v>
      </c>
      <c r="BI17" s="41">
        <v>2798609.87</v>
      </c>
      <c r="BJ17" s="451" t="s">
        <v>950</v>
      </c>
      <c r="BK17" s="25" t="s">
        <v>2747</v>
      </c>
    </row>
    <row r="18" spans="1:64" s="17" customFormat="1" ht="76.5" customHeight="1" x14ac:dyDescent="0.25">
      <c r="A18" s="20" t="s">
        <v>172</v>
      </c>
      <c r="B18" s="20" t="s">
        <v>173</v>
      </c>
      <c r="C18" s="21" t="s">
        <v>579</v>
      </c>
      <c r="D18" s="20" t="s">
        <v>3</v>
      </c>
      <c r="E18" s="20" t="s">
        <v>29</v>
      </c>
      <c r="F18" s="20" t="s">
        <v>5</v>
      </c>
      <c r="G18" s="20" t="s">
        <v>865</v>
      </c>
      <c r="H18" s="45">
        <v>7</v>
      </c>
      <c r="I18" s="45" t="s">
        <v>172</v>
      </c>
      <c r="J18" s="34" t="s">
        <v>98</v>
      </c>
      <c r="K18" s="34" t="s">
        <v>866</v>
      </c>
      <c r="L18" s="431"/>
      <c r="M18" s="37">
        <v>0</v>
      </c>
      <c r="N18" s="37">
        <v>0</v>
      </c>
      <c r="O18" s="37">
        <v>0</v>
      </c>
      <c r="P18" s="37"/>
      <c r="Q18" s="37"/>
      <c r="R18" s="37">
        <v>0</v>
      </c>
      <c r="S18" s="37"/>
      <c r="T18" s="37"/>
      <c r="U18" s="37">
        <v>0</v>
      </c>
      <c r="V18" s="37"/>
      <c r="W18" s="37"/>
      <c r="X18" s="37">
        <v>0</v>
      </c>
      <c r="Y18" s="37"/>
      <c r="Z18" s="37"/>
      <c r="AA18" s="37">
        <v>0</v>
      </c>
      <c r="AB18" s="37"/>
      <c r="AC18" s="37"/>
      <c r="AD18" s="37">
        <v>0</v>
      </c>
      <c r="AE18" s="37"/>
      <c r="AF18" s="37"/>
      <c r="AG18" s="37">
        <v>3389904.55</v>
      </c>
      <c r="AH18" s="41">
        <v>157.25</v>
      </c>
      <c r="AI18" s="41">
        <f t="shared" si="9"/>
        <v>-3389747.3</v>
      </c>
      <c r="AJ18" s="37">
        <v>0</v>
      </c>
      <c r="AK18" s="41">
        <v>0</v>
      </c>
      <c r="AL18" s="41">
        <f t="shared" si="10"/>
        <v>0</v>
      </c>
      <c r="AM18" s="37">
        <v>0</v>
      </c>
      <c r="AN18" s="41">
        <v>0</v>
      </c>
      <c r="AO18" s="41">
        <f t="shared" si="11"/>
        <v>0</v>
      </c>
      <c r="AP18" s="37">
        <v>2428013.1</v>
      </c>
      <c r="AQ18" s="41">
        <f>IFERROR(VLOOKUP(G18,'10'!A:B,2,0),0)</f>
        <v>3121693.6</v>
      </c>
      <c r="AR18" s="41">
        <f t="shared" si="12"/>
        <v>693680.5</v>
      </c>
      <c r="AS18" s="41">
        <f t="shared" si="18"/>
        <v>5817917.6500000004</v>
      </c>
      <c r="AT18" s="41">
        <f>AN18+AK18+AH18+AE18+AB18+-Y18+V18+S18+P18+AQ18</f>
        <v>3121850.85</v>
      </c>
      <c r="AU18" s="522">
        <f t="shared" si="17"/>
        <v>-2696066.8</v>
      </c>
      <c r="AV18" s="459">
        <f t="shared" si="14"/>
        <v>0.53659247823832634</v>
      </c>
      <c r="AW18" s="37">
        <v>0</v>
      </c>
      <c r="AX18" s="37">
        <v>0</v>
      </c>
      <c r="AY18" s="41">
        <f t="shared" si="15"/>
        <v>5817917.6500000004</v>
      </c>
      <c r="AZ18" s="41">
        <f>VLOOKUP(G18,'2017'!A:B,2,0)</f>
        <v>3121850.85</v>
      </c>
      <c r="BA18" s="550">
        <f t="shared" si="16"/>
        <v>-2696066.8000000003</v>
      </c>
      <c r="BB18" s="37">
        <v>5792863.9000000004</v>
      </c>
      <c r="BC18" s="37">
        <v>2343305.36</v>
      </c>
      <c r="BD18" s="37">
        <v>0</v>
      </c>
      <c r="BE18" s="37">
        <v>0</v>
      </c>
      <c r="BF18" s="37">
        <v>0</v>
      </c>
      <c r="BG18" s="37">
        <v>0</v>
      </c>
      <c r="BH18" s="37">
        <v>0</v>
      </c>
      <c r="BI18" s="37">
        <v>13954086.91</v>
      </c>
      <c r="BJ18" s="452" t="s">
        <v>2693</v>
      </c>
      <c r="BK18" s="25" t="s">
        <v>2732</v>
      </c>
    </row>
    <row r="19" spans="1:64" s="10" customFormat="1" ht="50.25" customHeight="1" x14ac:dyDescent="0.2">
      <c r="A19" s="11" t="s">
        <v>106</v>
      </c>
      <c r="B19" s="11" t="s">
        <v>107</v>
      </c>
      <c r="C19" s="14" t="s">
        <v>108</v>
      </c>
      <c r="D19" s="11">
        <v>1</v>
      </c>
      <c r="E19" s="11" t="s">
        <v>109</v>
      </c>
      <c r="F19" s="11" t="s">
        <v>5</v>
      </c>
      <c r="G19" s="44" t="s">
        <v>623</v>
      </c>
      <c r="H19" s="45">
        <v>8</v>
      </c>
      <c r="I19" s="45" t="s">
        <v>106</v>
      </c>
      <c r="J19" s="46" t="s">
        <v>111</v>
      </c>
      <c r="K19" s="46" t="s">
        <v>624</v>
      </c>
      <c r="L19" s="41">
        <v>0</v>
      </c>
      <c r="M19" s="41">
        <v>0</v>
      </c>
      <c r="N19" s="41">
        <v>45793.68</v>
      </c>
      <c r="O19" s="41">
        <v>23020.83</v>
      </c>
      <c r="P19" s="41">
        <v>23020.83</v>
      </c>
      <c r="Q19" s="41">
        <f>P19-O19</f>
        <v>0</v>
      </c>
      <c r="R19" s="41">
        <v>0</v>
      </c>
      <c r="S19" s="41">
        <v>0</v>
      </c>
      <c r="T19" s="41">
        <f>S19-R19</f>
        <v>0</v>
      </c>
      <c r="U19" s="41">
        <v>0</v>
      </c>
      <c r="V19" s="41">
        <v>0</v>
      </c>
      <c r="W19" s="41">
        <f>V19-U19</f>
        <v>0</v>
      </c>
      <c r="X19" s="41">
        <v>0</v>
      </c>
      <c r="Y19" s="41">
        <v>0</v>
      </c>
      <c r="Z19" s="41">
        <f>Y19-X19</f>
        <v>0</v>
      </c>
      <c r="AA19" s="41">
        <v>1362480.34</v>
      </c>
      <c r="AB19" s="433">
        <v>1351406.62</v>
      </c>
      <c r="AC19" s="41">
        <f>AB19-AA19</f>
        <v>-11073.719999999972</v>
      </c>
      <c r="AD19" s="41">
        <v>0</v>
      </c>
      <c r="AE19" s="41">
        <v>11055.12</v>
      </c>
      <c r="AF19" s="41">
        <f>AE19-AD19</f>
        <v>11055.12</v>
      </c>
      <c r="AG19" s="41">
        <v>0</v>
      </c>
      <c r="AH19" s="41">
        <v>0</v>
      </c>
      <c r="AI19" s="41">
        <f t="shared" si="9"/>
        <v>0</v>
      </c>
      <c r="AJ19" s="41">
        <v>0</v>
      </c>
      <c r="AK19" s="41">
        <v>0</v>
      </c>
      <c r="AL19" s="41">
        <f t="shared" si="10"/>
        <v>0</v>
      </c>
      <c r="AM19" s="41">
        <f>1351406.62+1419778</f>
        <v>2771184.62</v>
      </c>
      <c r="AN19" s="41">
        <v>77769.240000000005</v>
      </c>
      <c r="AO19" s="41">
        <f t="shared" si="11"/>
        <v>-2693415.38</v>
      </c>
      <c r="AP19" s="41">
        <v>0</v>
      </c>
      <c r="AQ19" s="41">
        <f>IFERROR(VLOOKUP(G19,'10'!A:B,2,0),0)</f>
        <v>0</v>
      </c>
      <c r="AR19" s="41">
        <f t="shared" si="12"/>
        <v>0</v>
      </c>
      <c r="AS19" s="41">
        <f t="shared" si="18"/>
        <v>4156685.79</v>
      </c>
      <c r="AT19" s="41">
        <f>AN19+AK19+AH19+AE19+AB19+-Y19+V19+S19+P19+AQ19</f>
        <v>1463251.8100000003</v>
      </c>
      <c r="AU19" s="522">
        <f t="shared" si="17"/>
        <v>-2693433.9799999995</v>
      </c>
      <c r="AV19" s="459">
        <f t="shared" si="14"/>
        <v>0.3520236755735151</v>
      </c>
      <c r="AW19" s="41">
        <v>1272450</v>
      </c>
      <c r="AX19" s="41">
        <v>149649.28</v>
      </c>
      <c r="AY19" s="41">
        <f t="shared" si="15"/>
        <v>5578785.0700000003</v>
      </c>
      <c r="AZ19" s="41">
        <f>VLOOKUP(G19,'2017'!A:B,2,0)</f>
        <v>3066910.5100000002</v>
      </c>
      <c r="BA19" s="550">
        <f t="shared" si="16"/>
        <v>-2511874.56</v>
      </c>
      <c r="BB19" s="41">
        <v>0</v>
      </c>
      <c r="BC19" s="41">
        <v>0</v>
      </c>
      <c r="BD19" s="41">
        <v>0</v>
      </c>
      <c r="BE19" s="41">
        <v>0</v>
      </c>
      <c r="BF19" s="41">
        <v>0</v>
      </c>
      <c r="BG19" s="41">
        <v>0</v>
      </c>
      <c r="BH19" s="41">
        <v>0</v>
      </c>
      <c r="BI19" s="41">
        <v>2841400.75</v>
      </c>
      <c r="BJ19" s="75"/>
      <c r="BK19" s="11"/>
    </row>
    <row r="20" spans="1:64" s="10" customFormat="1" ht="61.5" customHeight="1" x14ac:dyDescent="0.25">
      <c r="A20" s="18" t="s">
        <v>100</v>
      </c>
      <c r="B20" s="18" t="s">
        <v>101</v>
      </c>
      <c r="C20" s="19" t="s">
        <v>573</v>
      </c>
      <c r="D20" s="18" t="s">
        <v>3</v>
      </c>
      <c r="E20" s="18" t="s">
        <v>29</v>
      </c>
      <c r="F20" s="18" t="s">
        <v>102</v>
      </c>
      <c r="G20" s="18" t="s">
        <v>749</v>
      </c>
      <c r="H20" s="45">
        <v>9</v>
      </c>
      <c r="I20" s="45" t="s">
        <v>100</v>
      </c>
      <c r="J20" s="32" t="s">
        <v>750</v>
      </c>
      <c r="K20" s="32" t="s">
        <v>751</v>
      </c>
      <c r="L20" s="35"/>
      <c r="M20" s="35"/>
      <c r="N20" s="35"/>
      <c r="O20" s="35"/>
      <c r="P20" s="35"/>
      <c r="Q20" s="41">
        <f>P20-O20</f>
        <v>0</v>
      </c>
      <c r="R20" s="35"/>
      <c r="S20" s="35"/>
      <c r="T20" s="41">
        <f>S20-R20</f>
        <v>0</v>
      </c>
      <c r="U20" s="35"/>
      <c r="V20" s="35"/>
      <c r="W20" s="41">
        <f>V20-U20</f>
        <v>0</v>
      </c>
      <c r="X20" s="35"/>
      <c r="Y20" s="35"/>
      <c r="Z20" s="41">
        <f>Y20-X20</f>
        <v>0</v>
      </c>
      <c r="AA20" s="35"/>
      <c r="AB20" s="35"/>
      <c r="AC20" s="41">
        <f>AB20-AA20</f>
        <v>0</v>
      </c>
      <c r="AD20" s="35">
        <v>2195195.29</v>
      </c>
      <c r="AE20" s="41">
        <v>0</v>
      </c>
      <c r="AF20" s="41">
        <f>AE20-AD20</f>
        <v>-2195195.29</v>
      </c>
      <c r="AG20" s="35">
        <v>566011.41</v>
      </c>
      <c r="AH20" s="41">
        <v>101387.71</v>
      </c>
      <c r="AI20" s="41">
        <f t="shared" si="9"/>
        <v>-464623.7</v>
      </c>
      <c r="AJ20" s="35">
        <v>0</v>
      </c>
      <c r="AK20" s="41">
        <v>0</v>
      </c>
      <c r="AL20" s="41">
        <f t="shared" si="10"/>
        <v>0</v>
      </c>
      <c r="AM20" s="35">
        <v>0</v>
      </c>
      <c r="AN20" s="41">
        <v>988157.04</v>
      </c>
      <c r="AO20" s="41">
        <f t="shared" si="11"/>
        <v>988157.04</v>
      </c>
      <c r="AP20" s="35">
        <v>947797.13</v>
      </c>
      <c r="AQ20" s="41">
        <f>IFERROR(VLOOKUP(G20,'10'!A:B,2,0),0)</f>
        <v>0</v>
      </c>
      <c r="AR20" s="41">
        <f t="shared" si="12"/>
        <v>-947797.13</v>
      </c>
      <c r="AS20" s="41">
        <f t="shared" si="18"/>
        <v>3709003.83</v>
      </c>
      <c r="AT20" s="41">
        <f>AN20+AK20+AH20+AE20+AB20+-Y20+V20+S20+P20+AQ20</f>
        <v>1089544.75</v>
      </c>
      <c r="AU20" s="522">
        <f t="shared" si="17"/>
        <v>-2619459.08</v>
      </c>
      <c r="AV20" s="459">
        <f t="shared" si="14"/>
        <v>0.29375670663570064</v>
      </c>
      <c r="AW20" s="35">
        <v>0</v>
      </c>
      <c r="AX20" s="35">
        <v>950513</v>
      </c>
      <c r="AY20" s="41">
        <f t="shared" si="15"/>
        <v>4659516.83</v>
      </c>
      <c r="AZ20" s="41">
        <f>VLOOKUP(G20,'2017'!A:B,2,0)</f>
        <v>2242838.7199999997</v>
      </c>
      <c r="BA20" s="550">
        <f t="shared" si="16"/>
        <v>-2416678.1100000003</v>
      </c>
      <c r="BB20" s="35">
        <v>6299753.4500000002</v>
      </c>
      <c r="BC20" s="35">
        <v>1915683.74</v>
      </c>
      <c r="BD20" s="35">
        <v>1515770.68</v>
      </c>
      <c r="BE20" s="35">
        <v>0</v>
      </c>
      <c r="BF20" s="35">
        <v>0</v>
      </c>
      <c r="BG20" s="35">
        <v>0</v>
      </c>
      <c r="BH20" s="35">
        <v>0</v>
      </c>
      <c r="BI20" s="35">
        <v>12195529.41</v>
      </c>
      <c r="BJ20" s="451" t="s">
        <v>2695</v>
      </c>
      <c r="BK20" s="25" t="s">
        <v>2744</v>
      </c>
    </row>
    <row r="21" spans="1:64" s="10" customFormat="1" ht="72" customHeight="1" x14ac:dyDescent="0.25">
      <c r="A21" s="11" t="s">
        <v>138</v>
      </c>
      <c r="B21" s="11" t="s">
        <v>139</v>
      </c>
      <c r="C21" s="14" t="s">
        <v>576</v>
      </c>
      <c r="D21" s="11">
        <v>3</v>
      </c>
      <c r="E21" s="11" t="s">
        <v>35</v>
      </c>
      <c r="F21" s="11" t="s">
        <v>5</v>
      </c>
      <c r="G21" s="44" t="s">
        <v>142</v>
      </c>
      <c r="H21" s="45">
        <v>10</v>
      </c>
      <c r="I21" s="45" t="s">
        <v>138</v>
      </c>
      <c r="J21" s="46" t="s">
        <v>143</v>
      </c>
      <c r="K21" s="46" t="s">
        <v>144</v>
      </c>
      <c r="L21" s="41"/>
      <c r="M21" s="41">
        <v>0</v>
      </c>
      <c r="N21" s="41">
        <v>0</v>
      </c>
      <c r="O21" s="41">
        <v>0</v>
      </c>
      <c r="P21" s="41">
        <v>0</v>
      </c>
      <c r="Q21" s="41">
        <f>P21-O21</f>
        <v>0</v>
      </c>
      <c r="R21" s="41">
        <v>160000</v>
      </c>
      <c r="S21" s="41">
        <v>160000</v>
      </c>
      <c r="T21" s="41">
        <f>S21-R21</f>
        <v>0</v>
      </c>
      <c r="U21" s="41">
        <v>89197.56</v>
      </c>
      <c r="V21" s="41">
        <v>89197.56</v>
      </c>
      <c r="W21" s="41">
        <f>V21-U21</f>
        <v>0</v>
      </c>
      <c r="X21" s="41">
        <v>750000</v>
      </c>
      <c r="Y21" s="41">
        <v>750000</v>
      </c>
      <c r="Z21" s="41">
        <f>Y21-X21</f>
        <v>0</v>
      </c>
      <c r="AA21" s="41">
        <v>0</v>
      </c>
      <c r="AB21" s="41">
        <v>0</v>
      </c>
      <c r="AC21" s="41">
        <f>AB21-AA21</f>
        <v>0</v>
      </c>
      <c r="AD21" s="41">
        <v>176068.42</v>
      </c>
      <c r="AE21" s="41">
        <v>0</v>
      </c>
      <c r="AF21" s="41">
        <f>AE21-AD21</f>
        <v>-176068.42</v>
      </c>
      <c r="AG21" s="41">
        <v>0</v>
      </c>
      <c r="AH21" s="41">
        <v>0</v>
      </c>
      <c r="AI21" s="41">
        <f t="shared" si="9"/>
        <v>0</v>
      </c>
      <c r="AJ21" s="41">
        <v>849583.74</v>
      </c>
      <c r="AK21" s="41">
        <v>95179.8</v>
      </c>
      <c r="AL21" s="41">
        <f t="shared" si="10"/>
        <v>-754403.94</v>
      </c>
      <c r="AM21" s="41">
        <v>2068359.41</v>
      </c>
      <c r="AN21" s="41">
        <v>600000</v>
      </c>
      <c r="AO21" s="41">
        <f t="shared" si="11"/>
        <v>-1468359.41</v>
      </c>
      <c r="AP21" s="41">
        <v>0</v>
      </c>
      <c r="AQ21" s="41">
        <f>IFERROR(VLOOKUP(G21,'10'!A:B,2,0),0)</f>
        <v>0</v>
      </c>
      <c r="AR21" s="41">
        <f t="shared" si="12"/>
        <v>0</v>
      </c>
      <c r="AS21" s="41">
        <f t="shared" si="18"/>
        <v>4093209.13</v>
      </c>
      <c r="AT21" s="41">
        <f>AN21+AK21+AH21+AE21+AB21+Y21+V21+S21+P21+AQ21</f>
        <v>1694377.36</v>
      </c>
      <c r="AU21" s="522">
        <f t="shared" si="17"/>
        <v>-2398831.7699999996</v>
      </c>
      <c r="AV21" s="459">
        <f t="shared" si="14"/>
        <v>0.4139483975010092</v>
      </c>
      <c r="AW21" s="41">
        <v>0</v>
      </c>
      <c r="AX21" s="41">
        <v>0</v>
      </c>
      <c r="AY21" s="41">
        <f t="shared" si="15"/>
        <v>4093209.13</v>
      </c>
      <c r="AZ21" s="41">
        <f>VLOOKUP(G21,'2017'!A:B,2,0)</f>
        <v>3831604.09</v>
      </c>
      <c r="BA21" s="552">
        <f t="shared" si="16"/>
        <v>-261605.04000000004</v>
      </c>
      <c r="BB21" s="41">
        <v>282902.8</v>
      </c>
      <c r="BC21" s="41">
        <v>0</v>
      </c>
      <c r="BD21" s="41">
        <v>0</v>
      </c>
      <c r="BE21" s="41">
        <v>0</v>
      </c>
      <c r="BF21" s="41">
        <v>0</v>
      </c>
      <c r="BG21" s="41">
        <v>0</v>
      </c>
      <c r="BH21" s="41">
        <v>0</v>
      </c>
      <c r="BI21" s="41">
        <v>2616528.1899999995</v>
      </c>
      <c r="BJ21" s="75"/>
      <c r="BK21" s="25" t="s">
        <v>2748</v>
      </c>
    </row>
    <row r="22" spans="1:64" s="10" customFormat="1" ht="62.25" customHeight="1" x14ac:dyDescent="0.25">
      <c r="A22" s="11" t="s">
        <v>804</v>
      </c>
      <c r="B22" s="11" t="s">
        <v>805</v>
      </c>
      <c r="C22" s="14" t="s">
        <v>806</v>
      </c>
      <c r="D22" s="11" t="s">
        <v>3</v>
      </c>
      <c r="E22" s="11" t="s">
        <v>807</v>
      </c>
      <c r="F22" s="11" t="s">
        <v>5</v>
      </c>
      <c r="G22" s="44" t="s">
        <v>777</v>
      </c>
      <c r="H22" s="45">
        <v>11</v>
      </c>
      <c r="I22" s="45" t="s">
        <v>804</v>
      </c>
      <c r="J22" s="46" t="s">
        <v>808</v>
      </c>
      <c r="K22" s="50" t="s">
        <v>809</v>
      </c>
      <c r="L22" s="41">
        <v>0</v>
      </c>
      <c r="M22" s="41">
        <v>0</v>
      </c>
      <c r="N22" s="41">
        <v>0</v>
      </c>
      <c r="O22" s="41">
        <v>0</v>
      </c>
      <c r="P22" s="41">
        <v>0</v>
      </c>
      <c r="Q22" s="41">
        <v>0</v>
      </c>
      <c r="R22" s="41">
        <v>0</v>
      </c>
      <c r="S22" s="41">
        <v>0</v>
      </c>
      <c r="T22" s="41">
        <v>0</v>
      </c>
      <c r="U22" s="41">
        <v>0</v>
      </c>
      <c r="V22" s="41">
        <v>0</v>
      </c>
      <c r="W22" s="41">
        <v>0</v>
      </c>
      <c r="X22" s="41"/>
      <c r="Y22" s="41"/>
      <c r="Z22" s="41"/>
      <c r="AA22" s="41"/>
      <c r="AB22" s="41"/>
      <c r="AC22" s="41"/>
      <c r="AD22" s="41">
        <v>4465569</v>
      </c>
      <c r="AE22" s="41">
        <v>4465568.95</v>
      </c>
      <c r="AF22" s="41">
        <f>AE22-AD22</f>
        <v>-4.9999999813735485E-2</v>
      </c>
      <c r="AG22" s="41">
        <v>0</v>
      </c>
      <c r="AH22" s="41">
        <v>0</v>
      </c>
      <c r="AI22" s="41">
        <f t="shared" si="9"/>
        <v>0</v>
      </c>
      <c r="AJ22" s="41">
        <v>3600000</v>
      </c>
      <c r="AK22" s="41">
        <v>0</v>
      </c>
      <c r="AL22" s="41">
        <f t="shared" si="10"/>
        <v>-3600000</v>
      </c>
      <c r="AM22" s="41">
        <v>0</v>
      </c>
      <c r="AN22" s="41">
        <v>2779573.72</v>
      </c>
      <c r="AO22" s="41">
        <f t="shared" si="11"/>
        <v>2779573.72</v>
      </c>
      <c r="AP22" s="41">
        <v>1700000</v>
      </c>
      <c r="AQ22" s="41">
        <v>422456.31</v>
      </c>
      <c r="AR22" s="41">
        <f t="shared" si="12"/>
        <v>-1277543.69</v>
      </c>
      <c r="AS22" s="41">
        <f t="shared" si="18"/>
        <v>9765569</v>
      </c>
      <c r="AT22" s="41">
        <f>AN22+AK22+AH22+AE22+AB22+Y22+V22+S22+P22+AQ22</f>
        <v>7667598.9799999995</v>
      </c>
      <c r="AU22" s="522">
        <f t="shared" si="17"/>
        <v>-2097970.0199999996</v>
      </c>
      <c r="AV22" s="459">
        <f t="shared" si="14"/>
        <v>0.78516663801156894</v>
      </c>
      <c r="AW22" s="41">
        <v>0</v>
      </c>
      <c r="AX22" s="41">
        <v>0</v>
      </c>
      <c r="AY22" s="41">
        <f t="shared" si="15"/>
        <v>9765569</v>
      </c>
      <c r="AZ22" s="41">
        <f>VLOOKUP(G22,'2017'!A:B,2,0)</f>
        <v>8674826.0700000003</v>
      </c>
      <c r="BA22" s="550">
        <f t="shared" si="16"/>
        <v>-1090742.9299999997</v>
      </c>
      <c r="BB22" s="41">
        <v>6160139</v>
      </c>
      <c r="BC22" s="426">
        <v>9821637</v>
      </c>
      <c r="BD22" s="41">
        <v>8628211</v>
      </c>
      <c r="BE22" s="41">
        <v>2640543.4600000037</v>
      </c>
      <c r="BF22" s="41"/>
      <c r="BG22" s="41">
        <v>0</v>
      </c>
      <c r="BH22" s="41">
        <v>0</v>
      </c>
      <c r="BI22" s="41">
        <v>37550530.460000001</v>
      </c>
      <c r="BJ22" s="75"/>
      <c r="BK22" s="25" t="s">
        <v>2743</v>
      </c>
    </row>
    <row r="23" spans="1:64" s="10" customFormat="1" ht="48.75" customHeight="1" x14ac:dyDescent="0.25">
      <c r="A23" s="11" t="s">
        <v>150</v>
      </c>
      <c r="B23" s="11" t="s">
        <v>151</v>
      </c>
      <c r="C23" s="14" t="s">
        <v>578</v>
      </c>
      <c r="D23" s="11" t="s">
        <v>3</v>
      </c>
      <c r="E23" s="11" t="s">
        <v>29</v>
      </c>
      <c r="F23" s="11" t="s">
        <v>102</v>
      </c>
      <c r="G23" s="44" t="s">
        <v>164</v>
      </c>
      <c r="H23" s="45">
        <v>12</v>
      </c>
      <c r="I23" s="45" t="s">
        <v>150</v>
      </c>
      <c r="J23" s="46" t="s">
        <v>98</v>
      </c>
      <c r="K23" s="46" t="s">
        <v>165</v>
      </c>
      <c r="L23" s="41">
        <v>0</v>
      </c>
      <c r="M23" s="41">
        <v>0</v>
      </c>
      <c r="N23" s="41">
        <v>8074353.8699999992</v>
      </c>
      <c r="O23" s="41">
        <v>5856968.2800000003</v>
      </c>
      <c r="P23" s="41">
        <v>5857002.2800000003</v>
      </c>
      <c r="Q23" s="41">
        <f>P23-O23</f>
        <v>34</v>
      </c>
      <c r="R23" s="41">
        <v>0</v>
      </c>
      <c r="S23" s="41">
        <v>0</v>
      </c>
      <c r="T23" s="41">
        <f>S23-R23</f>
        <v>0</v>
      </c>
      <c r="U23" s="41">
        <v>0</v>
      </c>
      <c r="V23" s="41">
        <v>0</v>
      </c>
      <c r="W23" s="41">
        <f>V23-U23</f>
        <v>0</v>
      </c>
      <c r="X23" s="41">
        <v>103003.9</v>
      </c>
      <c r="Y23" s="41">
        <v>108297.12</v>
      </c>
      <c r="Z23" s="41">
        <f>Y23-X23</f>
        <v>5293.2200000000012</v>
      </c>
      <c r="AA23" s="41">
        <v>0</v>
      </c>
      <c r="AB23" s="41">
        <v>0</v>
      </c>
      <c r="AC23" s="41">
        <f>AB23-AA23</f>
        <v>0</v>
      </c>
      <c r="AD23" s="41">
        <v>0</v>
      </c>
      <c r="AE23" s="41">
        <v>0</v>
      </c>
      <c r="AF23" s="41">
        <f>AE23-AD23</f>
        <v>0</v>
      </c>
      <c r="AG23" s="41">
        <v>2006000</v>
      </c>
      <c r="AH23" s="41">
        <v>366423.9</v>
      </c>
      <c r="AI23" s="41">
        <f t="shared" si="9"/>
        <v>-1639576.1</v>
      </c>
      <c r="AJ23" s="41">
        <v>0</v>
      </c>
      <c r="AK23" s="41">
        <v>0</v>
      </c>
      <c r="AL23" s="41">
        <f t="shared" si="10"/>
        <v>0</v>
      </c>
      <c r="AM23" s="41">
        <v>0</v>
      </c>
      <c r="AN23" s="41">
        <v>0</v>
      </c>
      <c r="AO23" s="41">
        <f t="shared" si="11"/>
        <v>0</v>
      </c>
      <c r="AP23" s="41">
        <v>1292850</v>
      </c>
      <c r="AQ23" s="41">
        <f>IFERROR(VLOOKUP(G23,'10'!A:B,2,0),0)</f>
        <v>1020504.17</v>
      </c>
      <c r="AR23" s="41">
        <f t="shared" si="12"/>
        <v>-272345.82999999996</v>
      </c>
      <c r="AS23" s="41">
        <f t="shared" si="18"/>
        <v>9258822.1799999997</v>
      </c>
      <c r="AT23" s="41">
        <f>AN23+AK23+AH23+AE23+AB23+Y23+V23+S23+P23+AQ23</f>
        <v>7352227.4700000007</v>
      </c>
      <c r="AU23" s="522">
        <f t="shared" si="17"/>
        <v>-1906594.71</v>
      </c>
      <c r="AV23" s="459">
        <f t="shared" si="14"/>
        <v>0.79407805086499683</v>
      </c>
      <c r="AW23" s="41">
        <v>0</v>
      </c>
      <c r="AX23" s="41">
        <v>598508.94999999995</v>
      </c>
      <c r="AY23" s="41">
        <f t="shared" si="15"/>
        <v>9857331.1300000008</v>
      </c>
      <c r="AZ23" s="41">
        <f>VLOOKUP(G23,'2017'!A:B,2,0)</f>
        <v>7352227.4700000007</v>
      </c>
      <c r="BA23" s="550">
        <f t="shared" si="16"/>
        <v>-2505103.66</v>
      </c>
      <c r="BB23" s="41">
        <v>0</v>
      </c>
      <c r="BC23" s="41">
        <v>0</v>
      </c>
      <c r="BD23" s="41">
        <v>0</v>
      </c>
      <c r="BE23" s="41">
        <v>0</v>
      </c>
      <c r="BF23" s="41">
        <v>0</v>
      </c>
      <c r="BG23" s="41">
        <v>0</v>
      </c>
      <c r="BH23" s="41">
        <v>0</v>
      </c>
      <c r="BI23" s="41">
        <v>17931685</v>
      </c>
      <c r="BJ23" s="451" t="s">
        <v>2697</v>
      </c>
      <c r="BK23" s="25" t="s">
        <v>2767</v>
      </c>
    </row>
    <row r="24" spans="1:64" s="10" customFormat="1" ht="54" customHeight="1" x14ac:dyDescent="0.25">
      <c r="A24" s="20" t="s">
        <v>172</v>
      </c>
      <c r="B24" s="20" t="s">
        <v>173</v>
      </c>
      <c r="C24" s="21" t="s">
        <v>579</v>
      </c>
      <c r="D24" s="20" t="s">
        <v>3</v>
      </c>
      <c r="E24" s="20" t="s">
        <v>29</v>
      </c>
      <c r="F24" s="20" t="s">
        <v>5</v>
      </c>
      <c r="G24" s="53" t="s">
        <v>946</v>
      </c>
      <c r="H24" s="45">
        <v>13</v>
      </c>
      <c r="I24" s="45" t="s">
        <v>172</v>
      </c>
      <c r="J24" s="34" t="s">
        <v>98</v>
      </c>
      <c r="K24" s="34" t="s">
        <v>867</v>
      </c>
      <c r="L24" s="431"/>
      <c r="M24" s="37">
        <v>0</v>
      </c>
      <c r="N24" s="37">
        <v>0</v>
      </c>
      <c r="O24" s="37">
        <v>0</v>
      </c>
      <c r="P24" s="37"/>
      <c r="Q24" s="37"/>
      <c r="R24" s="37">
        <v>0</v>
      </c>
      <c r="S24" s="37"/>
      <c r="T24" s="37"/>
      <c r="U24" s="37">
        <v>0</v>
      </c>
      <c r="V24" s="37"/>
      <c r="W24" s="37"/>
      <c r="X24" s="37">
        <v>0</v>
      </c>
      <c r="Y24" s="37"/>
      <c r="Z24" s="37"/>
      <c r="AA24" s="37">
        <v>0</v>
      </c>
      <c r="AB24" s="37"/>
      <c r="AC24" s="37"/>
      <c r="AD24" s="37">
        <v>0</v>
      </c>
      <c r="AE24" s="37"/>
      <c r="AF24" s="37"/>
      <c r="AG24" s="37">
        <v>1273054.3500000001</v>
      </c>
      <c r="AH24" s="41">
        <v>0</v>
      </c>
      <c r="AI24" s="41">
        <f t="shared" si="9"/>
        <v>-1273054.3500000001</v>
      </c>
      <c r="AJ24" s="37">
        <v>0</v>
      </c>
      <c r="AK24" s="41">
        <v>0</v>
      </c>
      <c r="AL24" s="41">
        <f t="shared" si="10"/>
        <v>0</v>
      </c>
      <c r="AM24" s="37">
        <v>0</v>
      </c>
      <c r="AN24" s="41">
        <v>0</v>
      </c>
      <c r="AO24" s="41">
        <f t="shared" si="11"/>
        <v>0</v>
      </c>
      <c r="AP24" s="37">
        <v>581343.9</v>
      </c>
      <c r="AQ24" s="41">
        <f>IFERROR(VLOOKUP(G24,'10'!A:B,2,0),0)</f>
        <v>0</v>
      </c>
      <c r="AR24" s="41">
        <f t="shared" si="12"/>
        <v>-581343.9</v>
      </c>
      <c r="AS24" s="41">
        <f t="shared" si="18"/>
        <v>1854398.25</v>
      </c>
      <c r="AT24" s="41">
        <f>AN24+AK24+AH24+AE24+AB24+-Y24+V24+S24+P24+AQ24</f>
        <v>0</v>
      </c>
      <c r="AU24" s="522">
        <f t="shared" si="17"/>
        <v>-1854398.25</v>
      </c>
      <c r="AV24" s="459">
        <f t="shared" si="14"/>
        <v>0</v>
      </c>
      <c r="AW24" s="37">
        <v>0</v>
      </c>
      <c r="AX24" s="37">
        <v>0</v>
      </c>
      <c r="AY24" s="41">
        <f t="shared" si="15"/>
        <v>1854398.25</v>
      </c>
      <c r="AZ24" s="41">
        <f>VLOOKUP(G24,'2017'!A:B,2,0)</f>
        <v>0</v>
      </c>
      <c r="BA24" s="550">
        <f t="shared" si="16"/>
        <v>-1854398.25</v>
      </c>
      <c r="BB24" s="37">
        <v>4345000.25</v>
      </c>
      <c r="BC24" s="37">
        <v>593128.51</v>
      </c>
      <c r="BD24" s="37">
        <v>0</v>
      </c>
      <c r="BE24" s="37">
        <v>0</v>
      </c>
      <c r="BF24" s="37">
        <v>0</v>
      </c>
      <c r="BG24" s="37">
        <v>0</v>
      </c>
      <c r="BH24" s="37">
        <v>0</v>
      </c>
      <c r="BI24" s="37">
        <v>6792527.0099999998</v>
      </c>
      <c r="BJ24" s="452" t="s">
        <v>949</v>
      </c>
      <c r="BK24" s="25" t="s">
        <v>2733</v>
      </c>
    </row>
    <row r="25" spans="1:64" s="10" customFormat="1" ht="48.75" customHeight="1" x14ac:dyDescent="0.25">
      <c r="A25" s="11" t="s">
        <v>330</v>
      </c>
      <c r="B25" s="11" t="s">
        <v>337</v>
      </c>
      <c r="C25" s="14" t="s">
        <v>595</v>
      </c>
      <c r="D25" s="11" t="s">
        <v>3</v>
      </c>
      <c r="E25" s="11" t="s">
        <v>210</v>
      </c>
      <c r="F25" s="11" t="s">
        <v>77</v>
      </c>
      <c r="G25" s="44" t="s">
        <v>339</v>
      </c>
      <c r="H25" s="45">
        <v>14</v>
      </c>
      <c r="I25" s="45" t="s">
        <v>330</v>
      </c>
      <c r="J25" s="46" t="s">
        <v>40</v>
      </c>
      <c r="K25" s="46" t="s">
        <v>338</v>
      </c>
      <c r="L25" s="41">
        <v>0</v>
      </c>
      <c r="M25" s="41">
        <v>0</v>
      </c>
      <c r="N25" s="41">
        <v>78759.69</v>
      </c>
      <c r="O25" s="41">
        <v>107040.26</v>
      </c>
      <c r="P25" s="41">
        <v>107040.26</v>
      </c>
      <c r="Q25" s="41">
        <f>P25-O25</f>
        <v>0</v>
      </c>
      <c r="R25" s="41">
        <v>0</v>
      </c>
      <c r="S25" s="41">
        <v>0</v>
      </c>
      <c r="T25" s="41">
        <f>S25-R25</f>
        <v>0</v>
      </c>
      <c r="U25" s="41">
        <v>0</v>
      </c>
      <c r="V25" s="41">
        <v>0</v>
      </c>
      <c r="W25" s="41">
        <f>V25-U25</f>
        <v>0</v>
      </c>
      <c r="X25" s="41">
        <v>63756.1</v>
      </c>
      <c r="Y25" s="41">
        <v>63756.09</v>
      </c>
      <c r="Z25" s="41">
        <f>Y25-X25</f>
        <v>-1.0000000002037268E-2</v>
      </c>
      <c r="AA25" s="41">
        <v>0</v>
      </c>
      <c r="AB25" s="41">
        <v>0</v>
      </c>
      <c r="AC25" s="41">
        <f>AB25-AA25</f>
        <v>0</v>
      </c>
      <c r="AD25" s="41">
        <v>0</v>
      </c>
      <c r="AE25" s="41">
        <v>0</v>
      </c>
      <c r="AF25" s="41">
        <f>AE25-AD25</f>
        <v>0</v>
      </c>
      <c r="AG25" s="41">
        <v>685480.12</v>
      </c>
      <c r="AH25" s="41">
        <v>59739.98</v>
      </c>
      <c r="AI25" s="41">
        <f t="shared" si="9"/>
        <v>-625740.14</v>
      </c>
      <c r="AJ25" s="41">
        <v>0</v>
      </c>
      <c r="AK25" s="41">
        <v>0</v>
      </c>
      <c r="AL25" s="41">
        <f t="shared" si="10"/>
        <v>0</v>
      </c>
      <c r="AM25" s="41">
        <v>0</v>
      </c>
      <c r="AN25" s="41">
        <v>0</v>
      </c>
      <c r="AO25" s="41">
        <f t="shared" si="11"/>
        <v>0</v>
      </c>
      <c r="AP25" s="41">
        <v>1297763.8500000001</v>
      </c>
      <c r="AQ25" s="41">
        <f>IFERROR(VLOOKUP(G25,'10'!A:B,2,0),0)</f>
        <v>90947.37</v>
      </c>
      <c r="AR25" s="41">
        <f t="shared" si="12"/>
        <v>-1206816.48</v>
      </c>
      <c r="AS25" s="41">
        <f t="shared" si="18"/>
        <v>2154040.33</v>
      </c>
      <c r="AT25" s="41">
        <f>AN25+AK25+AH25+AE25+AB25+Y25+V25+S25+P25+AQ25</f>
        <v>321483.7</v>
      </c>
      <c r="AU25" s="522">
        <f t="shared" si="17"/>
        <v>-1832556.63</v>
      </c>
      <c r="AV25" s="459">
        <f t="shared" si="14"/>
        <v>0.14924683420388885</v>
      </c>
      <c r="AW25" s="41">
        <v>0</v>
      </c>
      <c r="AX25" s="41">
        <v>0</v>
      </c>
      <c r="AY25" s="41">
        <f t="shared" si="15"/>
        <v>2154040.33</v>
      </c>
      <c r="AZ25" s="41">
        <f>VLOOKUP(G25,'2017'!A:B,2,0)</f>
        <v>321483.7</v>
      </c>
      <c r="BA25" s="550">
        <f t="shared" si="16"/>
        <v>-1832556.6300000001</v>
      </c>
      <c r="BB25" s="41">
        <v>4644266.8</v>
      </c>
      <c r="BC25" s="41">
        <v>2329497.41</v>
      </c>
      <c r="BD25" s="41">
        <v>1160641.8099999998</v>
      </c>
      <c r="BE25" s="41">
        <v>1151206.8</v>
      </c>
      <c r="BF25" s="41">
        <v>940179.00999999989</v>
      </c>
      <c r="BG25" s="41">
        <v>223583.15</v>
      </c>
      <c r="BH25" s="41">
        <v>0</v>
      </c>
      <c r="BI25" s="41">
        <v>12682175.000000002</v>
      </c>
      <c r="BJ25" s="451" t="s">
        <v>2703</v>
      </c>
      <c r="BK25" s="25" t="s">
        <v>2752</v>
      </c>
    </row>
    <row r="26" spans="1:64" s="10" customFormat="1" ht="63" x14ac:dyDescent="0.25">
      <c r="A26" s="11" t="s">
        <v>172</v>
      </c>
      <c r="B26" s="11" t="s">
        <v>173</v>
      </c>
      <c r="C26" s="14" t="s">
        <v>579</v>
      </c>
      <c r="D26" s="11" t="s">
        <v>3</v>
      </c>
      <c r="E26" s="11" t="s">
        <v>29</v>
      </c>
      <c r="F26" s="11" t="s">
        <v>5</v>
      </c>
      <c r="G26" s="44" t="s">
        <v>180</v>
      </c>
      <c r="H26" s="45">
        <v>15</v>
      </c>
      <c r="I26" s="45" t="s">
        <v>172</v>
      </c>
      <c r="J26" s="46" t="s">
        <v>98</v>
      </c>
      <c r="K26" s="46" t="s">
        <v>181</v>
      </c>
      <c r="L26" s="41">
        <v>0</v>
      </c>
      <c r="M26" s="41">
        <v>0</v>
      </c>
      <c r="N26" s="41">
        <v>5149736.75</v>
      </c>
      <c r="O26" s="41">
        <v>0</v>
      </c>
      <c r="P26" s="41">
        <v>0</v>
      </c>
      <c r="Q26" s="41">
        <f>P26-O26</f>
        <v>0</v>
      </c>
      <c r="R26" s="41">
        <v>0</v>
      </c>
      <c r="S26" s="41">
        <v>0</v>
      </c>
      <c r="T26" s="41">
        <f>S26-R26</f>
        <v>0</v>
      </c>
      <c r="U26" s="41">
        <v>373852.07</v>
      </c>
      <c r="V26" s="41">
        <v>373852.07</v>
      </c>
      <c r="W26" s="41">
        <f>V26-U26</f>
        <v>0</v>
      </c>
      <c r="X26" s="41">
        <v>0</v>
      </c>
      <c r="Y26" s="41">
        <v>0</v>
      </c>
      <c r="Z26" s="41">
        <f>Y26-X26</f>
        <v>0</v>
      </c>
      <c r="AA26" s="41">
        <v>0</v>
      </c>
      <c r="AB26" s="41">
        <v>0</v>
      </c>
      <c r="AC26" s="41">
        <f>AB26-AA26</f>
        <v>0</v>
      </c>
      <c r="AD26" s="41">
        <v>0</v>
      </c>
      <c r="AE26" s="41">
        <v>0</v>
      </c>
      <c r="AF26" s="41">
        <f>AE26-AD26</f>
        <v>0</v>
      </c>
      <c r="AG26" s="41">
        <v>0</v>
      </c>
      <c r="AH26" s="41">
        <v>0</v>
      </c>
      <c r="AI26" s="41">
        <f t="shared" si="9"/>
        <v>0</v>
      </c>
      <c r="AJ26" s="41">
        <v>0</v>
      </c>
      <c r="AK26" s="41">
        <v>0</v>
      </c>
      <c r="AL26" s="41">
        <f t="shared" si="10"/>
        <v>0</v>
      </c>
      <c r="AM26" s="41">
        <v>1694520.05</v>
      </c>
      <c r="AN26" s="41">
        <v>0</v>
      </c>
      <c r="AO26" s="41">
        <f t="shared" si="11"/>
        <v>-1694520.05</v>
      </c>
      <c r="AP26" s="41">
        <v>0</v>
      </c>
      <c r="AQ26" s="41">
        <f>IFERROR(VLOOKUP(G26,'10'!A:B,2,0),0)</f>
        <v>0</v>
      </c>
      <c r="AR26" s="41">
        <f t="shared" si="12"/>
        <v>0</v>
      </c>
      <c r="AS26" s="41">
        <f t="shared" si="18"/>
        <v>2068372.12</v>
      </c>
      <c r="AT26" s="41">
        <f>AN26+AK26+AH26+AE26+AB26+-Y26+V26+S26+P26+AQ26</f>
        <v>373852.07</v>
      </c>
      <c r="AU26" s="522">
        <f t="shared" si="17"/>
        <v>-1694520.05</v>
      </c>
      <c r="AV26" s="459">
        <f t="shared" si="14"/>
        <v>0.18074700697474108</v>
      </c>
      <c r="AW26" s="41">
        <v>0</v>
      </c>
      <c r="AX26" s="41">
        <v>361733.65</v>
      </c>
      <c r="AY26" s="41">
        <f t="shared" si="15"/>
        <v>2430105.77</v>
      </c>
      <c r="AZ26" s="41">
        <f>VLOOKUP(G26,'2017'!A:B,2,0)</f>
        <v>2430105.77</v>
      </c>
      <c r="BA26" s="552">
        <f t="shared" si="16"/>
        <v>0</v>
      </c>
      <c r="BB26" s="41">
        <v>501876.2</v>
      </c>
      <c r="BC26" s="41">
        <v>0</v>
      </c>
      <c r="BD26" s="41">
        <v>0</v>
      </c>
      <c r="BE26" s="41">
        <v>0</v>
      </c>
      <c r="BF26" s="41">
        <v>0</v>
      </c>
      <c r="BG26" s="41">
        <v>0</v>
      </c>
      <c r="BH26" s="41">
        <v>0</v>
      </c>
      <c r="BI26" s="41">
        <v>8081718.7199999997</v>
      </c>
      <c r="BJ26" s="75"/>
      <c r="BK26" s="24"/>
    </row>
    <row r="27" spans="1:64" s="10" customFormat="1" ht="47.25" x14ac:dyDescent="0.25">
      <c r="A27" s="11" t="s">
        <v>172</v>
      </c>
      <c r="B27" s="11" t="s">
        <v>173</v>
      </c>
      <c r="C27" s="14" t="s">
        <v>579</v>
      </c>
      <c r="D27" s="11" t="s">
        <v>3</v>
      </c>
      <c r="E27" s="11" t="s">
        <v>29</v>
      </c>
      <c r="F27" s="11" t="s">
        <v>5</v>
      </c>
      <c r="G27" s="44" t="s">
        <v>202</v>
      </c>
      <c r="H27" s="45">
        <v>16</v>
      </c>
      <c r="I27" s="45" t="s">
        <v>172</v>
      </c>
      <c r="J27" s="46" t="s">
        <v>98</v>
      </c>
      <c r="K27" s="46" t="s">
        <v>203</v>
      </c>
      <c r="L27" s="41">
        <v>0</v>
      </c>
      <c r="M27" s="41">
        <v>0</v>
      </c>
      <c r="N27" s="41">
        <v>0</v>
      </c>
      <c r="O27" s="41">
        <v>0</v>
      </c>
      <c r="P27" s="41">
        <v>0</v>
      </c>
      <c r="Q27" s="41">
        <f>P27-O27</f>
        <v>0</v>
      </c>
      <c r="R27" s="41">
        <v>0</v>
      </c>
      <c r="S27" s="41">
        <v>0</v>
      </c>
      <c r="T27" s="41">
        <f>S27-R27</f>
        <v>0</v>
      </c>
      <c r="U27" s="41">
        <v>0</v>
      </c>
      <c r="V27" s="41">
        <v>0</v>
      </c>
      <c r="W27" s="41">
        <f>V27-U27</f>
        <v>0</v>
      </c>
      <c r="X27" s="41">
        <v>114.75</v>
      </c>
      <c r="Y27" s="41">
        <v>114.75</v>
      </c>
      <c r="Z27" s="41">
        <f>Y27-X27</f>
        <v>0</v>
      </c>
      <c r="AA27" s="41">
        <v>0</v>
      </c>
      <c r="AB27" s="41">
        <v>0</v>
      </c>
      <c r="AC27" s="41">
        <f>AB27-AA27</f>
        <v>0</v>
      </c>
      <c r="AD27" s="41">
        <v>0</v>
      </c>
      <c r="AE27" s="41">
        <v>0</v>
      </c>
      <c r="AF27" s="41">
        <f>AE27-AD27</f>
        <v>0</v>
      </c>
      <c r="AG27" s="41">
        <v>0</v>
      </c>
      <c r="AH27" s="41">
        <v>0</v>
      </c>
      <c r="AI27" s="41">
        <f t="shared" si="9"/>
        <v>0</v>
      </c>
      <c r="AJ27" s="41">
        <v>0</v>
      </c>
      <c r="AK27" s="41">
        <v>0</v>
      </c>
      <c r="AL27" s="41">
        <f t="shared" si="10"/>
        <v>0</v>
      </c>
      <c r="AM27" s="41">
        <v>0</v>
      </c>
      <c r="AN27" s="41">
        <v>0</v>
      </c>
      <c r="AO27" s="41">
        <f t="shared" si="11"/>
        <v>0</v>
      </c>
      <c r="AP27" s="41">
        <v>1670703.9</v>
      </c>
      <c r="AQ27" s="41">
        <f>IFERROR(VLOOKUP(G27,'10'!A:B,2,0),0)</f>
        <v>0</v>
      </c>
      <c r="AR27" s="41">
        <f t="shared" si="12"/>
        <v>-1670703.9</v>
      </c>
      <c r="AS27" s="41">
        <f t="shared" si="18"/>
        <v>1670818.65</v>
      </c>
      <c r="AT27" s="41">
        <f>AN27+AK27+AH27+AE27+AB27+Y27+V27+S27+P27+AQ27</f>
        <v>114.75</v>
      </c>
      <c r="AU27" s="522">
        <f t="shared" si="17"/>
        <v>-1670703.9</v>
      </c>
      <c r="AV27" s="459">
        <f t="shared" si="14"/>
        <v>6.8678907791698402E-5</v>
      </c>
      <c r="AW27" s="41">
        <v>0</v>
      </c>
      <c r="AX27" s="41">
        <v>0</v>
      </c>
      <c r="AY27" s="41">
        <f t="shared" si="15"/>
        <v>1670818.65</v>
      </c>
      <c r="AZ27" s="41">
        <f>VLOOKUP(G27,'2017'!A:B,2,0)</f>
        <v>114.75</v>
      </c>
      <c r="BA27" s="550">
        <f t="shared" si="16"/>
        <v>-1670703.9</v>
      </c>
      <c r="BB27" s="41">
        <v>4033385.4699999997</v>
      </c>
      <c r="BC27" s="41">
        <v>490827.4</v>
      </c>
      <c r="BD27" s="41">
        <v>0</v>
      </c>
      <c r="BE27" s="41">
        <v>0</v>
      </c>
      <c r="BF27" s="41">
        <v>0</v>
      </c>
      <c r="BG27" s="41">
        <v>0</v>
      </c>
      <c r="BH27" s="41">
        <v>0</v>
      </c>
      <c r="BI27" s="41">
        <v>6195031.5199999996</v>
      </c>
      <c r="BJ27" s="75"/>
      <c r="BK27" s="24"/>
      <c r="BL27" s="8"/>
    </row>
    <row r="28" spans="1:64" s="10" customFormat="1" ht="47.25" x14ac:dyDescent="0.25">
      <c r="A28" s="20" t="s">
        <v>172</v>
      </c>
      <c r="B28" s="20" t="s">
        <v>173</v>
      </c>
      <c r="C28" s="21" t="s">
        <v>579</v>
      </c>
      <c r="D28" s="20" t="s">
        <v>3</v>
      </c>
      <c r="E28" s="20" t="s">
        <v>29</v>
      </c>
      <c r="F28" s="20" t="s">
        <v>5</v>
      </c>
      <c r="G28" s="53" t="s">
        <v>945</v>
      </c>
      <c r="H28" s="45">
        <v>17</v>
      </c>
      <c r="I28" s="45" t="s">
        <v>172</v>
      </c>
      <c r="J28" s="34" t="s">
        <v>98</v>
      </c>
      <c r="K28" s="34" t="s">
        <v>868</v>
      </c>
      <c r="L28" s="431"/>
      <c r="M28" s="37">
        <v>0</v>
      </c>
      <c r="N28" s="37">
        <v>0</v>
      </c>
      <c r="O28" s="37">
        <v>0</v>
      </c>
      <c r="P28" s="37"/>
      <c r="Q28" s="37"/>
      <c r="R28" s="37">
        <v>0</v>
      </c>
      <c r="S28" s="37"/>
      <c r="T28" s="37"/>
      <c r="U28" s="37">
        <v>0</v>
      </c>
      <c r="V28" s="37"/>
      <c r="W28" s="37"/>
      <c r="X28" s="37">
        <v>0</v>
      </c>
      <c r="Y28" s="37"/>
      <c r="Z28" s="37"/>
      <c r="AA28" s="37">
        <v>0</v>
      </c>
      <c r="AB28" s="37"/>
      <c r="AC28" s="37"/>
      <c r="AD28" s="37">
        <v>0</v>
      </c>
      <c r="AE28" s="37"/>
      <c r="AF28" s="37"/>
      <c r="AG28" s="37">
        <v>602383.1</v>
      </c>
      <c r="AH28" s="41">
        <v>166213.54999999999</v>
      </c>
      <c r="AI28" s="41">
        <f t="shared" si="9"/>
        <v>-436169.55</v>
      </c>
      <c r="AJ28" s="37">
        <v>0</v>
      </c>
      <c r="AK28" s="41">
        <v>0</v>
      </c>
      <c r="AL28" s="41">
        <f t="shared" si="10"/>
        <v>0</v>
      </c>
      <c r="AM28" s="37">
        <v>0</v>
      </c>
      <c r="AN28" s="41">
        <v>0</v>
      </c>
      <c r="AO28" s="41">
        <f t="shared" si="11"/>
        <v>0</v>
      </c>
      <c r="AP28" s="37">
        <v>2383648.2000000002</v>
      </c>
      <c r="AQ28" s="41">
        <f>IFERROR(VLOOKUP(G28,'10'!A:B,2,0),0)</f>
        <v>1178845.1100000001</v>
      </c>
      <c r="AR28" s="41">
        <f t="shared" si="12"/>
        <v>-1204803.0900000001</v>
      </c>
      <c r="AS28" s="41">
        <f t="shared" si="18"/>
        <v>2986031.3000000003</v>
      </c>
      <c r="AT28" s="41">
        <f>AN28+AK28+AH28+AE28+AB28+-Y28+V28+S28+P28+AQ28</f>
        <v>1345058.6600000001</v>
      </c>
      <c r="AU28" s="522">
        <f t="shared" si="17"/>
        <v>-1640972.6400000001</v>
      </c>
      <c r="AV28" s="459">
        <f t="shared" si="14"/>
        <v>0.45045028831412454</v>
      </c>
      <c r="AW28" s="37">
        <v>0</v>
      </c>
      <c r="AX28" s="37">
        <v>0</v>
      </c>
      <c r="AY28" s="41">
        <f t="shared" si="15"/>
        <v>2986031.3000000003</v>
      </c>
      <c r="AZ28" s="41">
        <f>VLOOKUP(G28,'2017'!A:B,2,0)</f>
        <v>1345058.6600000001</v>
      </c>
      <c r="BA28" s="550">
        <f t="shared" si="16"/>
        <v>-1640972.6400000001</v>
      </c>
      <c r="BB28" s="37">
        <v>990484.75</v>
      </c>
      <c r="BC28" s="37">
        <v>0</v>
      </c>
      <c r="BD28" s="37">
        <v>0</v>
      </c>
      <c r="BE28" s="37">
        <v>0</v>
      </c>
      <c r="BF28" s="37">
        <v>0</v>
      </c>
      <c r="BG28" s="37">
        <v>0</v>
      </c>
      <c r="BH28" s="37">
        <v>0</v>
      </c>
      <c r="BI28" s="37">
        <v>3976516.0500000003</v>
      </c>
      <c r="BJ28" s="452" t="s">
        <v>2710</v>
      </c>
      <c r="BK28" s="25" t="s">
        <v>2710</v>
      </c>
    </row>
    <row r="29" spans="1:64" s="10" customFormat="1" ht="39" customHeight="1" x14ac:dyDescent="0.25">
      <c r="A29" s="11" t="s">
        <v>287</v>
      </c>
      <c r="B29" s="11" t="s">
        <v>291</v>
      </c>
      <c r="C29" s="14" t="s">
        <v>586</v>
      </c>
      <c r="D29" s="11" t="s">
        <v>3</v>
      </c>
      <c r="E29" s="11" t="s">
        <v>4</v>
      </c>
      <c r="F29" s="11" t="s">
        <v>77</v>
      </c>
      <c r="G29" s="44" t="s">
        <v>293</v>
      </c>
      <c r="H29" s="45">
        <v>18</v>
      </c>
      <c r="I29" s="45" t="s">
        <v>287</v>
      </c>
      <c r="J29" s="46" t="s">
        <v>285</v>
      </c>
      <c r="K29" s="46" t="s">
        <v>292</v>
      </c>
      <c r="L29" s="41">
        <v>0</v>
      </c>
      <c r="M29" s="41">
        <v>0</v>
      </c>
      <c r="N29" s="41">
        <v>0</v>
      </c>
      <c r="O29" s="41">
        <v>0</v>
      </c>
      <c r="P29" s="41">
        <v>0</v>
      </c>
      <c r="Q29" s="41">
        <f>P29-O29</f>
        <v>0</v>
      </c>
      <c r="R29" s="41">
        <v>0</v>
      </c>
      <c r="S29" s="41">
        <v>0</v>
      </c>
      <c r="T29" s="41">
        <f>S29-R29</f>
        <v>0</v>
      </c>
      <c r="U29" s="41">
        <v>0</v>
      </c>
      <c r="V29" s="41">
        <v>0</v>
      </c>
      <c r="W29" s="41">
        <f>V29-U29</f>
        <v>0</v>
      </c>
      <c r="X29" s="41">
        <v>32218</v>
      </c>
      <c r="Y29" s="41">
        <v>32215.77</v>
      </c>
      <c r="Z29" s="41">
        <f>Y29-X29</f>
        <v>-2.2299999999995634</v>
      </c>
      <c r="AA29" s="41">
        <v>0</v>
      </c>
      <c r="AB29" s="41">
        <v>0</v>
      </c>
      <c r="AC29" s="41">
        <f>AB29-AA29</f>
        <v>0</v>
      </c>
      <c r="AD29" s="41">
        <v>0</v>
      </c>
      <c r="AE29" s="41">
        <v>0</v>
      </c>
      <c r="AF29" s="41">
        <f>AE29-AD29</f>
        <v>0</v>
      </c>
      <c r="AG29" s="41">
        <v>425000</v>
      </c>
      <c r="AH29" s="41">
        <v>48692.98</v>
      </c>
      <c r="AI29" s="41">
        <f t="shared" si="9"/>
        <v>-376307.02</v>
      </c>
      <c r="AJ29" s="41">
        <v>0</v>
      </c>
      <c r="AK29" s="41">
        <v>0</v>
      </c>
      <c r="AL29" s="41">
        <f t="shared" si="10"/>
        <v>0</v>
      </c>
      <c r="AM29" s="41">
        <v>0</v>
      </c>
      <c r="AN29" s="41">
        <v>32562.15</v>
      </c>
      <c r="AO29" s="41">
        <f t="shared" si="11"/>
        <v>32562.15</v>
      </c>
      <c r="AP29" s="41">
        <v>1254786.1499999999</v>
      </c>
      <c r="AQ29" s="41">
        <f>IFERROR(VLOOKUP(G29,'10'!A:B,2,0),0)</f>
        <v>32838.18</v>
      </c>
      <c r="AR29" s="41">
        <f t="shared" si="12"/>
        <v>-1221947.97</v>
      </c>
      <c r="AS29" s="41">
        <f t="shared" si="18"/>
        <v>1712004.15</v>
      </c>
      <c r="AT29" s="41">
        <f>AN29+AK29+AH29+AE29+AB29+Y29+V29+S29+P29+AQ29</f>
        <v>146309.08000000002</v>
      </c>
      <c r="AU29" s="522">
        <f t="shared" si="17"/>
        <v>-1565695.0699999998</v>
      </c>
      <c r="AV29" s="459">
        <f t="shared" si="14"/>
        <v>8.5460704052615771E-2</v>
      </c>
      <c r="AW29" s="41">
        <v>0</v>
      </c>
      <c r="AX29" s="41">
        <v>0</v>
      </c>
      <c r="AY29" s="41">
        <f t="shared" si="15"/>
        <v>1712004.15</v>
      </c>
      <c r="AZ29" s="41">
        <f>VLOOKUP(G29,'2017'!A:B,2,0)</f>
        <v>309402</v>
      </c>
      <c r="BA29" s="550">
        <f t="shared" si="16"/>
        <v>-1402602.15</v>
      </c>
      <c r="BB29" s="41">
        <v>6800000</v>
      </c>
      <c r="BC29" s="41">
        <v>8796856.5500000007</v>
      </c>
      <c r="BD29" s="41">
        <v>7998320.6500000004</v>
      </c>
      <c r="BE29" s="41">
        <v>1897228</v>
      </c>
      <c r="BF29" s="41">
        <v>0</v>
      </c>
      <c r="BG29" s="41">
        <v>0</v>
      </c>
      <c r="BH29" s="41">
        <v>0</v>
      </c>
      <c r="BI29" s="41">
        <v>27204409.350000001</v>
      </c>
      <c r="BJ29" s="451" t="s">
        <v>951</v>
      </c>
      <c r="BK29" s="25" t="s">
        <v>951</v>
      </c>
    </row>
    <row r="30" spans="1:64" s="10" customFormat="1" ht="50.25" customHeight="1" x14ac:dyDescent="0.25">
      <c r="A30" s="11" t="s">
        <v>304</v>
      </c>
      <c r="B30" s="11" t="s">
        <v>305</v>
      </c>
      <c r="C30" s="14" t="s">
        <v>589</v>
      </c>
      <c r="D30" s="11" t="s">
        <v>3</v>
      </c>
      <c r="E30" s="11" t="s">
        <v>4</v>
      </c>
      <c r="F30" s="11" t="s">
        <v>77</v>
      </c>
      <c r="G30" s="44" t="s">
        <v>306</v>
      </c>
      <c r="H30" s="45">
        <v>19</v>
      </c>
      <c r="I30" s="45" t="s">
        <v>304</v>
      </c>
      <c r="J30" s="46" t="s">
        <v>7</v>
      </c>
      <c r="K30" s="46" t="s">
        <v>307</v>
      </c>
      <c r="L30" s="41">
        <v>0</v>
      </c>
      <c r="M30" s="41">
        <v>0</v>
      </c>
      <c r="N30" s="41">
        <v>114482.35</v>
      </c>
      <c r="O30" s="41">
        <v>0</v>
      </c>
      <c r="P30" s="41">
        <v>0</v>
      </c>
      <c r="Q30" s="41">
        <f>P30-O30</f>
        <v>0</v>
      </c>
      <c r="R30" s="41">
        <v>0</v>
      </c>
      <c r="S30" s="41">
        <v>0</v>
      </c>
      <c r="T30" s="41">
        <f>S30-R30</f>
        <v>0</v>
      </c>
      <c r="U30" s="41">
        <v>94929.43</v>
      </c>
      <c r="V30" s="41">
        <v>94929.43</v>
      </c>
      <c r="W30" s="41">
        <f>V30-U30</f>
        <v>0</v>
      </c>
      <c r="X30" s="41">
        <v>0</v>
      </c>
      <c r="Y30" s="41">
        <v>0</v>
      </c>
      <c r="Z30" s="41">
        <f>Y30-X30</f>
        <v>0</v>
      </c>
      <c r="AA30" s="41">
        <v>0</v>
      </c>
      <c r="AB30" s="41">
        <v>0</v>
      </c>
      <c r="AC30" s="41">
        <f>AB30-AA30</f>
        <v>0</v>
      </c>
      <c r="AD30" s="41">
        <v>1336443.58</v>
      </c>
      <c r="AE30" s="41">
        <v>527548.48</v>
      </c>
      <c r="AF30" s="41">
        <f>AE30-AD30</f>
        <v>-808895.10000000009</v>
      </c>
      <c r="AG30" s="41">
        <v>0</v>
      </c>
      <c r="AH30" s="41">
        <v>0</v>
      </c>
      <c r="AI30" s="41">
        <f t="shared" si="9"/>
        <v>0</v>
      </c>
      <c r="AJ30" s="41">
        <v>0</v>
      </c>
      <c r="AK30" s="41">
        <v>0</v>
      </c>
      <c r="AL30" s="41">
        <f t="shared" si="10"/>
        <v>0</v>
      </c>
      <c r="AM30" s="41">
        <v>1404765.99</v>
      </c>
      <c r="AN30" s="41">
        <v>660513.87</v>
      </c>
      <c r="AO30" s="41">
        <f t="shared" si="11"/>
        <v>-744252.12</v>
      </c>
      <c r="AP30" s="41">
        <v>0</v>
      </c>
      <c r="AQ30" s="41">
        <f>IFERROR(VLOOKUP(G30,'10'!A:B,2,0),0)</f>
        <v>0</v>
      </c>
      <c r="AR30" s="41">
        <f t="shared" si="12"/>
        <v>0</v>
      </c>
      <c r="AS30" s="41">
        <f t="shared" si="18"/>
        <v>2836139.0000000005</v>
      </c>
      <c r="AT30" s="41">
        <f>AN30+AK30+AH30+AE30+AB30+-Y30+V30+S30+P30+AQ30</f>
        <v>1282991.78</v>
      </c>
      <c r="AU30" s="522">
        <f t="shared" si="17"/>
        <v>-1553147.2200000002</v>
      </c>
      <c r="AV30" s="459">
        <f t="shared" si="14"/>
        <v>0.4523726728485451</v>
      </c>
      <c r="AW30" s="41">
        <v>0</v>
      </c>
      <c r="AX30" s="41">
        <v>0</v>
      </c>
      <c r="AY30" s="41">
        <f t="shared" si="15"/>
        <v>2836139</v>
      </c>
      <c r="AZ30" s="41">
        <f>VLOOKUP(G30,'2017'!A:B,2,0)</f>
        <v>1569532.73</v>
      </c>
      <c r="BA30" s="550">
        <f t="shared" si="16"/>
        <v>-1266606.27</v>
      </c>
      <c r="BB30" s="41">
        <v>5006016.6900000004</v>
      </c>
      <c r="BC30" s="41">
        <v>4494972.2100000009</v>
      </c>
      <c r="BD30" s="41">
        <v>4461679.96</v>
      </c>
      <c r="BE30" s="41">
        <v>1485307.79</v>
      </c>
      <c r="BF30" s="41">
        <v>0</v>
      </c>
      <c r="BG30" s="41">
        <v>0</v>
      </c>
      <c r="BH30" s="41">
        <v>0</v>
      </c>
      <c r="BI30" s="41">
        <v>18398598</v>
      </c>
      <c r="BJ30" s="451" t="s">
        <v>2700</v>
      </c>
      <c r="BK30" s="25" t="s">
        <v>2735</v>
      </c>
    </row>
    <row r="31" spans="1:64" s="10" customFormat="1" ht="47.25" x14ac:dyDescent="0.25">
      <c r="A31" s="11" t="s">
        <v>221</v>
      </c>
      <c r="B31" s="11" t="s">
        <v>650</v>
      </c>
      <c r="C31" s="14" t="s">
        <v>580</v>
      </c>
      <c r="D31" s="11" t="s">
        <v>3</v>
      </c>
      <c r="E31" s="11" t="s">
        <v>210</v>
      </c>
      <c r="F31" s="11" t="s">
        <v>77</v>
      </c>
      <c r="G31" s="44" t="s">
        <v>222</v>
      </c>
      <c r="H31" s="45">
        <v>20</v>
      </c>
      <c r="I31" s="45" t="s">
        <v>221</v>
      </c>
      <c r="J31" s="46" t="s">
        <v>7</v>
      </c>
      <c r="K31" s="46" t="s">
        <v>223</v>
      </c>
      <c r="L31" s="41">
        <v>0</v>
      </c>
      <c r="M31" s="41">
        <v>0</v>
      </c>
      <c r="N31" s="41">
        <v>14296734.449999999</v>
      </c>
      <c r="O31" s="41">
        <v>0</v>
      </c>
      <c r="P31" s="41">
        <v>0</v>
      </c>
      <c r="Q31" s="41">
        <f>P31-O31</f>
        <v>0</v>
      </c>
      <c r="R31" s="41">
        <v>0</v>
      </c>
      <c r="S31" s="41">
        <v>0</v>
      </c>
      <c r="T31" s="41">
        <f>S31-R31</f>
        <v>0</v>
      </c>
      <c r="U31" s="41">
        <v>1550947.85</v>
      </c>
      <c r="V31" s="41">
        <v>1550947.85</v>
      </c>
      <c r="W31" s="41">
        <f>V31-U31</f>
        <v>0</v>
      </c>
      <c r="X31" s="41">
        <v>0</v>
      </c>
      <c r="Y31" s="41">
        <v>0</v>
      </c>
      <c r="Z31" s="41">
        <f>Y31-X31</f>
        <v>0</v>
      </c>
      <c r="AA31" s="41">
        <v>0</v>
      </c>
      <c r="AB31" s="41">
        <v>0</v>
      </c>
      <c r="AC31" s="41">
        <f>AB31-AA31</f>
        <v>0</v>
      </c>
      <c r="AD31" s="41">
        <v>1585953</v>
      </c>
      <c r="AE31" s="41">
        <v>1338408</v>
      </c>
      <c r="AF31" s="41">
        <f>AE31-AD31</f>
        <v>-247545</v>
      </c>
      <c r="AG31" s="41">
        <v>0</v>
      </c>
      <c r="AH31" s="41">
        <v>0</v>
      </c>
      <c r="AI31" s="41">
        <f t="shared" si="9"/>
        <v>0</v>
      </c>
      <c r="AJ31" s="41">
        <v>0</v>
      </c>
      <c r="AK31" s="41">
        <v>0</v>
      </c>
      <c r="AL31" s="41">
        <f t="shared" si="10"/>
        <v>0</v>
      </c>
      <c r="AM31" s="41">
        <v>3938973.56</v>
      </c>
      <c r="AN31" s="41">
        <v>2674119.9900000002</v>
      </c>
      <c r="AO31" s="41">
        <f t="shared" si="11"/>
        <v>-1264853.5699999998</v>
      </c>
      <c r="AP31" s="41">
        <v>0</v>
      </c>
      <c r="AQ31" s="41">
        <f>IFERROR(VLOOKUP(G31,'10'!A:B,2,0),0)</f>
        <v>0</v>
      </c>
      <c r="AR31" s="41">
        <f t="shared" si="12"/>
        <v>0</v>
      </c>
      <c r="AS31" s="41">
        <f t="shared" si="18"/>
        <v>7075874.4100000001</v>
      </c>
      <c r="AT31" s="41">
        <f>AN31+AK31+AH31+AE31+AB31+Y31+V31+S31+P31+AQ31</f>
        <v>5563475.8399999999</v>
      </c>
      <c r="AU31" s="522">
        <f t="shared" si="17"/>
        <v>-1512398.5699999998</v>
      </c>
      <c r="AV31" s="459">
        <f t="shared" si="14"/>
        <v>0.78625983413970735</v>
      </c>
      <c r="AW31" s="41">
        <v>0</v>
      </c>
      <c r="AX31" s="41">
        <v>4009877.1799999997</v>
      </c>
      <c r="AY31" s="41">
        <f t="shared" si="15"/>
        <v>11085751.59</v>
      </c>
      <c r="AZ31" s="41">
        <f>VLOOKUP(G31,'2017'!A:B,2,0)</f>
        <v>9566862.2899999991</v>
      </c>
      <c r="BA31" s="550">
        <f t="shared" si="16"/>
        <v>-1518889.3000000007</v>
      </c>
      <c r="BB31" s="41">
        <v>7398360.9600000009</v>
      </c>
      <c r="BC31" s="41">
        <v>0</v>
      </c>
      <c r="BD31" s="41">
        <v>0</v>
      </c>
      <c r="BE31" s="41">
        <v>0</v>
      </c>
      <c r="BF31" s="41">
        <v>0</v>
      </c>
      <c r="BG31" s="41">
        <v>0</v>
      </c>
      <c r="BH31" s="41">
        <v>0</v>
      </c>
      <c r="BI31" s="41">
        <v>32780847</v>
      </c>
      <c r="BJ31" s="75"/>
      <c r="BK31" s="25"/>
    </row>
    <row r="32" spans="1:64" s="10" customFormat="1" ht="38.25" x14ac:dyDescent="0.2">
      <c r="A32" s="55" t="s">
        <v>0</v>
      </c>
      <c r="B32" s="55" t="s">
        <v>1027</v>
      </c>
      <c r="C32" s="155" t="s">
        <v>1028</v>
      </c>
      <c r="D32" s="55" t="s">
        <v>3</v>
      </c>
      <c r="E32" s="55" t="s">
        <v>4</v>
      </c>
      <c r="F32" s="55" t="s">
        <v>5</v>
      </c>
      <c r="G32" s="439" t="s">
        <v>2827</v>
      </c>
      <c r="H32" s="45">
        <v>21</v>
      </c>
      <c r="I32" s="45" t="s">
        <v>0</v>
      </c>
      <c r="J32" s="155" t="s">
        <v>1039</v>
      </c>
      <c r="K32" s="156" t="s">
        <v>1040</v>
      </c>
      <c r="L32" s="152">
        <v>0</v>
      </c>
      <c r="M32" s="152">
        <v>0</v>
      </c>
      <c r="N32" s="152">
        <v>0</v>
      </c>
      <c r="O32" s="152">
        <f t="shared" ref="O32:AM32" si="19">N32+M32+L32</f>
        <v>0</v>
      </c>
      <c r="P32" s="152">
        <f t="shared" si="19"/>
        <v>0</v>
      </c>
      <c r="Q32" s="152">
        <f t="shared" si="19"/>
        <v>0</v>
      </c>
      <c r="R32" s="152">
        <f t="shared" si="19"/>
        <v>0</v>
      </c>
      <c r="S32" s="152">
        <f t="shared" si="19"/>
        <v>0</v>
      </c>
      <c r="T32" s="152">
        <f t="shared" si="19"/>
        <v>0</v>
      </c>
      <c r="U32" s="152">
        <f t="shared" si="19"/>
        <v>0</v>
      </c>
      <c r="V32" s="152">
        <f t="shared" si="19"/>
        <v>0</v>
      </c>
      <c r="W32" s="152">
        <f t="shared" si="19"/>
        <v>0</v>
      </c>
      <c r="X32" s="152">
        <f t="shared" si="19"/>
        <v>0</v>
      </c>
      <c r="Y32" s="152">
        <f t="shared" si="19"/>
        <v>0</v>
      </c>
      <c r="Z32" s="152">
        <f t="shared" si="19"/>
        <v>0</v>
      </c>
      <c r="AA32" s="152">
        <f t="shared" si="19"/>
        <v>0</v>
      </c>
      <c r="AB32" s="152">
        <f t="shared" si="19"/>
        <v>0</v>
      </c>
      <c r="AC32" s="152">
        <f t="shared" si="19"/>
        <v>0</v>
      </c>
      <c r="AD32" s="152">
        <f t="shared" si="19"/>
        <v>0</v>
      </c>
      <c r="AE32" s="152">
        <f t="shared" si="19"/>
        <v>0</v>
      </c>
      <c r="AF32" s="152">
        <f t="shared" si="19"/>
        <v>0</v>
      </c>
      <c r="AG32" s="152">
        <f t="shared" si="19"/>
        <v>0</v>
      </c>
      <c r="AH32" s="152">
        <f t="shared" si="19"/>
        <v>0</v>
      </c>
      <c r="AI32" s="152">
        <f t="shared" si="19"/>
        <v>0</v>
      </c>
      <c r="AJ32" s="152">
        <f t="shared" si="19"/>
        <v>0</v>
      </c>
      <c r="AK32" s="152">
        <f t="shared" si="19"/>
        <v>0</v>
      </c>
      <c r="AL32" s="152">
        <f t="shared" si="19"/>
        <v>0</v>
      </c>
      <c r="AM32" s="152">
        <f t="shared" si="19"/>
        <v>0</v>
      </c>
      <c r="AN32" s="152">
        <v>0</v>
      </c>
      <c r="AO32" s="152">
        <f>AN32+AM32+AL32</f>
        <v>0</v>
      </c>
      <c r="AP32" s="152">
        <v>1504372</v>
      </c>
      <c r="AQ32" s="41">
        <f>IFERROR(VLOOKUP(G32,'10'!A:B,2,0),0)</f>
        <v>0</v>
      </c>
      <c r="AR32" s="41">
        <f t="shared" si="12"/>
        <v>-1504372</v>
      </c>
      <c r="AS32" s="41">
        <f t="shared" si="18"/>
        <v>1504372</v>
      </c>
      <c r="AT32" s="41">
        <f>AN32+AK32+AH32+AE32+AB32+-Y32+V32+S32+P32+AQ32</f>
        <v>0</v>
      </c>
      <c r="AU32" s="522">
        <f t="shared" si="17"/>
        <v>-1504372</v>
      </c>
      <c r="AV32" s="459">
        <f t="shared" si="14"/>
        <v>0</v>
      </c>
      <c r="AW32" s="152">
        <v>310382</v>
      </c>
      <c r="AX32" s="152">
        <v>234358</v>
      </c>
      <c r="AY32" s="41">
        <f t="shared" si="15"/>
        <v>2049112</v>
      </c>
      <c r="AZ32" s="41">
        <v>0</v>
      </c>
      <c r="BA32" s="553"/>
      <c r="BB32" s="152">
        <v>19413391</v>
      </c>
      <c r="BC32" s="152">
        <v>2554095</v>
      </c>
      <c r="BD32" s="152">
        <v>0</v>
      </c>
      <c r="BE32" s="152">
        <v>0</v>
      </c>
      <c r="BF32" s="152">
        <v>0</v>
      </c>
      <c r="BG32" s="152">
        <v>0</v>
      </c>
      <c r="BH32" s="152">
        <v>0</v>
      </c>
      <c r="BI32" s="152">
        <v>24016598</v>
      </c>
      <c r="BJ32" s="459"/>
      <c r="BK32" s="41"/>
      <c r="BL32" s="432"/>
    </row>
    <row r="33" spans="1:64" s="10" customFormat="1" ht="47.25" x14ac:dyDescent="0.25">
      <c r="A33" s="24" t="s">
        <v>150</v>
      </c>
      <c r="B33" s="24" t="s">
        <v>151</v>
      </c>
      <c r="C33" s="25" t="s">
        <v>578</v>
      </c>
      <c r="D33" s="24" t="s">
        <v>3</v>
      </c>
      <c r="E33" s="24" t="s">
        <v>29</v>
      </c>
      <c r="F33" s="24" t="s">
        <v>102</v>
      </c>
      <c r="G33" s="45" t="s">
        <v>168</v>
      </c>
      <c r="H33" s="45">
        <v>22</v>
      </c>
      <c r="I33" s="45" t="s">
        <v>150</v>
      </c>
      <c r="J33" s="46" t="s">
        <v>98</v>
      </c>
      <c r="K33" s="46" t="s">
        <v>169</v>
      </c>
      <c r="L33" s="41">
        <v>0</v>
      </c>
      <c r="M33" s="41">
        <v>0</v>
      </c>
      <c r="N33" s="41">
        <v>3552987.47</v>
      </c>
      <c r="O33" s="41">
        <v>0</v>
      </c>
      <c r="P33" s="41">
        <v>0</v>
      </c>
      <c r="Q33" s="41">
        <f t="shared" ref="Q33:Q53" si="20">P33-O33</f>
        <v>0</v>
      </c>
      <c r="R33" s="41">
        <v>2103904.16</v>
      </c>
      <c r="S33" s="41">
        <v>0</v>
      </c>
      <c r="T33" s="41">
        <f t="shared" ref="T33:T53" si="21">S33-R33</f>
        <v>-2103904.16</v>
      </c>
      <c r="U33" s="41">
        <v>0</v>
      </c>
      <c r="V33" s="41">
        <v>0</v>
      </c>
      <c r="W33" s="41">
        <f t="shared" ref="W33:W53" si="22">V33-U33</f>
        <v>0</v>
      </c>
      <c r="X33" s="41">
        <v>0</v>
      </c>
      <c r="Y33" s="41">
        <v>0</v>
      </c>
      <c r="Z33" s="41">
        <f t="shared" ref="Z33:Z53" si="23">Y33-X33</f>
        <v>0</v>
      </c>
      <c r="AA33" s="41">
        <v>0</v>
      </c>
      <c r="AB33" s="41">
        <v>1451799.67</v>
      </c>
      <c r="AC33" s="41">
        <f t="shared" ref="AC33:AC53" si="24">AB33-AA33</f>
        <v>1451799.67</v>
      </c>
      <c r="AD33" s="41">
        <v>0</v>
      </c>
      <c r="AE33" s="41">
        <v>0</v>
      </c>
      <c r="AF33" s="41">
        <f t="shared" ref="AF33:AF53" si="25">AE33-AD33</f>
        <v>0</v>
      </c>
      <c r="AG33" s="41">
        <v>0</v>
      </c>
      <c r="AH33" s="41">
        <v>0</v>
      </c>
      <c r="AI33" s="41">
        <f t="shared" ref="AI33:AI53" si="26">AH33-AG33</f>
        <v>0</v>
      </c>
      <c r="AJ33" s="41">
        <v>1534009.6</v>
      </c>
      <c r="AK33" s="41">
        <v>733853.09</v>
      </c>
      <c r="AL33" s="41">
        <f t="shared" ref="AL33:AL53" si="27">AK33-AJ33</f>
        <v>-800156.51000000013</v>
      </c>
      <c r="AM33" s="41">
        <v>0</v>
      </c>
      <c r="AN33" s="41">
        <v>0</v>
      </c>
      <c r="AO33" s="41">
        <f t="shared" ref="AO33:AO55" si="28">AN33-AM33</f>
        <v>0</v>
      </c>
      <c r="AP33" s="41">
        <v>0</v>
      </c>
      <c r="AQ33" s="41">
        <f>IFERROR(VLOOKUP(G33,'10'!A:B,2,0),0)</f>
        <v>0</v>
      </c>
      <c r="AR33" s="41">
        <f t="shared" si="12"/>
        <v>0</v>
      </c>
      <c r="AS33" s="41">
        <f t="shared" si="18"/>
        <v>3637913.7600000002</v>
      </c>
      <c r="AT33" s="41">
        <f>AN33+AK33+AH33+AE33+AB33+-Y33+V33+S33+P33+AQ33</f>
        <v>2185652.7599999998</v>
      </c>
      <c r="AU33" s="522">
        <f t="shared" si="17"/>
        <v>-1452261.0000000005</v>
      </c>
      <c r="AV33" s="459">
        <f t="shared" si="14"/>
        <v>0.60079839825559789</v>
      </c>
      <c r="AW33" s="41">
        <v>1216849.25</v>
      </c>
      <c r="AX33" s="41">
        <v>0</v>
      </c>
      <c r="AY33" s="41">
        <f t="shared" si="15"/>
        <v>4854763.01</v>
      </c>
      <c r="AZ33" s="41">
        <f>VLOOKUP(G33,'2017'!A:B,2,0)</f>
        <v>3464902.76</v>
      </c>
      <c r="BA33" s="550">
        <f t="shared" ref="BA33:BA53" si="29">AZ33-AY33</f>
        <v>-1389860.25</v>
      </c>
      <c r="BB33" s="41">
        <v>971149.52</v>
      </c>
      <c r="BC33" s="41">
        <v>0</v>
      </c>
      <c r="BD33" s="41">
        <v>0</v>
      </c>
      <c r="BE33" s="41">
        <v>0</v>
      </c>
      <c r="BF33" s="41">
        <v>0</v>
      </c>
      <c r="BG33" s="41">
        <v>0</v>
      </c>
      <c r="BH33" s="41">
        <v>0</v>
      </c>
      <c r="BI33" s="41">
        <v>9378900</v>
      </c>
      <c r="BJ33" s="457" t="s">
        <v>2721</v>
      </c>
      <c r="BK33" s="25" t="s">
        <v>2721</v>
      </c>
      <c r="BL33" s="432"/>
    </row>
    <row r="34" spans="1:64" s="10" customFormat="1" ht="56.25" customHeight="1" x14ac:dyDescent="0.25">
      <c r="A34" s="15" t="s">
        <v>172</v>
      </c>
      <c r="B34" s="15" t="s">
        <v>173</v>
      </c>
      <c r="C34" s="16" t="s">
        <v>579</v>
      </c>
      <c r="D34" s="15" t="s">
        <v>3</v>
      </c>
      <c r="E34" s="15" t="s">
        <v>29</v>
      </c>
      <c r="F34" s="15" t="s">
        <v>5</v>
      </c>
      <c r="G34" s="47" t="s">
        <v>200</v>
      </c>
      <c r="H34" s="45">
        <v>23</v>
      </c>
      <c r="I34" s="45" t="s">
        <v>172</v>
      </c>
      <c r="J34" s="49" t="s">
        <v>98</v>
      </c>
      <c r="K34" s="49" t="s">
        <v>201</v>
      </c>
      <c r="L34" s="40">
        <v>0</v>
      </c>
      <c r="M34" s="40">
        <v>0</v>
      </c>
      <c r="N34" s="40">
        <v>2125547.64</v>
      </c>
      <c r="O34" s="40">
        <v>2803078.19</v>
      </c>
      <c r="P34" s="40">
        <v>2803078.19</v>
      </c>
      <c r="Q34" s="41">
        <f t="shared" si="20"/>
        <v>0</v>
      </c>
      <c r="R34" s="40">
        <v>0</v>
      </c>
      <c r="S34" s="40">
        <v>0</v>
      </c>
      <c r="T34" s="41">
        <f t="shared" si="21"/>
        <v>0</v>
      </c>
      <c r="U34" s="40">
        <v>0</v>
      </c>
      <c r="V34" s="40">
        <v>0</v>
      </c>
      <c r="W34" s="41">
        <f t="shared" si="22"/>
        <v>0</v>
      </c>
      <c r="X34" s="40">
        <v>436640.75</v>
      </c>
      <c r="Y34" s="40">
        <v>0</v>
      </c>
      <c r="Z34" s="41">
        <f t="shared" si="23"/>
        <v>-436640.75</v>
      </c>
      <c r="AA34" s="40">
        <v>0</v>
      </c>
      <c r="AB34" s="40">
        <v>0</v>
      </c>
      <c r="AC34" s="41">
        <f t="shared" si="24"/>
        <v>0</v>
      </c>
      <c r="AD34" s="40">
        <v>0</v>
      </c>
      <c r="AE34" s="41">
        <v>0</v>
      </c>
      <c r="AF34" s="41">
        <f t="shared" si="25"/>
        <v>0</v>
      </c>
      <c r="AG34" s="40">
        <v>904127.15</v>
      </c>
      <c r="AH34" s="41">
        <v>617893.66</v>
      </c>
      <c r="AI34" s="41">
        <f t="shared" si="26"/>
        <v>-286233.49</v>
      </c>
      <c r="AJ34" s="40">
        <v>0</v>
      </c>
      <c r="AK34" s="41">
        <v>0</v>
      </c>
      <c r="AL34" s="41">
        <f t="shared" si="27"/>
        <v>0</v>
      </c>
      <c r="AM34" s="40">
        <v>0</v>
      </c>
      <c r="AN34" s="41">
        <v>0</v>
      </c>
      <c r="AO34" s="41">
        <f t="shared" si="28"/>
        <v>0</v>
      </c>
      <c r="AP34" s="40">
        <v>765623.9</v>
      </c>
      <c r="AQ34" s="41">
        <f>IFERROR(VLOOKUP(G34,'10'!A:B,2,0),0)</f>
        <v>72243.55</v>
      </c>
      <c r="AR34" s="41">
        <f t="shared" si="12"/>
        <v>-693380.35</v>
      </c>
      <c r="AS34" s="41">
        <f t="shared" si="18"/>
        <v>4909469.99</v>
      </c>
      <c r="AT34" s="41">
        <f>AN34+AK34+AH34+AE34+AB34+-Y34+V34+S34+P34+AQ34</f>
        <v>3493215.4</v>
      </c>
      <c r="AU34" s="522">
        <f t="shared" si="17"/>
        <v>-1416254.5899999999</v>
      </c>
      <c r="AV34" s="459">
        <f t="shared" si="14"/>
        <v>0.71152597064759726</v>
      </c>
      <c r="AW34" s="40">
        <v>0</v>
      </c>
      <c r="AX34" s="40">
        <v>0</v>
      </c>
      <c r="AY34" s="41">
        <f t="shared" si="15"/>
        <v>4909469.99</v>
      </c>
      <c r="AZ34" s="41">
        <f>VLOOKUP(G34,'2017'!A:B,2,0)</f>
        <v>3493215.4</v>
      </c>
      <c r="BA34" s="550">
        <f t="shared" si="29"/>
        <v>-1416254.5900000003</v>
      </c>
      <c r="BB34" s="40">
        <v>263737.76</v>
      </c>
      <c r="BC34" s="40">
        <v>0</v>
      </c>
      <c r="BD34" s="40">
        <v>0</v>
      </c>
      <c r="BE34" s="40">
        <v>0</v>
      </c>
      <c r="BF34" s="40">
        <v>0</v>
      </c>
      <c r="BG34" s="40">
        <v>0</v>
      </c>
      <c r="BH34" s="40">
        <v>0</v>
      </c>
      <c r="BI34" s="40">
        <v>7298755.3900000006</v>
      </c>
      <c r="BJ34" s="454" t="s">
        <v>2701</v>
      </c>
      <c r="BK34" s="25" t="s">
        <v>2736</v>
      </c>
    </row>
    <row r="35" spans="1:64" s="10" customFormat="1" ht="63" x14ac:dyDescent="0.25">
      <c r="A35" s="470" t="s">
        <v>150</v>
      </c>
      <c r="B35" s="470" t="s">
        <v>151</v>
      </c>
      <c r="C35" s="471" t="s">
        <v>578</v>
      </c>
      <c r="D35" s="470" t="s">
        <v>3</v>
      </c>
      <c r="E35" s="470" t="s">
        <v>29</v>
      </c>
      <c r="F35" s="470" t="s">
        <v>102</v>
      </c>
      <c r="G35" s="43" t="s">
        <v>783</v>
      </c>
      <c r="H35" s="45">
        <v>24</v>
      </c>
      <c r="I35" s="45" t="s">
        <v>150</v>
      </c>
      <c r="J35" s="475" t="s">
        <v>98</v>
      </c>
      <c r="K35" s="475" t="s">
        <v>814</v>
      </c>
      <c r="L35" s="41">
        <v>0</v>
      </c>
      <c r="M35" s="41">
        <v>0</v>
      </c>
      <c r="N35" s="41">
        <v>0</v>
      </c>
      <c r="O35" s="40">
        <v>0</v>
      </c>
      <c r="P35" s="40">
        <v>0</v>
      </c>
      <c r="Q35" s="41">
        <f t="shared" si="20"/>
        <v>0</v>
      </c>
      <c r="R35" s="40">
        <v>0</v>
      </c>
      <c r="S35" s="40">
        <v>0</v>
      </c>
      <c r="T35" s="41">
        <f t="shared" si="21"/>
        <v>0</v>
      </c>
      <c r="U35" s="40">
        <v>0</v>
      </c>
      <c r="V35" s="40">
        <v>0</v>
      </c>
      <c r="W35" s="41">
        <f t="shared" si="22"/>
        <v>0</v>
      </c>
      <c r="X35" s="40">
        <v>0</v>
      </c>
      <c r="Y35" s="40">
        <v>0</v>
      </c>
      <c r="Z35" s="41">
        <f t="shared" si="23"/>
        <v>0</v>
      </c>
      <c r="AA35" s="40">
        <v>0</v>
      </c>
      <c r="AB35" s="40">
        <v>0</v>
      </c>
      <c r="AC35" s="41">
        <f t="shared" si="24"/>
        <v>0</v>
      </c>
      <c r="AD35" s="41">
        <v>0</v>
      </c>
      <c r="AE35" s="41">
        <v>3496320.55</v>
      </c>
      <c r="AF35" s="41">
        <f t="shared" si="25"/>
        <v>3496320.55</v>
      </c>
      <c r="AG35" s="41">
        <v>0</v>
      </c>
      <c r="AH35" s="41">
        <v>0</v>
      </c>
      <c r="AI35" s="41">
        <f t="shared" si="26"/>
        <v>0</v>
      </c>
      <c r="AJ35" s="41">
        <v>0</v>
      </c>
      <c r="AK35" s="41">
        <v>0</v>
      </c>
      <c r="AL35" s="41">
        <f t="shared" si="27"/>
        <v>0</v>
      </c>
      <c r="AM35" s="41">
        <v>5627861.0499999998</v>
      </c>
      <c r="AN35" s="41">
        <v>757550.65</v>
      </c>
      <c r="AO35" s="41">
        <f t="shared" si="28"/>
        <v>-4870310.3999999994</v>
      </c>
      <c r="AP35" s="41">
        <v>0</v>
      </c>
      <c r="AQ35" s="41">
        <f>IFERROR(VLOOKUP(G35,'10'!A:B,2,0),0)</f>
        <v>0</v>
      </c>
      <c r="AR35" s="41">
        <f t="shared" si="12"/>
        <v>0</v>
      </c>
      <c r="AS35" s="41">
        <f t="shared" si="18"/>
        <v>5627861.0499999998</v>
      </c>
      <c r="AT35" s="41">
        <f>AN35+AK35+AH35+AE35+AB35+-Y35+V35+S35+P35+AQ35</f>
        <v>4253871.2</v>
      </c>
      <c r="AU35" s="522">
        <f t="shared" si="17"/>
        <v>-1373989.8499999996</v>
      </c>
      <c r="AV35" s="459">
        <f t="shared" si="14"/>
        <v>0.75585931532549122</v>
      </c>
      <c r="AW35" s="41">
        <v>0</v>
      </c>
      <c r="AX35" s="41">
        <v>4317325.0999999996</v>
      </c>
      <c r="AY35" s="41">
        <f t="shared" si="15"/>
        <v>9945186.1499999985</v>
      </c>
      <c r="AZ35" s="41">
        <f>VLOOKUP(G35,'2017'!A:B,2,0)</f>
        <v>10075244.949999999</v>
      </c>
      <c r="BA35" s="554">
        <f t="shared" si="29"/>
        <v>130058.80000000075</v>
      </c>
      <c r="BB35" s="41">
        <v>8218412.8500000006</v>
      </c>
      <c r="BC35" s="41">
        <v>0</v>
      </c>
      <c r="BD35" s="41">
        <v>0</v>
      </c>
      <c r="BE35" s="41">
        <v>0</v>
      </c>
      <c r="BF35" s="41">
        <v>0</v>
      </c>
      <c r="BG35" s="41">
        <v>0</v>
      </c>
      <c r="BH35" s="41">
        <v>0</v>
      </c>
      <c r="BI35" s="41">
        <v>18163599</v>
      </c>
      <c r="BJ35" s="423"/>
      <c r="BK35" s="24"/>
    </row>
    <row r="36" spans="1:64" s="10" customFormat="1" ht="78.75" x14ac:dyDescent="0.25">
      <c r="A36" s="11" t="s">
        <v>150</v>
      </c>
      <c r="B36" s="11" t="s">
        <v>151</v>
      </c>
      <c r="C36" s="14" t="s">
        <v>578</v>
      </c>
      <c r="D36" s="11" t="s">
        <v>3</v>
      </c>
      <c r="E36" s="11" t="s">
        <v>29</v>
      </c>
      <c r="F36" s="11" t="s">
        <v>102</v>
      </c>
      <c r="G36" s="44" t="s">
        <v>166</v>
      </c>
      <c r="H36" s="45">
        <v>25</v>
      </c>
      <c r="I36" s="45" t="s">
        <v>150</v>
      </c>
      <c r="J36" s="46" t="s">
        <v>98</v>
      </c>
      <c r="K36" s="46" t="s">
        <v>167</v>
      </c>
      <c r="L36" s="41">
        <v>0</v>
      </c>
      <c r="M36" s="41">
        <v>0</v>
      </c>
      <c r="N36" s="41">
        <v>3076197.67</v>
      </c>
      <c r="O36" s="41">
        <v>0</v>
      </c>
      <c r="P36" s="41">
        <v>0</v>
      </c>
      <c r="Q36" s="41">
        <f t="shared" si="20"/>
        <v>0</v>
      </c>
      <c r="R36" s="41">
        <v>2387703.4500000002</v>
      </c>
      <c r="S36" s="41">
        <v>2387703.4500000002</v>
      </c>
      <c r="T36" s="41">
        <f t="shared" si="21"/>
        <v>0</v>
      </c>
      <c r="U36" s="41">
        <v>0</v>
      </c>
      <c r="V36" s="41">
        <v>0</v>
      </c>
      <c r="W36" s="41">
        <f t="shared" si="22"/>
        <v>0</v>
      </c>
      <c r="X36" s="41">
        <v>0</v>
      </c>
      <c r="Y36" s="41">
        <v>0</v>
      </c>
      <c r="Z36" s="41">
        <f t="shared" si="23"/>
        <v>0</v>
      </c>
      <c r="AA36" s="41">
        <v>0</v>
      </c>
      <c r="AB36" s="41">
        <v>2141.69</v>
      </c>
      <c r="AC36" s="41">
        <f t="shared" si="24"/>
        <v>2141.69</v>
      </c>
      <c r="AD36" s="41">
        <v>0</v>
      </c>
      <c r="AE36" s="41">
        <v>0</v>
      </c>
      <c r="AF36" s="41">
        <f t="shared" si="25"/>
        <v>0</v>
      </c>
      <c r="AG36" s="41">
        <v>0</v>
      </c>
      <c r="AH36" s="41">
        <v>0</v>
      </c>
      <c r="AI36" s="41">
        <f t="shared" si="26"/>
        <v>0</v>
      </c>
      <c r="AJ36" s="41">
        <v>3053115</v>
      </c>
      <c r="AK36" s="41">
        <v>1742239.71</v>
      </c>
      <c r="AL36" s="41">
        <f t="shared" si="27"/>
        <v>-1310875.29</v>
      </c>
      <c r="AM36" s="41">
        <v>0</v>
      </c>
      <c r="AN36" s="41">
        <v>0</v>
      </c>
      <c r="AO36" s="41">
        <f t="shared" si="28"/>
        <v>0</v>
      </c>
      <c r="AP36" s="41">
        <v>0</v>
      </c>
      <c r="AQ36" s="41">
        <f>IFERROR(VLOOKUP(G36,'10'!A:B,2,0),0)</f>
        <v>0</v>
      </c>
      <c r="AR36" s="41">
        <f t="shared" si="12"/>
        <v>0</v>
      </c>
      <c r="AS36" s="41">
        <f t="shared" si="18"/>
        <v>5440818.4500000002</v>
      </c>
      <c r="AT36" s="41">
        <f>AN36+AK36+AH36+AE36+AB36+-Y36+V36+S36+P36+AQ36</f>
        <v>4132084.85</v>
      </c>
      <c r="AU36" s="522">
        <f t="shared" si="17"/>
        <v>-1308733.6000000001</v>
      </c>
      <c r="AV36" s="459">
        <f t="shared" si="14"/>
        <v>0.75946015989561277</v>
      </c>
      <c r="AW36" s="41">
        <v>1362714.08</v>
      </c>
      <c r="AX36" s="41">
        <v>0</v>
      </c>
      <c r="AY36" s="41">
        <f t="shared" si="15"/>
        <v>6803532.5300000003</v>
      </c>
      <c r="AZ36" s="41">
        <f>VLOOKUP(G36,'2017'!A:B,2,0)</f>
        <v>6317207.9000000004</v>
      </c>
      <c r="BA36" s="552">
        <f t="shared" si="29"/>
        <v>-486324.62999999989</v>
      </c>
      <c r="BB36" s="41">
        <v>0</v>
      </c>
      <c r="BC36" s="41">
        <v>0</v>
      </c>
      <c r="BD36" s="41">
        <v>0</v>
      </c>
      <c r="BE36" s="41">
        <v>0</v>
      </c>
      <c r="BF36" s="41">
        <v>0</v>
      </c>
      <c r="BG36" s="41">
        <v>0</v>
      </c>
      <c r="BH36" s="41">
        <v>0</v>
      </c>
      <c r="BI36" s="41">
        <v>9879730.1999999993</v>
      </c>
      <c r="BJ36" s="75"/>
      <c r="BK36" s="25" t="s">
        <v>2746</v>
      </c>
    </row>
    <row r="37" spans="1:64" s="10" customFormat="1" ht="63" x14ac:dyDescent="0.25">
      <c r="A37" s="11" t="s">
        <v>172</v>
      </c>
      <c r="B37" s="11" t="s">
        <v>173</v>
      </c>
      <c r="C37" s="14" t="s">
        <v>579</v>
      </c>
      <c r="D37" s="11" t="s">
        <v>3</v>
      </c>
      <c r="E37" s="11" t="s">
        <v>29</v>
      </c>
      <c r="F37" s="11" t="s">
        <v>5</v>
      </c>
      <c r="G37" s="44" t="s">
        <v>194</v>
      </c>
      <c r="H37" s="45">
        <v>26</v>
      </c>
      <c r="I37" s="45" t="s">
        <v>172</v>
      </c>
      <c r="J37" s="46" t="s">
        <v>98</v>
      </c>
      <c r="K37" s="46" t="s">
        <v>195</v>
      </c>
      <c r="L37" s="41">
        <v>0</v>
      </c>
      <c r="M37" s="41">
        <v>0</v>
      </c>
      <c r="N37" s="41">
        <v>1715140.56</v>
      </c>
      <c r="O37" s="41">
        <v>1246672.71</v>
      </c>
      <c r="P37" s="41">
        <v>1246672.71</v>
      </c>
      <c r="Q37" s="41">
        <f t="shared" si="20"/>
        <v>0</v>
      </c>
      <c r="R37" s="41">
        <v>0</v>
      </c>
      <c r="S37" s="41">
        <v>0</v>
      </c>
      <c r="T37" s="41">
        <f t="shared" si="21"/>
        <v>0</v>
      </c>
      <c r="U37" s="41">
        <v>0</v>
      </c>
      <c r="V37" s="41">
        <v>0</v>
      </c>
      <c r="W37" s="41">
        <f t="shared" si="22"/>
        <v>0</v>
      </c>
      <c r="X37" s="41">
        <v>172266.95</v>
      </c>
      <c r="Y37" s="41">
        <v>2650.67</v>
      </c>
      <c r="Z37" s="41">
        <f t="shared" si="23"/>
        <v>-169616.28</v>
      </c>
      <c r="AA37" s="41">
        <v>0</v>
      </c>
      <c r="AB37" s="41">
        <v>0</v>
      </c>
      <c r="AC37" s="41">
        <f t="shared" si="24"/>
        <v>0</v>
      </c>
      <c r="AD37" s="41">
        <v>0</v>
      </c>
      <c r="AE37" s="41">
        <v>0</v>
      </c>
      <c r="AF37" s="41">
        <f t="shared" si="25"/>
        <v>0</v>
      </c>
      <c r="AG37" s="41">
        <v>2160138.15</v>
      </c>
      <c r="AH37" s="41">
        <v>564281.09</v>
      </c>
      <c r="AI37" s="41">
        <f t="shared" si="26"/>
        <v>-1595857.06</v>
      </c>
      <c r="AJ37" s="41">
        <v>0</v>
      </c>
      <c r="AK37" s="41">
        <v>0</v>
      </c>
      <c r="AL37" s="41">
        <f t="shared" si="27"/>
        <v>0</v>
      </c>
      <c r="AM37" s="41">
        <v>0</v>
      </c>
      <c r="AN37" s="41">
        <v>0</v>
      </c>
      <c r="AO37" s="41">
        <f t="shared" si="28"/>
        <v>0</v>
      </c>
      <c r="AP37" s="41">
        <v>1211532.2</v>
      </c>
      <c r="AQ37" s="41">
        <f>IFERROR(VLOOKUP(G37,'10'!A:B,2,0),0)</f>
        <v>1945327.22</v>
      </c>
      <c r="AR37" s="41">
        <f t="shared" si="12"/>
        <v>733795.02</v>
      </c>
      <c r="AS37" s="41">
        <f t="shared" si="18"/>
        <v>4790610.01</v>
      </c>
      <c r="AT37" s="41">
        <f>AN37+AK37+AH37+AE37+AB37+Y37+V37+S37+P37+AQ37</f>
        <v>3758931.69</v>
      </c>
      <c r="AU37" s="522">
        <f t="shared" si="17"/>
        <v>-1031678.3200000001</v>
      </c>
      <c r="AV37" s="459">
        <f t="shared" si="14"/>
        <v>0.78464573032527019</v>
      </c>
      <c r="AW37" s="41">
        <v>0</v>
      </c>
      <c r="AX37" s="41">
        <v>0</v>
      </c>
      <c r="AY37" s="41">
        <f t="shared" si="15"/>
        <v>4790610.01</v>
      </c>
      <c r="AZ37" s="41">
        <f>VLOOKUP(G37,'2017'!A:B,2,0)</f>
        <v>3758931.69</v>
      </c>
      <c r="BA37" s="550">
        <f t="shared" si="29"/>
        <v>-1031678.3199999998</v>
      </c>
      <c r="BB37" s="41">
        <v>1145015.44</v>
      </c>
      <c r="BC37" s="41">
        <v>0</v>
      </c>
      <c r="BD37" s="41">
        <v>0</v>
      </c>
      <c r="BE37" s="41">
        <v>0</v>
      </c>
      <c r="BF37" s="41">
        <v>0</v>
      </c>
      <c r="BG37" s="41">
        <v>0</v>
      </c>
      <c r="BH37" s="41">
        <v>0</v>
      </c>
      <c r="BI37" s="41">
        <v>7650766.0099999998</v>
      </c>
      <c r="BJ37" s="451" t="s">
        <v>2696</v>
      </c>
      <c r="BK37" s="25" t="s">
        <v>2745</v>
      </c>
    </row>
    <row r="38" spans="1:64" s="10" customFormat="1" ht="32.25" customHeight="1" x14ac:dyDescent="0.25">
      <c r="A38" s="11" t="s">
        <v>221</v>
      </c>
      <c r="B38" s="11" t="s">
        <v>651</v>
      </c>
      <c r="C38" s="14" t="s">
        <v>580</v>
      </c>
      <c r="D38" s="11" t="s">
        <v>3</v>
      </c>
      <c r="E38" s="11" t="s">
        <v>210</v>
      </c>
      <c r="F38" s="11" t="s">
        <v>77</v>
      </c>
      <c r="G38" s="44" t="s">
        <v>635</v>
      </c>
      <c r="H38" s="45">
        <v>27</v>
      </c>
      <c r="I38" s="45" t="s">
        <v>221</v>
      </c>
      <c r="J38" s="46" t="s">
        <v>212</v>
      </c>
      <c r="K38" s="46" t="s">
        <v>580</v>
      </c>
      <c r="L38" s="41">
        <v>0</v>
      </c>
      <c r="M38" s="41">
        <v>120531.37</v>
      </c>
      <c r="N38" s="41">
        <v>13513992.23</v>
      </c>
      <c r="O38" s="41">
        <v>0</v>
      </c>
      <c r="P38" s="41">
        <v>0</v>
      </c>
      <c r="Q38" s="41">
        <f t="shared" si="20"/>
        <v>0</v>
      </c>
      <c r="R38" s="41">
        <v>2617244.7599999998</v>
      </c>
      <c r="S38" s="41">
        <v>2617244.7599999998</v>
      </c>
      <c r="T38" s="41">
        <f t="shared" si="21"/>
        <v>0</v>
      </c>
      <c r="U38" s="41">
        <v>0</v>
      </c>
      <c r="V38" s="41">
        <v>0</v>
      </c>
      <c r="W38" s="41">
        <f t="shared" si="22"/>
        <v>0</v>
      </c>
      <c r="X38" s="537">
        <v>1552076.4</v>
      </c>
      <c r="Y38" s="41">
        <v>1551953.14</v>
      </c>
      <c r="Z38" s="41">
        <f t="shared" si="23"/>
        <v>-123.26000000000931</v>
      </c>
      <c r="AA38" s="41">
        <v>0</v>
      </c>
      <c r="AB38" s="41">
        <v>0</v>
      </c>
      <c r="AC38" s="41">
        <f t="shared" si="24"/>
        <v>0</v>
      </c>
      <c r="AD38" s="41">
        <v>0</v>
      </c>
      <c r="AE38" s="41">
        <v>0</v>
      </c>
      <c r="AF38" s="41">
        <f t="shared" si="25"/>
        <v>0</v>
      </c>
      <c r="AG38" s="41">
        <v>2710461.04</v>
      </c>
      <c r="AH38" s="40">
        <v>2212292.46</v>
      </c>
      <c r="AI38" s="41">
        <f t="shared" si="26"/>
        <v>-498168.58000000007</v>
      </c>
      <c r="AJ38" s="41">
        <v>0</v>
      </c>
      <c r="AK38" s="41">
        <v>0</v>
      </c>
      <c r="AL38" s="41">
        <f t="shared" si="27"/>
        <v>0</v>
      </c>
      <c r="AM38" s="41">
        <v>0</v>
      </c>
      <c r="AN38" s="41">
        <v>0</v>
      </c>
      <c r="AO38" s="41">
        <f t="shared" si="28"/>
        <v>0</v>
      </c>
      <c r="AP38" s="41">
        <v>2710461.04</v>
      </c>
      <c r="AQ38" s="41">
        <f>IFERROR(VLOOKUP(G38,'10'!A:B,2,0),0)</f>
        <v>2196688.16</v>
      </c>
      <c r="AR38" s="41">
        <f t="shared" si="12"/>
        <v>-513772.87999999989</v>
      </c>
      <c r="AS38" s="41">
        <f t="shared" si="18"/>
        <v>9590243.2399999984</v>
      </c>
      <c r="AT38" s="41">
        <f>AN38+AK38+AH38+AE38+AB38+Y38+V38+S38+P38+AQ38</f>
        <v>8578178.5199999996</v>
      </c>
      <c r="AU38" s="522">
        <f t="shared" si="17"/>
        <v>-1012064.72</v>
      </c>
      <c r="AV38" s="459">
        <f t="shared" si="14"/>
        <v>0.89446933777667159</v>
      </c>
      <c r="AW38" s="41">
        <v>0</v>
      </c>
      <c r="AX38" s="41">
        <v>0</v>
      </c>
      <c r="AY38" s="41">
        <f t="shared" si="15"/>
        <v>9590243.2400000002</v>
      </c>
      <c r="AZ38" s="41">
        <f>VLOOKUP(G38,'2017'!A:B,2,0)</f>
        <v>8577756.6600000001</v>
      </c>
      <c r="BA38" s="550">
        <f t="shared" si="29"/>
        <v>-1012486.5800000001</v>
      </c>
      <c r="BB38" s="37">
        <v>7983155.1600000011</v>
      </c>
      <c r="BC38" s="41">
        <v>0</v>
      </c>
      <c r="BD38" s="41">
        <v>0</v>
      </c>
      <c r="BE38" s="41">
        <v>0</v>
      </c>
      <c r="BF38" s="41">
        <v>0</v>
      </c>
      <c r="BG38" s="41">
        <v>0</v>
      </c>
      <c r="BH38" s="41">
        <v>0</v>
      </c>
      <c r="BI38" s="41">
        <v>31207922</v>
      </c>
      <c r="BJ38" s="451" t="s">
        <v>2707</v>
      </c>
      <c r="BK38" s="25" t="s">
        <v>2755</v>
      </c>
    </row>
    <row r="39" spans="1:64" s="10" customFormat="1" ht="63" x14ac:dyDescent="0.25">
      <c r="A39" s="11" t="s">
        <v>322</v>
      </c>
      <c r="B39" s="11" t="s">
        <v>323</v>
      </c>
      <c r="C39" s="14" t="s">
        <v>593</v>
      </c>
      <c r="D39" s="11" t="s">
        <v>3</v>
      </c>
      <c r="E39" s="11" t="s">
        <v>4</v>
      </c>
      <c r="F39" s="11" t="s">
        <v>77</v>
      </c>
      <c r="G39" s="44" t="s">
        <v>324</v>
      </c>
      <c r="H39" s="45">
        <v>28</v>
      </c>
      <c r="I39" s="45" t="s">
        <v>322</v>
      </c>
      <c r="J39" s="46" t="s">
        <v>285</v>
      </c>
      <c r="K39" s="46" t="s">
        <v>325</v>
      </c>
      <c r="L39" s="41">
        <v>0</v>
      </c>
      <c r="M39" s="41">
        <v>0</v>
      </c>
      <c r="N39" s="41">
        <v>0</v>
      </c>
      <c r="O39" s="41">
        <v>0</v>
      </c>
      <c r="P39" s="41">
        <v>0</v>
      </c>
      <c r="Q39" s="41">
        <f t="shared" si="20"/>
        <v>0</v>
      </c>
      <c r="R39" s="41">
        <v>37292</v>
      </c>
      <c r="S39" s="41">
        <v>37292.230000000003</v>
      </c>
      <c r="T39" s="41">
        <f t="shared" si="21"/>
        <v>0.23000000000320142</v>
      </c>
      <c r="U39" s="41">
        <v>0</v>
      </c>
      <c r="V39" s="41">
        <v>0</v>
      </c>
      <c r="W39" s="41">
        <f t="shared" si="22"/>
        <v>0</v>
      </c>
      <c r="X39" s="41">
        <v>52038</v>
      </c>
      <c r="Y39" s="41">
        <v>52037.61</v>
      </c>
      <c r="Z39" s="41">
        <f t="shared" si="23"/>
        <v>-0.38999999999941792</v>
      </c>
      <c r="AA39" s="41">
        <v>0</v>
      </c>
      <c r="AB39" s="41">
        <v>0</v>
      </c>
      <c r="AC39" s="41">
        <f t="shared" si="24"/>
        <v>0</v>
      </c>
      <c r="AD39" s="41">
        <v>0</v>
      </c>
      <c r="AE39" s="41">
        <v>0</v>
      </c>
      <c r="AF39" s="41">
        <f t="shared" si="25"/>
        <v>0</v>
      </c>
      <c r="AG39" s="41">
        <v>465122.55</v>
      </c>
      <c r="AH39" s="41">
        <v>88413.25</v>
      </c>
      <c r="AI39" s="41">
        <f t="shared" si="26"/>
        <v>-376709.3</v>
      </c>
      <c r="AJ39" s="41">
        <v>0</v>
      </c>
      <c r="AK39" s="41">
        <v>0</v>
      </c>
      <c r="AL39" s="41">
        <f t="shared" si="27"/>
        <v>0</v>
      </c>
      <c r="AM39" s="41">
        <v>0</v>
      </c>
      <c r="AN39" s="41">
        <v>0</v>
      </c>
      <c r="AO39" s="41">
        <f t="shared" si="28"/>
        <v>0</v>
      </c>
      <c r="AP39" s="41">
        <v>705330</v>
      </c>
      <c r="AQ39" s="41">
        <f>IFERROR(VLOOKUP(G39,'10'!A:B,2,0),0)</f>
        <v>116823.82</v>
      </c>
      <c r="AR39" s="41">
        <f t="shared" si="12"/>
        <v>-588506.17999999993</v>
      </c>
      <c r="AS39" s="41">
        <f t="shared" si="18"/>
        <v>1259782.55</v>
      </c>
      <c r="AT39" s="41">
        <f>AN39+AK39+AH39+AE39+AB39+Y39+V39+S39+P39+AQ39</f>
        <v>294566.91000000003</v>
      </c>
      <c r="AU39" s="522">
        <f t="shared" si="17"/>
        <v>-965215.6399999999</v>
      </c>
      <c r="AV39" s="459">
        <f t="shared" si="14"/>
        <v>0.23382361503578536</v>
      </c>
      <c r="AW39" s="41">
        <v>0</v>
      </c>
      <c r="AX39" s="41">
        <v>0</v>
      </c>
      <c r="AY39" s="41">
        <f t="shared" si="15"/>
        <v>1259782.55</v>
      </c>
      <c r="AZ39" s="41">
        <f>VLOOKUP(G39,'2017'!A:B,2,0)</f>
        <v>724960.43</v>
      </c>
      <c r="BA39" s="550">
        <f t="shared" si="29"/>
        <v>-534822.12</v>
      </c>
      <c r="BB39" s="41">
        <v>5140322</v>
      </c>
      <c r="BC39" s="41">
        <v>2126881.9</v>
      </c>
      <c r="BD39" s="41">
        <v>996482.20000000007</v>
      </c>
      <c r="BE39" s="41">
        <v>692400.65</v>
      </c>
      <c r="BF39" s="41">
        <v>96372.5</v>
      </c>
      <c r="BG39" s="41">
        <v>0</v>
      </c>
      <c r="BH39" s="41">
        <v>0</v>
      </c>
      <c r="BI39" s="41">
        <v>10312241.799999999</v>
      </c>
      <c r="BJ39" s="451" t="s">
        <v>2711</v>
      </c>
      <c r="BK39" s="25" t="s">
        <v>2758</v>
      </c>
    </row>
    <row r="40" spans="1:64" s="10" customFormat="1" ht="94.5" x14ac:dyDescent="0.2">
      <c r="A40" s="11" t="s">
        <v>233</v>
      </c>
      <c r="B40" s="11" t="s">
        <v>234</v>
      </c>
      <c r="C40" s="14" t="s">
        <v>583</v>
      </c>
      <c r="D40" s="11">
        <v>1</v>
      </c>
      <c r="E40" s="11" t="s">
        <v>4</v>
      </c>
      <c r="F40" s="11" t="s">
        <v>5</v>
      </c>
      <c r="G40" s="44" t="s">
        <v>235</v>
      </c>
      <c r="H40" s="45">
        <v>29</v>
      </c>
      <c r="I40" s="45" t="s">
        <v>233</v>
      </c>
      <c r="J40" s="46" t="s">
        <v>236</v>
      </c>
      <c r="K40" s="46" t="s">
        <v>237</v>
      </c>
      <c r="L40" s="41">
        <v>0</v>
      </c>
      <c r="M40" s="41">
        <v>0</v>
      </c>
      <c r="N40" s="41">
        <v>0</v>
      </c>
      <c r="O40" s="41">
        <v>0</v>
      </c>
      <c r="P40" s="41">
        <v>0</v>
      </c>
      <c r="Q40" s="41">
        <f t="shared" si="20"/>
        <v>0</v>
      </c>
      <c r="R40" s="41">
        <v>0</v>
      </c>
      <c r="S40" s="41">
        <v>0</v>
      </c>
      <c r="T40" s="41">
        <f t="shared" si="21"/>
        <v>0</v>
      </c>
      <c r="U40" s="41">
        <v>0</v>
      </c>
      <c r="V40" s="41">
        <v>0</v>
      </c>
      <c r="W40" s="41">
        <f t="shared" si="22"/>
        <v>0</v>
      </c>
      <c r="X40" s="41">
        <v>6058.96</v>
      </c>
      <c r="Y40" s="41">
        <v>6058.98</v>
      </c>
      <c r="Z40" s="41">
        <f t="shared" si="23"/>
        <v>1.9999999999527063E-2</v>
      </c>
      <c r="AA40" s="41">
        <v>0</v>
      </c>
      <c r="AB40" s="41">
        <v>0</v>
      </c>
      <c r="AC40" s="41">
        <f t="shared" si="24"/>
        <v>0</v>
      </c>
      <c r="AD40" s="41">
        <v>23852.86</v>
      </c>
      <c r="AE40" s="41">
        <v>11088.05</v>
      </c>
      <c r="AF40" s="41">
        <f t="shared" si="25"/>
        <v>-12764.810000000001</v>
      </c>
      <c r="AG40" s="41">
        <v>0</v>
      </c>
      <c r="AH40" s="41">
        <v>0</v>
      </c>
      <c r="AI40" s="41">
        <f t="shared" si="26"/>
        <v>0</v>
      </c>
      <c r="AJ40" s="41">
        <v>0</v>
      </c>
      <c r="AK40" s="41">
        <v>0</v>
      </c>
      <c r="AL40" s="41">
        <f t="shared" si="27"/>
        <v>0</v>
      </c>
      <c r="AM40" s="41">
        <v>1003101.34</v>
      </c>
      <c r="AN40" s="41">
        <v>71815.509999999995</v>
      </c>
      <c r="AO40" s="41">
        <f t="shared" si="28"/>
        <v>-931285.83</v>
      </c>
      <c r="AP40" s="41">
        <v>0</v>
      </c>
      <c r="AQ40" s="41">
        <f>IFERROR(VLOOKUP(G40,'10'!A:B,2,0),0)</f>
        <v>0</v>
      </c>
      <c r="AR40" s="41">
        <f t="shared" si="12"/>
        <v>0</v>
      </c>
      <c r="AS40" s="41">
        <f t="shared" si="18"/>
        <v>1033013.1599999999</v>
      </c>
      <c r="AT40" s="41">
        <f>AN40+AK40+AH40+AE40+AB40+Y40+V40+S40+P40+AQ40</f>
        <v>88962.54</v>
      </c>
      <c r="AU40" s="522">
        <f t="shared" si="17"/>
        <v>-944050.62</v>
      </c>
      <c r="AV40" s="459">
        <f t="shared" si="14"/>
        <v>8.6119464344481339E-2</v>
      </c>
      <c r="AW40" s="41">
        <v>0</v>
      </c>
      <c r="AX40" s="41">
        <v>1825118.31</v>
      </c>
      <c r="AY40" s="41">
        <f t="shared" si="15"/>
        <v>2858131.4699999997</v>
      </c>
      <c r="AZ40" s="41">
        <f>VLOOKUP(G40,'2017'!A:B,2,0)</f>
        <v>1914069.1300000001</v>
      </c>
      <c r="BA40" s="550">
        <f t="shared" si="29"/>
        <v>-944062.33999999962</v>
      </c>
      <c r="BB40" s="41">
        <v>1630045.13</v>
      </c>
      <c r="BC40" s="41">
        <v>2190178.2200000002</v>
      </c>
      <c r="BD40" s="41">
        <v>2289980.73</v>
      </c>
      <c r="BE40" s="41">
        <v>0</v>
      </c>
      <c r="BF40" s="41">
        <v>0</v>
      </c>
      <c r="BG40" s="41">
        <v>0</v>
      </c>
      <c r="BH40" s="41">
        <v>0</v>
      </c>
      <c r="BI40" s="41">
        <v>8968335.5500000007</v>
      </c>
      <c r="BJ40" s="75"/>
      <c r="BK40" s="11"/>
    </row>
    <row r="41" spans="1:64" s="10" customFormat="1" ht="63" x14ac:dyDescent="0.25">
      <c r="A41" s="15" t="s">
        <v>294</v>
      </c>
      <c r="B41" s="15" t="s">
        <v>295</v>
      </c>
      <c r="C41" s="16" t="s">
        <v>587</v>
      </c>
      <c r="D41" s="15" t="s">
        <v>3</v>
      </c>
      <c r="E41" s="15" t="s">
        <v>4</v>
      </c>
      <c r="F41" s="15" t="s">
        <v>77</v>
      </c>
      <c r="G41" s="47" t="s">
        <v>296</v>
      </c>
      <c r="H41" s="45">
        <v>30</v>
      </c>
      <c r="I41" s="45" t="s">
        <v>294</v>
      </c>
      <c r="J41" s="49" t="s">
        <v>297</v>
      </c>
      <c r="K41" s="49" t="s">
        <v>298</v>
      </c>
      <c r="L41" s="40">
        <v>0</v>
      </c>
      <c r="M41" s="40">
        <v>0</v>
      </c>
      <c r="N41" s="40">
        <v>234516.74</v>
      </c>
      <c r="O41" s="40">
        <v>0</v>
      </c>
      <c r="P41" s="40">
        <v>0</v>
      </c>
      <c r="Q41" s="41">
        <f t="shared" si="20"/>
        <v>0</v>
      </c>
      <c r="R41" s="40">
        <v>61726</v>
      </c>
      <c r="S41" s="40">
        <v>61726</v>
      </c>
      <c r="T41" s="41">
        <f t="shared" si="21"/>
        <v>0</v>
      </c>
      <c r="U41" s="40">
        <v>0</v>
      </c>
      <c r="V41" s="40">
        <v>0</v>
      </c>
      <c r="W41" s="41">
        <f t="shared" si="22"/>
        <v>0</v>
      </c>
      <c r="X41" s="40">
        <v>0</v>
      </c>
      <c r="Y41" s="40">
        <v>0</v>
      </c>
      <c r="Z41" s="41">
        <f t="shared" si="23"/>
        <v>0</v>
      </c>
      <c r="AA41" s="40">
        <v>569993.85</v>
      </c>
      <c r="AB41" s="40">
        <v>0</v>
      </c>
      <c r="AC41" s="41">
        <f t="shared" si="24"/>
        <v>-569993.85</v>
      </c>
      <c r="AD41" s="40">
        <v>0</v>
      </c>
      <c r="AE41" s="41">
        <v>121115.38</v>
      </c>
      <c r="AF41" s="41">
        <f t="shared" si="25"/>
        <v>121115.38</v>
      </c>
      <c r="AG41" s="40">
        <v>0</v>
      </c>
      <c r="AH41" s="41">
        <v>0</v>
      </c>
      <c r="AI41" s="41">
        <f t="shared" si="26"/>
        <v>0</v>
      </c>
      <c r="AJ41" s="40">
        <v>654748.19999999995</v>
      </c>
      <c r="AK41" s="41">
        <v>210925.15</v>
      </c>
      <c r="AL41" s="41">
        <f t="shared" si="27"/>
        <v>-443823.04999999993</v>
      </c>
      <c r="AM41" s="40">
        <v>0</v>
      </c>
      <c r="AN41" s="41">
        <v>0</v>
      </c>
      <c r="AO41" s="41">
        <f t="shared" si="28"/>
        <v>0</v>
      </c>
      <c r="AP41" s="40">
        <v>0</v>
      </c>
      <c r="AQ41" s="41">
        <f>IFERROR(VLOOKUP(G41,'10'!A:B,2,0),0)</f>
        <v>0</v>
      </c>
      <c r="AR41" s="41">
        <f t="shared" si="12"/>
        <v>0</v>
      </c>
      <c r="AS41" s="41">
        <f t="shared" si="18"/>
        <v>1286468.0499999998</v>
      </c>
      <c r="AT41" s="41">
        <f>AN41+AK41+AH41+AE41+AB41+-Y41+V41+S41+P41+AQ41</f>
        <v>393766.53</v>
      </c>
      <c r="AU41" s="522">
        <f t="shared" si="17"/>
        <v>-892701.5199999999</v>
      </c>
      <c r="AV41" s="459">
        <f t="shared" si="14"/>
        <v>0.30608341186553378</v>
      </c>
      <c r="AW41" s="40">
        <v>654748.19999999995</v>
      </c>
      <c r="AX41" s="40">
        <v>0</v>
      </c>
      <c r="AY41" s="41">
        <f t="shared" si="15"/>
        <v>1941216.25</v>
      </c>
      <c r="AZ41" s="41">
        <f>VLOOKUP(G41,'2017'!A:B,2,0)</f>
        <v>593247.17000000004</v>
      </c>
      <c r="BA41" s="550">
        <f t="shared" si="29"/>
        <v>-1347969.08</v>
      </c>
      <c r="BB41" s="40">
        <v>3608882.9800000004</v>
      </c>
      <c r="BC41" s="40">
        <v>1865362.94</v>
      </c>
      <c r="BD41" s="40">
        <v>0</v>
      </c>
      <c r="BE41" s="40">
        <v>0</v>
      </c>
      <c r="BF41" s="40">
        <v>0</v>
      </c>
      <c r="BG41" s="40">
        <v>0</v>
      </c>
      <c r="BH41" s="40">
        <v>0</v>
      </c>
      <c r="BI41" s="40">
        <v>7649978.9100000001</v>
      </c>
      <c r="BJ41" s="453" t="s">
        <v>2709</v>
      </c>
      <c r="BK41" s="25" t="s">
        <v>2709</v>
      </c>
    </row>
    <row r="42" spans="1:64" s="10" customFormat="1" ht="57.75" customHeight="1" x14ac:dyDescent="0.25">
      <c r="A42" s="11" t="s">
        <v>281</v>
      </c>
      <c r="B42" s="11" t="s">
        <v>282</v>
      </c>
      <c r="C42" s="14" t="s">
        <v>283</v>
      </c>
      <c r="D42" s="11" t="s">
        <v>3</v>
      </c>
      <c r="E42" s="11" t="s">
        <v>4</v>
      </c>
      <c r="F42" s="11" t="s">
        <v>77</v>
      </c>
      <c r="G42" s="44" t="s">
        <v>284</v>
      </c>
      <c r="H42" s="45">
        <v>31</v>
      </c>
      <c r="I42" s="45" t="s">
        <v>281</v>
      </c>
      <c r="J42" s="46" t="s">
        <v>285</v>
      </c>
      <c r="K42" s="46" t="s">
        <v>286</v>
      </c>
      <c r="L42" s="41">
        <v>0</v>
      </c>
      <c r="M42" s="41">
        <v>0</v>
      </c>
      <c r="N42" s="41">
        <v>0</v>
      </c>
      <c r="O42" s="41">
        <v>0</v>
      </c>
      <c r="P42" s="41">
        <v>0</v>
      </c>
      <c r="Q42" s="41">
        <f t="shared" si="20"/>
        <v>0</v>
      </c>
      <c r="R42" s="41">
        <v>180011.9</v>
      </c>
      <c r="S42" s="41">
        <v>180011.9</v>
      </c>
      <c r="T42" s="41">
        <f t="shared" si="21"/>
        <v>0</v>
      </c>
      <c r="U42" s="41">
        <v>0</v>
      </c>
      <c r="V42" s="41">
        <v>0</v>
      </c>
      <c r="W42" s="41">
        <f t="shared" si="22"/>
        <v>0</v>
      </c>
      <c r="X42" s="41">
        <v>247862.35</v>
      </c>
      <c r="Y42" s="41">
        <v>247861.04</v>
      </c>
      <c r="Z42" s="41">
        <f t="shared" si="23"/>
        <v>-1.3099999999976717</v>
      </c>
      <c r="AA42" s="41">
        <v>0</v>
      </c>
      <c r="AB42" s="41">
        <v>0</v>
      </c>
      <c r="AC42" s="41">
        <f t="shared" si="24"/>
        <v>0</v>
      </c>
      <c r="AD42" s="41">
        <v>1008607.29</v>
      </c>
      <c r="AE42" s="41">
        <v>0</v>
      </c>
      <c r="AF42" s="41">
        <f t="shared" si="25"/>
        <v>-1008607.29</v>
      </c>
      <c r="AG42" s="41">
        <v>0</v>
      </c>
      <c r="AH42" s="41">
        <v>504405.18</v>
      </c>
      <c r="AI42" s="41">
        <f t="shared" si="26"/>
        <v>504405.18</v>
      </c>
      <c r="AJ42" s="41">
        <v>0</v>
      </c>
      <c r="AK42" s="41">
        <v>0</v>
      </c>
      <c r="AL42" s="41">
        <f t="shared" si="27"/>
        <v>0</v>
      </c>
      <c r="AM42" s="41">
        <v>983819.1</v>
      </c>
      <c r="AN42" s="41">
        <v>619049.38</v>
      </c>
      <c r="AO42" s="41">
        <f t="shared" si="28"/>
        <v>-364769.72</v>
      </c>
      <c r="AP42" s="41">
        <v>0</v>
      </c>
      <c r="AQ42" s="41">
        <f>IFERROR(VLOOKUP(G42,'10'!A:B,2,0),0)</f>
        <v>0</v>
      </c>
      <c r="AR42" s="41">
        <f t="shared" si="12"/>
        <v>0</v>
      </c>
      <c r="AS42" s="41">
        <f t="shared" si="18"/>
        <v>2420300.64</v>
      </c>
      <c r="AT42" s="41">
        <f>AN42+AK42+AH42+AE42+AB42+Y42+V42+S42+P42+AQ42</f>
        <v>1551327.5</v>
      </c>
      <c r="AU42" s="522">
        <f t="shared" si="17"/>
        <v>-868973.14000000013</v>
      </c>
      <c r="AV42" s="459">
        <f t="shared" si="14"/>
        <v>0.64096479353077385</v>
      </c>
      <c r="AW42" s="41">
        <v>0</v>
      </c>
      <c r="AX42" s="41">
        <v>983819.1</v>
      </c>
      <c r="AY42" s="41">
        <f t="shared" si="15"/>
        <v>3404119.7399999998</v>
      </c>
      <c r="AZ42" s="41">
        <f>VLOOKUP(G42,'2017'!A:B,2,0)</f>
        <v>2383596.38</v>
      </c>
      <c r="BA42" s="550">
        <f t="shared" si="29"/>
        <v>-1020523.3599999999</v>
      </c>
      <c r="BB42" s="41">
        <v>3820595.91</v>
      </c>
      <c r="BC42" s="41">
        <v>2998177.7800000003</v>
      </c>
      <c r="BD42" s="41">
        <v>1255880.9300000002</v>
      </c>
      <c r="BE42" s="41">
        <v>387976.64</v>
      </c>
      <c r="BF42" s="41">
        <v>0</v>
      </c>
      <c r="BG42" s="41">
        <v>0</v>
      </c>
      <c r="BH42" s="41">
        <v>0</v>
      </c>
      <c r="BI42" s="41">
        <v>11866751</v>
      </c>
      <c r="BJ42" s="451" t="s">
        <v>2704</v>
      </c>
      <c r="BK42" s="25" t="s">
        <v>2753</v>
      </c>
    </row>
    <row r="43" spans="1:64" s="10" customFormat="1" ht="74.25" customHeight="1" x14ac:dyDescent="0.25">
      <c r="A43" s="24" t="s">
        <v>758</v>
      </c>
      <c r="B43" s="24" t="s">
        <v>759</v>
      </c>
      <c r="C43" s="25" t="s">
        <v>760</v>
      </c>
      <c r="D43" s="24" t="s">
        <v>3</v>
      </c>
      <c r="E43" s="24" t="s">
        <v>29</v>
      </c>
      <c r="F43" s="24" t="s">
        <v>102</v>
      </c>
      <c r="G43" s="45" t="s">
        <v>782</v>
      </c>
      <c r="H43" s="45">
        <v>32</v>
      </c>
      <c r="I43" s="45" t="s">
        <v>758</v>
      </c>
      <c r="J43" s="46" t="s">
        <v>761</v>
      </c>
      <c r="K43" s="46" t="s">
        <v>762</v>
      </c>
      <c r="L43" s="41">
        <v>0</v>
      </c>
      <c r="M43" s="41">
        <v>0</v>
      </c>
      <c r="N43" s="41">
        <v>0</v>
      </c>
      <c r="O43" s="40">
        <v>0</v>
      </c>
      <c r="P43" s="40">
        <v>0</v>
      </c>
      <c r="Q43" s="41">
        <f t="shared" si="20"/>
        <v>0</v>
      </c>
      <c r="R43" s="40">
        <v>0</v>
      </c>
      <c r="S43" s="40">
        <v>0</v>
      </c>
      <c r="T43" s="41">
        <f t="shared" si="21"/>
        <v>0</v>
      </c>
      <c r="U43" s="40">
        <v>0</v>
      </c>
      <c r="V43" s="40">
        <v>0</v>
      </c>
      <c r="W43" s="41">
        <f t="shared" si="22"/>
        <v>0</v>
      </c>
      <c r="X43" s="40">
        <v>0</v>
      </c>
      <c r="Y43" s="40">
        <v>0</v>
      </c>
      <c r="Z43" s="41">
        <f t="shared" si="23"/>
        <v>0</v>
      </c>
      <c r="AA43" s="40">
        <v>0</v>
      </c>
      <c r="AB43" s="40">
        <v>0</v>
      </c>
      <c r="AC43" s="41">
        <f t="shared" si="24"/>
        <v>0</v>
      </c>
      <c r="AD43" s="41">
        <v>0</v>
      </c>
      <c r="AE43" s="41">
        <v>771318</v>
      </c>
      <c r="AF43" s="41">
        <f t="shared" si="25"/>
        <v>771318</v>
      </c>
      <c r="AG43" s="41">
        <v>220189.96000000002</v>
      </c>
      <c r="AH43" s="41">
        <v>0</v>
      </c>
      <c r="AI43" s="41">
        <f t="shared" si="26"/>
        <v>-220189.96000000002</v>
      </c>
      <c r="AJ43" s="41">
        <v>1126888.52</v>
      </c>
      <c r="AK43" s="41">
        <v>0</v>
      </c>
      <c r="AL43" s="41">
        <f t="shared" si="27"/>
        <v>-1126888.52</v>
      </c>
      <c r="AM43" s="41">
        <v>0</v>
      </c>
      <c r="AN43" s="41">
        <v>0</v>
      </c>
      <c r="AO43" s="41">
        <f t="shared" si="28"/>
        <v>0</v>
      </c>
      <c r="AP43" s="41">
        <v>951838.3</v>
      </c>
      <c r="AQ43" s="41">
        <f>IFERROR(VLOOKUP(G43,'10'!A:B,2,0),0)</f>
        <v>676968.55</v>
      </c>
      <c r="AR43" s="41">
        <f t="shared" si="12"/>
        <v>-274869.75</v>
      </c>
      <c r="AS43" s="41">
        <f t="shared" si="18"/>
        <v>2298916.7800000003</v>
      </c>
      <c r="AT43" s="41">
        <f>AN43+AK43+AH43+AE43+AB43+-Y43+V43+S43+P43+AQ43</f>
        <v>1448286.55</v>
      </c>
      <c r="AU43" s="522">
        <f t="shared" si="17"/>
        <v>-850630.23</v>
      </c>
      <c r="AV43" s="459">
        <f t="shared" si="14"/>
        <v>0.62998650607961537</v>
      </c>
      <c r="AW43" s="41">
        <v>0</v>
      </c>
      <c r="AX43" s="41">
        <v>0</v>
      </c>
      <c r="AY43" s="41">
        <f t="shared" si="15"/>
        <v>2298916.7800000003</v>
      </c>
      <c r="AZ43" s="41">
        <f>VLOOKUP(G43,'2017'!A:B,2,0)</f>
        <v>1448286.55</v>
      </c>
      <c r="BA43" s="550">
        <f t="shared" si="29"/>
        <v>-850630.23000000021</v>
      </c>
      <c r="BB43" s="41">
        <v>5113006.43</v>
      </c>
      <c r="BC43" s="41">
        <v>3926770.2</v>
      </c>
      <c r="BD43" s="41">
        <v>3439212.5199999996</v>
      </c>
      <c r="BE43" s="41">
        <v>1642390.52</v>
      </c>
      <c r="BF43" s="41">
        <v>330075.31</v>
      </c>
      <c r="BG43" s="41">
        <v>0</v>
      </c>
      <c r="BH43" s="41">
        <v>0</v>
      </c>
      <c r="BI43" s="41">
        <v>15623483.24</v>
      </c>
      <c r="BJ43" s="423"/>
      <c r="BK43" s="25" t="s">
        <v>2737</v>
      </c>
    </row>
    <row r="44" spans="1:64" s="10" customFormat="1" ht="47.25" x14ac:dyDescent="0.2">
      <c r="A44" s="11" t="s">
        <v>224</v>
      </c>
      <c r="B44" s="11" t="s">
        <v>225</v>
      </c>
      <c r="C44" s="14" t="s">
        <v>581</v>
      </c>
      <c r="D44" s="11" t="s">
        <v>3</v>
      </c>
      <c r="E44" s="11" t="s">
        <v>210</v>
      </c>
      <c r="F44" s="11" t="s">
        <v>77</v>
      </c>
      <c r="G44" s="44" t="s">
        <v>226</v>
      </c>
      <c r="H44" s="45">
        <v>33</v>
      </c>
      <c r="I44" s="45" t="s">
        <v>224</v>
      </c>
      <c r="J44" s="46" t="s">
        <v>227</v>
      </c>
      <c r="K44" s="46" t="s">
        <v>228</v>
      </c>
      <c r="L44" s="41">
        <v>0</v>
      </c>
      <c r="M44" s="41">
        <v>0</v>
      </c>
      <c r="N44" s="41">
        <v>5412.46</v>
      </c>
      <c r="O44" s="41">
        <v>45698.89</v>
      </c>
      <c r="P44" s="41">
        <v>45698.89</v>
      </c>
      <c r="Q44" s="41">
        <f t="shared" si="20"/>
        <v>0</v>
      </c>
      <c r="R44" s="41">
        <v>0</v>
      </c>
      <c r="S44" s="41">
        <v>0</v>
      </c>
      <c r="T44" s="41">
        <f t="shared" si="21"/>
        <v>0</v>
      </c>
      <c r="U44" s="41">
        <v>0</v>
      </c>
      <c r="V44" s="41">
        <v>0</v>
      </c>
      <c r="W44" s="41">
        <f t="shared" si="22"/>
        <v>0</v>
      </c>
      <c r="X44" s="41">
        <v>41095.660000000003</v>
      </c>
      <c r="Y44" s="41">
        <v>41095.660000000003</v>
      </c>
      <c r="Z44" s="41">
        <f t="shared" si="23"/>
        <v>0</v>
      </c>
      <c r="AA44" s="41">
        <v>0</v>
      </c>
      <c r="AB44" s="41">
        <v>0</v>
      </c>
      <c r="AC44" s="41">
        <f t="shared" si="24"/>
        <v>0</v>
      </c>
      <c r="AD44" s="41">
        <v>0</v>
      </c>
      <c r="AE44" s="41">
        <v>0</v>
      </c>
      <c r="AF44" s="41">
        <f t="shared" si="25"/>
        <v>0</v>
      </c>
      <c r="AG44" s="41">
        <v>222475.22</v>
      </c>
      <c r="AH44" s="41">
        <v>71730.720000000001</v>
      </c>
      <c r="AI44" s="41">
        <f t="shared" si="26"/>
        <v>-150744.5</v>
      </c>
      <c r="AJ44" s="41">
        <v>0</v>
      </c>
      <c r="AK44" s="41">
        <v>0</v>
      </c>
      <c r="AL44" s="41">
        <f t="shared" si="27"/>
        <v>0</v>
      </c>
      <c r="AM44" s="41">
        <v>0</v>
      </c>
      <c r="AN44" s="41">
        <v>0</v>
      </c>
      <c r="AO44" s="41">
        <f t="shared" si="28"/>
        <v>0</v>
      </c>
      <c r="AP44" s="41">
        <v>636744.39</v>
      </c>
      <c r="AQ44" s="41">
        <f>IFERROR(VLOOKUP(G44,'10'!A:B,2,0),0)</f>
        <v>73964.75</v>
      </c>
      <c r="AR44" s="41">
        <f t="shared" si="12"/>
        <v>-562779.64</v>
      </c>
      <c r="AS44" s="41">
        <f t="shared" si="18"/>
        <v>946014.16</v>
      </c>
      <c r="AT44" s="41">
        <f>AN44+AK44+AH44+AE44+AB44+Y44+V44+S44+P44+AQ44</f>
        <v>232490.02000000002</v>
      </c>
      <c r="AU44" s="522">
        <f t="shared" si="17"/>
        <v>-713524.14</v>
      </c>
      <c r="AV44" s="459">
        <f t="shared" ref="AV44:AV75" si="30">AT44/AS44</f>
        <v>0.24575744193934687</v>
      </c>
      <c r="AW44" s="41">
        <v>0</v>
      </c>
      <c r="AX44" s="41">
        <v>0</v>
      </c>
      <c r="AY44" s="41">
        <f t="shared" si="15"/>
        <v>946014.16</v>
      </c>
      <c r="AZ44" s="41">
        <f>VLOOKUP(G44,'2017'!A:B,2,0)</f>
        <v>232490.02000000002</v>
      </c>
      <c r="BA44" s="550">
        <f t="shared" si="29"/>
        <v>-713524.14</v>
      </c>
      <c r="BB44" s="41">
        <v>2484276.6800000002</v>
      </c>
      <c r="BC44" s="41">
        <v>1658550.8800000001</v>
      </c>
      <c r="BD44" s="41">
        <v>1828723.8199999998</v>
      </c>
      <c r="BE44" s="41">
        <v>1771023.94</v>
      </c>
      <c r="BF44" s="41">
        <v>1680574.9300000002</v>
      </c>
      <c r="BG44" s="41">
        <v>372374.13</v>
      </c>
      <c r="BH44" s="41">
        <v>0</v>
      </c>
      <c r="BI44" s="41">
        <v>10746951</v>
      </c>
      <c r="BJ44" s="75"/>
      <c r="BK44" s="11"/>
    </row>
    <row r="45" spans="1:64" s="10" customFormat="1" ht="47.25" customHeight="1" x14ac:dyDescent="0.25">
      <c r="A45" s="11" t="s">
        <v>89</v>
      </c>
      <c r="B45" s="11" t="s">
        <v>90</v>
      </c>
      <c r="C45" s="14" t="s">
        <v>571</v>
      </c>
      <c r="D45" s="11" t="s">
        <v>3</v>
      </c>
      <c r="E45" s="11" t="s">
        <v>11</v>
      </c>
      <c r="F45" s="11" t="s">
        <v>5</v>
      </c>
      <c r="G45" s="44" t="s">
        <v>91</v>
      </c>
      <c r="H45" s="45">
        <v>34</v>
      </c>
      <c r="I45" s="45" t="s">
        <v>89</v>
      </c>
      <c r="J45" s="46" t="s">
        <v>49</v>
      </c>
      <c r="K45" s="46" t="s">
        <v>92</v>
      </c>
      <c r="L45" s="41">
        <v>0</v>
      </c>
      <c r="M45" s="41">
        <v>0</v>
      </c>
      <c r="N45" s="41">
        <v>4713874.3499999996</v>
      </c>
      <c r="O45" s="41">
        <v>0</v>
      </c>
      <c r="P45" s="41">
        <v>0</v>
      </c>
      <c r="Q45" s="41">
        <f t="shared" si="20"/>
        <v>0</v>
      </c>
      <c r="R45" s="41">
        <v>47940.49</v>
      </c>
      <c r="S45" s="41">
        <v>48074.1</v>
      </c>
      <c r="T45" s="41">
        <f t="shared" si="21"/>
        <v>133.61000000000058</v>
      </c>
      <c r="U45" s="41">
        <v>0</v>
      </c>
      <c r="V45" s="41">
        <v>0</v>
      </c>
      <c r="W45" s="41">
        <f t="shared" si="22"/>
        <v>0</v>
      </c>
      <c r="X45" s="41">
        <v>10084.06</v>
      </c>
      <c r="Y45" s="41">
        <v>0</v>
      </c>
      <c r="Z45" s="41">
        <f t="shared" si="23"/>
        <v>-10084.06</v>
      </c>
      <c r="AA45" s="41">
        <v>0</v>
      </c>
      <c r="AB45" s="41">
        <v>0</v>
      </c>
      <c r="AC45" s="41">
        <f t="shared" si="24"/>
        <v>0</v>
      </c>
      <c r="AD45" s="41">
        <v>0</v>
      </c>
      <c r="AE45" s="41">
        <v>7383.79</v>
      </c>
      <c r="AF45" s="41">
        <f t="shared" si="25"/>
        <v>7383.79</v>
      </c>
      <c r="AG45" s="41">
        <v>293778.7</v>
      </c>
      <c r="AH45" s="40">
        <v>34659.74</v>
      </c>
      <c r="AI45" s="41">
        <f t="shared" si="26"/>
        <v>-259118.96000000002</v>
      </c>
      <c r="AJ45" s="41">
        <v>0</v>
      </c>
      <c r="AK45" s="41">
        <v>0</v>
      </c>
      <c r="AL45" s="41">
        <f t="shared" si="27"/>
        <v>0</v>
      </c>
      <c r="AM45" s="41">
        <v>0</v>
      </c>
      <c r="AN45" s="41">
        <v>0</v>
      </c>
      <c r="AO45" s="41">
        <f t="shared" si="28"/>
        <v>0</v>
      </c>
      <c r="AP45" s="41">
        <v>435626.02</v>
      </c>
      <c r="AQ45" s="41">
        <f>IFERROR(VLOOKUP(G45,'10'!A:B,2,0),0)</f>
        <v>0</v>
      </c>
      <c r="AR45" s="41">
        <f t="shared" si="12"/>
        <v>-435626.02</v>
      </c>
      <c r="AS45" s="41">
        <f t="shared" si="18"/>
        <v>787429.27</v>
      </c>
      <c r="AT45" s="41">
        <f>AN45+AK45+AH45+AE45+AB45+Y45+V45+S45+P45+AQ45</f>
        <v>90117.63</v>
      </c>
      <c r="AU45" s="522">
        <f t="shared" si="17"/>
        <v>-697311.64</v>
      </c>
      <c r="AV45" s="459">
        <f t="shared" si="30"/>
        <v>0.11444536472463109</v>
      </c>
      <c r="AW45" s="41">
        <v>0</v>
      </c>
      <c r="AX45" s="41">
        <v>0</v>
      </c>
      <c r="AY45" s="41">
        <f t="shared" si="15"/>
        <v>787429.27</v>
      </c>
      <c r="AZ45" s="41">
        <v>272186.82</v>
      </c>
      <c r="BA45" s="550">
        <f t="shared" si="29"/>
        <v>-515242.45</v>
      </c>
      <c r="BB45" s="41">
        <v>2557402.1</v>
      </c>
      <c r="BC45" s="41">
        <v>3631878.58</v>
      </c>
      <c r="BD45" s="41">
        <v>3923187.43</v>
      </c>
      <c r="BE45" s="41">
        <v>6047552.5100000016</v>
      </c>
      <c r="BF45" s="41">
        <v>6268510.9800000004</v>
      </c>
      <c r="BG45" s="41">
        <v>2245503.9500000002</v>
      </c>
      <c r="BH45" s="41">
        <v>38535.18</v>
      </c>
      <c r="BI45" s="41">
        <v>25500000</v>
      </c>
      <c r="BJ45" s="451" t="s">
        <v>2689</v>
      </c>
      <c r="BK45" s="25" t="s">
        <v>2761</v>
      </c>
    </row>
    <row r="46" spans="1:64" s="10" customFormat="1" ht="63" x14ac:dyDescent="0.25">
      <c r="A46" s="470" t="s">
        <v>172</v>
      </c>
      <c r="B46" s="470" t="s">
        <v>173</v>
      </c>
      <c r="C46" s="471" t="s">
        <v>579</v>
      </c>
      <c r="D46" s="470" t="s">
        <v>3</v>
      </c>
      <c r="E46" s="470" t="s">
        <v>29</v>
      </c>
      <c r="F46" s="470" t="s">
        <v>5</v>
      </c>
      <c r="G46" s="43" t="s">
        <v>186</v>
      </c>
      <c r="H46" s="45">
        <v>35</v>
      </c>
      <c r="I46" s="45" t="s">
        <v>172</v>
      </c>
      <c r="J46" s="475" t="s">
        <v>98</v>
      </c>
      <c r="K46" s="475" t="s">
        <v>187</v>
      </c>
      <c r="L46" s="41">
        <v>0</v>
      </c>
      <c r="M46" s="41">
        <v>0</v>
      </c>
      <c r="N46" s="41">
        <v>1522923.67</v>
      </c>
      <c r="O46" s="41">
        <v>1802524.51</v>
      </c>
      <c r="P46" s="41">
        <v>1802524.51</v>
      </c>
      <c r="Q46" s="41">
        <f t="shared" si="20"/>
        <v>0</v>
      </c>
      <c r="R46" s="41">
        <v>0</v>
      </c>
      <c r="S46" s="41">
        <v>0</v>
      </c>
      <c r="T46" s="41">
        <f t="shared" si="21"/>
        <v>0</v>
      </c>
      <c r="U46" s="41">
        <v>0</v>
      </c>
      <c r="V46" s="41">
        <v>0</v>
      </c>
      <c r="W46" s="41">
        <f t="shared" si="22"/>
        <v>0</v>
      </c>
      <c r="X46" s="41">
        <v>979630.3</v>
      </c>
      <c r="Y46" s="41">
        <v>979630.3</v>
      </c>
      <c r="Z46" s="41">
        <f t="shared" si="23"/>
        <v>0</v>
      </c>
      <c r="AA46" s="41">
        <v>0</v>
      </c>
      <c r="AB46" s="41">
        <v>0</v>
      </c>
      <c r="AC46" s="41">
        <f t="shared" si="24"/>
        <v>0</v>
      </c>
      <c r="AD46" s="41">
        <v>0</v>
      </c>
      <c r="AE46" s="41">
        <v>0</v>
      </c>
      <c r="AF46" s="41">
        <f t="shared" si="25"/>
        <v>0</v>
      </c>
      <c r="AG46" s="41">
        <v>206568.7</v>
      </c>
      <c r="AH46" s="41">
        <v>518661.68</v>
      </c>
      <c r="AI46" s="41">
        <f t="shared" si="26"/>
        <v>312092.98</v>
      </c>
      <c r="AJ46" s="41">
        <v>0</v>
      </c>
      <c r="AK46" s="41">
        <v>0</v>
      </c>
      <c r="AL46" s="41">
        <f t="shared" si="27"/>
        <v>0</v>
      </c>
      <c r="AM46" s="41">
        <v>0</v>
      </c>
      <c r="AN46" s="41">
        <v>0</v>
      </c>
      <c r="AO46" s="41">
        <f t="shared" si="28"/>
        <v>0</v>
      </c>
      <c r="AP46" s="41">
        <v>2456638.5499999998</v>
      </c>
      <c r="AQ46" s="41">
        <f>IFERROR(VLOOKUP(G46,'10'!A:B,2,0),0)</f>
        <v>1453772.6</v>
      </c>
      <c r="AR46" s="41">
        <f t="shared" si="12"/>
        <v>-1002865.9499999997</v>
      </c>
      <c r="AS46" s="41">
        <f t="shared" si="18"/>
        <v>5445362.0599999996</v>
      </c>
      <c r="AT46" s="41">
        <f>AN46+AK46+AH46+AE46+AB46+Y46+V46+S46+P46+AQ46</f>
        <v>4754589.09</v>
      </c>
      <c r="AU46" s="522">
        <f t="shared" si="17"/>
        <v>-690772.96999999974</v>
      </c>
      <c r="AV46" s="459">
        <f t="shared" si="30"/>
        <v>0.87314471243809277</v>
      </c>
      <c r="AW46" s="41">
        <v>0</v>
      </c>
      <c r="AX46" s="41">
        <v>0</v>
      </c>
      <c r="AY46" s="41">
        <f t="shared" si="15"/>
        <v>5445362.0599999996</v>
      </c>
      <c r="AZ46" s="41">
        <f>VLOOKUP(G46,'2017'!A:B,2,0)</f>
        <v>4754589.09</v>
      </c>
      <c r="BA46" s="550">
        <f t="shared" si="29"/>
        <v>-690772.96999999974</v>
      </c>
      <c r="BB46" s="41">
        <v>716071.28</v>
      </c>
      <c r="BC46" s="41">
        <v>0</v>
      </c>
      <c r="BD46" s="41">
        <v>0</v>
      </c>
      <c r="BE46" s="41">
        <v>0</v>
      </c>
      <c r="BF46" s="41">
        <v>0</v>
      </c>
      <c r="BG46" s="41">
        <v>0</v>
      </c>
      <c r="BH46" s="41">
        <v>0</v>
      </c>
      <c r="BI46" s="41">
        <v>7684357.0100000007</v>
      </c>
      <c r="BJ46" s="423"/>
      <c r="BK46" s="24"/>
      <c r="BL46" s="432"/>
    </row>
    <row r="47" spans="1:64" s="10" customFormat="1" ht="50.25" customHeight="1" x14ac:dyDescent="0.25">
      <c r="A47" s="11" t="s">
        <v>299</v>
      </c>
      <c r="B47" s="11" t="s">
        <v>300</v>
      </c>
      <c r="C47" s="14" t="s">
        <v>588</v>
      </c>
      <c r="D47" s="11" t="s">
        <v>3</v>
      </c>
      <c r="E47" s="11" t="s">
        <v>4</v>
      </c>
      <c r="F47" s="11" t="s">
        <v>77</v>
      </c>
      <c r="G47" s="44" t="s">
        <v>301</v>
      </c>
      <c r="H47" s="45">
        <v>36</v>
      </c>
      <c r="I47" s="45" t="s">
        <v>299</v>
      </c>
      <c r="J47" s="46" t="s">
        <v>302</v>
      </c>
      <c r="K47" s="46" t="s">
        <v>303</v>
      </c>
      <c r="L47" s="41">
        <v>0</v>
      </c>
      <c r="M47" s="41">
        <v>0</v>
      </c>
      <c r="N47" s="41">
        <v>0</v>
      </c>
      <c r="O47" s="41">
        <v>0</v>
      </c>
      <c r="P47" s="41">
        <v>0</v>
      </c>
      <c r="Q47" s="41">
        <f t="shared" si="20"/>
        <v>0</v>
      </c>
      <c r="R47" s="41">
        <v>0</v>
      </c>
      <c r="S47" s="41">
        <v>0</v>
      </c>
      <c r="T47" s="41">
        <f t="shared" si="21"/>
        <v>0</v>
      </c>
      <c r="U47" s="41">
        <v>0</v>
      </c>
      <c r="V47" s="41">
        <v>0</v>
      </c>
      <c r="W47" s="41">
        <f t="shared" si="22"/>
        <v>0</v>
      </c>
      <c r="X47" s="432">
        <v>30971.11</v>
      </c>
      <c r="Y47" s="41">
        <v>30971.11</v>
      </c>
      <c r="Z47" s="41">
        <f t="shared" si="23"/>
        <v>0</v>
      </c>
      <c r="AA47" s="41">
        <v>160676.32</v>
      </c>
      <c r="AB47" s="41">
        <v>0</v>
      </c>
      <c r="AC47" s="41">
        <f t="shared" si="24"/>
        <v>-160676.32</v>
      </c>
      <c r="AD47" s="41">
        <v>0</v>
      </c>
      <c r="AE47" s="41">
        <v>0</v>
      </c>
      <c r="AF47" s="41">
        <f t="shared" si="25"/>
        <v>0</v>
      </c>
      <c r="AG47" s="41">
        <v>0</v>
      </c>
      <c r="AH47" s="41">
        <v>0</v>
      </c>
      <c r="AI47" s="41">
        <f t="shared" si="26"/>
        <v>0</v>
      </c>
      <c r="AJ47" s="41">
        <v>523892.99</v>
      </c>
      <c r="AK47" s="41">
        <v>0</v>
      </c>
      <c r="AL47" s="41">
        <f t="shared" si="27"/>
        <v>-523892.99</v>
      </c>
      <c r="AM47" s="41">
        <v>0</v>
      </c>
      <c r="AN47" s="41">
        <v>0</v>
      </c>
      <c r="AO47" s="41">
        <f t="shared" si="28"/>
        <v>0</v>
      </c>
      <c r="AP47" s="41">
        <v>0</v>
      </c>
      <c r="AQ47" s="41">
        <f>IFERROR(VLOOKUP(G47,'10'!A:B,2,0),0)</f>
        <v>0</v>
      </c>
      <c r="AR47" s="41">
        <f t="shared" si="12"/>
        <v>0</v>
      </c>
      <c r="AS47" s="41">
        <f t="shared" si="18"/>
        <v>715540.42</v>
      </c>
      <c r="AT47" s="41">
        <f>AN47+AK47+AH47+AE47+AB47+Y47+V47+S47+P47+AQ47</f>
        <v>30971.11</v>
      </c>
      <c r="AU47" s="522">
        <f t="shared" si="17"/>
        <v>-684569.31</v>
      </c>
      <c r="AV47" s="459">
        <f t="shared" si="30"/>
        <v>4.3283522683456511E-2</v>
      </c>
      <c r="AW47" s="41">
        <v>1378052.39</v>
      </c>
      <c r="AX47" s="41">
        <v>0</v>
      </c>
      <c r="AY47" s="41">
        <f t="shared" si="15"/>
        <v>2093592.81</v>
      </c>
      <c r="AZ47" s="41">
        <f>VLOOKUP(G47,'2017'!A:B,2,0)</f>
        <v>1834000.26</v>
      </c>
      <c r="BA47" s="550">
        <f t="shared" si="29"/>
        <v>-259592.55000000005</v>
      </c>
      <c r="BB47" s="41">
        <v>5410228.7699999996</v>
      </c>
      <c r="BC47" s="41">
        <v>6003165.8099999996</v>
      </c>
      <c r="BD47" s="41">
        <v>6102975.6599999992</v>
      </c>
      <c r="BE47" s="41">
        <v>5566838.6099999994</v>
      </c>
      <c r="BF47" s="41">
        <v>5118544.1500000004</v>
      </c>
      <c r="BG47" s="41">
        <v>965074.44</v>
      </c>
      <c r="BH47" s="41">
        <v>0</v>
      </c>
      <c r="BI47" s="41">
        <v>31260420.249999996</v>
      </c>
      <c r="BJ47" s="75"/>
      <c r="BK47" s="25" t="s">
        <v>2750</v>
      </c>
    </row>
    <row r="48" spans="1:64" s="10" customFormat="1" ht="31.5" x14ac:dyDescent="0.2">
      <c r="A48" s="11" t="s">
        <v>42</v>
      </c>
      <c r="B48" s="11" t="s">
        <v>43</v>
      </c>
      <c r="C48" s="14" t="s">
        <v>567</v>
      </c>
      <c r="D48" s="11" t="s">
        <v>3</v>
      </c>
      <c r="E48" s="11" t="s">
        <v>11</v>
      </c>
      <c r="F48" s="11" t="s">
        <v>5</v>
      </c>
      <c r="G48" s="44" t="s">
        <v>45</v>
      </c>
      <c r="H48" s="45">
        <v>37</v>
      </c>
      <c r="I48" s="45" t="s">
        <v>42</v>
      </c>
      <c r="J48" s="46" t="s">
        <v>17</v>
      </c>
      <c r="K48" s="46" t="s">
        <v>44</v>
      </c>
      <c r="L48" s="41">
        <v>0</v>
      </c>
      <c r="M48" s="41">
        <v>0</v>
      </c>
      <c r="N48" s="41">
        <v>91066.98</v>
      </c>
      <c r="O48" s="41">
        <v>0</v>
      </c>
      <c r="P48" s="41">
        <v>0</v>
      </c>
      <c r="Q48" s="41">
        <f t="shared" si="20"/>
        <v>0</v>
      </c>
      <c r="R48" s="41">
        <v>0</v>
      </c>
      <c r="S48" s="41">
        <v>349922.11</v>
      </c>
      <c r="T48" s="41">
        <f t="shared" si="21"/>
        <v>349922.11</v>
      </c>
      <c r="U48" s="41">
        <v>354995.16</v>
      </c>
      <c r="V48" s="41">
        <v>0</v>
      </c>
      <c r="W48" s="41">
        <f t="shared" si="22"/>
        <v>-354995.16</v>
      </c>
      <c r="X48" s="41">
        <v>276127.12</v>
      </c>
      <c r="Y48" s="41">
        <v>275763.40999999997</v>
      </c>
      <c r="Z48" s="41">
        <f t="shared" si="23"/>
        <v>-363.71000000002095</v>
      </c>
      <c r="AA48" s="41">
        <v>0</v>
      </c>
      <c r="AB48" s="41">
        <v>0</v>
      </c>
      <c r="AC48" s="41">
        <f t="shared" si="24"/>
        <v>0</v>
      </c>
      <c r="AD48" s="41">
        <v>0</v>
      </c>
      <c r="AE48" s="41">
        <v>0</v>
      </c>
      <c r="AF48" s="41">
        <f t="shared" si="25"/>
        <v>0</v>
      </c>
      <c r="AG48" s="41">
        <v>467500</v>
      </c>
      <c r="AH48" s="41">
        <v>401633.86</v>
      </c>
      <c r="AI48" s="41">
        <f t="shared" si="26"/>
        <v>-65866.140000000014</v>
      </c>
      <c r="AJ48" s="41">
        <v>0</v>
      </c>
      <c r="AK48" s="41">
        <v>0</v>
      </c>
      <c r="AL48" s="41">
        <f t="shared" si="27"/>
        <v>0</v>
      </c>
      <c r="AM48" s="41">
        <v>0</v>
      </c>
      <c r="AN48" s="41">
        <v>0</v>
      </c>
      <c r="AO48" s="41">
        <f t="shared" si="28"/>
        <v>0</v>
      </c>
      <c r="AP48" s="41">
        <v>1155235.21</v>
      </c>
      <c r="AQ48" s="41">
        <f>IFERROR(VLOOKUP(G48,'10'!A:B,2,0),0)</f>
        <v>554416.72</v>
      </c>
      <c r="AR48" s="41">
        <f t="shared" si="12"/>
        <v>-600818.49</v>
      </c>
      <c r="AS48" s="41">
        <f t="shared" si="18"/>
        <v>2253857.4900000002</v>
      </c>
      <c r="AT48" s="41">
        <f>AN48+AK48+AH48+AE48+AB48+Y48+V48+S48+P48+AQ48</f>
        <v>1581736.1</v>
      </c>
      <c r="AU48" s="522">
        <f t="shared" si="17"/>
        <v>-672121.39</v>
      </c>
      <c r="AV48" s="459">
        <f t="shared" si="30"/>
        <v>0.70179064427005988</v>
      </c>
      <c r="AW48" s="41">
        <v>0</v>
      </c>
      <c r="AX48" s="41">
        <v>0</v>
      </c>
      <c r="AY48" s="41">
        <f t="shared" si="15"/>
        <v>2253857.4900000002</v>
      </c>
      <c r="AZ48" s="41">
        <f>VLOOKUP(G48,'2017'!A:B,2,0)</f>
        <v>1581682.06</v>
      </c>
      <c r="BA48" s="550">
        <f t="shared" si="29"/>
        <v>-672175.43000000017</v>
      </c>
      <c r="BB48" s="41">
        <v>5977563.9100000001</v>
      </c>
      <c r="BC48" s="41">
        <v>3699801.83</v>
      </c>
      <c r="BD48" s="41">
        <v>3588818.1399999997</v>
      </c>
      <c r="BE48" s="41">
        <v>3483393.35</v>
      </c>
      <c r="BF48" s="41">
        <v>3356274.15</v>
      </c>
      <c r="BG48" s="41">
        <v>3018267.49</v>
      </c>
      <c r="BH48" s="41">
        <v>729189.16</v>
      </c>
      <c r="BI48" s="41">
        <v>26198232.500000004</v>
      </c>
      <c r="BJ48" s="75"/>
      <c r="BK48" s="11"/>
    </row>
    <row r="49" spans="1:64" s="10" customFormat="1" ht="75.75" customHeight="1" x14ac:dyDescent="0.25">
      <c r="A49" s="11" t="s">
        <v>448</v>
      </c>
      <c r="B49" s="11" t="s">
        <v>449</v>
      </c>
      <c r="C49" s="14" t="s">
        <v>607</v>
      </c>
      <c r="D49" s="11" t="s">
        <v>3</v>
      </c>
      <c r="E49" s="11" t="s">
        <v>210</v>
      </c>
      <c r="F49" s="11" t="s">
        <v>5</v>
      </c>
      <c r="G49" s="44" t="s">
        <v>450</v>
      </c>
      <c r="H49" s="45">
        <v>38</v>
      </c>
      <c r="I49" s="45" t="s">
        <v>448</v>
      </c>
      <c r="J49" s="46" t="s">
        <v>358</v>
      </c>
      <c r="K49" s="46" t="s">
        <v>451</v>
      </c>
      <c r="L49" s="41">
        <v>0</v>
      </c>
      <c r="M49" s="41">
        <v>0</v>
      </c>
      <c r="N49" s="41">
        <v>34582.57</v>
      </c>
      <c r="O49" s="41">
        <v>22502.37</v>
      </c>
      <c r="P49" s="41">
        <v>2576.52</v>
      </c>
      <c r="Q49" s="41">
        <f t="shared" si="20"/>
        <v>-19925.849999999999</v>
      </c>
      <c r="R49" s="41">
        <v>0</v>
      </c>
      <c r="S49" s="41">
        <v>0</v>
      </c>
      <c r="T49" s="41">
        <f t="shared" si="21"/>
        <v>0</v>
      </c>
      <c r="U49" s="41">
        <v>0</v>
      </c>
      <c r="V49" s="41">
        <v>0</v>
      </c>
      <c r="W49" s="41">
        <f t="shared" si="22"/>
        <v>0</v>
      </c>
      <c r="X49" s="41">
        <v>29663.95</v>
      </c>
      <c r="Y49" s="41">
        <v>0</v>
      </c>
      <c r="Z49" s="41">
        <f t="shared" si="23"/>
        <v>-29663.95</v>
      </c>
      <c r="AA49" s="41">
        <v>0</v>
      </c>
      <c r="AB49" s="41">
        <v>0</v>
      </c>
      <c r="AC49" s="41">
        <f t="shared" si="24"/>
        <v>0</v>
      </c>
      <c r="AD49" s="35">
        <v>332350</v>
      </c>
      <c r="AE49" s="41">
        <v>0</v>
      </c>
      <c r="AF49" s="41">
        <f t="shared" si="25"/>
        <v>-332350</v>
      </c>
      <c r="AG49" s="41">
        <v>259607.65</v>
      </c>
      <c r="AH49" s="41">
        <v>0</v>
      </c>
      <c r="AI49" s="41">
        <f t="shared" si="26"/>
        <v>-259607.65</v>
      </c>
      <c r="AJ49" s="41">
        <v>0</v>
      </c>
      <c r="AK49" s="41">
        <v>0</v>
      </c>
      <c r="AL49" s="41">
        <f t="shared" si="27"/>
        <v>0</v>
      </c>
      <c r="AM49" s="41">
        <v>0</v>
      </c>
      <c r="AN49" s="41">
        <v>0</v>
      </c>
      <c r="AO49" s="41">
        <f t="shared" si="28"/>
        <v>0</v>
      </c>
      <c r="AP49" s="41">
        <v>8857.65</v>
      </c>
      <c r="AQ49" s="41">
        <f>IFERROR(VLOOKUP(G49,'10'!A:B,2,0),0)</f>
        <v>0</v>
      </c>
      <c r="AR49" s="41">
        <f t="shared" si="12"/>
        <v>-8857.65</v>
      </c>
      <c r="AS49" s="41">
        <f t="shared" si="18"/>
        <v>652981.62</v>
      </c>
      <c r="AT49" s="41">
        <f>AN49+AK49+AH49+AE49+AB49+-Y49+V49+S49+P49+AQ49</f>
        <v>2576.52</v>
      </c>
      <c r="AU49" s="522">
        <f t="shared" si="17"/>
        <v>-650405.1</v>
      </c>
      <c r="AV49" s="459">
        <f t="shared" si="30"/>
        <v>3.9457772180478828E-3</v>
      </c>
      <c r="AW49" s="35">
        <v>680491.3</v>
      </c>
      <c r="AX49" s="41">
        <v>0</v>
      </c>
      <c r="AY49" s="41">
        <f t="shared" si="15"/>
        <v>1333472.92</v>
      </c>
      <c r="AZ49" s="41">
        <f>VLOOKUP(G49,'2017'!A:B,2,0)</f>
        <v>1333472.9200000002</v>
      </c>
      <c r="BA49" s="552">
        <f t="shared" si="29"/>
        <v>0</v>
      </c>
      <c r="BB49" s="41">
        <v>2238773.7199999997</v>
      </c>
      <c r="BC49" s="41">
        <v>898337.49</v>
      </c>
      <c r="BD49" s="41">
        <v>0</v>
      </c>
      <c r="BE49" s="41">
        <v>0</v>
      </c>
      <c r="BF49" s="41">
        <v>0</v>
      </c>
      <c r="BG49" s="41">
        <v>0</v>
      </c>
      <c r="BH49" s="41">
        <v>0</v>
      </c>
      <c r="BI49" s="41">
        <v>3465514</v>
      </c>
      <c r="BJ49" s="455" t="s">
        <v>2702</v>
      </c>
      <c r="BK49" s="25" t="s">
        <v>2751</v>
      </c>
    </row>
    <row r="50" spans="1:64" s="10" customFormat="1" ht="39" customHeight="1" x14ac:dyDescent="0.25">
      <c r="A50" s="11" t="s">
        <v>379</v>
      </c>
      <c r="B50" s="11" t="s">
        <v>380</v>
      </c>
      <c r="C50" s="14" t="s">
        <v>381</v>
      </c>
      <c r="D50" s="11">
        <v>1</v>
      </c>
      <c r="E50" s="11" t="s">
        <v>210</v>
      </c>
      <c r="F50" s="11" t="s">
        <v>77</v>
      </c>
      <c r="G50" s="44" t="s">
        <v>388</v>
      </c>
      <c r="H50" s="45">
        <v>39</v>
      </c>
      <c r="I50" s="45" t="s">
        <v>379</v>
      </c>
      <c r="J50" s="46" t="s">
        <v>389</v>
      </c>
      <c r="K50" s="46" t="s">
        <v>390</v>
      </c>
      <c r="L50" s="41">
        <v>0</v>
      </c>
      <c r="M50" s="41">
        <v>0</v>
      </c>
      <c r="N50" s="41">
        <v>89609.84</v>
      </c>
      <c r="O50" s="41">
        <v>0</v>
      </c>
      <c r="P50" s="41">
        <v>0</v>
      </c>
      <c r="Q50" s="41">
        <f t="shared" si="20"/>
        <v>0</v>
      </c>
      <c r="R50" s="41">
        <v>0</v>
      </c>
      <c r="S50" s="41">
        <v>0</v>
      </c>
      <c r="T50" s="41">
        <f t="shared" si="21"/>
        <v>0</v>
      </c>
      <c r="U50" s="41">
        <v>100597.22</v>
      </c>
      <c r="V50" s="41">
        <v>100579.44</v>
      </c>
      <c r="W50" s="41">
        <f t="shared" si="22"/>
        <v>-17.779999999998836</v>
      </c>
      <c r="X50" s="41">
        <v>0</v>
      </c>
      <c r="Y50" s="41">
        <v>0</v>
      </c>
      <c r="Z50" s="41">
        <f t="shared" si="23"/>
        <v>0</v>
      </c>
      <c r="AA50" s="41">
        <v>0</v>
      </c>
      <c r="AB50" s="41">
        <v>0</v>
      </c>
      <c r="AC50" s="41">
        <f t="shared" si="24"/>
        <v>0</v>
      </c>
      <c r="AD50" s="41">
        <v>528871.1</v>
      </c>
      <c r="AE50" s="41">
        <v>150136.75</v>
      </c>
      <c r="AF50" s="41">
        <f t="shared" si="25"/>
        <v>-378734.35</v>
      </c>
      <c r="AG50" s="41">
        <v>0</v>
      </c>
      <c r="AH50" s="41">
        <v>0</v>
      </c>
      <c r="AI50" s="41">
        <f t="shared" si="26"/>
        <v>0</v>
      </c>
      <c r="AJ50" s="41">
        <v>0</v>
      </c>
      <c r="AK50" s="41">
        <v>0</v>
      </c>
      <c r="AL50" s="41">
        <f t="shared" si="27"/>
        <v>0</v>
      </c>
      <c r="AM50" s="41">
        <v>282167.63</v>
      </c>
      <c r="AN50" s="41">
        <v>22256.32</v>
      </c>
      <c r="AO50" s="41">
        <f t="shared" si="28"/>
        <v>-259911.31</v>
      </c>
      <c r="AP50" s="41">
        <v>0</v>
      </c>
      <c r="AQ50" s="41">
        <f>IFERROR(VLOOKUP(G50,'10'!A:B,2,0),0)</f>
        <v>0</v>
      </c>
      <c r="AR50" s="41">
        <f t="shared" si="12"/>
        <v>0</v>
      </c>
      <c r="AS50" s="41">
        <f t="shared" si="18"/>
        <v>911635.95</v>
      </c>
      <c r="AT50" s="41">
        <f>AN50+AK50+AH50+AE50+AB50+Y50+V50+S50+P50+AQ50</f>
        <v>272972.51</v>
      </c>
      <c r="AU50" s="522">
        <f t="shared" si="17"/>
        <v>-638663.43999999994</v>
      </c>
      <c r="AV50" s="459">
        <f t="shared" si="30"/>
        <v>0.29943148907192618</v>
      </c>
      <c r="AW50" s="41">
        <v>0</v>
      </c>
      <c r="AX50" s="41">
        <v>282167.63</v>
      </c>
      <c r="AY50" s="41">
        <f t="shared" si="15"/>
        <v>1193803.58</v>
      </c>
      <c r="AZ50" s="41">
        <f>VLOOKUP(G50,'2017'!A:B,2,0)</f>
        <v>391972.51</v>
      </c>
      <c r="BA50" s="550">
        <f t="shared" si="29"/>
        <v>-801831.07000000007</v>
      </c>
      <c r="BB50" s="41">
        <v>540316.38</v>
      </c>
      <c r="BC50" s="41">
        <v>457747.09</v>
      </c>
      <c r="BD50" s="41">
        <v>454049.84</v>
      </c>
      <c r="BE50" s="41">
        <v>454049.84</v>
      </c>
      <c r="BF50" s="41">
        <v>454049.84</v>
      </c>
      <c r="BG50" s="41">
        <v>37837.49</v>
      </c>
      <c r="BH50" s="41">
        <v>0</v>
      </c>
      <c r="BI50" s="41">
        <v>3681463.9</v>
      </c>
      <c r="BJ50" s="455" t="s">
        <v>2706</v>
      </c>
      <c r="BK50" s="25" t="s">
        <v>2754</v>
      </c>
    </row>
    <row r="51" spans="1:64" s="10" customFormat="1" ht="52.5" customHeight="1" x14ac:dyDescent="0.25">
      <c r="A51" s="11" t="s">
        <v>379</v>
      </c>
      <c r="B51" s="11" t="s">
        <v>380</v>
      </c>
      <c r="C51" s="14" t="s">
        <v>381</v>
      </c>
      <c r="D51" s="11">
        <v>1</v>
      </c>
      <c r="E51" s="11" t="s">
        <v>210</v>
      </c>
      <c r="F51" s="11" t="s">
        <v>77</v>
      </c>
      <c r="G51" s="44" t="s">
        <v>385</v>
      </c>
      <c r="H51" s="45">
        <v>40</v>
      </c>
      <c r="I51" s="45" t="s">
        <v>379</v>
      </c>
      <c r="J51" s="46" t="s">
        <v>386</v>
      </c>
      <c r="K51" s="46" t="s">
        <v>387</v>
      </c>
      <c r="L51" s="41">
        <v>0</v>
      </c>
      <c r="M51" s="41">
        <v>0</v>
      </c>
      <c r="N51" s="41">
        <v>99647.639999999985</v>
      </c>
      <c r="O51" s="41">
        <v>66128.95</v>
      </c>
      <c r="P51" s="41">
        <v>66128.95</v>
      </c>
      <c r="Q51" s="41">
        <f t="shared" si="20"/>
        <v>0</v>
      </c>
      <c r="R51" s="41">
        <v>0</v>
      </c>
      <c r="S51" s="41">
        <v>0</v>
      </c>
      <c r="T51" s="41">
        <f t="shared" si="21"/>
        <v>0</v>
      </c>
      <c r="U51" s="41">
        <v>0</v>
      </c>
      <c r="V51" s="41">
        <v>0</v>
      </c>
      <c r="W51" s="41">
        <f t="shared" si="22"/>
        <v>0</v>
      </c>
      <c r="X51" s="41">
        <v>109468.43</v>
      </c>
      <c r="Y51" s="41">
        <v>109466.41</v>
      </c>
      <c r="Z51" s="41">
        <f t="shared" si="23"/>
        <v>-2.0199999999895226</v>
      </c>
      <c r="AA51" s="41">
        <v>0</v>
      </c>
      <c r="AB51" s="41">
        <v>0</v>
      </c>
      <c r="AC51" s="41">
        <f t="shared" si="24"/>
        <v>0</v>
      </c>
      <c r="AD51" s="41">
        <v>0</v>
      </c>
      <c r="AE51" s="41">
        <v>0</v>
      </c>
      <c r="AF51" s="41">
        <f t="shared" si="25"/>
        <v>0</v>
      </c>
      <c r="AG51" s="41">
        <v>212500</v>
      </c>
      <c r="AH51" s="41">
        <v>193000.87</v>
      </c>
      <c r="AI51" s="41">
        <f t="shared" si="26"/>
        <v>-19499.130000000005</v>
      </c>
      <c r="AJ51" s="41">
        <v>0</v>
      </c>
      <c r="AK51" s="41">
        <v>0</v>
      </c>
      <c r="AL51" s="41">
        <f t="shared" si="27"/>
        <v>0</v>
      </c>
      <c r="AM51" s="41">
        <v>0</v>
      </c>
      <c r="AN51" s="41">
        <v>0</v>
      </c>
      <c r="AO51" s="41">
        <f t="shared" si="28"/>
        <v>0</v>
      </c>
      <c r="AP51" s="41">
        <v>658142.28</v>
      </c>
      <c r="AQ51" s="41">
        <f>IFERROR(VLOOKUP(G51,'10'!A:B,2,0),0)</f>
        <v>46400.03</v>
      </c>
      <c r="AR51" s="41">
        <f t="shared" si="12"/>
        <v>-611742.25</v>
      </c>
      <c r="AS51" s="41">
        <f t="shared" si="18"/>
        <v>1046239.66</v>
      </c>
      <c r="AT51" s="41">
        <f>AN51+AK51+AH51+AE51+AB51+Y51+V51+S51+P51+AQ51</f>
        <v>414996.26</v>
      </c>
      <c r="AU51" s="522">
        <f t="shared" si="17"/>
        <v>-631243.4</v>
      </c>
      <c r="AV51" s="459">
        <f t="shared" si="30"/>
        <v>0.39665506467227596</v>
      </c>
      <c r="AW51" s="41">
        <v>0</v>
      </c>
      <c r="AX51" s="41">
        <v>0</v>
      </c>
      <c r="AY51" s="41">
        <f t="shared" si="15"/>
        <v>1046239.6599999999</v>
      </c>
      <c r="AZ51" s="41">
        <f>VLOOKUP(G51,'2017'!A:B,2,0)</f>
        <v>414996.26</v>
      </c>
      <c r="BA51" s="550">
        <f t="shared" si="29"/>
        <v>-631243.39999999991</v>
      </c>
      <c r="BB51" s="41">
        <v>2170881.19</v>
      </c>
      <c r="BC51" s="41">
        <v>2017976.56</v>
      </c>
      <c r="BD51" s="41">
        <v>3056215.68</v>
      </c>
      <c r="BE51" s="41">
        <v>3402436.96</v>
      </c>
      <c r="BF51" s="41">
        <v>3402436.79</v>
      </c>
      <c r="BG51" s="41">
        <v>850609.17</v>
      </c>
      <c r="BH51" s="41">
        <v>0</v>
      </c>
      <c r="BI51" s="41">
        <v>16046443.65</v>
      </c>
      <c r="BJ51" s="451" t="s">
        <v>2722</v>
      </c>
      <c r="BK51" s="25" t="s">
        <v>2766</v>
      </c>
    </row>
    <row r="52" spans="1:64" s="10" customFormat="1" ht="75" customHeight="1" x14ac:dyDescent="0.25">
      <c r="A52" s="11" t="s">
        <v>317</v>
      </c>
      <c r="B52" s="11" t="s">
        <v>318</v>
      </c>
      <c r="C52" s="14" t="s">
        <v>592</v>
      </c>
      <c r="D52" s="11" t="s">
        <v>3</v>
      </c>
      <c r="E52" s="11" t="s">
        <v>4</v>
      </c>
      <c r="F52" s="11" t="s">
        <v>77</v>
      </c>
      <c r="G52" s="44" t="s">
        <v>319</v>
      </c>
      <c r="H52" s="45">
        <v>41</v>
      </c>
      <c r="I52" s="45" t="s">
        <v>317</v>
      </c>
      <c r="J52" s="46" t="s">
        <v>320</v>
      </c>
      <c r="K52" s="46" t="s">
        <v>321</v>
      </c>
      <c r="L52" s="41"/>
      <c r="M52" s="41">
        <v>0</v>
      </c>
      <c r="N52" s="41">
        <v>0</v>
      </c>
      <c r="O52" s="41">
        <v>0</v>
      </c>
      <c r="P52" s="41">
        <v>0</v>
      </c>
      <c r="Q52" s="41">
        <f t="shared" si="20"/>
        <v>0</v>
      </c>
      <c r="R52" s="41">
        <v>190426.79</v>
      </c>
      <c r="S52" s="41">
        <v>190426.79</v>
      </c>
      <c r="T52" s="41">
        <f t="shared" si="21"/>
        <v>0</v>
      </c>
      <c r="U52" s="41">
        <v>0</v>
      </c>
      <c r="V52" s="41">
        <v>0</v>
      </c>
      <c r="W52" s="41">
        <f t="shared" si="22"/>
        <v>0</v>
      </c>
      <c r="X52" s="41">
        <v>210310.57</v>
      </c>
      <c r="Y52" s="41">
        <v>210310.57</v>
      </c>
      <c r="Z52" s="41">
        <f t="shared" si="23"/>
        <v>0</v>
      </c>
      <c r="AA52" s="41">
        <v>90791.7</v>
      </c>
      <c r="AB52" s="41">
        <v>104201.7</v>
      </c>
      <c r="AC52" s="41">
        <f t="shared" si="24"/>
        <v>13410</v>
      </c>
      <c r="AD52" s="41">
        <v>127500</v>
      </c>
      <c r="AE52" s="41">
        <v>0</v>
      </c>
      <c r="AF52" s="41">
        <f t="shared" si="25"/>
        <v>-127500</v>
      </c>
      <c r="AG52" s="41">
        <v>0</v>
      </c>
      <c r="AH52" s="41">
        <v>0</v>
      </c>
      <c r="AI52" s="41">
        <f t="shared" si="26"/>
        <v>0</v>
      </c>
      <c r="AJ52" s="41">
        <v>425000</v>
      </c>
      <c r="AK52" s="41">
        <v>112937.52</v>
      </c>
      <c r="AL52" s="41">
        <f t="shared" si="27"/>
        <v>-312062.48</v>
      </c>
      <c r="AM52" s="41">
        <v>255000</v>
      </c>
      <c r="AN52" s="41">
        <v>0</v>
      </c>
      <c r="AO52" s="41">
        <f t="shared" si="28"/>
        <v>-255000</v>
      </c>
      <c r="AP52" s="41">
        <v>0</v>
      </c>
      <c r="AQ52" s="41">
        <f>IFERROR(VLOOKUP(G52,'10'!A:B,2,0),0)</f>
        <v>71313.13</v>
      </c>
      <c r="AR52" s="41">
        <f t="shared" si="12"/>
        <v>71313.13</v>
      </c>
      <c r="AS52" s="41">
        <f t="shared" si="18"/>
        <v>1299029.06</v>
      </c>
      <c r="AT52" s="41">
        <f>AN52+AK52+AH52+AE52+AB52+Y52+V52+S52+P52+AQ52</f>
        <v>689189.71000000008</v>
      </c>
      <c r="AU52" s="522">
        <f t="shared" si="17"/>
        <v>-609839.35</v>
      </c>
      <c r="AV52" s="459">
        <f t="shared" si="30"/>
        <v>0.53054218048055068</v>
      </c>
      <c r="AW52" s="41">
        <v>425000</v>
      </c>
      <c r="AX52" s="41">
        <v>0</v>
      </c>
      <c r="AY52" s="41">
        <f t="shared" si="15"/>
        <v>1724029.06</v>
      </c>
      <c r="AZ52" s="41">
        <f>VLOOKUP(G52,'2017'!A:B,2,0)</f>
        <v>779376.58</v>
      </c>
      <c r="BA52" s="550">
        <f t="shared" si="29"/>
        <v>-944652.4800000001</v>
      </c>
      <c r="BB52" s="41">
        <v>5586598.3799999999</v>
      </c>
      <c r="BC52" s="41">
        <v>2586674.14</v>
      </c>
      <c r="BD52" s="41">
        <v>2375255.4</v>
      </c>
      <c r="BE52" s="41">
        <v>2117832.9</v>
      </c>
      <c r="BF52" s="41">
        <v>1948682.9</v>
      </c>
      <c r="BG52" s="41">
        <v>1913186.64</v>
      </c>
      <c r="BH52" s="41">
        <v>0</v>
      </c>
      <c r="BI52" s="41">
        <v>17487038</v>
      </c>
      <c r="BJ52" s="75"/>
      <c r="BK52" s="25" t="s">
        <v>2757</v>
      </c>
    </row>
    <row r="53" spans="1:64" s="10" customFormat="1" ht="47.25" x14ac:dyDescent="0.25">
      <c r="A53" s="15" t="s">
        <v>51</v>
      </c>
      <c r="B53" s="15" t="s">
        <v>52</v>
      </c>
      <c r="C53" s="16" t="s">
        <v>568</v>
      </c>
      <c r="D53" s="15" t="s">
        <v>3</v>
      </c>
      <c r="E53" s="15" t="s">
        <v>11</v>
      </c>
      <c r="F53" s="15" t="s">
        <v>5</v>
      </c>
      <c r="G53" s="47" t="s">
        <v>55</v>
      </c>
      <c r="H53" s="45">
        <v>42</v>
      </c>
      <c r="I53" s="45" t="s">
        <v>51</v>
      </c>
      <c r="J53" s="49" t="s">
        <v>25</v>
      </c>
      <c r="K53" s="49" t="s">
        <v>56</v>
      </c>
      <c r="L53" s="40">
        <v>0</v>
      </c>
      <c r="M53" s="40">
        <v>0</v>
      </c>
      <c r="N53" s="40">
        <v>3191192.29</v>
      </c>
      <c r="O53" s="40">
        <v>0</v>
      </c>
      <c r="P53" s="40">
        <v>0</v>
      </c>
      <c r="Q53" s="41">
        <f t="shared" si="20"/>
        <v>0</v>
      </c>
      <c r="R53" s="40">
        <v>349727.79</v>
      </c>
      <c r="S53" s="40">
        <v>353904.46</v>
      </c>
      <c r="T53" s="41">
        <f t="shared" si="21"/>
        <v>4176.6700000000419</v>
      </c>
      <c r="U53" s="40">
        <v>0</v>
      </c>
      <c r="V53" s="40">
        <v>0</v>
      </c>
      <c r="W53" s="41">
        <f t="shared" si="22"/>
        <v>0</v>
      </c>
      <c r="X53" s="40">
        <v>0</v>
      </c>
      <c r="Y53" s="40">
        <v>0</v>
      </c>
      <c r="Z53" s="41">
        <f t="shared" si="23"/>
        <v>0</v>
      </c>
      <c r="AA53" s="40">
        <v>575970.31999999995</v>
      </c>
      <c r="AB53" s="40">
        <v>0</v>
      </c>
      <c r="AC53" s="41">
        <f t="shared" si="24"/>
        <v>-575970.31999999995</v>
      </c>
      <c r="AD53" s="40">
        <v>0</v>
      </c>
      <c r="AE53" s="41">
        <v>0</v>
      </c>
      <c r="AF53" s="41">
        <f t="shared" si="25"/>
        <v>0</v>
      </c>
      <c r="AG53" s="40">
        <v>0</v>
      </c>
      <c r="AH53" s="41">
        <v>284445.2</v>
      </c>
      <c r="AI53" s="41">
        <f t="shared" si="26"/>
        <v>284445.2</v>
      </c>
      <c r="AJ53" s="40">
        <v>575970.32999999996</v>
      </c>
      <c r="AK53" s="41">
        <v>0</v>
      </c>
      <c r="AL53" s="41">
        <f t="shared" si="27"/>
        <v>-575970.32999999996</v>
      </c>
      <c r="AM53" s="40">
        <v>0</v>
      </c>
      <c r="AN53" s="41">
        <v>0</v>
      </c>
      <c r="AO53" s="41">
        <f t="shared" si="28"/>
        <v>0</v>
      </c>
      <c r="AP53" s="40">
        <v>0</v>
      </c>
      <c r="AQ53" s="41">
        <v>280484.78999999998</v>
      </c>
      <c r="AR53" s="41">
        <f t="shared" si="12"/>
        <v>280484.78999999998</v>
      </c>
      <c r="AS53" s="41">
        <f t="shared" si="18"/>
        <v>1501668.44</v>
      </c>
      <c r="AT53" s="41">
        <f>AN53+AK53+AH53+AE53+AB53+Y53+V53+S53+P53+AQ53</f>
        <v>918834.45</v>
      </c>
      <c r="AU53" s="522">
        <f t="shared" si="17"/>
        <v>-582833.99</v>
      </c>
      <c r="AV53" s="459">
        <f t="shared" si="30"/>
        <v>0.61187571472168645</v>
      </c>
      <c r="AW53" s="40">
        <v>575970.31999999995</v>
      </c>
      <c r="AX53" s="40">
        <v>0</v>
      </c>
      <c r="AY53" s="41">
        <f t="shared" si="15"/>
        <v>2077638.7599999998</v>
      </c>
      <c r="AZ53" s="41">
        <f>VLOOKUP(G53,'2017'!A:B,2,0)</f>
        <v>1367766.19</v>
      </c>
      <c r="BA53" s="550">
        <f t="shared" si="29"/>
        <v>-709872.56999999983</v>
      </c>
      <c r="BB53" s="40">
        <v>2303881.2799999998</v>
      </c>
      <c r="BC53" s="40">
        <v>2303881.2799999998</v>
      </c>
      <c r="BD53" s="40">
        <v>2303881.2799999998</v>
      </c>
      <c r="BE53" s="40">
        <v>1698563.48</v>
      </c>
      <c r="BF53" s="40">
        <v>1496790.89</v>
      </c>
      <c r="BG53" s="40">
        <v>1496790.89</v>
      </c>
      <c r="BH53" s="40">
        <v>942000.85</v>
      </c>
      <c r="BI53" s="40">
        <v>17814621</v>
      </c>
      <c r="BJ53" s="453" t="s">
        <v>2716</v>
      </c>
      <c r="BK53" s="25" t="s">
        <v>2749</v>
      </c>
    </row>
    <row r="54" spans="1:64" s="10" customFormat="1" ht="25.5" x14ac:dyDescent="0.2">
      <c r="A54" s="55" t="s">
        <v>2134</v>
      </c>
      <c r="B54" s="55" t="s">
        <v>2136</v>
      </c>
      <c r="C54" s="155" t="s">
        <v>2135</v>
      </c>
      <c r="D54" s="55">
        <v>2</v>
      </c>
      <c r="E54" s="55" t="s">
        <v>4</v>
      </c>
      <c r="F54" s="55" t="s">
        <v>5</v>
      </c>
      <c r="G54" s="55" t="s">
        <v>2775</v>
      </c>
      <c r="H54" s="45">
        <v>43</v>
      </c>
      <c r="I54" s="45" t="s">
        <v>2134</v>
      </c>
      <c r="J54" s="155" t="s">
        <v>2171</v>
      </c>
      <c r="K54" s="155" t="s">
        <v>2772</v>
      </c>
      <c r="L54" s="152"/>
      <c r="M54" s="152">
        <v>0</v>
      </c>
      <c r="N54" s="152">
        <v>0</v>
      </c>
      <c r="O54" s="152">
        <v>0</v>
      </c>
      <c r="P54" s="152"/>
      <c r="Q54" s="152"/>
      <c r="R54" s="152">
        <v>0</v>
      </c>
      <c r="S54" s="152"/>
      <c r="T54" s="152"/>
      <c r="U54" s="152">
        <v>0</v>
      </c>
      <c r="V54" s="152"/>
      <c r="W54" s="152"/>
      <c r="X54" s="152">
        <v>0</v>
      </c>
      <c r="Y54" s="152"/>
      <c r="Z54" s="152">
        <v>0</v>
      </c>
      <c r="AA54" s="152"/>
      <c r="AB54" s="152"/>
      <c r="AC54" s="152">
        <v>0</v>
      </c>
      <c r="AD54" s="152"/>
      <c r="AE54" s="152"/>
      <c r="AF54" s="152">
        <v>0</v>
      </c>
      <c r="AG54" s="152"/>
      <c r="AH54" s="152"/>
      <c r="AI54" s="152">
        <v>0</v>
      </c>
      <c r="AJ54" s="152"/>
      <c r="AK54" s="152"/>
      <c r="AL54" s="152"/>
      <c r="AM54" s="152">
        <v>560000</v>
      </c>
      <c r="AN54" s="41">
        <v>0</v>
      </c>
      <c r="AO54" s="41">
        <f t="shared" si="28"/>
        <v>-560000</v>
      </c>
      <c r="AP54" s="152">
        <v>0</v>
      </c>
      <c r="AQ54" s="41">
        <f>IFERROR(VLOOKUP(G54,'10'!A:B,2,0),0)</f>
        <v>0</v>
      </c>
      <c r="AR54" s="41">
        <f t="shared" si="12"/>
        <v>0</v>
      </c>
      <c r="AS54" s="41">
        <f t="shared" si="18"/>
        <v>560000</v>
      </c>
      <c r="AT54" s="41">
        <f>AN54+AK54+AH54+AE54+AB54+-Y54+V54+S54+P54+AQ54</f>
        <v>0</v>
      </c>
      <c r="AU54" s="522">
        <f t="shared" si="17"/>
        <v>-560000</v>
      </c>
      <c r="AV54" s="459">
        <f t="shared" si="30"/>
        <v>0</v>
      </c>
      <c r="AW54" s="152">
        <v>50000</v>
      </c>
      <c r="AX54" s="152">
        <v>100000</v>
      </c>
      <c r="AY54" s="41">
        <f t="shared" si="15"/>
        <v>710000</v>
      </c>
      <c r="AZ54" s="41"/>
      <c r="BA54" s="553"/>
      <c r="BB54" s="152">
        <v>1650000</v>
      </c>
      <c r="BC54" s="152">
        <v>669878</v>
      </c>
      <c r="BD54" s="152">
        <v>0</v>
      </c>
      <c r="BE54" s="152">
        <v>0</v>
      </c>
      <c r="BF54" s="152">
        <v>0</v>
      </c>
      <c r="BG54" s="152">
        <v>0</v>
      </c>
      <c r="BH54" s="152">
        <v>0</v>
      </c>
      <c r="BI54" s="152">
        <v>3029878</v>
      </c>
      <c r="BJ54" s="41"/>
      <c r="BK54" s="41"/>
    </row>
    <row r="55" spans="1:64" s="10" customFormat="1" ht="31.5" x14ac:dyDescent="0.25">
      <c r="A55" s="11" t="s">
        <v>145</v>
      </c>
      <c r="B55" s="11" t="s">
        <v>146</v>
      </c>
      <c r="C55" s="14" t="s">
        <v>577</v>
      </c>
      <c r="D55" s="11" t="s">
        <v>3</v>
      </c>
      <c r="E55" s="11" t="s">
        <v>29</v>
      </c>
      <c r="F55" s="11" t="s">
        <v>102</v>
      </c>
      <c r="G55" s="44" t="s">
        <v>147</v>
      </c>
      <c r="H55" s="45">
        <v>44</v>
      </c>
      <c r="I55" s="45" t="s">
        <v>145</v>
      </c>
      <c r="J55" s="46" t="s">
        <v>148</v>
      </c>
      <c r="K55" s="46" t="s">
        <v>149</v>
      </c>
      <c r="L55" s="41">
        <v>0</v>
      </c>
      <c r="M55" s="41">
        <v>0</v>
      </c>
      <c r="N55" s="41">
        <v>0</v>
      </c>
      <c r="O55" s="41">
        <v>0</v>
      </c>
      <c r="P55" s="41">
        <v>0</v>
      </c>
      <c r="Q55" s="41">
        <f>P55-O55</f>
        <v>0</v>
      </c>
      <c r="R55" s="41">
        <v>609434.6</v>
      </c>
      <c r="S55" s="41">
        <v>609434.6</v>
      </c>
      <c r="T55" s="41">
        <f>S55-R55</f>
        <v>0</v>
      </c>
      <c r="U55" s="41">
        <v>7365510.9100000001</v>
      </c>
      <c r="V55" s="41">
        <v>7365510.9199999999</v>
      </c>
      <c r="W55" s="41">
        <f>V55-U55</f>
        <v>9.9999997764825821E-3</v>
      </c>
      <c r="X55" s="41">
        <v>0</v>
      </c>
      <c r="Y55" s="41">
        <v>0</v>
      </c>
      <c r="Z55" s="41">
        <f>Y55-X55</f>
        <v>0</v>
      </c>
      <c r="AA55" s="41">
        <v>0</v>
      </c>
      <c r="AB55" s="41">
        <v>0</v>
      </c>
      <c r="AC55" s="41">
        <f>AB55-AA55</f>
        <v>0</v>
      </c>
      <c r="AD55" s="41">
        <v>637047.98</v>
      </c>
      <c r="AE55" s="41">
        <v>465651.21</v>
      </c>
      <c r="AF55" s="41">
        <f>AE55-AD55</f>
        <v>-171396.76999999996</v>
      </c>
      <c r="AG55" s="41">
        <v>0</v>
      </c>
      <c r="AH55" s="41">
        <v>0</v>
      </c>
      <c r="AI55" s="41">
        <f>AH55-AG55</f>
        <v>0</v>
      </c>
      <c r="AJ55" s="41">
        <v>0</v>
      </c>
      <c r="AK55" s="41">
        <v>0</v>
      </c>
      <c r="AL55" s="41">
        <f>AK55-AJ55</f>
        <v>0</v>
      </c>
      <c r="AM55" s="41">
        <v>699990.72</v>
      </c>
      <c r="AN55" s="41">
        <v>0</v>
      </c>
      <c r="AO55" s="41">
        <f t="shared" si="28"/>
        <v>-699990.72</v>
      </c>
      <c r="AP55" s="41">
        <v>0</v>
      </c>
      <c r="AQ55" s="41">
        <v>325229.73</v>
      </c>
      <c r="AR55" s="41">
        <f t="shared" si="12"/>
        <v>325229.73</v>
      </c>
      <c r="AS55" s="41">
        <f t="shared" si="18"/>
        <v>9311984.209999999</v>
      </c>
      <c r="AT55" s="41">
        <f>AN55+AK55+AH55+AE55+AB55+Y55+V55+S55+P55+AQ55</f>
        <v>8765826.4600000009</v>
      </c>
      <c r="AU55" s="522">
        <f t="shared" si="17"/>
        <v>-546157.75000000023</v>
      </c>
      <c r="AV55" s="459">
        <f t="shared" si="30"/>
        <v>0.94134893942222453</v>
      </c>
      <c r="AW55" s="41">
        <v>0</v>
      </c>
      <c r="AX55" s="41">
        <v>572200.6</v>
      </c>
      <c r="AY55" s="41">
        <f t="shared" si="15"/>
        <v>9884184.8100000005</v>
      </c>
      <c r="AZ55" s="41">
        <f>VLOOKUP(G55,'2017'!A:B,2,0)</f>
        <v>9389632.9100000001</v>
      </c>
      <c r="BA55" s="552">
        <f>AZ55-AY55</f>
        <v>-494551.90000000037</v>
      </c>
      <c r="BB55" s="41">
        <v>113522.92</v>
      </c>
      <c r="BC55" s="41">
        <v>0</v>
      </c>
      <c r="BD55" s="41">
        <v>0</v>
      </c>
      <c r="BE55" s="41">
        <v>0</v>
      </c>
      <c r="BF55" s="41">
        <v>0</v>
      </c>
      <c r="BG55" s="41">
        <v>0</v>
      </c>
      <c r="BH55" s="41">
        <v>0</v>
      </c>
      <c r="BI55" s="41">
        <v>9388273.1300000008</v>
      </c>
      <c r="BJ55" s="75"/>
      <c r="BK55" s="25"/>
    </row>
    <row r="56" spans="1:64" s="10" customFormat="1" ht="38.25" x14ac:dyDescent="0.2">
      <c r="A56" s="55" t="s">
        <v>1947</v>
      </c>
      <c r="B56" s="55" t="s">
        <v>1949</v>
      </c>
      <c r="C56" s="155" t="s">
        <v>1948</v>
      </c>
      <c r="D56" s="55" t="s">
        <v>3</v>
      </c>
      <c r="E56" s="55" t="s">
        <v>35</v>
      </c>
      <c r="F56" s="55" t="s">
        <v>5</v>
      </c>
      <c r="G56" s="439" t="s">
        <v>2837</v>
      </c>
      <c r="H56" s="45">
        <v>45</v>
      </c>
      <c r="I56" s="45" t="s">
        <v>1947</v>
      </c>
      <c r="J56" s="155" t="s">
        <v>1950</v>
      </c>
      <c r="K56" s="155" t="s">
        <v>1951</v>
      </c>
      <c r="L56" s="152">
        <v>0</v>
      </c>
      <c r="M56" s="152">
        <v>0</v>
      </c>
      <c r="N56" s="152">
        <v>0</v>
      </c>
      <c r="O56" s="152">
        <f t="shared" ref="O56:AM56" si="31">N56+M56+L56</f>
        <v>0</v>
      </c>
      <c r="P56" s="152">
        <f t="shared" si="31"/>
        <v>0</v>
      </c>
      <c r="Q56" s="152">
        <f t="shared" si="31"/>
        <v>0</v>
      </c>
      <c r="R56" s="152">
        <f t="shared" si="31"/>
        <v>0</v>
      </c>
      <c r="S56" s="152">
        <f t="shared" si="31"/>
        <v>0</v>
      </c>
      <c r="T56" s="152">
        <f t="shared" si="31"/>
        <v>0</v>
      </c>
      <c r="U56" s="152">
        <f t="shared" si="31"/>
        <v>0</v>
      </c>
      <c r="V56" s="152">
        <f t="shared" si="31"/>
        <v>0</v>
      </c>
      <c r="W56" s="152">
        <f t="shared" si="31"/>
        <v>0</v>
      </c>
      <c r="X56" s="152">
        <f t="shared" si="31"/>
        <v>0</v>
      </c>
      <c r="Y56" s="152">
        <f t="shared" si="31"/>
        <v>0</v>
      </c>
      <c r="Z56" s="152">
        <f t="shared" si="31"/>
        <v>0</v>
      </c>
      <c r="AA56" s="152">
        <f t="shared" si="31"/>
        <v>0</v>
      </c>
      <c r="AB56" s="152">
        <f t="shared" si="31"/>
        <v>0</v>
      </c>
      <c r="AC56" s="152">
        <f t="shared" si="31"/>
        <v>0</v>
      </c>
      <c r="AD56" s="152">
        <f t="shared" si="31"/>
        <v>0</v>
      </c>
      <c r="AE56" s="152">
        <f t="shared" si="31"/>
        <v>0</v>
      </c>
      <c r="AF56" s="152">
        <f t="shared" si="31"/>
        <v>0</v>
      </c>
      <c r="AG56" s="152">
        <f t="shared" si="31"/>
        <v>0</v>
      </c>
      <c r="AH56" s="152">
        <f t="shared" si="31"/>
        <v>0</v>
      </c>
      <c r="AI56" s="152">
        <f t="shared" si="31"/>
        <v>0</v>
      </c>
      <c r="AJ56" s="152">
        <f t="shared" si="31"/>
        <v>0</v>
      </c>
      <c r="AK56" s="152">
        <f t="shared" si="31"/>
        <v>0</v>
      </c>
      <c r="AL56" s="152">
        <f t="shared" si="31"/>
        <v>0</v>
      </c>
      <c r="AM56" s="152">
        <f t="shared" si="31"/>
        <v>0</v>
      </c>
      <c r="AN56" s="152">
        <v>0</v>
      </c>
      <c r="AO56" s="152">
        <f>AN56+AM56+AL56</f>
        <v>0</v>
      </c>
      <c r="AP56" s="513">
        <v>542638.03650000005</v>
      </c>
      <c r="AQ56" s="41">
        <f>IFERROR(VLOOKUP(G56,'10'!A:B,2,0),0)</f>
        <v>0</v>
      </c>
      <c r="AR56" s="41">
        <f t="shared" si="12"/>
        <v>-542638.03650000005</v>
      </c>
      <c r="AS56" s="41">
        <f t="shared" si="18"/>
        <v>542638.03650000005</v>
      </c>
      <c r="AT56" s="41">
        <f>AN56+AK56+AH56+AE56+AB56+-Y56+V56+S56+P56+AQ56</f>
        <v>0</v>
      </c>
      <c r="AU56" s="522">
        <f t="shared" si="17"/>
        <v>-542638.03650000005</v>
      </c>
      <c r="AV56" s="459">
        <f t="shared" si="30"/>
        <v>0</v>
      </c>
      <c r="AW56" s="513">
        <v>7911.2219999999998</v>
      </c>
      <c r="AX56" s="513">
        <v>7911.2219999999998</v>
      </c>
      <c r="AY56" s="41">
        <f t="shared" si="15"/>
        <v>558460.48050000006</v>
      </c>
      <c r="AZ56" s="41"/>
      <c r="BA56" s="553"/>
      <c r="BB56" s="152">
        <v>7778423.9084999999</v>
      </c>
      <c r="BC56" s="152">
        <v>7518650</v>
      </c>
      <c r="BD56" s="152">
        <v>9013554</v>
      </c>
      <c r="BE56" s="152">
        <v>0</v>
      </c>
      <c r="BF56" s="152">
        <v>0</v>
      </c>
      <c r="BG56" s="152">
        <v>0</v>
      </c>
      <c r="BH56" s="152">
        <v>0</v>
      </c>
      <c r="BI56" s="152">
        <v>24869088.388999999</v>
      </c>
      <c r="BJ56" s="459"/>
      <c r="BK56" s="41"/>
      <c r="BL56" s="432"/>
    </row>
    <row r="57" spans="1:64" s="10" customFormat="1" ht="63" x14ac:dyDescent="0.25">
      <c r="A57" s="20" t="s">
        <v>172</v>
      </c>
      <c r="B57" s="20" t="s">
        <v>173</v>
      </c>
      <c r="C57" s="21" t="s">
        <v>579</v>
      </c>
      <c r="D57" s="20" t="s">
        <v>3</v>
      </c>
      <c r="E57" s="20" t="s">
        <v>29</v>
      </c>
      <c r="F57" s="20" t="s">
        <v>5</v>
      </c>
      <c r="G57" s="20" t="s">
        <v>863</v>
      </c>
      <c r="H57" s="45">
        <v>46</v>
      </c>
      <c r="I57" s="45" t="s">
        <v>172</v>
      </c>
      <c r="J57" s="34" t="s">
        <v>98</v>
      </c>
      <c r="K57" s="34" t="s">
        <v>864</v>
      </c>
      <c r="L57" s="431"/>
      <c r="M57" s="37">
        <v>0</v>
      </c>
      <c r="N57" s="37">
        <v>0</v>
      </c>
      <c r="O57" s="37">
        <v>0</v>
      </c>
      <c r="P57" s="37"/>
      <c r="Q57" s="37"/>
      <c r="R57" s="37">
        <v>0</v>
      </c>
      <c r="S57" s="37"/>
      <c r="T57" s="37"/>
      <c r="U57" s="37">
        <v>0</v>
      </c>
      <c r="V57" s="37"/>
      <c r="W57" s="37"/>
      <c r="X57" s="37">
        <v>0</v>
      </c>
      <c r="Y57" s="37"/>
      <c r="Z57" s="37"/>
      <c r="AA57" s="37">
        <v>0</v>
      </c>
      <c r="AB57" s="37"/>
      <c r="AC57" s="37"/>
      <c r="AD57" s="37">
        <v>0</v>
      </c>
      <c r="AE57" s="37"/>
      <c r="AF57" s="37"/>
      <c r="AG57" s="37">
        <v>1020612</v>
      </c>
      <c r="AH57" s="41">
        <v>795900.87</v>
      </c>
      <c r="AI57" s="41">
        <f>AH57-AG57</f>
        <v>-224711.13</v>
      </c>
      <c r="AJ57" s="37">
        <v>0</v>
      </c>
      <c r="AK57" s="41">
        <v>0</v>
      </c>
      <c r="AL57" s="41">
        <f>AK57-AJ57</f>
        <v>0</v>
      </c>
      <c r="AM57" s="37">
        <v>0</v>
      </c>
      <c r="AN57" s="41">
        <v>0</v>
      </c>
      <c r="AO57" s="41">
        <f>AN57-AM57</f>
        <v>0</v>
      </c>
      <c r="AP57" s="37">
        <v>1190495.55</v>
      </c>
      <c r="AQ57" s="41">
        <f>IFERROR(VLOOKUP(G57,'10'!A:B,2,0),0)</f>
        <v>886122.51</v>
      </c>
      <c r="AR57" s="41">
        <f t="shared" si="12"/>
        <v>-304373.04000000004</v>
      </c>
      <c r="AS57" s="41">
        <f t="shared" si="18"/>
        <v>2211107.5499999998</v>
      </c>
      <c r="AT57" s="41">
        <f>AN57+AK57+AH57+AE57+AB57+-Y57+V57+S57+P57+AQ57</f>
        <v>1682023.38</v>
      </c>
      <c r="AU57" s="522">
        <f t="shared" si="17"/>
        <v>-529084.17000000004</v>
      </c>
      <c r="AV57" s="459">
        <f t="shared" si="30"/>
        <v>0.76071531662944214</v>
      </c>
      <c r="AW57" s="37">
        <v>0</v>
      </c>
      <c r="AX57" s="37">
        <v>0</v>
      </c>
      <c r="AY57" s="41">
        <f t="shared" si="15"/>
        <v>2211107.5499999998</v>
      </c>
      <c r="AZ57" s="41">
        <f>VLOOKUP(G57,'2017'!A:B,2,0)</f>
        <v>1682023.38</v>
      </c>
      <c r="BA57" s="550">
        <f>AZ57-AY57</f>
        <v>-529084.16999999993</v>
      </c>
      <c r="BB57" s="37">
        <v>2170504.6800000002</v>
      </c>
      <c r="BC57" s="37">
        <v>0</v>
      </c>
      <c r="BD57" s="37">
        <v>0</v>
      </c>
      <c r="BE57" s="37">
        <v>0</v>
      </c>
      <c r="BF57" s="37">
        <v>0</v>
      </c>
      <c r="BG57" s="37">
        <v>0</v>
      </c>
      <c r="BH57" s="37">
        <v>0</v>
      </c>
      <c r="BI57" s="37">
        <v>4381612.2300000004</v>
      </c>
      <c r="BJ57" s="452" t="s">
        <v>2719</v>
      </c>
      <c r="BK57" s="25" t="s">
        <v>2719</v>
      </c>
    </row>
    <row r="58" spans="1:64" s="10" customFormat="1" ht="47.25" x14ac:dyDescent="0.2">
      <c r="A58" s="43" t="s">
        <v>2107</v>
      </c>
      <c r="B58" s="43" t="s">
        <v>2109</v>
      </c>
      <c r="C58" s="475" t="s">
        <v>2108</v>
      </c>
      <c r="D58" s="43" t="s">
        <v>3</v>
      </c>
      <c r="E58" s="43" t="s">
        <v>4</v>
      </c>
      <c r="F58" s="43" t="s">
        <v>5</v>
      </c>
      <c r="G58" s="478" t="s">
        <v>2838</v>
      </c>
      <c r="H58" s="45">
        <v>47</v>
      </c>
      <c r="I58" s="45" t="s">
        <v>2107</v>
      </c>
      <c r="J58" s="475" t="s">
        <v>2125</v>
      </c>
      <c r="K58" s="485" t="s">
        <v>2126</v>
      </c>
      <c r="L58" s="41">
        <v>0</v>
      </c>
      <c r="M58" s="40">
        <v>0</v>
      </c>
      <c r="N58" s="40">
        <v>0</v>
      </c>
      <c r="O58" s="41">
        <v>0</v>
      </c>
      <c r="P58" s="40">
        <v>0</v>
      </c>
      <c r="Q58" s="41">
        <v>0</v>
      </c>
      <c r="R58" s="40">
        <v>0</v>
      </c>
      <c r="S58" s="41">
        <v>0</v>
      </c>
      <c r="T58" s="40">
        <v>0</v>
      </c>
      <c r="U58" s="41">
        <v>0</v>
      </c>
      <c r="V58" s="40">
        <v>0</v>
      </c>
      <c r="W58" s="41">
        <v>0</v>
      </c>
      <c r="X58" s="40">
        <v>0</v>
      </c>
      <c r="Y58" s="41">
        <v>0</v>
      </c>
      <c r="Z58" s="40">
        <v>0</v>
      </c>
      <c r="AA58" s="41">
        <v>0</v>
      </c>
      <c r="AB58" s="40">
        <v>0</v>
      </c>
      <c r="AC58" s="41">
        <v>0</v>
      </c>
      <c r="AD58" s="40">
        <v>0</v>
      </c>
      <c r="AE58" s="41">
        <v>0</v>
      </c>
      <c r="AF58" s="40">
        <v>0</v>
      </c>
      <c r="AG58" s="41">
        <v>0</v>
      </c>
      <c r="AH58" s="40">
        <v>0</v>
      </c>
      <c r="AI58" s="41">
        <v>0</v>
      </c>
      <c r="AJ58" s="40">
        <v>0</v>
      </c>
      <c r="AK58" s="41">
        <v>0</v>
      </c>
      <c r="AL58" s="40">
        <v>0</v>
      </c>
      <c r="AM58" s="41">
        <v>0</v>
      </c>
      <c r="AN58" s="40">
        <v>0</v>
      </c>
      <c r="AO58" s="41">
        <v>0</v>
      </c>
      <c r="AP58" s="41">
        <v>527849</v>
      </c>
      <c r="AQ58" s="41">
        <f>IFERROR(VLOOKUP(G58,'10'!A:B,2,0),0)</f>
        <v>0</v>
      </c>
      <c r="AR58" s="41">
        <f t="shared" si="12"/>
        <v>-527849</v>
      </c>
      <c r="AS58" s="41">
        <f t="shared" si="18"/>
        <v>527849</v>
      </c>
      <c r="AT58" s="41">
        <f>AN58+AK58+AH58+AE58+AB58+-Y58+V58+S58+P58+AQ58</f>
        <v>0</v>
      </c>
      <c r="AU58" s="522">
        <f t="shared" si="17"/>
        <v>-527849</v>
      </c>
      <c r="AV58" s="459">
        <f t="shared" si="30"/>
        <v>0</v>
      </c>
      <c r="AW58" s="41">
        <v>108906</v>
      </c>
      <c r="AX58" s="41">
        <v>82231</v>
      </c>
      <c r="AY58" s="41">
        <f t="shared" si="15"/>
        <v>718986</v>
      </c>
      <c r="AZ58" s="41"/>
      <c r="BA58" s="555"/>
      <c r="BB58" s="41">
        <v>8543687</v>
      </c>
      <c r="BC58" s="41">
        <v>1134174</v>
      </c>
      <c r="BD58" s="41">
        <v>0</v>
      </c>
      <c r="BE58" s="41">
        <v>0</v>
      </c>
      <c r="BF58" s="41">
        <v>0</v>
      </c>
      <c r="BG58" s="41">
        <v>0</v>
      </c>
      <c r="BH58" s="41">
        <v>0</v>
      </c>
      <c r="BI58" s="41">
        <v>10396847</v>
      </c>
      <c r="BJ58" s="459"/>
      <c r="BK58" s="41"/>
      <c r="BL58" s="432"/>
    </row>
    <row r="59" spans="1:64" s="10" customFormat="1" ht="78.75" x14ac:dyDescent="0.25">
      <c r="A59" s="11" t="s">
        <v>452</v>
      </c>
      <c r="B59" s="11" t="s">
        <v>453</v>
      </c>
      <c r="C59" s="14" t="s">
        <v>608</v>
      </c>
      <c r="D59" s="11">
        <v>1</v>
      </c>
      <c r="E59" s="11" t="s">
        <v>454</v>
      </c>
      <c r="F59" s="11" t="s">
        <v>77</v>
      </c>
      <c r="G59" s="44" t="s">
        <v>455</v>
      </c>
      <c r="H59" s="45">
        <v>48</v>
      </c>
      <c r="I59" s="45" t="s">
        <v>452</v>
      </c>
      <c r="J59" s="46" t="s">
        <v>456</v>
      </c>
      <c r="K59" s="46" t="s">
        <v>457</v>
      </c>
      <c r="L59" s="41">
        <v>0</v>
      </c>
      <c r="M59" s="41">
        <v>0</v>
      </c>
      <c r="N59" s="41">
        <v>5037.17</v>
      </c>
      <c r="O59" s="41">
        <v>16094.52</v>
      </c>
      <c r="P59" s="41">
        <v>16094.52</v>
      </c>
      <c r="Q59" s="41">
        <f>P59-O59</f>
        <v>0</v>
      </c>
      <c r="R59" s="41">
        <v>0</v>
      </c>
      <c r="S59" s="41">
        <v>0</v>
      </c>
      <c r="T59" s="41">
        <f>S59-R59</f>
        <v>0</v>
      </c>
      <c r="U59" s="41">
        <v>0</v>
      </c>
      <c r="V59" s="41">
        <v>0</v>
      </c>
      <c r="W59" s="41">
        <f>V59-U59</f>
        <v>0</v>
      </c>
      <c r="X59" s="41">
        <v>106250</v>
      </c>
      <c r="Y59" s="41">
        <v>4470.1400000000003</v>
      </c>
      <c r="Z59" s="41">
        <f>Y59-X59</f>
        <v>-101779.86</v>
      </c>
      <c r="AA59" s="41">
        <v>0</v>
      </c>
      <c r="AB59" s="41">
        <v>0</v>
      </c>
      <c r="AC59" s="41">
        <f>AB59-AA59</f>
        <v>0</v>
      </c>
      <c r="AD59" s="41">
        <v>0</v>
      </c>
      <c r="AE59" s="41">
        <v>0</v>
      </c>
      <c r="AF59" s="41">
        <f>AE59-AD59</f>
        <v>0</v>
      </c>
      <c r="AG59" s="41">
        <v>212500</v>
      </c>
      <c r="AH59" s="41">
        <v>7808.1</v>
      </c>
      <c r="AI59" s="41">
        <f>AH59-AG59</f>
        <v>-204691.9</v>
      </c>
      <c r="AJ59" s="41">
        <v>0</v>
      </c>
      <c r="AK59" s="41">
        <v>0</v>
      </c>
      <c r="AL59" s="41">
        <f>AK59-AJ59</f>
        <v>0</v>
      </c>
      <c r="AM59" s="41">
        <v>0</v>
      </c>
      <c r="AN59" s="41">
        <v>0</v>
      </c>
      <c r="AO59" s="41">
        <f>AN59-AM59</f>
        <v>0</v>
      </c>
      <c r="AP59" s="41">
        <v>284201.02</v>
      </c>
      <c r="AQ59" s="41">
        <f>IFERROR(VLOOKUP(G59,'10'!A:B,2,0),0)</f>
        <v>64429.96</v>
      </c>
      <c r="AR59" s="41">
        <f t="shared" si="12"/>
        <v>-219771.06000000003</v>
      </c>
      <c r="AS59" s="41">
        <f t="shared" si="18"/>
        <v>619045.54</v>
      </c>
      <c r="AT59" s="41">
        <f>AN59+AK59+AH59+AE59+AB59+Y59+V59+S59+P59+AQ59</f>
        <v>92802.72</v>
      </c>
      <c r="AU59" s="522">
        <f t="shared" si="17"/>
        <v>-526242.82000000007</v>
      </c>
      <c r="AV59" s="459">
        <f t="shared" si="30"/>
        <v>0.14991258962951254</v>
      </c>
      <c r="AW59" s="41">
        <v>0</v>
      </c>
      <c r="AX59" s="41">
        <v>0</v>
      </c>
      <c r="AY59" s="41">
        <f t="shared" si="15"/>
        <v>619045.54</v>
      </c>
      <c r="AZ59" s="41">
        <f>VLOOKUP(G59,'2017'!A:B,2,0)</f>
        <v>92802.72</v>
      </c>
      <c r="BA59" s="550">
        <f>AZ59-AY59</f>
        <v>-526242.82000000007</v>
      </c>
      <c r="BB59" s="41">
        <v>2059156.07</v>
      </c>
      <c r="BC59" s="41">
        <v>655922.47</v>
      </c>
      <c r="BD59" s="41">
        <v>0</v>
      </c>
      <c r="BE59" s="41">
        <v>0</v>
      </c>
      <c r="BF59" s="41">
        <v>0</v>
      </c>
      <c r="BG59" s="41">
        <v>0</v>
      </c>
      <c r="BH59" s="41">
        <v>0</v>
      </c>
      <c r="BI59" s="41">
        <v>3339161.25</v>
      </c>
      <c r="BJ59" s="451" t="s">
        <v>2714</v>
      </c>
      <c r="BK59" s="25" t="s">
        <v>2739</v>
      </c>
    </row>
    <row r="60" spans="1:64" s="8" customFormat="1" ht="71.25" customHeight="1" x14ac:dyDescent="0.25">
      <c r="A60" s="11" t="s">
        <v>150</v>
      </c>
      <c r="B60" s="11" t="s">
        <v>151</v>
      </c>
      <c r="C60" s="14" t="s">
        <v>578</v>
      </c>
      <c r="D60" s="11" t="s">
        <v>3</v>
      </c>
      <c r="E60" s="11" t="s">
        <v>29</v>
      </c>
      <c r="F60" s="11" t="s">
        <v>102</v>
      </c>
      <c r="G60" s="44" t="s">
        <v>717</v>
      </c>
      <c r="H60" s="45">
        <v>49</v>
      </c>
      <c r="I60" s="45" t="s">
        <v>150</v>
      </c>
      <c r="J60" s="46" t="s">
        <v>98</v>
      </c>
      <c r="K60" s="46" t="s">
        <v>718</v>
      </c>
      <c r="L60" s="41">
        <v>0</v>
      </c>
      <c r="M60" s="41">
        <v>0</v>
      </c>
      <c r="N60" s="41">
        <v>0</v>
      </c>
      <c r="O60" s="41">
        <v>0</v>
      </c>
      <c r="P60" s="41">
        <v>0</v>
      </c>
      <c r="Q60" s="41">
        <f>P60-O60</f>
        <v>0</v>
      </c>
      <c r="R60" s="41">
        <v>0</v>
      </c>
      <c r="S60" s="41">
        <v>0</v>
      </c>
      <c r="T60" s="41">
        <f>S60-R60</f>
        <v>0</v>
      </c>
      <c r="U60" s="41">
        <v>0</v>
      </c>
      <c r="V60" s="41">
        <v>0</v>
      </c>
      <c r="W60" s="41">
        <f>V60-U60</f>
        <v>0</v>
      </c>
      <c r="X60" s="41">
        <v>0</v>
      </c>
      <c r="Y60" s="41">
        <v>0</v>
      </c>
      <c r="Z60" s="41">
        <f>Y60-X60</f>
        <v>0</v>
      </c>
      <c r="AA60" s="41">
        <v>2018750</v>
      </c>
      <c r="AB60" s="41">
        <v>2028773.75</v>
      </c>
      <c r="AC60" s="41">
        <f>AB60-AA60</f>
        <v>10023.75</v>
      </c>
      <c r="AD60" s="41">
        <v>0</v>
      </c>
      <c r="AE60" s="41">
        <v>0</v>
      </c>
      <c r="AF60" s="41">
        <f>AE60-AD60</f>
        <v>0</v>
      </c>
      <c r="AG60" s="41">
        <v>0</v>
      </c>
      <c r="AH60" s="41">
        <v>0</v>
      </c>
      <c r="AI60" s="41">
        <f>AH60-AG60</f>
        <v>0</v>
      </c>
      <c r="AJ60" s="41">
        <v>1593750</v>
      </c>
      <c r="AK60" s="41">
        <v>1064984.1299999999</v>
      </c>
      <c r="AL60" s="41">
        <f>AK60-AJ60</f>
        <v>-528765.87000000011</v>
      </c>
      <c r="AM60" s="41">
        <v>0</v>
      </c>
      <c r="AN60" s="41">
        <v>0</v>
      </c>
      <c r="AO60" s="41">
        <f>AN60-AM60</f>
        <v>0</v>
      </c>
      <c r="AP60" s="41">
        <v>0</v>
      </c>
      <c r="AQ60" s="41">
        <f>IFERROR(VLOOKUP(G60,'10'!A:B,2,0),0)</f>
        <v>0</v>
      </c>
      <c r="AR60" s="41">
        <f t="shared" si="12"/>
        <v>0</v>
      </c>
      <c r="AS60" s="41">
        <f t="shared" si="18"/>
        <v>3612500</v>
      </c>
      <c r="AT60" s="41">
        <f>AN60+AK60+AH60+AE60+AB60+-Y60+V60+S60+P60+AQ60</f>
        <v>3093757.88</v>
      </c>
      <c r="AU60" s="522">
        <f t="shared" si="17"/>
        <v>-518742.12000000011</v>
      </c>
      <c r="AV60" s="459">
        <f t="shared" si="30"/>
        <v>0.85640356539792384</v>
      </c>
      <c r="AW60" s="41">
        <v>3187500</v>
      </c>
      <c r="AX60" s="41">
        <v>0</v>
      </c>
      <c r="AY60" s="41">
        <f t="shared" si="15"/>
        <v>6800000</v>
      </c>
      <c r="AZ60" s="41">
        <f>VLOOKUP(G60,'2017'!A:B,2,0)</f>
        <v>6674543.5299999993</v>
      </c>
      <c r="BA60" s="552">
        <f>AZ60-AY60</f>
        <v>-125456.47000000067</v>
      </c>
      <c r="BB60" s="41">
        <v>3825000</v>
      </c>
      <c r="BC60" s="41">
        <v>0</v>
      </c>
      <c r="BD60" s="41">
        <v>0</v>
      </c>
      <c r="BE60" s="41">
        <v>0</v>
      </c>
      <c r="BF60" s="41">
        <v>0</v>
      </c>
      <c r="BG60" s="41">
        <v>0</v>
      </c>
      <c r="BH60" s="41">
        <v>0</v>
      </c>
      <c r="BI60" s="41">
        <v>10365853.699999999</v>
      </c>
      <c r="BJ60" s="75"/>
      <c r="BK60" s="25" t="s">
        <v>2738</v>
      </c>
      <c r="BL60" s="10"/>
    </row>
    <row r="61" spans="1:64" s="8" customFormat="1" ht="40.5" customHeight="1" x14ac:dyDescent="0.25">
      <c r="A61" s="11" t="s">
        <v>379</v>
      </c>
      <c r="B61" s="11" t="s">
        <v>380</v>
      </c>
      <c r="C61" s="14" t="s">
        <v>381</v>
      </c>
      <c r="D61" s="11">
        <v>1</v>
      </c>
      <c r="E61" s="11" t="s">
        <v>210</v>
      </c>
      <c r="F61" s="11" t="s">
        <v>77</v>
      </c>
      <c r="G61" s="44" t="s">
        <v>394</v>
      </c>
      <c r="H61" s="45">
        <v>50</v>
      </c>
      <c r="I61" s="45" t="s">
        <v>379</v>
      </c>
      <c r="J61" s="46" t="s">
        <v>395</v>
      </c>
      <c r="K61" s="46" t="s">
        <v>396</v>
      </c>
      <c r="L61" s="41">
        <v>0</v>
      </c>
      <c r="M61" s="41">
        <v>0</v>
      </c>
      <c r="N61" s="41">
        <v>62464.83</v>
      </c>
      <c r="O61" s="41">
        <v>37926.76</v>
      </c>
      <c r="P61" s="41">
        <v>37926.76</v>
      </c>
      <c r="Q61" s="41">
        <f>P61-O61</f>
        <v>0</v>
      </c>
      <c r="R61" s="41">
        <v>0</v>
      </c>
      <c r="S61" s="41">
        <v>0</v>
      </c>
      <c r="T61" s="41">
        <f>S61-R61</f>
        <v>0</v>
      </c>
      <c r="U61" s="41">
        <v>0</v>
      </c>
      <c r="V61" s="41">
        <v>0</v>
      </c>
      <c r="W61" s="41">
        <f>V61-U61</f>
        <v>0</v>
      </c>
      <c r="X61" s="41">
        <v>56536.59</v>
      </c>
      <c r="Y61" s="41">
        <v>56488.33</v>
      </c>
      <c r="Z61" s="41">
        <f>Y61-X61</f>
        <v>-48.259999999994761</v>
      </c>
      <c r="AA61" s="41">
        <v>0</v>
      </c>
      <c r="AB61" s="41">
        <v>0</v>
      </c>
      <c r="AC61" s="41">
        <f>AB61-AA61</f>
        <v>0</v>
      </c>
      <c r="AD61" s="41">
        <v>0</v>
      </c>
      <c r="AE61" s="41">
        <v>0</v>
      </c>
      <c r="AF61" s="41">
        <f>AE61-AD61</f>
        <v>0</v>
      </c>
      <c r="AG61" s="41">
        <v>319338.7</v>
      </c>
      <c r="AH61" s="41">
        <v>88428.73</v>
      </c>
      <c r="AI61" s="41">
        <f>AH61-AG61</f>
        <v>-230909.97000000003</v>
      </c>
      <c r="AJ61" s="41">
        <v>0</v>
      </c>
      <c r="AK61" s="41">
        <v>0</v>
      </c>
      <c r="AL61" s="41">
        <f>AK61-AJ61</f>
        <v>0</v>
      </c>
      <c r="AM61" s="41">
        <v>0</v>
      </c>
      <c r="AN61" s="41">
        <v>0</v>
      </c>
      <c r="AO61" s="41">
        <f>AN61-AM61</f>
        <v>0</v>
      </c>
      <c r="AP61" s="41">
        <v>319338.74</v>
      </c>
      <c r="AQ61" s="41">
        <f>IFERROR(VLOOKUP(G61,'10'!A:B,2,0),0)</f>
        <v>57703.13</v>
      </c>
      <c r="AR61" s="41">
        <f t="shared" si="12"/>
        <v>-261635.61</v>
      </c>
      <c r="AS61" s="41">
        <f t="shared" si="18"/>
        <v>733140.79</v>
      </c>
      <c r="AT61" s="41">
        <f>AN61+AK61+AH61+AE61+AB61+Y61+V61+S61+P61+AQ61</f>
        <v>240546.95</v>
      </c>
      <c r="AU61" s="522">
        <f t="shared" si="17"/>
        <v>-492593.84</v>
      </c>
      <c r="AV61" s="459">
        <f t="shared" si="30"/>
        <v>0.3281047150575267</v>
      </c>
      <c r="AW61" s="41">
        <v>0</v>
      </c>
      <c r="AX61" s="41">
        <v>0</v>
      </c>
      <c r="AY61" s="41">
        <f t="shared" si="15"/>
        <v>733140.78999999992</v>
      </c>
      <c r="AZ61" s="41">
        <f>VLOOKUP(G61,'2017'!A:B,2,0)</f>
        <v>318122.75</v>
      </c>
      <c r="BA61" s="552">
        <f>AZ61-AY61</f>
        <v>-415018.03999999992</v>
      </c>
      <c r="BB61" s="41">
        <v>1481699.1900000002</v>
      </c>
      <c r="BC61" s="41">
        <v>1306075.3</v>
      </c>
      <c r="BD61" s="41">
        <v>1224829.24</v>
      </c>
      <c r="BE61" s="41">
        <v>1122829.24</v>
      </c>
      <c r="BF61" s="41">
        <v>884829.27</v>
      </c>
      <c r="BG61" s="41">
        <v>221207.34</v>
      </c>
      <c r="BH61" s="41">
        <v>0</v>
      </c>
      <c r="BI61" s="41">
        <v>7037075.2000000011</v>
      </c>
      <c r="BJ61" s="456" t="s">
        <v>2718</v>
      </c>
      <c r="BK61" s="25" t="s">
        <v>2764</v>
      </c>
      <c r="BL61" s="10"/>
    </row>
    <row r="62" spans="1:64" s="10" customFormat="1" ht="47.25" x14ac:dyDescent="0.2">
      <c r="A62" s="11" t="s">
        <v>33</v>
      </c>
      <c r="B62" s="11" t="s">
        <v>34</v>
      </c>
      <c r="C62" s="14" t="s">
        <v>566</v>
      </c>
      <c r="D62" s="11">
        <v>1</v>
      </c>
      <c r="E62" s="11" t="s">
        <v>35</v>
      </c>
      <c r="F62" s="11" t="s">
        <v>5</v>
      </c>
      <c r="G62" s="44" t="s">
        <v>36</v>
      </c>
      <c r="H62" s="45">
        <v>51</v>
      </c>
      <c r="I62" s="45" t="s">
        <v>33</v>
      </c>
      <c r="J62" s="46" t="s">
        <v>37</v>
      </c>
      <c r="K62" s="46" t="s">
        <v>38</v>
      </c>
      <c r="L62" s="41">
        <v>0</v>
      </c>
      <c r="M62" s="41">
        <v>0</v>
      </c>
      <c r="N62" s="41">
        <v>0</v>
      </c>
      <c r="O62" s="41">
        <v>93116.85</v>
      </c>
      <c r="P62" s="41">
        <v>93116.85</v>
      </c>
      <c r="Q62" s="41">
        <f>P62-O62</f>
        <v>0</v>
      </c>
      <c r="R62" s="41">
        <v>0</v>
      </c>
      <c r="S62" s="41">
        <v>0</v>
      </c>
      <c r="T62" s="41">
        <f>S62-R62</f>
        <v>0</v>
      </c>
      <c r="U62" s="41">
        <v>0</v>
      </c>
      <c r="V62" s="41">
        <v>0</v>
      </c>
      <c r="W62" s="41">
        <f>V62-U62</f>
        <v>0</v>
      </c>
      <c r="X62" s="41">
        <v>87860.22</v>
      </c>
      <c r="Y62" s="41">
        <v>87860.22</v>
      </c>
      <c r="Z62" s="41">
        <f>Y62-X62</f>
        <v>0</v>
      </c>
      <c r="AA62" s="41">
        <v>0</v>
      </c>
      <c r="AB62" s="41">
        <v>0</v>
      </c>
      <c r="AC62" s="41">
        <f>AB62-AA62</f>
        <v>0</v>
      </c>
      <c r="AD62" s="41">
        <v>0</v>
      </c>
      <c r="AE62" s="41">
        <v>0</v>
      </c>
      <c r="AF62" s="41">
        <f>AE62-AD62</f>
        <v>0</v>
      </c>
      <c r="AG62" s="41">
        <v>230480.3</v>
      </c>
      <c r="AH62" s="41">
        <v>91666.18</v>
      </c>
      <c r="AI62" s="41">
        <f>AH62-AG62</f>
        <v>-138814.12</v>
      </c>
      <c r="AJ62" s="41">
        <v>0</v>
      </c>
      <c r="AK62" s="41">
        <v>0</v>
      </c>
      <c r="AL62" s="41">
        <f>AK62-AJ62</f>
        <v>0</v>
      </c>
      <c r="AM62" s="41">
        <v>0</v>
      </c>
      <c r="AN62" s="41">
        <v>0</v>
      </c>
      <c r="AO62" s="41">
        <f>AN62-AM62</f>
        <v>0</v>
      </c>
      <c r="AP62" s="41">
        <v>460637.31</v>
      </c>
      <c r="AQ62" s="41">
        <f>IFERROR(VLOOKUP(G62,'10'!A:B,2,0),0)</f>
        <v>135948.32999999999</v>
      </c>
      <c r="AR62" s="41">
        <f t="shared" si="12"/>
        <v>-324688.98</v>
      </c>
      <c r="AS62" s="41">
        <f t="shared" si="18"/>
        <v>872094.67999999993</v>
      </c>
      <c r="AT62" s="41">
        <f>AN62+AK62+AH62+AE62+AB62+Y62+V62+S62+P62+AQ62</f>
        <v>408591.57999999996</v>
      </c>
      <c r="AU62" s="522">
        <f t="shared" si="17"/>
        <v>-463503.1</v>
      </c>
      <c r="AV62" s="459">
        <f t="shared" si="30"/>
        <v>0.46851745500844011</v>
      </c>
      <c r="AW62" s="41">
        <v>0</v>
      </c>
      <c r="AX62" s="41">
        <v>0</v>
      </c>
      <c r="AY62" s="41">
        <f t="shared" si="15"/>
        <v>872094.67999999993</v>
      </c>
      <c r="AZ62" s="41">
        <f>VLOOKUP(G62,'2017'!A:B,2,0)</f>
        <v>408591.57999999996</v>
      </c>
      <c r="BA62" s="552">
        <f>AZ62-AY62</f>
        <v>-463503.1</v>
      </c>
      <c r="BB62" s="41">
        <v>1888172.69</v>
      </c>
      <c r="BC62" s="41">
        <v>1064732.6299999999</v>
      </c>
      <c r="BD62" s="41">
        <v>0</v>
      </c>
      <c r="BE62" s="41">
        <v>0</v>
      </c>
      <c r="BF62" s="41">
        <v>0</v>
      </c>
      <c r="BG62" s="41">
        <v>0</v>
      </c>
      <c r="BH62" s="41">
        <v>0</v>
      </c>
      <c r="BI62" s="41">
        <v>3825000</v>
      </c>
      <c r="BJ62" s="75"/>
      <c r="BK62" s="11"/>
    </row>
    <row r="63" spans="1:64" s="10" customFormat="1" ht="25.5" x14ac:dyDescent="0.2">
      <c r="A63" s="55" t="s">
        <v>119</v>
      </c>
      <c r="B63" s="55" t="s">
        <v>120</v>
      </c>
      <c r="C63" s="155" t="s">
        <v>574</v>
      </c>
      <c r="D63" s="55">
        <v>2</v>
      </c>
      <c r="E63" s="55" t="s">
        <v>35</v>
      </c>
      <c r="F63" s="55" t="s">
        <v>102</v>
      </c>
      <c r="G63" s="439" t="s">
        <v>2836</v>
      </c>
      <c r="H63" s="45">
        <v>52</v>
      </c>
      <c r="I63" s="45" t="s">
        <v>119</v>
      </c>
      <c r="J63" s="155" t="s">
        <v>1745</v>
      </c>
      <c r="K63" s="155" t="s">
        <v>1746</v>
      </c>
      <c r="L63" s="152">
        <v>0</v>
      </c>
      <c r="M63" s="152">
        <v>0</v>
      </c>
      <c r="N63" s="152">
        <v>0</v>
      </c>
      <c r="O63" s="152">
        <f t="shared" ref="O63:AM63" si="32">N63+M63+L63</f>
        <v>0</v>
      </c>
      <c r="P63" s="152">
        <f t="shared" si="32"/>
        <v>0</v>
      </c>
      <c r="Q63" s="152">
        <f t="shared" si="32"/>
        <v>0</v>
      </c>
      <c r="R63" s="152">
        <f t="shared" si="32"/>
        <v>0</v>
      </c>
      <c r="S63" s="152">
        <f t="shared" si="32"/>
        <v>0</v>
      </c>
      <c r="T63" s="152">
        <f t="shared" si="32"/>
        <v>0</v>
      </c>
      <c r="U63" s="152">
        <f t="shared" si="32"/>
        <v>0</v>
      </c>
      <c r="V63" s="152">
        <f t="shared" si="32"/>
        <v>0</v>
      </c>
      <c r="W63" s="152">
        <f t="shared" si="32"/>
        <v>0</v>
      </c>
      <c r="X63" s="152">
        <f t="shared" si="32"/>
        <v>0</v>
      </c>
      <c r="Y63" s="152">
        <f t="shared" si="32"/>
        <v>0</v>
      </c>
      <c r="Z63" s="152">
        <f t="shared" si="32"/>
        <v>0</v>
      </c>
      <c r="AA63" s="152">
        <f t="shared" si="32"/>
        <v>0</v>
      </c>
      <c r="AB63" s="152">
        <f t="shared" si="32"/>
        <v>0</v>
      </c>
      <c r="AC63" s="152">
        <f t="shared" si="32"/>
        <v>0</v>
      </c>
      <c r="AD63" s="152">
        <f t="shared" si="32"/>
        <v>0</v>
      </c>
      <c r="AE63" s="152">
        <f t="shared" si="32"/>
        <v>0</v>
      </c>
      <c r="AF63" s="152">
        <f t="shared" si="32"/>
        <v>0</v>
      </c>
      <c r="AG63" s="152">
        <f t="shared" si="32"/>
        <v>0</v>
      </c>
      <c r="AH63" s="152">
        <f t="shared" si="32"/>
        <v>0</v>
      </c>
      <c r="AI63" s="152">
        <f t="shared" si="32"/>
        <v>0</v>
      </c>
      <c r="AJ63" s="152">
        <f t="shared" si="32"/>
        <v>0</v>
      </c>
      <c r="AK63" s="152">
        <f t="shared" si="32"/>
        <v>0</v>
      </c>
      <c r="AL63" s="152">
        <f t="shared" si="32"/>
        <v>0</v>
      </c>
      <c r="AM63" s="152">
        <f t="shared" si="32"/>
        <v>0</v>
      </c>
      <c r="AN63" s="152">
        <v>0</v>
      </c>
      <c r="AO63" s="152">
        <f>AN63+AM63+AL63</f>
        <v>0</v>
      </c>
      <c r="AP63" s="152">
        <v>462713</v>
      </c>
      <c r="AQ63" s="41">
        <f>IFERROR(VLOOKUP(G63,'10'!A:B,2,0),0)</f>
        <v>0</v>
      </c>
      <c r="AR63" s="41">
        <f t="shared" si="12"/>
        <v>-462713</v>
      </c>
      <c r="AS63" s="41">
        <f t="shared" si="18"/>
        <v>462713</v>
      </c>
      <c r="AT63" s="41">
        <f>AN63+AK63+AH63+AE63+AB63+-Y63+V63+S63+P63+AQ63</f>
        <v>0</v>
      </c>
      <c r="AU63" s="522">
        <f t="shared" si="17"/>
        <v>-462713</v>
      </c>
      <c r="AV63" s="459">
        <f t="shared" si="30"/>
        <v>0</v>
      </c>
      <c r="AW63" s="152">
        <v>140000</v>
      </c>
      <c r="AX63" s="152">
        <v>140000</v>
      </c>
      <c r="AY63" s="41">
        <f t="shared" si="15"/>
        <v>742713</v>
      </c>
      <c r="AZ63" s="41"/>
      <c r="BA63" s="553"/>
      <c r="BB63" s="152">
        <v>405565</v>
      </c>
      <c r="BC63" s="152">
        <v>0</v>
      </c>
      <c r="BD63" s="152">
        <v>0</v>
      </c>
      <c r="BE63" s="152">
        <v>0</v>
      </c>
      <c r="BF63" s="152">
        <v>0</v>
      </c>
      <c r="BG63" s="152">
        <v>0</v>
      </c>
      <c r="BH63" s="152">
        <v>0</v>
      </c>
      <c r="BI63" s="152">
        <v>1148278</v>
      </c>
      <c r="BJ63" s="459"/>
      <c r="BK63" s="41"/>
      <c r="BL63" s="432"/>
    </row>
    <row r="64" spans="1:64" s="10" customFormat="1" ht="31.5" x14ac:dyDescent="0.25">
      <c r="A64" s="472" t="s">
        <v>138</v>
      </c>
      <c r="B64" s="472" t="s">
        <v>139</v>
      </c>
      <c r="C64" s="473" t="s">
        <v>576</v>
      </c>
      <c r="D64" s="472">
        <v>3</v>
      </c>
      <c r="E64" s="472" t="s">
        <v>35</v>
      </c>
      <c r="F64" s="472" t="s">
        <v>5</v>
      </c>
      <c r="G64" s="474" t="s">
        <v>140</v>
      </c>
      <c r="H64" s="45">
        <v>53</v>
      </c>
      <c r="I64" s="45" t="s">
        <v>138</v>
      </c>
      <c r="J64" s="475" t="s">
        <v>63</v>
      </c>
      <c r="K64" s="475" t="s">
        <v>141</v>
      </c>
      <c r="L64" s="41"/>
      <c r="M64" s="41"/>
      <c r="N64" s="41"/>
      <c r="O64" s="41"/>
      <c r="P64" s="41">
        <v>0</v>
      </c>
      <c r="Q64" s="41">
        <f t="shared" ref="Q64:Q80" si="33">P64-O64</f>
        <v>0</v>
      </c>
      <c r="R64" s="41"/>
      <c r="S64" s="41">
        <v>0</v>
      </c>
      <c r="T64" s="41">
        <f t="shared" ref="T64:T80" si="34">S64-R64</f>
        <v>0</v>
      </c>
      <c r="U64" s="41"/>
      <c r="V64" s="41">
        <v>0</v>
      </c>
      <c r="W64" s="41">
        <f t="shared" ref="W64:W80" si="35">V64-U64</f>
        <v>0</v>
      </c>
      <c r="X64" s="41">
        <v>918387.4</v>
      </c>
      <c r="Y64" s="41">
        <v>918387.4</v>
      </c>
      <c r="Z64" s="41">
        <f t="shared" ref="Z64:Z80" si="36">Y64-X64</f>
        <v>0</v>
      </c>
      <c r="AA64" s="41">
        <v>0</v>
      </c>
      <c r="AB64" s="41">
        <v>0</v>
      </c>
      <c r="AC64" s="41">
        <f t="shared" ref="AC64:AC80" si="37">AB64-AA64</f>
        <v>0</v>
      </c>
      <c r="AD64" s="41">
        <v>0</v>
      </c>
      <c r="AE64" s="41">
        <v>490424.65</v>
      </c>
      <c r="AF64" s="41">
        <f t="shared" ref="AF64:AF80" si="38">AE64-AD64</f>
        <v>490424.65</v>
      </c>
      <c r="AG64" s="41">
        <v>440252.14</v>
      </c>
      <c r="AH64" s="41">
        <v>0</v>
      </c>
      <c r="AI64" s="41">
        <f t="shared" ref="AI64:AI80" si="39">AH64-AG64</f>
        <v>-440252.14</v>
      </c>
      <c r="AJ64" s="41">
        <v>0</v>
      </c>
      <c r="AK64" s="41">
        <v>0</v>
      </c>
      <c r="AL64" s="41">
        <f t="shared" ref="AL64:AL80" si="40">AK64-AJ64</f>
        <v>0</v>
      </c>
      <c r="AM64" s="41">
        <v>440252.14</v>
      </c>
      <c r="AN64" s="41">
        <v>701425.53</v>
      </c>
      <c r="AO64" s="41">
        <f t="shared" ref="AO64:AO80" si="41">AN64-AM64</f>
        <v>261173.39</v>
      </c>
      <c r="AP64" s="41">
        <v>772642.01</v>
      </c>
      <c r="AQ64" s="41">
        <f>IFERROR(VLOOKUP(G64,'10'!A:B,2,0),0)</f>
        <v>0</v>
      </c>
      <c r="AR64" s="41">
        <f t="shared" si="12"/>
        <v>-772642.01</v>
      </c>
      <c r="AS64" s="41">
        <f t="shared" si="18"/>
        <v>2571533.6900000004</v>
      </c>
      <c r="AT64" s="41">
        <f>AN64+AK64+AH64+AE64+AB64+Y64+V64+S64+P64+AQ64</f>
        <v>2110237.58</v>
      </c>
      <c r="AU64" s="522">
        <f t="shared" si="17"/>
        <v>-461296.11</v>
      </c>
      <c r="AV64" s="459">
        <f t="shared" si="30"/>
        <v>0.82061440151694054</v>
      </c>
      <c r="AW64" s="41">
        <v>0</v>
      </c>
      <c r="AX64" s="41">
        <v>183628.51</v>
      </c>
      <c r="AY64" s="41">
        <f t="shared" si="15"/>
        <v>2755162.2</v>
      </c>
      <c r="AZ64" s="41">
        <f>VLOOKUP(G64,'2017'!A:B,2,0)</f>
        <v>2645550.65</v>
      </c>
      <c r="BA64" s="552">
        <f t="shared" ref="BA64:BA80" si="42">AZ64-AY64</f>
        <v>-109611.55000000028</v>
      </c>
      <c r="BB64" s="41">
        <v>0</v>
      </c>
      <c r="BC64" s="41">
        <v>0</v>
      </c>
      <c r="BD64" s="41">
        <v>0</v>
      </c>
      <c r="BE64" s="41">
        <v>0</v>
      </c>
      <c r="BF64" s="41">
        <v>0</v>
      </c>
      <c r="BG64" s="41">
        <v>0</v>
      </c>
      <c r="BH64" s="41">
        <v>0</v>
      </c>
      <c r="BI64" s="41">
        <v>1836774.8</v>
      </c>
      <c r="BJ64" s="75"/>
      <c r="BK64" s="27"/>
      <c r="BL64" s="432"/>
    </row>
    <row r="65" spans="1:64" s="10" customFormat="1" ht="47.25" x14ac:dyDescent="0.25">
      <c r="A65" s="11" t="s">
        <v>406</v>
      </c>
      <c r="B65" s="11" t="s">
        <v>411</v>
      </c>
      <c r="C65" s="14" t="s">
        <v>606</v>
      </c>
      <c r="D65" s="11">
        <v>1</v>
      </c>
      <c r="E65" s="11" t="s">
        <v>402</v>
      </c>
      <c r="F65" s="11" t="s">
        <v>77</v>
      </c>
      <c r="G65" s="44" t="s">
        <v>436</v>
      </c>
      <c r="H65" s="45">
        <v>54</v>
      </c>
      <c r="I65" s="45" t="s">
        <v>406</v>
      </c>
      <c r="J65" s="46" t="s">
        <v>437</v>
      </c>
      <c r="K65" s="46" t="s">
        <v>438</v>
      </c>
      <c r="L65" s="41"/>
      <c r="M65" s="41"/>
      <c r="N65" s="41"/>
      <c r="O65" s="41"/>
      <c r="P65" s="41">
        <v>0</v>
      </c>
      <c r="Q65" s="41">
        <f t="shared" si="33"/>
        <v>0</v>
      </c>
      <c r="R65" s="41"/>
      <c r="S65" s="41">
        <v>0</v>
      </c>
      <c r="T65" s="41">
        <f t="shared" si="34"/>
        <v>0</v>
      </c>
      <c r="U65" s="41"/>
      <c r="V65" s="41">
        <v>0</v>
      </c>
      <c r="W65" s="41">
        <f t="shared" si="35"/>
        <v>0</v>
      </c>
      <c r="X65" s="41">
        <v>29585.439999999999</v>
      </c>
      <c r="Y65" s="41">
        <v>29585.439999999999</v>
      </c>
      <c r="Z65" s="41">
        <f t="shared" si="36"/>
        <v>0</v>
      </c>
      <c r="AA65" s="41"/>
      <c r="AB65" s="41">
        <v>0</v>
      </c>
      <c r="AC65" s="41">
        <f t="shared" si="37"/>
        <v>0</v>
      </c>
      <c r="AD65" s="35">
        <v>23495.16</v>
      </c>
      <c r="AE65" s="41">
        <v>5700.11</v>
      </c>
      <c r="AF65" s="41">
        <f t="shared" si="38"/>
        <v>-17795.05</v>
      </c>
      <c r="AG65" s="41">
        <v>595000</v>
      </c>
      <c r="AH65" s="41">
        <v>0</v>
      </c>
      <c r="AI65" s="41">
        <f t="shared" si="39"/>
        <v>-595000</v>
      </c>
      <c r="AJ65" s="41">
        <v>0</v>
      </c>
      <c r="AK65" s="41">
        <v>425004.22</v>
      </c>
      <c r="AL65" s="41">
        <f t="shared" si="40"/>
        <v>425004.22</v>
      </c>
      <c r="AM65" s="35">
        <v>300390</v>
      </c>
      <c r="AN65" s="41">
        <v>32144.94</v>
      </c>
      <c r="AO65" s="41">
        <f t="shared" si="41"/>
        <v>-268245.06</v>
      </c>
      <c r="AP65" s="41">
        <v>0</v>
      </c>
      <c r="AQ65" s="41">
        <f>IFERROR(VLOOKUP(G65,'10'!A:B,2,0),0)</f>
        <v>0</v>
      </c>
      <c r="AR65" s="41">
        <f t="shared" si="12"/>
        <v>0</v>
      </c>
      <c r="AS65" s="41">
        <f t="shared" si="18"/>
        <v>948470.6</v>
      </c>
      <c r="AT65" s="41">
        <f>AN65+AK65+AH65+AE65+AB65+Y65+V65+S65+P65+AQ65</f>
        <v>492434.70999999996</v>
      </c>
      <c r="AU65" s="522">
        <f t="shared" si="17"/>
        <v>-456035.89</v>
      </c>
      <c r="AV65" s="459">
        <f t="shared" si="30"/>
        <v>0.51918816460942485</v>
      </c>
      <c r="AW65" s="41"/>
      <c r="AX65" s="35">
        <v>374964.92</v>
      </c>
      <c r="AY65" s="41">
        <f t="shared" si="15"/>
        <v>1323435.5199999998</v>
      </c>
      <c r="AZ65" s="41">
        <f>VLOOKUP(G65,'2017'!A:B,2,0)</f>
        <v>700511.58</v>
      </c>
      <c r="BA65" s="550">
        <f t="shared" si="42"/>
        <v>-622923.93999999983</v>
      </c>
      <c r="BB65" s="41">
        <v>888135.75</v>
      </c>
      <c r="BC65" s="41">
        <v>1090514.1600000001</v>
      </c>
      <c r="BD65" s="41">
        <v>297500.01</v>
      </c>
      <c r="BE65" s="41">
        <v>0</v>
      </c>
      <c r="BF65" s="41">
        <v>0</v>
      </c>
      <c r="BG65" s="41">
        <v>0</v>
      </c>
      <c r="BH65" s="41">
        <v>0</v>
      </c>
      <c r="BI65" s="41">
        <v>2975000</v>
      </c>
      <c r="BJ65" s="75"/>
      <c r="BK65" s="25"/>
    </row>
    <row r="66" spans="1:64" s="10" customFormat="1" ht="38.25" x14ac:dyDescent="0.2">
      <c r="A66" s="11" t="s">
        <v>229</v>
      </c>
      <c r="B66" s="11" t="s">
        <v>230</v>
      </c>
      <c r="C66" s="14" t="s">
        <v>582</v>
      </c>
      <c r="D66" s="11" t="s">
        <v>3</v>
      </c>
      <c r="E66" s="11" t="s">
        <v>210</v>
      </c>
      <c r="F66" s="11" t="s">
        <v>77</v>
      </c>
      <c r="G66" s="44" t="s">
        <v>231</v>
      </c>
      <c r="H66" s="45">
        <v>55</v>
      </c>
      <c r="I66" s="45" t="s">
        <v>229</v>
      </c>
      <c r="J66" s="46" t="s">
        <v>212</v>
      </c>
      <c r="K66" s="46" t="s">
        <v>232</v>
      </c>
      <c r="L66" s="41">
        <v>0</v>
      </c>
      <c r="M66" s="41">
        <v>0</v>
      </c>
      <c r="N66" s="41">
        <v>0</v>
      </c>
      <c r="O66" s="41">
        <v>4211.0200000000004</v>
      </c>
      <c r="P66" s="41">
        <v>4211.0200000000004</v>
      </c>
      <c r="Q66" s="41">
        <f t="shared" si="33"/>
        <v>0</v>
      </c>
      <c r="R66" s="41">
        <v>0</v>
      </c>
      <c r="S66" s="41">
        <v>0</v>
      </c>
      <c r="T66" s="41">
        <f t="shared" si="34"/>
        <v>0</v>
      </c>
      <c r="U66" s="41">
        <v>0</v>
      </c>
      <c r="V66" s="41">
        <v>0</v>
      </c>
      <c r="W66" s="41">
        <f t="shared" si="35"/>
        <v>0</v>
      </c>
      <c r="X66" s="41">
        <v>9382.24</v>
      </c>
      <c r="Y66" s="41">
        <v>0</v>
      </c>
      <c r="Z66" s="41">
        <f t="shared" si="36"/>
        <v>-9382.24</v>
      </c>
      <c r="AA66" s="41">
        <v>0</v>
      </c>
      <c r="AB66" s="41">
        <v>9382.24</v>
      </c>
      <c r="AC66" s="41">
        <f t="shared" si="37"/>
        <v>9382.24</v>
      </c>
      <c r="AD66" s="41">
        <v>0</v>
      </c>
      <c r="AE66" s="41">
        <v>0</v>
      </c>
      <c r="AF66" s="41">
        <f t="shared" si="38"/>
        <v>0</v>
      </c>
      <c r="AG66" s="41">
        <v>86904.48</v>
      </c>
      <c r="AH66" s="41">
        <v>20058.95</v>
      </c>
      <c r="AI66" s="41">
        <f t="shared" si="39"/>
        <v>-66845.53</v>
      </c>
      <c r="AJ66" s="41">
        <v>0</v>
      </c>
      <c r="AK66" s="41">
        <v>0</v>
      </c>
      <c r="AL66" s="41">
        <f t="shared" si="40"/>
        <v>0</v>
      </c>
      <c r="AM66" s="41">
        <v>0</v>
      </c>
      <c r="AN66" s="41">
        <v>0</v>
      </c>
      <c r="AO66" s="41">
        <f t="shared" si="41"/>
        <v>0</v>
      </c>
      <c r="AP66" s="41">
        <v>392823.57</v>
      </c>
      <c r="AQ66" s="41">
        <f>IFERROR(VLOOKUP(G66,'10'!A:B,2,0),0)</f>
        <v>26034.67</v>
      </c>
      <c r="AR66" s="41">
        <f t="shared" si="12"/>
        <v>-366788.9</v>
      </c>
      <c r="AS66" s="41">
        <f t="shared" si="18"/>
        <v>493321.31</v>
      </c>
      <c r="AT66" s="41">
        <f>AN66+AK66+AH66+AE66+AB66+-Y66+V66+S66+P66+AQ66</f>
        <v>59686.880000000005</v>
      </c>
      <c r="AU66" s="522">
        <f t="shared" si="17"/>
        <v>-433634.43000000005</v>
      </c>
      <c r="AV66" s="459">
        <f t="shared" si="30"/>
        <v>0.12098986763819305</v>
      </c>
      <c r="AW66" s="41">
        <v>0</v>
      </c>
      <c r="AX66" s="41">
        <v>0</v>
      </c>
      <c r="AY66" s="41">
        <f t="shared" si="15"/>
        <v>493321.31</v>
      </c>
      <c r="AZ66" s="41">
        <f>VLOOKUP(G66,'2017'!A:B,2,0)</f>
        <v>59686.87999999999</v>
      </c>
      <c r="BA66" s="552">
        <f t="shared" si="42"/>
        <v>-433634.43</v>
      </c>
      <c r="BB66" s="41">
        <v>3323333.4599999995</v>
      </c>
      <c r="BC66" s="41">
        <v>1282675.04</v>
      </c>
      <c r="BD66" s="41">
        <v>1332893.92</v>
      </c>
      <c r="BE66" s="41">
        <v>1352496.9</v>
      </c>
      <c r="BF66" s="41">
        <v>1087255.3999999999</v>
      </c>
      <c r="BG66" s="41">
        <v>134802.97</v>
      </c>
      <c r="BH66" s="41">
        <v>0</v>
      </c>
      <c r="BI66" s="41">
        <v>9006779</v>
      </c>
      <c r="BJ66" s="75"/>
      <c r="BK66" s="11"/>
    </row>
    <row r="67" spans="1:64" s="10" customFormat="1" ht="47.25" x14ac:dyDescent="0.25">
      <c r="A67" s="11" t="s">
        <v>106</v>
      </c>
      <c r="B67" s="11" t="s">
        <v>107</v>
      </c>
      <c r="C67" s="14" t="s">
        <v>108</v>
      </c>
      <c r="D67" s="11">
        <v>1</v>
      </c>
      <c r="E67" s="11" t="s">
        <v>109</v>
      </c>
      <c r="F67" s="11" t="s">
        <v>5</v>
      </c>
      <c r="G67" s="44" t="s">
        <v>115</v>
      </c>
      <c r="H67" s="45">
        <v>56</v>
      </c>
      <c r="I67" s="45" t="s">
        <v>106</v>
      </c>
      <c r="J67" s="46" t="s">
        <v>111</v>
      </c>
      <c r="K67" s="46" t="s">
        <v>116</v>
      </c>
      <c r="L67" s="41">
        <v>0</v>
      </c>
      <c r="M67" s="41">
        <v>0</v>
      </c>
      <c r="N67" s="41">
        <v>0</v>
      </c>
      <c r="O67" s="41">
        <v>0</v>
      </c>
      <c r="P67" s="41">
        <v>0</v>
      </c>
      <c r="Q67" s="41">
        <f t="shared" si="33"/>
        <v>0</v>
      </c>
      <c r="R67" s="41">
        <v>0</v>
      </c>
      <c r="S67" s="41">
        <v>0</v>
      </c>
      <c r="T67" s="41">
        <f t="shared" si="34"/>
        <v>0</v>
      </c>
      <c r="U67" s="41">
        <v>0</v>
      </c>
      <c r="V67" s="41">
        <v>0</v>
      </c>
      <c r="W67" s="41">
        <f t="shared" si="35"/>
        <v>0</v>
      </c>
      <c r="X67" s="41">
        <v>175928.75999999998</v>
      </c>
      <c r="Y67" s="41">
        <v>175928.75999999998</v>
      </c>
      <c r="Z67" s="41">
        <f t="shared" si="36"/>
        <v>0</v>
      </c>
      <c r="AA67" s="41">
        <v>0</v>
      </c>
      <c r="AB67" s="41">
        <v>0</v>
      </c>
      <c r="AC67" s="41">
        <f t="shared" si="37"/>
        <v>0</v>
      </c>
      <c r="AD67" s="35">
        <v>507503.56999999995</v>
      </c>
      <c r="AE67" s="41">
        <v>4749.8500000000004</v>
      </c>
      <c r="AF67" s="41">
        <f t="shared" si="38"/>
        <v>-502753.72</v>
      </c>
      <c r="AG67" s="41">
        <v>0</v>
      </c>
      <c r="AH67" s="41">
        <v>0</v>
      </c>
      <c r="AI67" s="41">
        <f t="shared" si="39"/>
        <v>0</v>
      </c>
      <c r="AJ67" s="41">
        <v>0</v>
      </c>
      <c r="AK67" s="41">
        <v>0</v>
      </c>
      <c r="AL67" s="41">
        <f t="shared" si="40"/>
        <v>0</v>
      </c>
      <c r="AM67" s="41">
        <v>0</v>
      </c>
      <c r="AN67" s="41">
        <v>5658.07</v>
      </c>
      <c r="AO67" s="41">
        <f t="shared" si="41"/>
        <v>5658.07</v>
      </c>
      <c r="AP67" s="41">
        <v>0</v>
      </c>
      <c r="AQ67" s="41">
        <f>IFERROR(VLOOKUP(G67,'10'!A:B,2,0),0)</f>
        <v>67920.41</v>
      </c>
      <c r="AR67" s="41">
        <f t="shared" si="12"/>
        <v>67920.41</v>
      </c>
      <c r="AS67" s="41">
        <f t="shared" si="18"/>
        <v>683432.33</v>
      </c>
      <c r="AT67" s="41">
        <f t="shared" ref="AT67:AT72" si="43">AN67+AK67+AH67+AE67+AB67+Y67+V67+S67+P67+AQ67</f>
        <v>254257.09</v>
      </c>
      <c r="AU67" s="522">
        <f t="shared" si="17"/>
        <v>-429175.24</v>
      </c>
      <c r="AV67" s="459">
        <f t="shared" si="30"/>
        <v>0.37202964922657378</v>
      </c>
      <c r="AW67" s="41">
        <v>0</v>
      </c>
      <c r="AX67" s="41">
        <v>412417.41</v>
      </c>
      <c r="AY67" s="41">
        <f t="shared" si="15"/>
        <v>1095849.7399999998</v>
      </c>
      <c r="AZ67" s="41">
        <f>VLOOKUP(G67,'2017'!A:B,2,0)</f>
        <v>496114.77999999991</v>
      </c>
      <c r="BA67" s="550">
        <f t="shared" si="42"/>
        <v>-599734.95999999985</v>
      </c>
      <c r="BB67" s="41">
        <v>186573.78000000003</v>
      </c>
      <c r="BC67" s="41">
        <v>0</v>
      </c>
      <c r="BD67" s="41">
        <v>0</v>
      </c>
      <c r="BE67" s="41">
        <v>0</v>
      </c>
      <c r="BF67" s="41">
        <v>0</v>
      </c>
      <c r="BG67" s="41">
        <v>0</v>
      </c>
      <c r="BH67" s="41">
        <v>0</v>
      </c>
      <c r="BI67" s="41">
        <v>725005.09</v>
      </c>
      <c r="BJ67" s="455" t="s">
        <v>2705</v>
      </c>
      <c r="BK67" s="25" t="s">
        <v>2705</v>
      </c>
    </row>
    <row r="68" spans="1:64" s="10" customFormat="1" x14ac:dyDescent="0.2">
      <c r="A68" s="11" t="s">
        <v>612</v>
      </c>
      <c r="B68" s="11" t="s">
        <v>613</v>
      </c>
      <c r="C68" s="14" t="s">
        <v>614</v>
      </c>
      <c r="D68" s="11">
        <v>1</v>
      </c>
      <c r="E68" s="11" t="s">
        <v>342</v>
      </c>
      <c r="F68" s="11" t="s">
        <v>77</v>
      </c>
      <c r="G68" s="44" t="s">
        <v>615</v>
      </c>
      <c r="H68" s="45">
        <v>57</v>
      </c>
      <c r="I68" s="45" t="s">
        <v>612</v>
      </c>
      <c r="J68" s="46" t="s">
        <v>616</v>
      </c>
      <c r="K68" s="46" t="s">
        <v>617</v>
      </c>
      <c r="L68" s="41">
        <v>0</v>
      </c>
      <c r="M68" s="41">
        <v>0</v>
      </c>
      <c r="N68" s="41">
        <v>90684.13</v>
      </c>
      <c r="O68" s="41">
        <v>97731.3</v>
      </c>
      <c r="P68" s="41">
        <v>97731.3</v>
      </c>
      <c r="Q68" s="41">
        <f t="shared" si="33"/>
        <v>0</v>
      </c>
      <c r="R68" s="41">
        <v>0</v>
      </c>
      <c r="S68" s="41">
        <v>0</v>
      </c>
      <c r="T68" s="41">
        <f t="shared" si="34"/>
        <v>0</v>
      </c>
      <c r="U68" s="41">
        <v>0</v>
      </c>
      <c r="V68" s="41">
        <v>0</v>
      </c>
      <c r="W68" s="41">
        <f t="shared" si="35"/>
        <v>0</v>
      </c>
      <c r="X68" s="41">
        <v>0</v>
      </c>
      <c r="Y68" s="41">
        <v>0</v>
      </c>
      <c r="Z68" s="41">
        <f t="shared" si="36"/>
        <v>0</v>
      </c>
      <c r="AA68" s="41">
        <v>92440.48</v>
      </c>
      <c r="AB68" s="41">
        <v>94093.99</v>
      </c>
      <c r="AC68" s="41">
        <f t="shared" si="37"/>
        <v>1653.5100000000093</v>
      </c>
      <c r="AD68" s="41">
        <v>0</v>
      </c>
      <c r="AE68" s="41">
        <v>0</v>
      </c>
      <c r="AF68" s="41">
        <f t="shared" si="38"/>
        <v>0</v>
      </c>
      <c r="AG68" s="41">
        <v>311745.46000000002</v>
      </c>
      <c r="AH68" s="41">
        <v>191838.75</v>
      </c>
      <c r="AI68" s="41">
        <f t="shared" si="39"/>
        <v>-119906.71000000002</v>
      </c>
      <c r="AJ68" s="41">
        <v>0</v>
      </c>
      <c r="AK68" s="41">
        <v>0</v>
      </c>
      <c r="AL68" s="41">
        <f t="shared" si="40"/>
        <v>0</v>
      </c>
      <c r="AM68" s="41">
        <v>0</v>
      </c>
      <c r="AN68" s="41">
        <v>0</v>
      </c>
      <c r="AO68" s="41">
        <f t="shared" si="41"/>
        <v>0</v>
      </c>
      <c r="AP68" s="41">
        <v>566407.87</v>
      </c>
      <c r="AQ68" s="41">
        <f>IFERROR(VLOOKUP(G68,'10'!A:B,2,0),0)</f>
        <v>256882.37</v>
      </c>
      <c r="AR68" s="41">
        <f t="shared" si="12"/>
        <v>-309525.5</v>
      </c>
      <c r="AS68" s="41">
        <f t="shared" si="18"/>
        <v>1068325.1099999999</v>
      </c>
      <c r="AT68" s="41">
        <f t="shared" si="43"/>
        <v>640546.40999999992</v>
      </c>
      <c r="AU68" s="522">
        <f t="shared" si="17"/>
        <v>-427778.7</v>
      </c>
      <c r="AV68" s="459">
        <f t="shared" si="30"/>
        <v>0.59958003795305348</v>
      </c>
      <c r="AW68" s="41">
        <v>0</v>
      </c>
      <c r="AX68" s="41">
        <v>0</v>
      </c>
      <c r="AY68" s="41">
        <f t="shared" si="15"/>
        <v>1068325.1100000001</v>
      </c>
      <c r="AZ68" s="41">
        <f>VLOOKUP(G68,'2017'!A:B,2,0)</f>
        <v>1563388.49</v>
      </c>
      <c r="BA68" s="552">
        <f t="shared" si="42"/>
        <v>495063.37999999989</v>
      </c>
      <c r="BB68" s="41">
        <v>2708091.0999999996</v>
      </c>
      <c r="BC68" s="41">
        <v>1534544.32</v>
      </c>
      <c r="BD68" s="41">
        <v>1352232.17</v>
      </c>
      <c r="BE68" s="41">
        <v>1308388.1600000001</v>
      </c>
      <c r="BF68" s="41">
        <v>733692.38</v>
      </c>
      <c r="BG68" s="41">
        <v>107641.63</v>
      </c>
      <c r="BH68" s="41">
        <v>0</v>
      </c>
      <c r="BI68" s="41">
        <v>8903599</v>
      </c>
      <c r="BJ68" s="75"/>
      <c r="BK68" s="11"/>
    </row>
    <row r="69" spans="1:64" s="10" customFormat="1" ht="42" customHeight="1" x14ac:dyDescent="0.25">
      <c r="A69" s="11" t="s">
        <v>95</v>
      </c>
      <c r="B69" s="11" t="s">
        <v>96</v>
      </c>
      <c r="C69" s="14" t="s">
        <v>572</v>
      </c>
      <c r="D69" s="11" t="s">
        <v>3</v>
      </c>
      <c r="E69" s="11" t="s">
        <v>29</v>
      </c>
      <c r="F69" s="11" t="s">
        <v>5</v>
      </c>
      <c r="G69" s="44" t="s">
        <v>97</v>
      </c>
      <c r="H69" s="45">
        <v>58</v>
      </c>
      <c r="I69" s="45" t="s">
        <v>95</v>
      </c>
      <c r="J69" s="46" t="s">
        <v>98</v>
      </c>
      <c r="K69" s="46" t="s">
        <v>99</v>
      </c>
      <c r="L69" s="41">
        <v>0</v>
      </c>
      <c r="M69" s="41">
        <v>0</v>
      </c>
      <c r="N69" s="41">
        <v>17789.87</v>
      </c>
      <c r="O69" s="41">
        <v>0</v>
      </c>
      <c r="P69" s="41">
        <v>0</v>
      </c>
      <c r="Q69" s="41">
        <f t="shared" si="33"/>
        <v>0</v>
      </c>
      <c r="R69" s="41">
        <v>0</v>
      </c>
      <c r="S69" s="41">
        <v>0</v>
      </c>
      <c r="T69" s="41">
        <f t="shared" si="34"/>
        <v>0</v>
      </c>
      <c r="U69" s="41">
        <v>0</v>
      </c>
      <c r="V69" s="41">
        <v>0</v>
      </c>
      <c r="W69" s="41">
        <f t="shared" si="35"/>
        <v>0</v>
      </c>
      <c r="X69" s="41">
        <v>11050</v>
      </c>
      <c r="Y69" s="41">
        <v>11046.09</v>
      </c>
      <c r="Z69" s="41">
        <f t="shared" si="36"/>
        <v>-3.9099999999998545</v>
      </c>
      <c r="AA69" s="41">
        <v>0</v>
      </c>
      <c r="AB69" s="41">
        <v>0</v>
      </c>
      <c r="AC69" s="41">
        <f t="shared" si="37"/>
        <v>0</v>
      </c>
      <c r="AD69" s="41">
        <v>0</v>
      </c>
      <c r="AE69" s="41">
        <v>0</v>
      </c>
      <c r="AF69" s="41">
        <f t="shared" si="38"/>
        <v>0</v>
      </c>
      <c r="AG69" s="41">
        <v>471100.6</v>
      </c>
      <c r="AH69" s="41">
        <v>0</v>
      </c>
      <c r="AI69" s="41">
        <f t="shared" si="39"/>
        <v>-471100.6</v>
      </c>
      <c r="AJ69" s="41">
        <v>0</v>
      </c>
      <c r="AK69" s="41">
        <v>0</v>
      </c>
      <c r="AL69" s="41">
        <f t="shared" si="40"/>
        <v>0</v>
      </c>
      <c r="AM69" s="41">
        <v>0</v>
      </c>
      <c r="AN69" s="41">
        <v>0</v>
      </c>
      <c r="AO69" s="41">
        <f t="shared" si="41"/>
        <v>0</v>
      </c>
      <c r="AP69" s="41">
        <v>138747.20000000001</v>
      </c>
      <c r="AQ69" s="41">
        <f>IFERROR(VLOOKUP(G69,'10'!A:B,2,0),0)</f>
        <v>186740.01</v>
      </c>
      <c r="AR69" s="41">
        <f t="shared" si="12"/>
        <v>47992.81</v>
      </c>
      <c r="AS69" s="41">
        <f t="shared" si="18"/>
        <v>620897.80000000005</v>
      </c>
      <c r="AT69" s="41">
        <f t="shared" si="43"/>
        <v>197786.1</v>
      </c>
      <c r="AU69" s="522">
        <f t="shared" si="17"/>
        <v>-423111.69999999995</v>
      </c>
      <c r="AV69" s="459">
        <f t="shared" si="30"/>
        <v>0.318548559843504</v>
      </c>
      <c r="AW69" s="41">
        <v>0</v>
      </c>
      <c r="AX69" s="41">
        <v>0</v>
      </c>
      <c r="AY69" s="41">
        <f t="shared" si="15"/>
        <v>620897.80000000005</v>
      </c>
      <c r="AZ69" s="41">
        <f>VLOOKUP(G69,'2017'!A:B,2,0)</f>
        <v>197786.1</v>
      </c>
      <c r="BA69" s="552">
        <f t="shared" si="42"/>
        <v>-423111.70000000007</v>
      </c>
      <c r="BB69" s="41">
        <v>3030445.82</v>
      </c>
      <c r="BC69" s="41">
        <v>1547000</v>
      </c>
      <c r="BD69" s="41">
        <v>1334500</v>
      </c>
      <c r="BE69" s="41">
        <v>109350.51</v>
      </c>
      <c r="BF69" s="41">
        <v>0</v>
      </c>
      <c r="BG69" s="41">
        <v>0</v>
      </c>
      <c r="BH69" s="41">
        <v>0</v>
      </c>
      <c r="BI69" s="41">
        <v>6659984</v>
      </c>
      <c r="BJ69" s="451" t="s">
        <v>2708</v>
      </c>
      <c r="BK69" s="25" t="s">
        <v>2756</v>
      </c>
    </row>
    <row r="70" spans="1:64" s="10" customFormat="1" ht="31.5" x14ac:dyDescent="0.25">
      <c r="A70" s="11" t="s">
        <v>350</v>
      </c>
      <c r="B70" s="11" t="s">
        <v>364</v>
      </c>
      <c r="C70" s="14" t="s">
        <v>600</v>
      </c>
      <c r="D70" s="11" t="s">
        <v>3</v>
      </c>
      <c r="E70" s="11" t="s">
        <v>210</v>
      </c>
      <c r="F70" s="11" t="s">
        <v>77</v>
      </c>
      <c r="G70" s="44" t="s">
        <v>365</v>
      </c>
      <c r="H70" s="45">
        <v>59</v>
      </c>
      <c r="I70" s="45" t="s">
        <v>350</v>
      </c>
      <c r="J70" s="46" t="s">
        <v>366</v>
      </c>
      <c r="K70" s="46" t="s">
        <v>367</v>
      </c>
      <c r="L70" s="41">
        <v>0</v>
      </c>
      <c r="M70" s="41">
        <v>0</v>
      </c>
      <c r="N70" s="41">
        <v>69814.099999999991</v>
      </c>
      <c r="O70" s="41">
        <v>53771.65</v>
      </c>
      <c r="P70" s="41">
        <v>53771.65</v>
      </c>
      <c r="Q70" s="41">
        <f t="shared" si="33"/>
        <v>0</v>
      </c>
      <c r="R70" s="41">
        <v>0</v>
      </c>
      <c r="S70" s="41">
        <v>0</v>
      </c>
      <c r="T70" s="41">
        <f t="shared" si="34"/>
        <v>0</v>
      </c>
      <c r="U70" s="41">
        <v>0</v>
      </c>
      <c r="V70" s="41">
        <v>0</v>
      </c>
      <c r="W70" s="41">
        <f t="shared" si="35"/>
        <v>0</v>
      </c>
      <c r="X70" s="41">
        <v>58715.08</v>
      </c>
      <c r="Y70" s="41">
        <v>57125.22</v>
      </c>
      <c r="Z70" s="41">
        <f t="shared" si="36"/>
        <v>-1589.8600000000006</v>
      </c>
      <c r="AA70" s="41">
        <v>0</v>
      </c>
      <c r="AB70" s="41">
        <v>0</v>
      </c>
      <c r="AC70" s="41">
        <f t="shared" si="37"/>
        <v>0</v>
      </c>
      <c r="AD70" s="41">
        <v>0</v>
      </c>
      <c r="AE70" s="41">
        <v>0</v>
      </c>
      <c r="AF70" s="41">
        <f t="shared" si="38"/>
        <v>0</v>
      </c>
      <c r="AG70" s="41">
        <v>296310.96999999997</v>
      </c>
      <c r="AH70" s="41">
        <v>110482.04</v>
      </c>
      <c r="AI70" s="41">
        <f t="shared" si="39"/>
        <v>-185828.93</v>
      </c>
      <c r="AJ70" s="41">
        <v>0</v>
      </c>
      <c r="AK70" s="41">
        <v>0</v>
      </c>
      <c r="AL70" s="41">
        <f t="shared" si="40"/>
        <v>0</v>
      </c>
      <c r="AM70" s="41">
        <v>0</v>
      </c>
      <c r="AN70" s="41">
        <v>0</v>
      </c>
      <c r="AO70" s="41">
        <f t="shared" si="41"/>
        <v>0</v>
      </c>
      <c r="AP70" s="41">
        <v>346059.86</v>
      </c>
      <c r="AQ70" s="41">
        <f>IFERROR(VLOOKUP(G70,'10'!A:B,2,0),0)</f>
        <v>111076.83</v>
      </c>
      <c r="AR70" s="41">
        <f t="shared" si="12"/>
        <v>-234983.02999999997</v>
      </c>
      <c r="AS70" s="41">
        <f t="shared" si="18"/>
        <v>754857.56</v>
      </c>
      <c r="AT70" s="41">
        <f t="shared" si="43"/>
        <v>332455.74</v>
      </c>
      <c r="AU70" s="522">
        <f t="shared" si="17"/>
        <v>-422401.81999999995</v>
      </c>
      <c r="AV70" s="459">
        <f t="shared" si="30"/>
        <v>0.44042181944895664</v>
      </c>
      <c r="AW70" s="41">
        <v>0</v>
      </c>
      <c r="AX70" s="41">
        <v>0</v>
      </c>
      <c r="AY70" s="41">
        <f t="shared" si="15"/>
        <v>754857.55999999994</v>
      </c>
      <c r="AZ70" s="41">
        <f>VLOOKUP(G70,'2017'!A:B,2,0)</f>
        <v>332455.74</v>
      </c>
      <c r="BA70" s="552">
        <f t="shared" si="42"/>
        <v>-422401.81999999995</v>
      </c>
      <c r="BB70" s="41">
        <v>1570067.9600000002</v>
      </c>
      <c r="BC70" s="41">
        <v>1166296.7</v>
      </c>
      <c r="BD70" s="41">
        <v>843744.74</v>
      </c>
      <c r="BE70" s="41">
        <v>768554.12</v>
      </c>
      <c r="BF70" s="41">
        <v>531421.85</v>
      </c>
      <c r="BG70" s="41">
        <v>86330.97</v>
      </c>
      <c r="BH70" s="41">
        <v>0</v>
      </c>
      <c r="BI70" s="41">
        <v>5791088</v>
      </c>
      <c r="BJ70" s="75"/>
      <c r="BK70" s="25"/>
    </row>
    <row r="71" spans="1:64" s="10" customFormat="1" ht="78.75" x14ac:dyDescent="0.25">
      <c r="A71" s="11" t="s">
        <v>106</v>
      </c>
      <c r="B71" s="11" t="s">
        <v>107</v>
      </c>
      <c r="C71" s="14" t="s">
        <v>108</v>
      </c>
      <c r="D71" s="11">
        <v>1</v>
      </c>
      <c r="E71" s="11" t="s">
        <v>109</v>
      </c>
      <c r="F71" s="11" t="s">
        <v>5</v>
      </c>
      <c r="G71" s="44" t="s">
        <v>113</v>
      </c>
      <c r="H71" s="45">
        <v>60</v>
      </c>
      <c r="I71" s="45" t="s">
        <v>106</v>
      </c>
      <c r="J71" s="46" t="s">
        <v>111</v>
      </c>
      <c r="K71" s="46" t="s">
        <v>114</v>
      </c>
      <c r="L71" s="41">
        <v>0</v>
      </c>
      <c r="M71" s="41">
        <v>0</v>
      </c>
      <c r="N71" s="41">
        <v>0</v>
      </c>
      <c r="O71" s="41">
        <v>0</v>
      </c>
      <c r="P71" s="41">
        <v>0</v>
      </c>
      <c r="Q71" s="41">
        <f t="shared" si="33"/>
        <v>0</v>
      </c>
      <c r="R71" s="41">
        <v>0</v>
      </c>
      <c r="S71" s="41">
        <v>0</v>
      </c>
      <c r="T71" s="41">
        <f t="shared" si="34"/>
        <v>0</v>
      </c>
      <c r="U71" s="41">
        <v>0</v>
      </c>
      <c r="V71" s="41">
        <v>0</v>
      </c>
      <c r="W71" s="41">
        <f t="shared" si="35"/>
        <v>0</v>
      </c>
      <c r="X71" s="41">
        <v>152803.26999999999</v>
      </c>
      <c r="Y71" s="41">
        <v>152803.26999999999</v>
      </c>
      <c r="Z71" s="41">
        <f t="shared" si="36"/>
        <v>0</v>
      </c>
      <c r="AA71" s="41">
        <v>0</v>
      </c>
      <c r="AB71" s="41">
        <v>0</v>
      </c>
      <c r="AC71" s="41">
        <f t="shared" si="37"/>
        <v>0</v>
      </c>
      <c r="AD71" s="35">
        <v>428364.24</v>
      </c>
      <c r="AE71" s="41">
        <v>4035.32</v>
      </c>
      <c r="AF71" s="41">
        <f t="shared" si="38"/>
        <v>-424328.92</v>
      </c>
      <c r="AG71" s="41">
        <v>0</v>
      </c>
      <c r="AH71" s="41">
        <v>0</v>
      </c>
      <c r="AI71" s="41">
        <f t="shared" si="39"/>
        <v>0</v>
      </c>
      <c r="AJ71" s="41">
        <v>0</v>
      </c>
      <c r="AK71" s="41">
        <v>0</v>
      </c>
      <c r="AL71" s="41">
        <f t="shared" si="40"/>
        <v>0</v>
      </c>
      <c r="AM71" s="41">
        <v>0</v>
      </c>
      <c r="AN71" s="41">
        <v>5677.27</v>
      </c>
      <c r="AO71" s="41">
        <f t="shared" si="41"/>
        <v>5677.27</v>
      </c>
      <c r="AP71" s="41">
        <v>0</v>
      </c>
      <c r="AQ71" s="41">
        <f>IFERROR(VLOOKUP(G71,'10'!A:B,2,0),0)</f>
        <v>1460.33</v>
      </c>
      <c r="AR71" s="41">
        <f t="shared" si="12"/>
        <v>1460.33</v>
      </c>
      <c r="AS71" s="41">
        <f t="shared" si="18"/>
        <v>581167.51</v>
      </c>
      <c r="AT71" s="41">
        <f t="shared" si="43"/>
        <v>163976.18999999997</v>
      </c>
      <c r="AU71" s="522">
        <f t="shared" si="17"/>
        <v>-417191.31999999995</v>
      </c>
      <c r="AV71" s="459">
        <f t="shared" si="30"/>
        <v>0.28214961638168651</v>
      </c>
      <c r="AW71" s="41">
        <v>0</v>
      </c>
      <c r="AX71" s="41">
        <v>350905.08</v>
      </c>
      <c r="AY71" s="41">
        <f t="shared" si="15"/>
        <v>932072.59</v>
      </c>
      <c r="AZ71" s="41">
        <f>VLOOKUP(G71,'2017'!A:B,2,0)</f>
        <v>451253.13</v>
      </c>
      <c r="BA71" s="552">
        <f t="shared" si="42"/>
        <v>-480819.45999999996</v>
      </c>
      <c r="BB71" s="41">
        <v>261411.75</v>
      </c>
      <c r="BC71" s="41">
        <v>0</v>
      </c>
      <c r="BD71" s="41">
        <v>0</v>
      </c>
      <c r="BE71" s="41">
        <v>0</v>
      </c>
      <c r="BF71" s="41">
        <v>0</v>
      </c>
      <c r="BG71" s="41">
        <v>0</v>
      </c>
      <c r="BH71" s="41">
        <v>0</v>
      </c>
      <c r="BI71" s="41">
        <v>611948.91999999993</v>
      </c>
      <c r="BJ71" s="455" t="s">
        <v>952</v>
      </c>
      <c r="BK71" s="25" t="s">
        <v>2759</v>
      </c>
      <c r="BL71" s="8"/>
    </row>
    <row r="72" spans="1:64" s="10" customFormat="1" ht="31.5" x14ac:dyDescent="0.25">
      <c r="A72" s="11" t="s">
        <v>340</v>
      </c>
      <c r="B72" s="11" t="s">
        <v>341</v>
      </c>
      <c r="C72" s="14" t="s">
        <v>596</v>
      </c>
      <c r="D72" s="11" t="s">
        <v>3</v>
      </c>
      <c r="E72" s="11" t="s">
        <v>342</v>
      </c>
      <c r="F72" s="11" t="s">
        <v>77</v>
      </c>
      <c r="G72" s="44" t="s">
        <v>343</v>
      </c>
      <c r="H72" s="45">
        <v>61</v>
      </c>
      <c r="I72" s="45" t="s">
        <v>340</v>
      </c>
      <c r="J72" s="46" t="s">
        <v>344</v>
      </c>
      <c r="K72" s="46" t="s">
        <v>345</v>
      </c>
      <c r="L72" s="41">
        <v>0</v>
      </c>
      <c r="M72" s="41">
        <v>0</v>
      </c>
      <c r="N72" s="41">
        <v>0</v>
      </c>
      <c r="O72" s="41">
        <v>0</v>
      </c>
      <c r="P72" s="41">
        <v>0</v>
      </c>
      <c r="Q72" s="41">
        <f t="shared" si="33"/>
        <v>0</v>
      </c>
      <c r="R72" s="41">
        <v>0</v>
      </c>
      <c r="S72" s="41">
        <v>0</v>
      </c>
      <c r="T72" s="41">
        <f t="shared" si="34"/>
        <v>0</v>
      </c>
      <c r="U72" s="41">
        <v>0</v>
      </c>
      <c r="V72" s="41">
        <v>0</v>
      </c>
      <c r="W72" s="41">
        <f t="shared" si="35"/>
        <v>0</v>
      </c>
      <c r="X72" s="41">
        <v>112322.09</v>
      </c>
      <c r="Y72" s="41">
        <v>53174.38</v>
      </c>
      <c r="Z72" s="41">
        <f t="shared" si="36"/>
        <v>-59147.71</v>
      </c>
      <c r="AA72" s="41">
        <v>0</v>
      </c>
      <c r="AB72" s="41">
        <v>0</v>
      </c>
      <c r="AC72" s="41">
        <f t="shared" si="37"/>
        <v>0</v>
      </c>
      <c r="AD72" s="41">
        <v>0</v>
      </c>
      <c r="AE72" s="41">
        <v>0</v>
      </c>
      <c r="AF72" s="41">
        <f t="shared" si="38"/>
        <v>0</v>
      </c>
      <c r="AG72" s="41">
        <v>171635.92</v>
      </c>
      <c r="AH72" s="41">
        <v>48378.8</v>
      </c>
      <c r="AI72" s="41">
        <f t="shared" si="39"/>
        <v>-123257.12000000001</v>
      </c>
      <c r="AJ72" s="41">
        <v>0</v>
      </c>
      <c r="AK72" s="41">
        <v>0</v>
      </c>
      <c r="AL72" s="41">
        <f t="shared" si="40"/>
        <v>0</v>
      </c>
      <c r="AM72" s="41">
        <v>0</v>
      </c>
      <c r="AN72" s="41">
        <v>0</v>
      </c>
      <c r="AO72" s="41">
        <f t="shared" si="41"/>
        <v>0</v>
      </c>
      <c r="AP72" s="41">
        <v>231649.98</v>
      </c>
      <c r="AQ72" s="41">
        <f>IFERROR(VLOOKUP(G72,'10'!A:B,2,0),0)</f>
        <v>0</v>
      </c>
      <c r="AR72" s="41">
        <f t="shared" si="12"/>
        <v>-231649.98</v>
      </c>
      <c r="AS72" s="41">
        <f t="shared" si="18"/>
        <v>515607.99</v>
      </c>
      <c r="AT72" s="41">
        <f t="shared" si="43"/>
        <v>101553.18</v>
      </c>
      <c r="AU72" s="522">
        <f t="shared" si="17"/>
        <v>-414054.81000000006</v>
      </c>
      <c r="AV72" s="459">
        <f t="shared" si="30"/>
        <v>0.19695811928748427</v>
      </c>
      <c r="AW72" s="41">
        <v>0</v>
      </c>
      <c r="AX72" s="41">
        <v>0</v>
      </c>
      <c r="AY72" s="41">
        <f t="shared" si="15"/>
        <v>515607.99</v>
      </c>
      <c r="AZ72" s="41">
        <f>VLOOKUP(G72,'2017'!A:B,2,0)</f>
        <v>150899.08000000002</v>
      </c>
      <c r="BA72" s="552">
        <f t="shared" si="42"/>
        <v>-364708.91</v>
      </c>
      <c r="BB72" s="41">
        <v>775862.36</v>
      </c>
      <c r="BC72" s="41">
        <v>672028.23</v>
      </c>
      <c r="BD72" s="41">
        <v>657800.28</v>
      </c>
      <c r="BE72" s="41">
        <v>676517.28</v>
      </c>
      <c r="BF72" s="41">
        <v>663215.85000000009</v>
      </c>
      <c r="BG72" s="41">
        <v>164181.01</v>
      </c>
      <c r="BH72" s="41">
        <v>0</v>
      </c>
      <c r="BI72" s="41">
        <v>4125213.0000000009</v>
      </c>
      <c r="BJ72" s="75"/>
      <c r="BK72" s="25"/>
    </row>
    <row r="73" spans="1:64" s="8" customFormat="1" ht="63" x14ac:dyDescent="0.25">
      <c r="A73" s="11" t="s">
        <v>172</v>
      </c>
      <c r="B73" s="11" t="s">
        <v>173</v>
      </c>
      <c r="C73" s="14" t="s">
        <v>579</v>
      </c>
      <c r="D73" s="11" t="s">
        <v>3</v>
      </c>
      <c r="E73" s="11" t="s">
        <v>29</v>
      </c>
      <c r="F73" s="11" t="s">
        <v>5</v>
      </c>
      <c r="G73" s="44" t="s">
        <v>190</v>
      </c>
      <c r="H73" s="45">
        <v>62</v>
      </c>
      <c r="I73" s="45" t="s">
        <v>172</v>
      </c>
      <c r="J73" s="46" t="s">
        <v>98</v>
      </c>
      <c r="K73" s="46" t="s">
        <v>191</v>
      </c>
      <c r="L73" s="41">
        <v>0</v>
      </c>
      <c r="M73" s="41">
        <v>0</v>
      </c>
      <c r="N73" s="41">
        <v>6264562.7599999998</v>
      </c>
      <c r="O73" s="41">
        <v>0</v>
      </c>
      <c r="P73" s="41">
        <v>0</v>
      </c>
      <c r="Q73" s="41">
        <f t="shared" si="33"/>
        <v>0</v>
      </c>
      <c r="R73" s="41">
        <v>0</v>
      </c>
      <c r="S73" s="41">
        <v>0</v>
      </c>
      <c r="T73" s="41">
        <f t="shared" si="34"/>
        <v>0</v>
      </c>
      <c r="U73" s="41">
        <v>1944909.51</v>
      </c>
      <c r="V73" s="41">
        <v>1944909.51</v>
      </c>
      <c r="W73" s="41">
        <f t="shared" si="35"/>
        <v>0</v>
      </c>
      <c r="X73" s="41">
        <v>0</v>
      </c>
      <c r="Y73" s="41">
        <v>0</v>
      </c>
      <c r="Z73" s="41">
        <f t="shared" si="36"/>
        <v>0</v>
      </c>
      <c r="AA73" s="41">
        <v>0</v>
      </c>
      <c r="AB73" s="41">
        <v>0</v>
      </c>
      <c r="AC73" s="41">
        <f t="shared" si="37"/>
        <v>0</v>
      </c>
      <c r="AD73" s="41">
        <v>0</v>
      </c>
      <c r="AE73" s="41">
        <v>0</v>
      </c>
      <c r="AF73" s="41">
        <f t="shared" si="38"/>
        <v>0</v>
      </c>
      <c r="AG73" s="41">
        <v>0</v>
      </c>
      <c r="AH73" s="41">
        <v>0</v>
      </c>
      <c r="AI73" s="41">
        <f t="shared" si="39"/>
        <v>0</v>
      </c>
      <c r="AJ73" s="41">
        <v>0</v>
      </c>
      <c r="AK73" s="41">
        <v>0</v>
      </c>
      <c r="AL73" s="41">
        <f t="shared" si="40"/>
        <v>0</v>
      </c>
      <c r="AM73" s="41">
        <v>2782399.35</v>
      </c>
      <c r="AN73" s="41">
        <v>2402107.29</v>
      </c>
      <c r="AO73" s="41">
        <f t="shared" si="41"/>
        <v>-380292.06000000006</v>
      </c>
      <c r="AP73" s="41">
        <v>0</v>
      </c>
      <c r="AQ73" s="41">
        <f>IFERROR(VLOOKUP(G73,'10'!A:B,2,0),0)</f>
        <v>0</v>
      </c>
      <c r="AR73" s="41">
        <f t="shared" si="12"/>
        <v>0</v>
      </c>
      <c r="AS73" s="41">
        <f t="shared" si="18"/>
        <v>4727308.8600000003</v>
      </c>
      <c r="AT73" s="41">
        <f>AN73+AK73+AH73+AE73+AB73+-Y73+V73+S73+P73+AQ73</f>
        <v>4347016.8</v>
      </c>
      <c r="AU73" s="522">
        <f t="shared" si="17"/>
        <v>-380292.06000000006</v>
      </c>
      <c r="AV73" s="459">
        <f t="shared" si="30"/>
        <v>0.91955421757655142</v>
      </c>
      <c r="AW73" s="41">
        <v>0</v>
      </c>
      <c r="AX73" s="41">
        <v>1159230.1399999999</v>
      </c>
      <c r="AY73" s="41">
        <f t="shared" si="15"/>
        <v>5886539</v>
      </c>
      <c r="AZ73" s="41">
        <f>VLOOKUP(G73,'2017'!A:B,2,0)</f>
        <v>4807208.5</v>
      </c>
      <c r="BA73" s="550">
        <f t="shared" si="42"/>
        <v>-1079330.5</v>
      </c>
      <c r="BB73" s="41">
        <v>0</v>
      </c>
      <c r="BC73" s="41">
        <v>0</v>
      </c>
      <c r="BD73" s="41">
        <v>0</v>
      </c>
      <c r="BE73" s="41">
        <v>0</v>
      </c>
      <c r="BF73" s="41">
        <v>0</v>
      </c>
      <c r="BG73" s="41">
        <v>0</v>
      </c>
      <c r="BH73" s="41">
        <v>0</v>
      </c>
      <c r="BI73" s="41">
        <v>12151101.76</v>
      </c>
      <c r="BJ73" s="75"/>
      <c r="BK73" s="24"/>
      <c r="BL73" s="10"/>
    </row>
    <row r="74" spans="1:64" s="10" customFormat="1" ht="63" x14ac:dyDescent="0.25">
      <c r="A74" s="11" t="s">
        <v>172</v>
      </c>
      <c r="B74" s="11" t="s">
        <v>173</v>
      </c>
      <c r="C74" s="14" t="s">
        <v>579</v>
      </c>
      <c r="D74" s="11" t="s">
        <v>3</v>
      </c>
      <c r="E74" s="11" t="s">
        <v>29</v>
      </c>
      <c r="F74" s="11" t="s">
        <v>5</v>
      </c>
      <c r="G74" s="44" t="s">
        <v>192</v>
      </c>
      <c r="H74" s="45">
        <v>63</v>
      </c>
      <c r="I74" s="45" t="s">
        <v>172</v>
      </c>
      <c r="J74" s="46" t="s">
        <v>98</v>
      </c>
      <c r="K74" s="46" t="s">
        <v>193</v>
      </c>
      <c r="L74" s="41">
        <v>0</v>
      </c>
      <c r="M74" s="41">
        <v>0</v>
      </c>
      <c r="N74" s="41">
        <v>2720576.09</v>
      </c>
      <c r="O74" s="41">
        <v>0</v>
      </c>
      <c r="P74" s="41">
        <v>0</v>
      </c>
      <c r="Q74" s="41">
        <f t="shared" si="33"/>
        <v>0</v>
      </c>
      <c r="R74" s="41">
        <v>0</v>
      </c>
      <c r="S74" s="41">
        <v>0</v>
      </c>
      <c r="T74" s="41">
        <f t="shared" si="34"/>
        <v>0</v>
      </c>
      <c r="U74" s="41">
        <v>753718.47</v>
      </c>
      <c r="V74" s="41">
        <v>753718.47</v>
      </c>
      <c r="W74" s="41">
        <f t="shared" si="35"/>
        <v>0</v>
      </c>
      <c r="X74" s="41">
        <v>0</v>
      </c>
      <c r="Y74" s="41">
        <v>0</v>
      </c>
      <c r="Z74" s="41">
        <f t="shared" si="36"/>
        <v>0</v>
      </c>
      <c r="AA74" s="41">
        <v>0</v>
      </c>
      <c r="AB74" s="41">
        <v>0</v>
      </c>
      <c r="AC74" s="41">
        <f t="shared" si="37"/>
        <v>0</v>
      </c>
      <c r="AD74" s="41">
        <v>0</v>
      </c>
      <c r="AE74" s="41">
        <v>0</v>
      </c>
      <c r="AF74" s="41">
        <f t="shared" si="38"/>
        <v>0</v>
      </c>
      <c r="AG74" s="41">
        <v>0</v>
      </c>
      <c r="AH74" s="41">
        <v>0</v>
      </c>
      <c r="AI74" s="41">
        <f t="shared" si="39"/>
        <v>0</v>
      </c>
      <c r="AJ74" s="41">
        <v>0</v>
      </c>
      <c r="AK74" s="41">
        <v>0</v>
      </c>
      <c r="AL74" s="41">
        <f t="shared" si="40"/>
        <v>0</v>
      </c>
      <c r="AM74" s="41">
        <v>1622807.25</v>
      </c>
      <c r="AN74" s="41">
        <v>1259355.18</v>
      </c>
      <c r="AO74" s="41">
        <f t="shared" si="41"/>
        <v>-363452.07000000007</v>
      </c>
      <c r="AP74" s="41">
        <v>0</v>
      </c>
      <c r="AQ74" s="41">
        <f>IFERROR(VLOOKUP(G74,'10'!A:B,2,0),0)</f>
        <v>0</v>
      </c>
      <c r="AR74" s="41">
        <f t="shared" si="12"/>
        <v>0</v>
      </c>
      <c r="AS74" s="41">
        <f t="shared" si="18"/>
        <v>2376525.7199999997</v>
      </c>
      <c r="AT74" s="41">
        <f>AN74+AK74+AH74+AE74+AB74+-Y74+V74+S74+P74+AQ74</f>
        <v>2013073.65</v>
      </c>
      <c r="AU74" s="522">
        <f t="shared" si="17"/>
        <v>-363452.07000000007</v>
      </c>
      <c r="AV74" s="459">
        <f t="shared" si="30"/>
        <v>0.84706579569439722</v>
      </c>
      <c r="AW74" s="41">
        <v>0</v>
      </c>
      <c r="AX74" s="41">
        <v>988426.75</v>
      </c>
      <c r="AY74" s="41">
        <f t="shared" si="15"/>
        <v>3364952.4699999997</v>
      </c>
      <c r="AZ74" s="41">
        <f>VLOOKUP(G74,'2017'!A:B,2,0)</f>
        <v>3364952.4699999997</v>
      </c>
      <c r="BA74" s="552">
        <f t="shared" si="42"/>
        <v>0</v>
      </c>
      <c r="BB74" s="41">
        <v>500950.02</v>
      </c>
      <c r="BC74" s="41">
        <v>0</v>
      </c>
      <c r="BD74" s="41">
        <v>0</v>
      </c>
      <c r="BE74" s="41">
        <v>0</v>
      </c>
      <c r="BF74" s="41">
        <v>0</v>
      </c>
      <c r="BG74" s="41">
        <v>0</v>
      </c>
      <c r="BH74" s="41">
        <v>0</v>
      </c>
      <c r="BI74" s="41">
        <v>6586478.5800000001</v>
      </c>
      <c r="BJ74" s="75"/>
      <c r="BK74" s="24"/>
    </row>
    <row r="75" spans="1:64" s="10" customFormat="1" ht="47.25" x14ac:dyDescent="0.25">
      <c r="A75" s="490" t="s">
        <v>150</v>
      </c>
      <c r="B75" s="490" t="s">
        <v>151</v>
      </c>
      <c r="C75" s="491" t="s">
        <v>578</v>
      </c>
      <c r="D75" s="490" t="s">
        <v>3</v>
      </c>
      <c r="E75" s="490" t="s">
        <v>29</v>
      </c>
      <c r="F75" s="490" t="s">
        <v>102</v>
      </c>
      <c r="G75" s="478" t="s">
        <v>627</v>
      </c>
      <c r="H75" s="45">
        <v>64</v>
      </c>
      <c r="I75" s="45" t="s">
        <v>150</v>
      </c>
      <c r="J75" s="489" t="s">
        <v>98</v>
      </c>
      <c r="K75" s="489" t="s">
        <v>628</v>
      </c>
      <c r="L75" s="40">
        <v>0</v>
      </c>
      <c r="M75" s="40">
        <v>1818178.5600000001</v>
      </c>
      <c r="N75" s="40">
        <v>9496003.2400000002</v>
      </c>
      <c r="O75" s="40">
        <v>660990.02</v>
      </c>
      <c r="P75" s="40">
        <v>661109.02</v>
      </c>
      <c r="Q75" s="41">
        <f t="shared" si="33"/>
        <v>119</v>
      </c>
      <c r="R75" s="40">
        <v>0</v>
      </c>
      <c r="S75" s="40">
        <v>0</v>
      </c>
      <c r="T75" s="41">
        <f t="shared" si="34"/>
        <v>0</v>
      </c>
      <c r="U75" s="40">
        <v>0</v>
      </c>
      <c r="V75" s="40">
        <v>0</v>
      </c>
      <c r="W75" s="41">
        <f t="shared" si="35"/>
        <v>0</v>
      </c>
      <c r="X75" s="40">
        <v>0</v>
      </c>
      <c r="Y75" s="40">
        <v>100807.42</v>
      </c>
      <c r="Z75" s="41">
        <f t="shared" si="36"/>
        <v>100807.42</v>
      </c>
      <c r="AA75" s="40">
        <v>0</v>
      </c>
      <c r="AB75" s="40">
        <v>0</v>
      </c>
      <c r="AC75" s="41">
        <f t="shared" si="37"/>
        <v>0</v>
      </c>
      <c r="AD75" s="40">
        <v>0</v>
      </c>
      <c r="AE75" s="41">
        <v>0</v>
      </c>
      <c r="AF75" s="41">
        <f t="shared" si="38"/>
        <v>0</v>
      </c>
      <c r="AG75" s="40">
        <v>557302.92000000004</v>
      </c>
      <c r="AH75" s="41">
        <v>0</v>
      </c>
      <c r="AI75" s="41">
        <f t="shared" si="39"/>
        <v>-557302.92000000004</v>
      </c>
      <c r="AJ75" s="40">
        <v>0</v>
      </c>
      <c r="AK75" s="41">
        <v>0</v>
      </c>
      <c r="AL75" s="41">
        <f t="shared" si="40"/>
        <v>0</v>
      </c>
      <c r="AM75" s="40">
        <v>0</v>
      </c>
      <c r="AN75" s="41">
        <v>0</v>
      </c>
      <c r="AO75" s="41">
        <f t="shared" si="41"/>
        <v>0</v>
      </c>
      <c r="AP75" s="40">
        <v>0</v>
      </c>
      <c r="AQ75" s="41">
        <f>IFERROR(VLOOKUP(G75,'10'!A:B,2,0),0)</f>
        <v>119189.24</v>
      </c>
      <c r="AR75" s="41">
        <f t="shared" si="12"/>
        <v>119189.24</v>
      </c>
      <c r="AS75" s="41">
        <f t="shared" si="18"/>
        <v>1218292.94</v>
      </c>
      <c r="AT75" s="41">
        <f t="shared" ref="AT75:AT80" si="44">AN75+AK75+AH75+AE75+AB75+Y75+V75+S75+P75+AQ75</f>
        <v>881105.68</v>
      </c>
      <c r="AU75" s="522">
        <f t="shared" si="17"/>
        <v>-337187.26000000007</v>
      </c>
      <c r="AV75" s="459">
        <f t="shared" si="30"/>
        <v>0.72322973487804998</v>
      </c>
      <c r="AW75" s="40">
        <v>0</v>
      </c>
      <c r="AX75" s="40">
        <v>0</v>
      </c>
      <c r="AY75" s="41">
        <f t="shared" si="15"/>
        <v>1218292.94</v>
      </c>
      <c r="AZ75" s="41">
        <f>VLOOKUP(G75,'2017'!A:B,2,0)</f>
        <v>881105.68</v>
      </c>
      <c r="BA75" s="552">
        <f t="shared" si="42"/>
        <v>-337187.25999999989</v>
      </c>
      <c r="BB75" s="40">
        <v>0</v>
      </c>
      <c r="BC75" s="40">
        <v>0</v>
      </c>
      <c r="BD75" s="40">
        <v>0</v>
      </c>
      <c r="BE75" s="40">
        <v>0</v>
      </c>
      <c r="BF75" s="40">
        <v>0</v>
      </c>
      <c r="BG75" s="40">
        <v>0</v>
      </c>
      <c r="BH75" s="40">
        <v>0</v>
      </c>
      <c r="BI75" s="40">
        <v>12532474.74</v>
      </c>
      <c r="BJ75" s="423"/>
      <c r="BK75" s="24"/>
      <c r="BL75" s="432"/>
    </row>
    <row r="76" spans="1:64" s="10" customFormat="1" ht="31.5" x14ac:dyDescent="0.25">
      <c r="A76" s="11" t="s">
        <v>346</v>
      </c>
      <c r="B76" s="11" t="s">
        <v>347</v>
      </c>
      <c r="C76" s="14" t="s">
        <v>597</v>
      </c>
      <c r="D76" s="11" t="s">
        <v>3</v>
      </c>
      <c r="E76" s="11" t="s">
        <v>342</v>
      </c>
      <c r="F76" s="11" t="s">
        <v>77</v>
      </c>
      <c r="G76" s="44" t="s">
        <v>348</v>
      </c>
      <c r="H76" s="45">
        <v>65</v>
      </c>
      <c r="I76" s="45" t="s">
        <v>346</v>
      </c>
      <c r="J76" s="46" t="s">
        <v>344</v>
      </c>
      <c r="K76" s="46" t="s">
        <v>349</v>
      </c>
      <c r="L76" s="41">
        <v>0</v>
      </c>
      <c r="M76" s="41">
        <v>0</v>
      </c>
      <c r="N76" s="41">
        <v>0</v>
      </c>
      <c r="O76" s="41">
        <v>0</v>
      </c>
      <c r="P76" s="41">
        <v>0</v>
      </c>
      <c r="Q76" s="41">
        <f t="shared" si="33"/>
        <v>0</v>
      </c>
      <c r="R76" s="41">
        <v>0</v>
      </c>
      <c r="S76" s="41">
        <v>0</v>
      </c>
      <c r="T76" s="41">
        <f t="shared" si="34"/>
        <v>0</v>
      </c>
      <c r="U76" s="41">
        <v>0</v>
      </c>
      <c r="V76" s="41">
        <v>0</v>
      </c>
      <c r="W76" s="41">
        <f t="shared" si="35"/>
        <v>0</v>
      </c>
      <c r="X76" s="41">
        <v>181037.59</v>
      </c>
      <c r="Y76" s="41">
        <v>72105.440000000002</v>
      </c>
      <c r="Z76" s="41">
        <f t="shared" si="36"/>
        <v>-108932.15</v>
      </c>
      <c r="AA76" s="41">
        <v>0</v>
      </c>
      <c r="AB76" s="41">
        <v>0</v>
      </c>
      <c r="AC76" s="41">
        <f t="shared" si="37"/>
        <v>0</v>
      </c>
      <c r="AD76" s="41">
        <v>0</v>
      </c>
      <c r="AE76" s="41">
        <v>0</v>
      </c>
      <c r="AF76" s="41">
        <f t="shared" si="38"/>
        <v>0</v>
      </c>
      <c r="AG76" s="41">
        <v>146404.35</v>
      </c>
      <c r="AH76" s="41">
        <v>66937.789999999994</v>
      </c>
      <c r="AI76" s="41">
        <f t="shared" si="39"/>
        <v>-79466.560000000012</v>
      </c>
      <c r="AJ76" s="41">
        <v>0</v>
      </c>
      <c r="AK76" s="41">
        <v>0</v>
      </c>
      <c r="AL76" s="41">
        <f t="shared" si="40"/>
        <v>0</v>
      </c>
      <c r="AM76" s="41">
        <v>0</v>
      </c>
      <c r="AN76" s="41">
        <v>0</v>
      </c>
      <c r="AO76" s="41">
        <f t="shared" si="41"/>
        <v>0</v>
      </c>
      <c r="AP76" s="41">
        <v>227015.28</v>
      </c>
      <c r="AQ76" s="41">
        <f>IFERROR(VLOOKUP(G76,'10'!A:B,2,0),0)</f>
        <v>83990.46</v>
      </c>
      <c r="AR76" s="41">
        <f t="shared" ref="AR76:AR139" si="45">AQ76-AP76</f>
        <v>-143024.82</v>
      </c>
      <c r="AS76" s="41">
        <f t="shared" si="18"/>
        <v>554457.22</v>
      </c>
      <c r="AT76" s="41">
        <f t="shared" si="44"/>
        <v>223033.69</v>
      </c>
      <c r="AU76" s="522">
        <f t="shared" si="17"/>
        <v>-331423.53000000003</v>
      </c>
      <c r="AV76" s="459">
        <f t="shared" ref="AV76:AV91" si="46">AT76/AS76</f>
        <v>0.40225590353030305</v>
      </c>
      <c r="AW76" s="41">
        <v>0</v>
      </c>
      <c r="AX76" s="41">
        <v>0</v>
      </c>
      <c r="AY76" s="41">
        <f t="shared" ref="AY76:AY139" si="47">AX76+AW76+AP76+AM76+AJ76+AG76+AA76+X76+U76+R76+O76+AD76</f>
        <v>554457.22</v>
      </c>
      <c r="AZ76" s="41">
        <f>VLOOKUP(G76,'2017'!A:B,2,0)</f>
        <v>223033.69</v>
      </c>
      <c r="BA76" s="552">
        <f t="shared" si="42"/>
        <v>-331423.52999999997</v>
      </c>
      <c r="BB76" s="41">
        <v>801868.65999999992</v>
      </c>
      <c r="BC76" s="41">
        <v>505456.75</v>
      </c>
      <c r="BD76" s="41">
        <v>463633.63999999996</v>
      </c>
      <c r="BE76" s="41">
        <v>472989.6</v>
      </c>
      <c r="BF76" s="41">
        <v>461535.42000000004</v>
      </c>
      <c r="BG76" s="41">
        <v>114118.71</v>
      </c>
      <c r="BH76" s="41">
        <v>0</v>
      </c>
      <c r="BI76" s="41">
        <v>3374060</v>
      </c>
      <c r="BJ76" s="75"/>
      <c r="BK76" s="25"/>
    </row>
    <row r="77" spans="1:64" s="10" customFormat="1" ht="63" x14ac:dyDescent="0.2">
      <c r="A77" s="11" t="s">
        <v>172</v>
      </c>
      <c r="B77" s="11" t="s">
        <v>173</v>
      </c>
      <c r="C77" s="14" t="s">
        <v>579</v>
      </c>
      <c r="D77" s="11" t="s">
        <v>3</v>
      </c>
      <c r="E77" s="11" t="s">
        <v>29</v>
      </c>
      <c r="F77" s="11" t="s">
        <v>5</v>
      </c>
      <c r="G77" s="44" t="s">
        <v>196</v>
      </c>
      <c r="H77" s="45">
        <v>66</v>
      </c>
      <c r="I77" s="45" t="s">
        <v>172</v>
      </c>
      <c r="J77" s="46" t="s">
        <v>98</v>
      </c>
      <c r="K77" s="46" t="s">
        <v>197</v>
      </c>
      <c r="L77" s="41">
        <v>0</v>
      </c>
      <c r="M77" s="41">
        <v>0</v>
      </c>
      <c r="N77" s="41">
        <v>679941.73</v>
      </c>
      <c r="O77" s="41">
        <v>595647.91</v>
      </c>
      <c r="P77" s="41">
        <v>595647.91</v>
      </c>
      <c r="Q77" s="41">
        <f t="shared" si="33"/>
        <v>0</v>
      </c>
      <c r="R77" s="41">
        <v>0</v>
      </c>
      <c r="S77" s="41">
        <v>0</v>
      </c>
      <c r="T77" s="41">
        <f t="shared" si="34"/>
        <v>0</v>
      </c>
      <c r="U77" s="41">
        <v>0</v>
      </c>
      <c r="V77" s="41">
        <v>0</v>
      </c>
      <c r="W77" s="41">
        <f t="shared" si="35"/>
        <v>0</v>
      </c>
      <c r="X77" s="41">
        <v>463975.73</v>
      </c>
      <c r="Y77" s="41">
        <v>492395.32</v>
      </c>
      <c r="Z77" s="41">
        <f t="shared" si="36"/>
        <v>28419.590000000026</v>
      </c>
      <c r="AA77" s="41">
        <v>0</v>
      </c>
      <c r="AB77" s="41">
        <v>0</v>
      </c>
      <c r="AC77" s="41">
        <f t="shared" si="37"/>
        <v>0</v>
      </c>
      <c r="AD77" s="41">
        <v>0</v>
      </c>
      <c r="AE77" s="41">
        <v>0</v>
      </c>
      <c r="AF77" s="41">
        <f t="shared" si="38"/>
        <v>0</v>
      </c>
      <c r="AG77" s="41">
        <v>607847.75</v>
      </c>
      <c r="AH77" s="41">
        <v>502506.7</v>
      </c>
      <c r="AI77" s="41">
        <f t="shared" si="39"/>
        <v>-105341.04999999999</v>
      </c>
      <c r="AJ77" s="41">
        <v>0</v>
      </c>
      <c r="AK77" s="41">
        <v>0</v>
      </c>
      <c r="AL77" s="41">
        <f t="shared" si="40"/>
        <v>0</v>
      </c>
      <c r="AM77" s="41">
        <v>0</v>
      </c>
      <c r="AN77" s="41">
        <v>0</v>
      </c>
      <c r="AO77" s="41">
        <f t="shared" si="41"/>
        <v>0</v>
      </c>
      <c r="AP77" s="41">
        <v>673500.42</v>
      </c>
      <c r="AQ77" s="41">
        <f>IFERROR(VLOOKUP(G77,'10'!A:B,2,0),0)</f>
        <v>422217.29</v>
      </c>
      <c r="AR77" s="41">
        <f t="shared" si="45"/>
        <v>-251283.13000000006</v>
      </c>
      <c r="AS77" s="41">
        <f t="shared" si="18"/>
        <v>2340971.81</v>
      </c>
      <c r="AT77" s="41">
        <f t="shared" si="44"/>
        <v>2012767.2200000002</v>
      </c>
      <c r="AU77" s="522">
        <f t="shared" ref="AU77:AU140" si="48">AO77+AL77+AI77+AF77+AC77+Z77+W77+T77+Q77+AR77</f>
        <v>-328204.59000000003</v>
      </c>
      <c r="AV77" s="459">
        <f t="shared" si="46"/>
        <v>0.85979985380515977</v>
      </c>
      <c r="AW77" s="41">
        <v>0</v>
      </c>
      <c r="AX77" s="41">
        <v>0</v>
      </c>
      <c r="AY77" s="41">
        <f t="shared" si="47"/>
        <v>2340971.81</v>
      </c>
      <c r="AZ77" s="41">
        <f>VLOOKUP(G77,'2017'!A:B,2,0)</f>
        <v>2012767.2200000002</v>
      </c>
      <c r="BA77" s="552">
        <f t="shared" si="42"/>
        <v>-328204.58999999985</v>
      </c>
      <c r="BB77" s="41">
        <v>141404.29999999999</v>
      </c>
      <c r="BC77" s="41">
        <v>0</v>
      </c>
      <c r="BD77" s="41">
        <v>0</v>
      </c>
      <c r="BE77" s="41">
        <v>0</v>
      </c>
      <c r="BF77" s="41">
        <v>0</v>
      </c>
      <c r="BG77" s="41">
        <v>0</v>
      </c>
      <c r="BH77" s="41">
        <v>0</v>
      </c>
      <c r="BI77" s="41">
        <v>3162317.84</v>
      </c>
      <c r="BJ77" s="75"/>
      <c r="BK77" s="11"/>
    </row>
    <row r="78" spans="1:64" s="10" customFormat="1" ht="63" x14ac:dyDescent="0.25">
      <c r="A78" s="470" t="s">
        <v>233</v>
      </c>
      <c r="B78" s="470" t="s">
        <v>234</v>
      </c>
      <c r="C78" s="471" t="s">
        <v>583</v>
      </c>
      <c r="D78" s="470">
        <v>2</v>
      </c>
      <c r="E78" s="470" t="s">
        <v>4</v>
      </c>
      <c r="F78" s="470" t="s">
        <v>5</v>
      </c>
      <c r="G78" s="43" t="s">
        <v>273</v>
      </c>
      <c r="H78" s="45">
        <v>67</v>
      </c>
      <c r="I78" s="45" t="s">
        <v>233</v>
      </c>
      <c r="J78" s="475" t="s">
        <v>274</v>
      </c>
      <c r="K78" s="475" t="s">
        <v>275</v>
      </c>
      <c r="L78" s="41">
        <v>0</v>
      </c>
      <c r="M78" s="41">
        <v>0</v>
      </c>
      <c r="N78" s="41">
        <v>0</v>
      </c>
      <c r="O78" s="41">
        <v>0</v>
      </c>
      <c r="P78" s="41">
        <v>0</v>
      </c>
      <c r="Q78" s="41">
        <f t="shared" si="33"/>
        <v>0</v>
      </c>
      <c r="R78" s="41">
        <v>0</v>
      </c>
      <c r="S78" s="41">
        <v>0</v>
      </c>
      <c r="T78" s="41">
        <f t="shared" si="34"/>
        <v>0</v>
      </c>
      <c r="U78" s="41">
        <v>0</v>
      </c>
      <c r="V78" s="41">
        <v>0</v>
      </c>
      <c r="W78" s="41">
        <f t="shared" si="35"/>
        <v>0</v>
      </c>
      <c r="X78" s="41">
        <v>2003115.95</v>
      </c>
      <c r="Y78" s="41">
        <v>2220264.84</v>
      </c>
      <c r="Z78" s="41">
        <f t="shared" si="36"/>
        <v>217148.8899999999</v>
      </c>
      <c r="AA78" s="41">
        <v>0</v>
      </c>
      <c r="AB78" s="41">
        <v>0</v>
      </c>
      <c r="AC78" s="41">
        <f t="shared" si="37"/>
        <v>0</v>
      </c>
      <c r="AD78" s="41">
        <v>0</v>
      </c>
      <c r="AE78" s="41">
        <v>0</v>
      </c>
      <c r="AF78" s="41">
        <f t="shared" si="38"/>
        <v>0</v>
      </c>
      <c r="AG78" s="41">
        <v>104574.65</v>
      </c>
      <c r="AH78" s="41">
        <v>185008.39</v>
      </c>
      <c r="AI78" s="41">
        <f t="shared" si="39"/>
        <v>80433.74000000002</v>
      </c>
      <c r="AJ78" s="41">
        <v>0</v>
      </c>
      <c r="AK78" s="41">
        <v>0</v>
      </c>
      <c r="AL78" s="41">
        <f t="shared" si="40"/>
        <v>0</v>
      </c>
      <c r="AM78" s="41">
        <v>0</v>
      </c>
      <c r="AN78" s="41">
        <v>108385.16</v>
      </c>
      <c r="AO78" s="41">
        <f t="shared" si="41"/>
        <v>108385.16</v>
      </c>
      <c r="AP78" s="41">
        <v>730698.25</v>
      </c>
      <c r="AQ78" s="41">
        <f>IFERROR(VLOOKUP(G78,'10'!A:B,2,0),0)</f>
        <v>0</v>
      </c>
      <c r="AR78" s="41">
        <f t="shared" si="45"/>
        <v>-730698.25</v>
      </c>
      <c r="AS78" s="41">
        <f t="shared" si="18"/>
        <v>2838388.85</v>
      </c>
      <c r="AT78" s="41">
        <f t="shared" si="44"/>
        <v>2513658.3899999997</v>
      </c>
      <c r="AU78" s="522">
        <f t="shared" si="48"/>
        <v>-324730.46000000008</v>
      </c>
      <c r="AV78" s="459">
        <f t="shared" si="46"/>
        <v>0.88559338513466879</v>
      </c>
      <c r="AW78" s="41">
        <v>0</v>
      </c>
      <c r="AX78" s="41">
        <v>0</v>
      </c>
      <c r="AY78" s="41">
        <f t="shared" si="47"/>
        <v>2838388.85</v>
      </c>
      <c r="AZ78" s="41">
        <f>VLOOKUP(G78,'2017'!A:B,2,0)</f>
        <v>2683879.3199999998</v>
      </c>
      <c r="BA78" s="552">
        <f t="shared" si="42"/>
        <v>-154509.53000000026</v>
      </c>
      <c r="BB78" s="41">
        <v>5538249.7999999998</v>
      </c>
      <c r="BC78" s="41">
        <v>930738.95</v>
      </c>
      <c r="BD78" s="41">
        <v>0</v>
      </c>
      <c r="BE78" s="41">
        <v>0</v>
      </c>
      <c r="BF78" s="41">
        <v>0</v>
      </c>
      <c r="BG78" s="41">
        <v>0</v>
      </c>
      <c r="BH78" s="41">
        <v>0</v>
      </c>
      <c r="BI78" s="41">
        <v>9307377.5999999996</v>
      </c>
      <c r="BJ78" s="423"/>
      <c r="BK78" s="150"/>
      <c r="BL78" s="432"/>
    </row>
    <row r="79" spans="1:64" s="10" customFormat="1" ht="60.75" customHeight="1" x14ac:dyDescent="0.25">
      <c r="A79" s="11" t="s">
        <v>133</v>
      </c>
      <c r="B79" s="11" t="s">
        <v>134</v>
      </c>
      <c r="C79" s="14" t="s">
        <v>575</v>
      </c>
      <c r="D79" s="11">
        <v>1</v>
      </c>
      <c r="E79" s="11" t="s">
        <v>35</v>
      </c>
      <c r="F79" s="11" t="s">
        <v>102</v>
      </c>
      <c r="G79" s="44" t="s">
        <v>135</v>
      </c>
      <c r="H79" s="45">
        <v>68</v>
      </c>
      <c r="I79" s="45" t="s">
        <v>133</v>
      </c>
      <c r="J79" s="46" t="s">
        <v>136</v>
      </c>
      <c r="K79" s="46" t="s">
        <v>137</v>
      </c>
      <c r="L79" s="41">
        <v>0</v>
      </c>
      <c r="M79" s="41">
        <v>0</v>
      </c>
      <c r="N79" s="41">
        <v>0</v>
      </c>
      <c r="O79" s="41">
        <v>52289.599999999999</v>
      </c>
      <c r="P79" s="41">
        <v>52289.599999999999</v>
      </c>
      <c r="Q79" s="41">
        <f t="shared" si="33"/>
        <v>0</v>
      </c>
      <c r="R79" s="41">
        <v>0</v>
      </c>
      <c r="S79" s="41">
        <v>0</v>
      </c>
      <c r="T79" s="41">
        <f t="shared" si="34"/>
        <v>0</v>
      </c>
      <c r="U79" s="41">
        <v>0</v>
      </c>
      <c r="V79" s="41">
        <v>0</v>
      </c>
      <c r="W79" s="41">
        <f t="shared" si="35"/>
        <v>0</v>
      </c>
      <c r="X79" s="41">
        <v>25194.14</v>
      </c>
      <c r="Y79" s="41">
        <v>25194.14</v>
      </c>
      <c r="Z79" s="41">
        <f t="shared" si="36"/>
        <v>0</v>
      </c>
      <c r="AA79" s="41">
        <v>0</v>
      </c>
      <c r="AB79" s="41">
        <v>0</v>
      </c>
      <c r="AC79" s="41">
        <f t="shared" si="37"/>
        <v>0</v>
      </c>
      <c r="AD79" s="41">
        <v>0</v>
      </c>
      <c r="AE79" s="41">
        <v>0</v>
      </c>
      <c r="AF79" s="41">
        <f t="shared" si="38"/>
        <v>0</v>
      </c>
      <c r="AG79" s="41">
        <v>668171.78</v>
      </c>
      <c r="AH79" s="41">
        <v>347924.35</v>
      </c>
      <c r="AI79" s="41">
        <f t="shared" si="39"/>
        <v>-320247.43000000005</v>
      </c>
      <c r="AJ79" s="41">
        <v>0</v>
      </c>
      <c r="AK79" s="41">
        <v>0</v>
      </c>
      <c r="AL79" s="41">
        <f t="shared" si="40"/>
        <v>0</v>
      </c>
      <c r="AM79" s="41">
        <v>0</v>
      </c>
      <c r="AN79" s="41">
        <v>0</v>
      </c>
      <c r="AO79" s="41">
        <f t="shared" si="41"/>
        <v>0</v>
      </c>
      <c r="AP79" s="41">
        <v>628831.59</v>
      </c>
      <c r="AQ79" s="41">
        <f>IFERROR(VLOOKUP(G79,'10'!A:B,2,0),0)</f>
        <v>638559.02</v>
      </c>
      <c r="AR79" s="41">
        <f t="shared" si="45"/>
        <v>9727.4300000000512</v>
      </c>
      <c r="AS79" s="41">
        <f t="shared" ref="AS79:AS142" si="49">AM79+AJ79+AG79+AD79+AA79+X79+U79+R79+O79+AP79</f>
        <v>1374487.1099999999</v>
      </c>
      <c r="AT79" s="41">
        <f t="shared" si="44"/>
        <v>1063967.1099999999</v>
      </c>
      <c r="AU79" s="522">
        <f t="shared" si="48"/>
        <v>-310520</v>
      </c>
      <c r="AV79" s="459">
        <f t="shared" si="46"/>
        <v>0.77408300322292578</v>
      </c>
      <c r="AW79" s="41">
        <v>0</v>
      </c>
      <c r="AX79" s="41">
        <v>0</v>
      </c>
      <c r="AY79" s="41">
        <f t="shared" si="47"/>
        <v>1374487.11</v>
      </c>
      <c r="AZ79" s="41">
        <f>VLOOKUP(G79,'2017'!A:B,2,0)</f>
        <v>1063967.1100000001</v>
      </c>
      <c r="BA79" s="552">
        <f t="shared" si="42"/>
        <v>-310520</v>
      </c>
      <c r="BB79" s="41">
        <v>2539951.9300000002</v>
      </c>
      <c r="BC79" s="41">
        <v>2305179.48</v>
      </c>
      <c r="BD79" s="41">
        <v>1855381.48</v>
      </c>
      <c r="BE79" s="41">
        <v>0</v>
      </c>
      <c r="BF79" s="41">
        <v>0</v>
      </c>
      <c r="BG79" s="41">
        <v>0</v>
      </c>
      <c r="BH79" s="41">
        <v>0</v>
      </c>
      <c r="BI79" s="41">
        <v>8075000</v>
      </c>
      <c r="BJ79" s="451" t="s">
        <v>2713</v>
      </c>
      <c r="BK79" s="25" t="s">
        <v>2713</v>
      </c>
      <c r="BL79" s="8"/>
    </row>
    <row r="80" spans="1:64" s="10" customFormat="1" ht="31.5" x14ac:dyDescent="0.2">
      <c r="A80" s="11" t="s">
        <v>119</v>
      </c>
      <c r="B80" s="11" t="s">
        <v>120</v>
      </c>
      <c r="C80" s="14" t="s">
        <v>574</v>
      </c>
      <c r="D80" s="11">
        <v>1</v>
      </c>
      <c r="E80" s="11" t="s">
        <v>35</v>
      </c>
      <c r="F80" s="11" t="s">
        <v>102</v>
      </c>
      <c r="G80" s="44" t="s">
        <v>127</v>
      </c>
      <c r="H80" s="45">
        <v>69</v>
      </c>
      <c r="I80" s="45" t="s">
        <v>119</v>
      </c>
      <c r="J80" s="46" t="s">
        <v>128</v>
      </c>
      <c r="K80" s="46" t="s">
        <v>129</v>
      </c>
      <c r="L80" s="41"/>
      <c r="M80" s="41"/>
      <c r="N80" s="41"/>
      <c r="O80" s="41"/>
      <c r="P80" s="41">
        <v>0</v>
      </c>
      <c r="Q80" s="41">
        <f t="shared" si="33"/>
        <v>0</v>
      </c>
      <c r="R80" s="41"/>
      <c r="S80" s="41">
        <v>0</v>
      </c>
      <c r="T80" s="41">
        <f t="shared" si="34"/>
        <v>0</v>
      </c>
      <c r="U80" s="41"/>
      <c r="V80" s="41">
        <v>0</v>
      </c>
      <c r="W80" s="41">
        <f t="shared" si="35"/>
        <v>0</v>
      </c>
      <c r="X80" s="41">
        <v>421416.31</v>
      </c>
      <c r="Y80" s="41">
        <v>421416.31</v>
      </c>
      <c r="Z80" s="41">
        <f t="shared" si="36"/>
        <v>0</v>
      </c>
      <c r="AA80" s="41"/>
      <c r="AB80" s="41">
        <v>0</v>
      </c>
      <c r="AC80" s="41">
        <f t="shared" si="37"/>
        <v>0</v>
      </c>
      <c r="AD80" s="41">
        <v>64122.16</v>
      </c>
      <c r="AE80" s="41">
        <v>63929.2</v>
      </c>
      <c r="AF80" s="41">
        <f t="shared" si="38"/>
        <v>-192.9600000000064</v>
      </c>
      <c r="AG80" s="41">
        <v>117016.2</v>
      </c>
      <c r="AH80" s="41">
        <v>0</v>
      </c>
      <c r="AI80" s="41">
        <f t="shared" si="39"/>
        <v>-117016.2</v>
      </c>
      <c r="AJ80" s="41">
        <v>221382</v>
      </c>
      <c r="AK80" s="41">
        <v>195912.72</v>
      </c>
      <c r="AL80" s="41">
        <f t="shared" si="40"/>
        <v>-25469.279999999999</v>
      </c>
      <c r="AM80" s="41">
        <v>229850.8</v>
      </c>
      <c r="AN80" s="41">
        <v>0</v>
      </c>
      <c r="AO80" s="41">
        <f t="shared" si="41"/>
        <v>-229850.8</v>
      </c>
      <c r="AP80" s="41">
        <v>221382</v>
      </c>
      <c r="AQ80" s="41">
        <f>IFERROR(VLOOKUP(G80,'10'!A:B,2,0),0)</f>
        <v>286189.98</v>
      </c>
      <c r="AR80" s="41">
        <f t="shared" si="45"/>
        <v>64807.979999999981</v>
      </c>
      <c r="AS80" s="41">
        <f t="shared" si="49"/>
        <v>1275169.47</v>
      </c>
      <c r="AT80" s="41">
        <f t="shared" si="44"/>
        <v>967448.21</v>
      </c>
      <c r="AU80" s="522">
        <f t="shared" si="48"/>
        <v>-307721.26</v>
      </c>
      <c r="AV80" s="459">
        <f t="shared" si="46"/>
        <v>0.75868206756863465</v>
      </c>
      <c r="AW80" s="41">
        <v>208731.6</v>
      </c>
      <c r="AX80" s="41">
        <v>132829.20000000001</v>
      </c>
      <c r="AY80" s="41">
        <f t="shared" si="47"/>
        <v>1616730.27</v>
      </c>
      <c r="AZ80" s="41">
        <f>VLOOKUP(G80,'2017'!A:B,2,0)</f>
        <v>1297356.3699999999</v>
      </c>
      <c r="BA80" s="552">
        <f t="shared" si="42"/>
        <v>-319373.90000000014</v>
      </c>
      <c r="BB80" s="41">
        <v>68897.87</v>
      </c>
      <c r="BC80" s="41">
        <v>0</v>
      </c>
      <c r="BD80" s="41">
        <v>0</v>
      </c>
      <c r="BE80" s="41">
        <v>0</v>
      </c>
      <c r="BF80" s="41">
        <v>140509.20000000001</v>
      </c>
      <c r="BG80" s="41">
        <v>0</v>
      </c>
      <c r="BH80" s="41">
        <v>0</v>
      </c>
      <c r="BI80" s="41">
        <v>1404721.03</v>
      </c>
      <c r="BJ80" s="75"/>
      <c r="BK80" s="11"/>
    </row>
    <row r="81" spans="1:64" s="10" customFormat="1" ht="38.25" x14ac:dyDescent="0.2">
      <c r="A81" s="55" t="s">
        <v>119</v>
      </c>
      <c r="B81" s="55" t="s">
        <v>120</v>
      </c>
      <c r="C81" s="155" t="s">
        <v>574</v>
      </c>
      <c r="D81" s="55">
        <v>2</v>
      </c>
      <c r="E81" s="55" t="s">
        <v>35</v>
      </c>
      <c r="F81" s="55" t="s">
        <v>102</v>
      </c>
      <c r="G81" s="439" t="s">
        <v>2835</v>
      </c>
      <c r="H81" s="45">
        <v>70</v>
      </c>
      <c r="I81" s="45" t="s">
        <v>119</v>
      </c>
      <c r="J81" s="155" t="s">
        <v>1729</v>
      </c>
      <c r="K81" s="440" t="s">
        <v>2867</v>
      </c>
      <c r="L81" s="152">
        <v>0</v>
      </c>
      <c r="M81" s="152">
        <v>0</v>
      </c>
      <c r="N81" s="152">
        <v>0</v>
      </c>
      <c r="O81" s="152">
        <v>0</v>
      </c>
      <c r="P81" s="152">
        <v>0</v>
      </c>
      <c r="Q81" s="152">
        <v>0</v>
      </c>
      <c r="R81" s="152">
        <v>0</v>
      </c>
      <c r="S81" s="152">
        <v>0</v>
      </c>
      <c r="T81" s="152">
        <v>0</v>
      </c>
      <c r="U81" s="152">
        <v>0</v>
      </c>
      <c r="V81" s="152">
        <v>0</v>
      </c>
      <c r="W81" s="152">
        <v>0</v>
      </c>
      <c r="X81" s="152">
        <v>0</v>
      </c>
      <c r="Y81" s="152">
        <v>0</v>
      </c>
      <c r="Z81" s="152">
        <v>0</v>
      </c>
      <c r="AA81" s="152">
        <v>0</v>
      </c>
      <c r="AB81" s="152">
        <v>0</v>
      </c>
      <c r="AC81" s="152">
        <v>0</v>
      </c>
      <c r="AD81" s="152">
        <v>0</v>
      </c>
      <c r="AE81" s="152">
        <v>0</v>
      </c>
      <c r="AF81" s="152">
        <v>0</v>
      </c>
      <c r="AG81" s="152">
        <v>0</v>
      </c>
      <c r="AH81" s="152">
        <v>0</v>
      </c>
      <c r="AI81" s="152">
        <v>0</v>
      </c>
      <c r="AJ81" s="152">
        <v>0</v>
      </c>
      <c r="AK81" s="152">
        <v>0</v>
      </c>
      <c r="AL81" s="152">
        <v>0</v>
      </c>
      <c r="AM81" s="152">
        <v>0</v>
      </c>
      <c r="AN81" s="152">
        <v>0</v>
      </c>
      <c r="AO81" s="152">
        <v>0</v>
      </c>
      <c r="AP81" s="152">
        <v>300000</v>
      </c>
      <c r="AQ81" s="41">
        <f>IFERROR(VLOOKUP(G81,'10'!A:B,2,0),0)</f>
        <v>0</v>
      </c>
      <c r="AR81" s="41">
        <f t="shared" si="45"/>
        <v>-300000</v>
      </c>
      <c r="AS81" s="41">
        <f t="shared" si="49"/>
        <v>300000</v>
      </c>
      <c r="AT81" s="41">
        <f>AN81+AK81+AH81+AE81+AB81+-Y81+V81+S81+P81+AQ81</f>
        <v>0</v>
      </c>
      <c r="AU81" s="522">
        <f t="shared" si="48"/>
        <v>-300000</v>
      </c>
      <c r="AV81" s="459">
        <f t="shared" si="46"/>
        <v>0</v>
      </c>
      <c r="AW81" s="152">
        <v>200000</v>
      </c>
      <c r="AX81" s="152">
        <v>300000</v>
      </c>
      <c r="AY81" s="41">
        <f t="shared" si="47"/>
        <v>800000</v>
      </c>
      <c r="AZ81" s="41"/>
      <c r="BA81" s="550">
        <f t="shared" ref="BA81:BA83" si="50">AZ81-AY81</f>
        <v>-800000</v>
      </c>
      <c r="BB81" s="152">
        <v>2516362</v>
      </c>
      <c r="BC81" s="152">
        <v>0</v>
      </c>
      <c r="BD81" s="152">
        <v>0</v>
      </c>
      <c r="BE81" s="152">
        <v>0</v>
      </c>
      <c r="BF81" s="152">
        <v>0</v>
      </c>
      <c r="BG81" s="152">
        <v>0</v>
      </c>
      <c r="BH81" s="152">
        <v>0</v>
      </c>
      <c r="BI81" s="152">
        <v>3316362</v>
      </c>
      <c r="BJ81" s="459"/>
      <c r="BK81" s="41"/>
      <c r="BL81" s="432"/>
    </row>
    <row r="82" spans="1:64" s="10" customFormat="1" ht="25.5" x14ac:dyDescent="0.2">
      <c r="A82" s="55" t="s">
        <v>2134</v>
      </c>
      <c r="B82" s="55" t="s">
        <v>2136</v>
      </c>
      <c r="C82" s="155" t="s">
        <v>2135</v>
      </c>
      <c r="D82" s="55" t="s">
        <v>2194</v>
      </c>
      <c r="E82" s="55" t="s">
        <v>4</v>
      </c>
      <c r="F82" s="55" t="s">
        <v>5</v>
      </c>
      <c r="G82" s="55" t="s">
        <v>2840</v>
      </c>
      <c r="H82" s="45">
        <v>71</v>
      </c>
      <c r="I82" s="45" t="s">
        <v>2134</v>
      </c>
      <c r="J82" s="155" t="s">
        <v>2198</v>
      </c>
      <c r="K82" s="155" t="s">
        <v>2199</v>
      </c>
      <c r="L82" s="152">
        <v>0</v>
      </c>
      <c r="M82" s="152">
        <v>0</v>
      </c>
      <c r="N82" s="152">
        <v>0</v>
      </c>
      <c r="O82" s="152">
        <v>0</v>
      </c>
      <c r="P82" s="152">
        <v>0</v>
      </c>
      <c r="Q82" s="152">
        <v>0</v>
      </c>
      <c r="R82" s="152">
        <v>0</v>
      </c>
      <c r="S82" s="152">
        <v>0</v>
      </c>
      <c r="T82" s="152">
        <v>0</v>
      </c>
      <c r="U82" s="152">
        <v>0</v>
      </c>
      <c r="V82" s="152">
        <v>0</v>
      </c>
      <c r="W82" s="152">
        <v>0</v>
      </c>
      <c r="X82" s="152">
        <v>0</v>
      </c>
      <c r="Y82" s="152">
        <v>0</v>
      </c>
      <c r="Z82" s="152">
        <v>0</v>
      </c>
      <c r="AA82" s="152">
        <v>0</v>
      </c>
      <c r="AB82" s="152">
        <v>0</v>
      </c>
      <c r="AC82" s="152">
        <v>0</v>
      </c>
      <c r="AD82" s="152">
        <v>0</v>
      </c>
      <c r="AE82" s="152">
        <v>0</v>
      </c>
      <c r="AF82" s="152">
        <v>0</v>
      </c>
      <c r="AG82" s="152">
        <v>0</v>
      </c>
      <c r="AH82" s="152">
        <v>0</v>
      </c>
      <c r="AI82" s="152">
        <v>0</v>
      </c>
      <c r="AJ82" s="152">
        <v>0</v>
      </c>
      <c r="AK82" s="152">
        <v>0</v>
      </c>
      <c r="AL82" s="152">
        <v>0</v>
      </c>
      <c r="AM82" s="152">
        <v>0</v>
      </c>
      <c r="AN82" s="152">
        <v>0</v>
      </c>
      <c r="AO82" s="152">
        <v>0</v>
      </c>
      <c r="AP82" s="152">
        <v>300000</v>
      </c>
      <c r="AQ82" s="41">
        <f>IFERROR(VLOOKUP(G82,'10'!A:B,2,0),0)</f>
        <v>0</v>
      </c>
      <c r="AR82" s="41">
        <f t="shared" si="45"/>
        <v>-300000</v>
      </c>
      <c r="AS82" s="41">
        <f t="shared" si="49"/>
        <v>300000</v>
      </c>
      <c r="AT82" s="41">
        <f>AN82+AK82+AH82+AE82+AB82+-Y82+V82+S82+P82+AQ82</f>
        <v>0</v>
      </c>
      <c r="AU82" s="522">
        <f t="shared" si="48"/>
        <v>-300000</v>
      </c>
      <c r="AV82" s="459">
        <f t="shared" si="46"/>
        <v>0</v>
      </c>
      <c r="AW82" s="152">
        <v>300000</v>
      </c>
      <c r="AX82" s="152">
        <v>300000</v>
      </c>
      <c r="AY82" s="41">
        <f t="shared" si="47"/>
        <v>900000</v>
      </c>
      <c r="AZ82" s="41"/>
      <c r="BA82" s="550">
        <f t="shared" si="50"/>
        <v>-900000</v>
      </c>
      <c r="BB82" s="152">
        <v>1068659</v>
      </c>
      <c r="BC82" s="152">
        <v>0</v>
      </c>
      <c r="BD82" s="152">
        <v>0</v>
      </c>
      <c r="BE82" s="152">
        <v>0</v>
      </c>
      <c r="BF82" s="152">
        <v>0</v>
      </c>
      <c r="BG82" s="152">
        <v>0</v>
      </c>
      <c r="BH82" s="152">
        <v>0</v>
      </c>
      <c r="BI82" s="152">
        <v>1968659</v>
      </c>
      <c r="BJ82" s="459"/>
      <c r="BK82" s="41"/>
      <c r="BL82" s="432"/>
    </row>
    <row r="83" spans="1:64" s="10" customFormat="1" ht="25.5" customHeight="1" x14ac:dyDescent="0.2">
      <c r="A83" s="55" t="s">
        <v>2134</v>
      </c>
      <c r="B83" s="55" t="s">
        <v>2136</v>
      </c>
      <c r="C83" s="155" t="s">
        <v>2135</v>
      </c>
      <c r="D83" s="55">
        <v>1</v>
      </c>
      <c r="E83" s="55" t="s">
        <v>4</v>
      </c>
      <c r="F83" s="55" t="s">
        <v>5</v>
      </c>
      <c r="G83" s="55" t="s">
        <v>2868</v>
      </c>
      <c r="H83" s="45">
        <v>72</v>
      </c>
      <c r="I83" s="45" t="s">
        <v>2134</v>
      </c>
      <c r="J83" s="155" t="s">
        <v>1207</v>
      </c>
      <c r="K83" s="155" t="s">
        <v>2147</v>
      </c>
      <c r="L83" s="152">
        <v>0</v>
      </c>
      <c r="M83" s="152">
        <v>0</v>
      </c>
      <c r="N83" s="152">
        <v>0</v>
      </c>
      <c r="O83" s="152">
        <f t="shared" ref="O83:AM83" si="51">N83+M83+L83</f>
        <v>0</v>
      </c>
      <c r="P83" s="152">
        <f t="shared" si="51"/>
        <v>0</v>
      </c>
      <c r="Q83" s="152">
        <f t="shared" si="51"/>
        <v>0</v>
      </c>
      <c r="R83" s="152">
        <f t="shared" si="51"/>
        <v>0</v>
      </c>
      <c r="S83" s="152">
        <f t="shared" si="51"/>
        <v>0</v>
      </c>
      <c r="T83" s="152">
        <f t="shared" si="51"/>
        <v>0</v>
      </c>
      <c r="U83" s="152">
        <f t="shared" si="51"/>
        <v>0</v>
      </c>
      <c r="V83" s="152">
        <f t="shared" si="51"/>
        <v>0</v>
      </c>
      <c r="W83" s="152">
        <f t="shared" si="51"/>
        <v>0</v>
      </c>
      <c r="X83" s="152">
        <f t="shared" si="51"/>
        <v>0</v>
      </c>
      <c r="Y83" s="152">
        <f t="shared" si="51"/>
        <v>0</v>
      </c>
      <c r="Z83" s="152">
        <f t="shared" si="51"/>
        <v>0</v>
      </c>
      <c r="AA83" s="152">
        <f t="shared" si="51"/>
        <v>0</v>
      </c>
      <c r="AB83" s="152">
        <f t="shared" si="51"/>
        <v>0</v>
      </c>
      <c r="AC83" s="152">
        <f t="shared" si="51"/>
        <v>0</v>
      </c>
      <c r="AD83" s="152">
        <f t="shared" si="51"/>
        <v>0</v>
      </c>
      <c r="AE83" s="152">
        <f t="shared" si="51"/>
        <v>0</v>
      </c>
      <c r="AF83" s="152">
        <f t="shared" si="51"/>
        <v>0</v>
      </c>
      <c r="AG83" s="152">
        <f t="shared" si="51"/>
        <v>0</v>
      </c>
      <c r="AH83" s="152">
        <f t="shared" si="51"/>
        <v>0</v>
      </c>
      <c r="AI83" s="152">
        <f t="shared" si="51"/>
        <v>0</v>
      </c>
      <c r="AJ83" s="152">
        <f t="shared" si="51"/>
        <v>0</v>
      </c>
      <c r="AK83" s="152">
        <f t="shared" si="51"/>
        <v>0</v>
      </c>
      <c r="AL83" s="152">
        <f t="shared" si="51"/>
        <v>0</v>
      </c>
      <c r="AM83" s="152">
        <f t="shared" si="51"/>
        <v>0</v>
      </c>
      <c r="AN83" s="152">
        <v>0</v>
      </c>
      <c r="AO83" s="152">
        <f>AN83+AM83+AL83</f>
        <v>0</v>
      </c>
      <c r="AP83" s="152">
        <v>294330.8</v>
      </c>
      <c r="AQ83" s="41">
        <f>IFERROR(VLOOKUP(G83,'10'!A:B,2,0),0)</f>
        <v>0</v>
      </c>
      <c r="AR83" s="41">
        <f t="shared" si="45"/>
        <v>-294330.8</v>
      </c>
      <c r="AS83" s="41">
        <f t="shared" si="49"/>
        <v>294330.8</v>
      </c>
      <c r="AT83" s="41">
        <f>AN83+AK83+AH83+AE83+AB83+-Y83+V83+S83+P83+AQ83</f>
        <v>0</v>
      </c>
      <c r="AU83" s="522">
        <f t="shared" si="48"/>
        <v>-294330.8</v>
      </c>
      <c r="AV83" s="459">
        <f t="shared" si="46"/>
        <v>0</v>
      </c>
      <c r="AW83" s="152">
        <v>0</v>
      </c>
      <c r="AX83" s="152">
        <v>294330.8</v>
      </c>
      <c r="AY83" s="41">
        <f t="shared" si="47"/>
        <v>588661.6</v>
      </c>
      <c r="AZ83" s="41"/>
      <c r="BA83" s="550">
        <f t="shared" si="50"/>
        <v>-588661.6</v>
      </c>
      <c r="BB83" s="152">
        <v>882992.4</v>
      </c>
      <c r="BC83" s="152">
        <v>0</v>
      </c>
      <c r="BD83" s="152">
        <v>0</v>
      </c>
      <c r="BE83" s="152">
        <v>0</v>
      </c>
      <c r="BF83" s="152">
        <v>0</v>
      </c>
      <c r="BG83" s="152">
        <v>0</v>
      </c>
      <c r="BH83" s="152">
        <v>0</v>
      </c>
      <c r="BI83" s="152">
        <v>1471654</v>
      </c>
      <c r="BJ83" s="459"/>
      <c r="BK83" s="41"/>
      <c r="BL83" s="432"/>
    </row>
    <row r="84" spans="1:64" s="10" customFormat="1" ht="47.25" x14ac:dyDescent="0.2">
      <c r="A84" s="11" t="s">
        <v>119</v>
      </c>
      <c r="B84" s="11" t="s">
        <v>120</v>
      </c>
      <c r="C84" s="14" t="s">
        <v>574</v>
      </c>
      <c r="D84" s="11">
        <v>1</v>
      </c>
      <c r="E84" s="11" t="s">
        <v>35</v>
      </c>
      <c r="F84" s="11" t="s">
        <v>102</v>
      </c>
      <c r="G84" s="44" t="s">
        <v>695</v>
      </c>
      <c r="H84" s="45">
        <v>73</v>
      </c>
      <c r="I84" s="45" t="s">
        <v>119</v>
      </c>
      <c r="J84" s="46" t="s">
        <v>696</v>
      </c>
      <c r="K84" s="46" t="s">
        <v>697</v>
      </c>
      <c r="L84" s="41"/>
      <c r="M84" s="41"/>
      <c r="N84" s="41"/>
      <c r="O84" s="41"/>
      <c r="P84" s="41">
        <v>0</v>
      </c>
      <c r="Q84" s="41">
        <f>P84-O84</f>
        <v>0</v>
      </c>
      <c r="R84" s="41"/>
      <c r="S84" s="41">
        <v>0</v>
      </c>
      <c r="T84" s="41">
        <f>S84-R84</f>
        <v>0</v>
      </c>
      <c r="U84" s="41"/>
      <c r="V84" s="41">
        <v>0</v>
      </c>
      <c r="W84" s="41">
        <f>V84-U84</f>
        <v>0</v>
      </c>
      <c r="X84" s="41"/>
      <c r="Y84" s="41">
        <v>0</v>
      </c>
      <c r="Z84" s="41">
        <f>Y84-X84</f>
        <v>0</v>
      </c>
      <c r="AA84" s="41">
        <v>294236.7</v>
      </c>
      <c r="AB84" s="41">
        <v>294236</v>
      </c>
      <c r="AC84" s="41">
        <f>AB84-AA84</f>
        <v>-0.70000000001164153</v>
      </c>
      <c r="AD84" s="41">
        <v>0</v>
      </c>
      <c r="AE84" s="41">
        <v>0</v>
      </c>
      <c r="AF84" s="41">
        <f>AE84-AD84</f>
        <v>0</v>
      </c>
      <c r="AG84" s="41">
        <v>92947.6</v>
      </c>
      <c r="AH84" s="41">
        <v>7355.36</v>
      </c>
      <c r="AI84" s="41">
        <f>AH84-AG84</f>
        <v>-85592.24</v>
      </c>
      <c r="AJ84" s="41">
        <v>40507.08</v>
      </c>
      <c r="AK84" s="41">
        <v>0</v>
      </c>
      <c r="AL84" s="41">
        <f>AK84-AJ84</f>
        <v>-40507.08</v>
      </c>
      <c r="AM84" s="41">
        <v>112468.83</v>
      </c>
      <c r="AN84" s="41">
        <v>0</v>
      </c>
      <c r="AO84" s="41">
        <f t="shared" ref="AO84:AO91" si="52">AN84-AM84</f>
        <v>-112468.83</v>
      </c>
      <c r="AP84" s="41">
        <v>66215.09</v>
      </c>
      <c r="AQ84" s="41">
        <f>IFERROR(VLOOKUP(G84,'10'!A:B,2,0),0)</f>
        <v>29021.54</v>
      </c>
      <c r="AR84" s="41">
        <f t="shared" si="45"/>
        <v>-37193.549999999996</v>
      </c>
      <c r="AS84" s="41">
        <f t="shared" si="49"/>
        <v>606375.29999999993</v>
      </c>
      <c r="AT84" s="41">
        <f>AN84+AK84+AH84+AE84+AB84+-Y84+V84+S84+P84+AQ84</f>
        <v>330612.89999999997</v>
      </c>
      <c r="AU84" s="522">
        <f t="shared" si="48"/>
        <v>-275762.40000000002</v>
      </c>
      <c r="AV84" s="459">
        <f t="shared" si="46"/>
        <v>0.54522817799471712</v>
      </c>
      <c r="AW84" s="41">
        <v>16544.009999999998</v>
      </c>
      <c r="AX84" s="41">
        <v>0</v>
      </c>
      <c r="AY84" s="41">
        <f t="shared" si="47"/>
        <v>622919.31000000006</v>
      </c>
      <c r="AZ84" s="41">
        <f>VLOOKUP(G84,'2017'!A:B,2,0)</f>
        <v>385957.4</v>
      </c>
      <c r="BA84" s="552">
        <f t="shared" ref="BA84:BA93" si="53">AZ84-AY84</f>
        <v>-236961.91000000003</v>
      </c>
      <c r="BB84" s="41">
        <v>554016.5</v>
      </c>
      <c r="BC84" s="41">
        <v>0</v>
      </c>
      <c r="BD84" s="41">
        <v>0</v>
      </c>
      <c r="BE84" s="41">
        <v>98089.89</v>
      </c>
      <c r="BF84" s="41">
        <v>0</v>
      </c>
      <c r="BG84" s="41">
        <v>0</v>
      </c>
      <c r="BH84" s="41">
        <v>0</v>
      </c>
      <c r="BI84" s="41">
        <v>980789</v>
      </c>
      <c r="BJ84" s="75"/>
      <c r="BK84" s="11"/>
    </row>
    <row r="85" spans="1:64" s="10" customFormat="1" ht="38.25" x14ac:dyDescent="0.2">
      <c r="A85" s="55" t="s">
        <v>138</v>
      </c>
      <c r="B85" s="55" t="s">
        <v>139</v>
      </c>
      <c r="C85" s="155" t="s">
        <v>576</v>
      </c>
      <c r="D85" s="55">
        <v>3</v>
      </c>
      <c r="E85" s="55" t="s">
        <v>35</v>
      </c>
      <c r="F85" s="55" t="s">
        <v>5</v>
      </c>
      <c r="G85" s="55" t="s">
        <v>1924</v>
      </c>
      <c r="H85" s="45">
        <v>74</v>
      </c>
      <c r="I85" s="45" t="s">
        <v>138</v>
      </c>
      <c r="J85" s="155" t="s">
        <v>893</v>
      </c>
      <c r="K85" s="155" t="s">
        <v>1925</v>
      </c>
      <c r="L85" s="152">
        <v>0</v>
      </c>
      <c r="M85" s="152">
        <v>0</v>
      </c>
      <c r="N85" s="152">
        <v>0</v>
      </c>
      <c r="O85" s="152">
        <v>0</v>
      </c>
      <c r="P85" s="152"/>
      <c r="Q85" s="152"/>
      <c r="R85" s="152">
        <v>0</v>
      </c>
      <c r="S85" s="152"/>
      <c r="T85" s="152"/>
      <c r="U85" s="152">
        <v>0</v>
      </c>
      <c r="V85" s="152"/>
      <c r="W85" s="152"/>
      <c r="X85" s="152">
        <v>0</v>
      </c>
      <c r="Y85" s="152"/>
      <c r="Z85" s="152">
        <v>0</v>
      </c>
      <c r="AA85" s="152"/>
      <c r="AB85" s="152"/>
      <c r="AC85" s="152">
        <v>0</v>
      </c>
      <c r="AD85" s="152"/>
      <c r="AE85" s="152"/>
      <c r="AF85" s="152">
        <v>0</v>
      </c>
      <c r="AG85" s="152"/>
      <c r="AH85" s="152"/>
      <c r="AI85" s="152">
        <v>0</v>
      </c>
      <c r="AJ85" s="152"/>
      <c r="AK85" s="152"/>
      <c r="AL85" s="152"/>
      <c r="AM85" s="152">
        <v>261393.11</v>
      </c>
      <c r="AN85" s="41">
        <v>0</v>
      </c>
      <c r="AO85" s="41">
        <f t="shared" si="52"/>
        <v>-261393.11</v>
      </c>
      <c r="AP85" s="152">
        <v>0</v>
      </c>
      <c r="AQ85" s="41">
        <f>IFERROR(VLOOKUP(G85,'10'!A:B,2,0),0)</f>
        <v>0</v>
      </c>
      <c r="AR85" s="41">
        <f t="shared" si="45"/>
        <v>0</v>
      </c>
      <c r="AS85" s="41">
        <f t="shared" si="49"/>
        <v>261393.11</v>
      </c>
      <c r="AT85" s="41">
        <f>AN85+AK85+AH85+AE85+AB85+-Y85+V85+S85+P85+AQ85</f>
        <v>0</v>
      </c>
      <c r="AU85" s="522">
        <f t="shared" si="48"/>
        <v>-261393.11</v>
      </c>
      <c r="AV85" s="459">
        <f t="shared" si="46"/>
        <v>0</v>
      </c>
      <c r="AW85" s="152">
        <v>0</v>
      </c>
      <c r="AX85" s="152">
        <v>0</v>
      </c>
      <c r="AY85" s="41">
        <f t="shared" si="47"/>
        <v>261393.11</v>
      </c>
      <c r="AZ85" s="41"/>
      <c r="BA85" s="552">
        <f t="shared" si="53"/>
        <v>-261393.11</v>
      </c>
      <c r="BB85" s="152">
        <v>3366697.29</v>
      </c>
      <c r="BC85" s="152">
        <v>0</v>
      </c>
      <c r="BD85" s="152">
        <v>0</v>
      </c>
      <c r="BE85" s="152">
        <v>0</v>
      </c>
      <c r="BF85" s="152">
        <v>0</v>
      </c>
      <c r="BG85" s="152">
        <v>0</v>
      </c>
      <c r="BH85" s="152">
        <v>0</v>
      </c>
      <c r="BI85" s="152">
        <v>3366697.29</v>
      </c>
      <c r="BJ85" s="41"/>
      <c r="BK85" s="41"/>
    </row>
    <row r="86" spans="1:64" s="10" customFormat="1" ht="31.5" x14ac:dyDescent="0.2">
      <c r="A86" s="11" t="s">
        <v>106</v>
      </c>
      <c r="B86" s="11" t="s">
        <v>107</v>
      </c>
      <c r="C86" s="14" t="s">
        <v>108</v>
      </c>
      <c r="D86" s="11">
        <v>1</v>
      </c>
      <c r="E86" s="11" t="s">
        <v>109</v>
      </c>
      <c r="F86" s="11" t="s">
        <v>5</v>
      </c>
      <c r="G86" s="44" t="s">
        <v>110</v>
      </c>
      <c r="H86" s="45">
        <v>75</v>
      </c>
      <c r="I86" s="45" t="s">
        <v>106</v>
      </c>
      <c r="J86" s="46" t="s">
        <v>111</v>
      </c>
      <c r="K86" s="46" t="s">
        <v>112</v>
      </c>
      <c r="L86" s="41">
        <v>0</v>
      </c>
      <c r="M86" s="41">
        <v>0</v>
      </c>
      <c r="N86" s="41">
        <v>0</v>
      </c>
      <c r="O86" s="41">
        <v>0</v>
      </c>
      <c r="P86" s="41">
        <v>0</v>
      </c>
      <c r="Q86" s="41">
        <f t="shared" ref="Q86:Q91" si="54">P86-O86</f>
        <v>0</v>
      </c>
      <c r="R86" s="41">
        <v>0</v>
      </c>
      <c r="S86" s="41">
        <v>0</v>
      </c>
      <c r="T86" s="41">
        <f t="shared" ref="T86:T91" si="55">S86-R86</f>
        <v>0</v>
      </c>
      <c r="U86" s="41">
        <v>0</v>
      </c>
      <c r="V86" s="41">
        <v>0</v>
      </c>
      <c r="W86" s="41">
        <f t="shared" ref="W86:W91" si="56">V86-U86</f>
        <v>0</v>
      </c>
      <c r="X86" s="41">
        <v>76778.12</v>
      </c>
      <c r="Y86" s="41">
        <v>76778.12</v>
      </c>
      <c r="Z86" s="41">
        <f t="shared" ref="Z86:Z91" si="57">Y86-X86</f>
        <v>0</v>
      </c>
      <c r="AA86" s="41">
        <v>44072.73</v>
      </c>
      <c r="AB86" s="41">
        <v>0</v>
      </c>
      <c r="AC86" s="41">
        <f t="shared" ref="AC86:AC91" si="58">AB86-AA86</f>
        <v>-44072.73</v>
      </c>
      <c r="AD86" s="41">
        <v>269046</v>
      </c>
      <c r="AE86" s="41">
        <v>283518.98</v>
      </c>
      <c r="AF86" s="41">
        <f t="shared" ref="AF86:AF91" si="59">AE86-AD86</f>
        <v>14472.979999999981</v>
      </c>
      <c r="AG86" s="41">
        <v>0</v>
      </c>
      <c r="AH86" s="41">
        <v>0</v>
      </c>
      <c r="AI86" s="41">
        <f t="shared" ref="AI86:AI91" si="60">AH86-AG86</f>
        <v>0</v>
      </c>
      <c r="AJ86" s="41">
        <v>0</v>
      </c>
      <c r="AK86" s="41">
        <v>0</v>
      </c>
      <c r="AL86" s="41">
        <f t="shared" ref="AL86:AL91" si="61">AK86-AJ86</f>
        <v>0</v>
      </c>
      <c r="AM86" s="35">
        <v>339944.68</v>
      </c>
      <c r="AN86" s="41">
        <v>4222.05</v>
      </c>
      <c r="AO86" s="41">
        <f t="shared" si="52"/>
        <v>-335722.63</v>
      </c>
      <c r="AP86" s="35">
        <v>0</v>
      </c>
      <c r="AQ86" s="41">
        <f>IFERROR(VLOOKUP(G86,'10'!A:B,2,0),0)</f>
        <v>107231.03999999999</v>
      </c>
      <c r="AR86" s="41">
        <f t="shared" si="45"/>
        <v>107231.03999999999</v>
      </c>
      <c r="AS86" s="41">
        <f t="shared" si="49"/>
        <v>729841.52999999991</v>
      </c>
      <c r="AT86" s="41">
        <f>AN86+AK86+AH86+AE86+AB86+Y86+V86+S86+P86+AQ86</f>
        <v>471750.18999999994</v>
      </c>
      <c r="AU86" s="522">
        <f t="shared" si="48"/>
        <v>-258091.34000000003</v>
      </c>
      <c r="AV86" s="459">
        <f t="shared" si="46"/>
        <v>0.64637345315222061</v>
      </c>
      <c r="AW86" s="35">
        <v>0</v>
      </c>
      <c r="AX86" s="35">
        <v>227900.03000000003</v>
      </c>
      <c r="AY86" s="41">
        <f t="shared" si="47"/>
        <v>957741.55999999994</v>
      </c>
      <c r="AZ86" s="41">
        <f>VLOOKUP(G86,'2017'!A:B,2,0)</f>
        <v>787906.53999999992</v>
      </c>
      <c r="BA86" s="552">
        <f t="shared" si="53"/>
        <v>-169835.02000000002</v>
      </c>
      <c r="BB86" s="35">
        <v>188822.79</v>
      </c>
      <c r="BC86" s="41">
        <v>0</v>
      </c>
      <c r="BD86" s="41">
        <v>0</v>
      </c>
      <c r="BE86" s="41">
        <v>0</v>
      </c>
      <c r="BF86" s="41">
        <v>0</v>
      </c>
      <c r="BG86" s="41">
        <v>0</v>
      </c>
      <c r="BH86" s="41">
        <v>0</v>
      </c>
      <c r="BI86" s="41">
        <v>595318.30000000005</v>
      </c>
      <c r="BJ86" s="75"/>
      <c r="BK86" s="11"/>
    </row>
    <row r="87" spans="1:64" s="10" customFormat="1" ht="63" x14ac:dyDescent="0.25">
      <c r="A87" s="11" t="s">
        <v>326</v>
      </c>
      <c r="B87" s="11" t="s">
        <v>327</v>
      </c>
      <c r="C87" s="14" t="s">
        <v>594</v>
      </c>
      <c r="D87" s="11" t="s">
        <v>3</v>
      </c>
      <c r="E87" s="11" t="s">
        <v>4</v>
      </c>
      <c r="F87" s="11" t="s">
        <v>77</v>
      </c>
      <c r="G87" s="44" t="s">
        <v>328</v>
      </c>
      <c r="H87" s="45">
        <v>76</v>
      </c>
      <c r="I87" s="45" t="s">
        <v>326</v>
      </c>
      <c r="J87" s="46" t="s">
        <v>285</v>
      </c>
      <c r="K87" s="46" t="s">
        <v>329</v>
      </c>
      <c r="L87" s="41">
        <v>0</v>
      </c>
      <c r="M87" s="41">
        <v>0</v>
      </c>
      <c r="N87" s="41">
        <v>0</v>
      </c>
      <c r="O87" s="41">
        <v>32952.800000000003</v>
      </c>
      <c r="P87" s="41">
        <v>32952.879999999997</v>
      </c>
      <c r="Q87" s="41">
        <f t="shared" si="54"/>
        <v>7.9999999994470272E-2</v>
      </c>
      <c r="R87" s="41">
        <v>0</v>
      </c>
      <c r="S87" s="41">
        <v>0</v>
      </c>
      <c r="T87" s="41">
        <f t="shared" si="55"/>
        <v>0</v>
      </c>
      <c r="U87" s="41">
        <v>0</v>
      </c>
      <c r="V87" s="41">
        <v>0</v>
      </c>
      <c r="W87" s="41">
        <f t="shared" si="56"/>
        <v>0</v>
      </c>
      <c r="X87" s="41">
        <v>256394.85</v>
      </c>
      <c r="Y87" s="41">
        <v>115962.45</v>
      </c>
      <c r="Z87" s="41">
        <f t="shared" si="57"/>
        <v>-140432.40000000002</v>
      </c>
      <c r="AA87" s="41">
        <v>0</v>
      </c>
      <c r="AB87" s="41">
        <v>0</v>
      </c>
      <c r="AC87" s="41">
        <f t="shared" si="58"/>
        <v>0</v>
      </c>
      <c r="AD87" s="41">
        <v>0</v>
      </c>
      <c r="AE87" s="41">
        <v>0</v>
      </c>
      <c r="AF87" s="41">
        <f t="shared" si="59"/>
        <v>0</v>
      </c>
      <c r="AG87" s="41">
        <v>178701.45</v>
      </c>
      <c r="AH87" s="41">
        <v>101518.07</v>
      </c>
      <c r="AI87" s="41">
        <f t="shared" si="60"/>
        <v>-77183.38</v>
      </c>
      <c r="AJ87" s="41">
        <v>0</v>
      </c>
      <c r="AK87" s="41">
        <v>0</v>
      </c>
      <c r="AL87" s="41">
        <f t="shared" si="61"/>
        <v>0</v>
      </c>
      <c r="AM87" s="41">
        <v>0</v>
      </c>
      <c r="AN87" s="41">
        <v>0</v>
      </c>
      <c r="AO87" s="41">
        <f t="shared" si="52"/>
        <v>0</v>
      </c>
      <c r="AP87" s="41">
        <v>153296.65</v>
      </c>
      <c r="AQ87" s="41">
        <f>IFERROR(VLOOKUP(G87,'10'!A:B,2,0),0)</f>
        <v>120371.44</v>
      </c>
      <c r="AR87" s="41">
        <f t="shared" si="45"/>
        <v>-32925.209999999992</v>
      </c>
      <c r="AS87" s="41">
        <f t="shared" si="49"/>
        <v>621345.75</v>
      </c>
      <c r="AT87" s="41">
        <f>AN87+AK87+AH87+AE87+AB87+Y87+V87+S87+P87+AQ87</f>
        <v>370804.84</v>
      </c>
      <c r="AU87" s="522">
        <f t="shared" si="48"/>
        <v>-250540.91000000003</v>
      </c>
      <c r="AV87" s="459">
        <f t="shared" si="46"/>
        <v>0.59677697964458598</v>
      </c>
      <c r="AW87" s="41">
        <v>0</v>
      </c>
      <c r="AX87" s="41">
        <v>0</v>
      </c>
      <c r="AY87" s="41">
        <f t="shared" si="47"/>
        <v>621345.75</v>
      </c>
      <c r="AZ87" s="41">
        <f>VLOOKUP(G87,'2017'!A:B,2,0)</f>
        <v>440113.43</v>
      </c>
      <c r="BA87" s="552">
        <f t="shared" si="53"/>
        <v>-181232.32</v>
      </c>
      <c r="BB87" s="41">
        <v>886513.45</v>
      </c>
      <c r="BC87" s="41">
        <v>960999.8</v>
      </c>
      <c r="BD87" s="41">
        <v>1039217.65</v>
      </c>
      <c r="BE87" s="41">
        <v>807905.45</v>
      </c>
      <c r="BF87" s="41">
        <v>714584.8</v>
      </c>
      <c r="BG87" s="41">
        <v>142963.1</v>
      </c>
      <c r="BH87" s="41">
        <v>0</v>
      </c>
      <c r="BI87" s="41">
        <v>5173529.9999999991</v>
      </c>
      <c r="BJ87" s="451" t="s">
        <v>2720</v>
      </c>
      <c r="BK87" s="25" t="s">
        <v>2720</v>
      </c>
    </row>
    <row r="88" spans="1:64" s="10" customFormat="1" ht="38.25" x14ac:dyDescent="0.2">
      <c r="A88" s="11" t="s">
        <v>233</v>
      </c>
      <c r="B88" s="11" t="s">
        <v>234</v>
      </c>
      <c r="C88" s="14" t="s">
        <v>583</v>
      </c>
      <c r="D88" s="11">
        <v>1</v>
      </c>
      <c r="E88" s="11" t="s">
        <v>4</v>
      </c>
      <c r="F88" s="11" t="s">
        <v>5</v>
      </c>
      <c r="G88" s="44" t="s">
        <v>247</v>
      </c>
      <c r="H88" s="45">
        <v>77</v>
      </c>
      <c r="I88" s="45" t="s">
        <v>233</v>
      </c>
      <c r="J88" s="46" t="s">
        <v>248</v>
      </c>
      <c r="K88" s="46" t="s">
        <v>249</v>
      </c>
      <c r="L88" s="41">
        <v>0</v>
      </c>
      <c r="M88" s="41">
        <v>0</v>
      </c>
      <c r="N88" s="41">
        <v>0</v>
      </c>
      <c r="O88" s="41">
        <v>8152.88</v>
      </c>
      <c r="P88" s="41">
        <v>8152.86</v>
      </c>
      <c r="Q88" s="41">
        <f t="shared" si="54"/>
        <v>-2.0000000000436557E-2</v>
      </c>
      <c r="R88" s="41">
        <v>0</v>
      </c>
      <c r="S88" s="41">
        <v>0</v>
      </c>
      <c r="T88" s="41">
        <f t="shared" si="55"/>
        <v>0</v>
      </c>
      <c r="U88" s="41">
        <v>0</v>
      </c>
      <c r="V88" s="41">
        <v>0</v>
      </c>
      <c r="W88" s="41">
        <f t="shared" si="56"/>
        <v>0</v>
      </c>
      <c r="X88" s="41">
        <v>11511.6</v>
      </c>
      <c r="Y88" s="41">
        <v>5932.87</v>
      </c>
      <c r="Z88" s="41">
        <f t="shared" si="57"/>
        <v>-5578.7300000000005</v>
      </c>
      <c r="AA88" s="41">
        <v>0</v>
      </c>
      <c r="AB88" s="41">
        <v>0</v>
      </c>
      <c r="AC88" s="41">
        <f t="shared" si="58"/>
        <v>0</v>
      </c>
      <c r="AD88" s="41">
        <v>0</v>
      </c>
      <c r="AE88" s="41">
        <v>0</v>
      </c>
      <c r="AF88" s="41">
        <f t="shared" si="59"/>
        <v>0</v>
      </c>
      <c r="AG88" s="41">
        <v>66414.61</v>
      </c>
      <c r="AH88" s="41">
        <v>4999.38</v>
      </c>
      <c r="AI88" s="41">
        <f t="shared" si="60"/>
        <v>-61415.23</v>
      </c>
      <c r="AJ88" s="41">
        <v>0</v>
      </c>
      <c r="AK88" s="41">
        <v>0</v>
      </c>
      <c r="AL88" s="41">
        <f t="shared" si="61"/>
        <v>0</v>
      </c>
      <c r="AM88" s="41">
        <v>0</v>
      </c>
      <c r="AN88" s="41">
        <v>0</v>
      </c>
      <c r="AO88" s="41">
        <f t="shared" si="52"/>
        <v>0</v>
      </c>
      <c r="AP88" s="41">
        <v>168189.49</v>
      </c>
      <c r="AQ88" s="41">
        <f>IFERROR(VLOOKUP(G88,'10'!A:B,2,0),0)</f>
        <v>0</v>
      </c>
      <c r="AR88" s="41">
        <f t="shared" si="45"/>
        <v>-168189.49</v>
      </c>
      <c r="AS88" s="41">
        <f t="shared" si="49"/>
        <v>254268.58000000002</v>
      </c>
      <c r="AT88" s="41">
        <f>AN88+AK88+AH88+AE88+AB88+Y88+V88+S88+P88+AQ88</f>
        <v>19085.11</v>
      </c>
      <c r="AU88" s="522">
        <f t="shared" si="48"/>
        <v>-235183.47</v>
      </c>
      <c r="AV88" s="459">
        <f t="shared" si="46"/>
        <v>7.5058860988644366E-2</v>
      </c>
      <c r="AW88" s="41">
        <v>0</v>
      </c>
      <c r="AX88" s="41">
        <v>0</v>
      </c>
      <c r="AY88" s="41">
        <f t="shared" si="47"/>
        <v>254268.58</v>
      </c>
      <c r="AZ88" s="41">
        <f>VLOOKUP(G88,'2017'!A:B,2,0)</f>
        <v>254268.58</v>
      </c>
      <c r="BA88" s="552">
        <f t="shared" si="53"/>
        <v>0</v>
      </c>
      <c r="BB88" s="41">
        <v>680047.14</v>
      </c>
      <c r="BC88" s="41">
        <v>584370.78</v>
      </c>
      <c r="BD88" s="41">
        <v>0</v>
      </c>
      <c r="BE88" s="41">
        <v>0</v>
      </c>
      <c r="BF88" s="41">
        <v>0</v>
      </c>
      <c r="BG88" s="41">
        <v>0</v>
      </c>
      <c r="BH88" s="41">
        <v>0</v>
      </c>
      <c r="BI88" s="41">
        <v>1518686.5</v>
      </c>
      <c r="BJ88" s="75"/>
      <c r="BK88" s="11"/>
    </row>
    <row r="89" spans="1:64" s="10" customFormat="1" ht="74.25" customHeight="1" x14ac:dyDescent="0.25">
      <c r="A89" s="11" t="s">
        <v>233</v>
      </c>
      <c r="B89" s="11" t="s">
        <v>234</v>
      </c>
      <c r="C89" s="14" t="s">
        <v>583</v>
      </c>
      <c r="D89" s="11">
        <v>1</v>
      </c>
      <c r="E89" s="11" t="s">
        <v>4</v>
      </c>
      <c r="F89" s="11" t="s">
        <v>5</v>
      </c>
      <c r="G89" s="44" t="s">
        <v>264</v>
      </c>
      <c r="H89" s="45">
        <v>78</v>
      </c>
      <c r="I89" s="45" t="s">
        <v>233</v>
      </c>
      <c r="J89" s="46" t="s">
        <v>265</v>
      </c>
      <c r="K89" s="46" t="s">
        <v>266</v>
      </c>
      <c r="L89" s="41">
        <v>0</v>
      </c>
      <c r="M89" s="41">
        <v>0</v>
      </c>
      <c r="N89" s="41">
        <v>0</v>
      </c>
      <c r="O89" s="41">
        <v>0</v>
      </c>
      <c r="P89" s="41">
        <v>0</v>
      </c>
      <c r="Q89" s="41">
        <f t="shared" si="54"/>
        <v>0</v>
      </c>
      <c r="R89" s="41">
        <v>21280.2</v>
      </c>
      <c r="S89" s="41">
        <v>21280.210000000003</v>
      </c>
      <c r="T89" s="41">
        <f t="shared" si="55"/>
        <v>1.0000000002037268E-2</v>
      </c>
      <c r="U89" s="41">
        <v>0</v>
      </c>
      <c r="V89" s="41">
        <v>0</v>
      </c>
      <c r="W89" s="41">
        <f t="shared" si="56"/>
        <v>0</v>
      </c>
      <c r="X89" s="41">
        <v>0</v>
      </c>
      <c r="Y89" s="41">
        <v>0</v>
      </c>
      <c r="Z89" s="41">
        <f t="shared" si="57"/>
        <v>0</v>
      </c>
      <c r="AA89" s="41">
        <v>6025.55</v>
      </c>
      <c r="AB89" s="41">
        <v>7921.49</v>
      </c>
      <c r="AC89" s="41">
        <f t="shared" si="58"/>
        <v>1895.9399999999996</v>
      </c>
      <c r="AD89" s="41">
        <v>0</v>
      </c>
      <c r="AE89" s="41">
        <v>0</v>
      </c>
      <c r="AF89" s="41">
        <f t="shared" si="59"/>
        <v>0</v>
      </c>
      <c r="AG89" s="41">
        <v>0</v>
      </c>
      <c r="AH89" s="41">
        <v>0</v>
      </c>
      <c r="AI89" s="41">
        <f t="shared" si="60"/>
        <v>0</v>
      </c>
      <c r="AJ89" s="41">
        <v>325728.87</v>
      </c>
      <c r="AK89" s="41">
        <v>90636.21</v>
      </c>
      <c r="AL89" s="41">
        <f t="shared" si="61"/>
        <v>-235092.65999999997</v>
      </c>
      <c r="AM89" s="41">
        <v>0</v>
      </c>
      <c r="AN89" s="41">
        <v>0</v>
      </c>
      <c r="AO89" s="41">
        <f t="shared" si="52"/>
        <v>0</v>
      </c>
      <c r="AP89" s="41">
        <v>0</v>
      </c>
      <c r="AQ89" s="41">
        <f>IFERROR(VLOOKUP(G89,'10'!A:B,2,0),0)</f>
        <v>0</v>
      </c>
      <c r="AR89" s="41">
        <f t="shared" si="45"/>
        <v>0</v>
      </c>
      <c r="AS89" s="41">
        <f t="shared" si="49"/>
        <v>353034.62</v>
      </c>
      <c r="AT89" s="41">
        <f>AN89+AK89+AH89+AE89+AB89+-Y89+V89+S89+P89+AQ89</f>
        <v>119837.91000000002</v>
      </c>
      <c r="AU89" s="522">
        <f t="shared" si="48"/>
        <v>-233196.70999999996</v>
      </c>
      <c r="AV89" s="459">
        <f t="shared" si="46"/>
        <v>0.33945087311833616</v>
      </c>
      <c r="AW89" s="41">
        <v>106592.85</v>
      </c>
      <c r="AX89" s="41">
        <v>0</v>
      </c>
      <c r="AY89" s="41">
        <f t="shared" si="47"/>
        <v>459627.47</v>
      </c>
      <c r="AZ89" s="41">
        <f>VLOOKUP(G89,'2017'!A:B,2,0)</f>
        <v>438587.91</v>
      </c>
      <c r="BA89" s="552">
        <f t="shared" si="53"/>
        <v>-21039.559999999998</v>
      </c>
      <c r="BB89" s="41">
        <v>1261548.4700000002</v>
      </c>
      <c r="BC89" s="41">
        <v>1652437.5099999998</v>
      </c>
      <c r="BD89" s="41">
        <v>0</v>
      </c>
      <c r="BE89" s="41">
        <v>0</v>
      </c>
      <c r="BF89" s="41">
        <v>0</v>
      </c>
      <c r="BG89" s="41">
        <v>0</v>
      </c>
      <c r="BH89" s="41">
        <v>0</v>
      </c>
      <c r="BI89" s="41">
        <v>3373613.45</v>
      </c>
      <c r="BJ89" s="75"/>
      <c r="BK89" s="25" t="s">
        <v>2769</v>
      </c>
    </row>
    <row r="90" spans="1:64" s="10" customFormat="1" ht="78.75" x14ac:dyDescent="0.25">
      <c r="A90" s="11" t="s">
        <v>57</v>
      </c>
      <c r="B90" s="11" t="s">
        <v>58</v>
      </c>
      <c r="C90" s="14" t="s">
        <v>569</v>
      </c>
      <c r="D90" s="11">
        <v>1</v>
      </c>
      <c r="E90" s="11" t="s">
        <v>35</v>
      </c>
      <c r="F90" s="11" t="s">
        <v>5</v>
      </c>
      <c r="G90" s="44" t="s">
        <v>59</v>
      </c>
      <c r="H90" s="45">
        <v>79</v>
      </c>
      <c r="I90" s="45" t="s">
        <v>57</v>
      </c>
      <c r="J90" s="46" t="s">
        <v>60</v>
      </c>
      <c r="K90" s="46" t="s">
        <v>61</v>
      </c>
      <c r="L90" s="41">
        <v>0</v>
      </c>
      <c r="M90" s="41">
        <v>0</v>
      </c>
      <c r="N90" s="41">
        <v>2754851.19</v>
      </c>
      <c r="O90" s="41">
        <v>0</v>
      </c>
      <c r="P90" s="41">
        <v>0</v>
      </c>
      <c r="Q90" s="41">
        <f t="shared" si="54"/>
        <v>0</v>
      </c>
      <c r="R90" s="41">
        <v>0</v>
      </c>
      <c r="S90" s="41">
        <v>0</v>
      </c>
      <c r="T90" s="41">
        <f t="shared" si="55"/>
        <v>0</v>
      </c>
      <c r="U90" s="41">
        <v>1955000</v>
      </c>
      <c r="V90" s="41">
        <v>1993365.96</v>
      </c>
      <c r="W90" s="41">
        <f t="shared" si="56"/>
        <v>38365.959999999963</v>
      </c>
      <c r="X90" s="41">
        <v>0</v>
      </c>
      <c r="Y90" s="41">
        <v>0</v>
      </c>
      <c r="Z90" s="41">
        <f t="shared" si="57"/>
        <v>0</v>
      </c>
      <c r="AA90" s="41">
        <v>0</v>
      </c>
      <c r="AB90" s="41">
        <v>0</v>
      </c>
      <c r="AC90" s="41">
        <f t="shared" si="58"/>
        <v>0</v>
      </c>
      <c r="AD90" s="41">
        <v>386623.51</v>
      </c>
      <c r="AE90" s="41">
        <v>49134.6</v>
      </c>
      <c r="AF90" s="41">
        <f t="shared" si="59"/>
        <v>-337488.91000000003</v>
      </c>
      <c r="AG90" s="41">
        <v>0</v>
      </c>
      <c r="AH90" s="41">
        <v>0</v>
      </c>
      <c r="AI90" s="41">
        <f t="shared" si="60"/>
        <v>0</v>
      </c>
      <c r="AJ90" s="41">
        <v>0</v>
      </c>
      <c r="AK90" s="41">
        <v>0</v>
      </c>
      <c r="AL90" s="41">
        <f t="shared" si="61"/>
        <v>0</v>
      </c>
      <c r="AM90" s="41">
        <v>719322.26</v>
      </c>
      <c r="AN90" s="41">
        <v>0</v>
      </c>
      <c r="AO90" s="41">
        <f t="shared" si="52"/>
        <v>-719322.26</v>
      </c>
      <c r="AP90" s="41">
        <v>0</v>
      </c>
      <c r="AQ90" s="41">
        <f>IFERROR(VLOOKUP(G90,'10'!A:B,2,0),0)</f>
        <v>809083.95</v>
      </c>
      <c r="AR90" s="41">
        <f t="shared" si="45"/>
        <v>809083.95</v>
      </c>
      <c r="AS90" s="41">
        <f t="shared" si="49"/>
        <v>3060945.77</v>
      </c>
      <c r="AT90" s="41">
        <f>AN90+AK90+AH90+AE90+AB90+-Y90+V90+S90+P90+AQ90</f>
        <v>2851584.51</v>
      </c>
      <c r="AU90" s="522">
        <f t="shared" si="48"/>
        <v>-209361.26</v>
      </c>
      <c r="AV90" s="459">
        <f t="shared" si="46"/>
        <v>0.93160242757257339</v>
      </c>
      <c r="AW90" s="41">
        <v>0</v>
      </c>
      <c r="AX90" s="41">
        <v>0</v>
      </c>
      <c r="AY90" s="41">
        <f t="shared" si="47"/>
        <v>3060945.7699999996</v>
      </c>
      <c r="AZ90" s="41">
        <f>VLOOKUP(G90,'2017'!A:B,2,0)</f>
        <v>2851584.51</v>
      </c>
      <c r="BA90" s="552">
        <f t="shared" si="53"/>
        <v>-209361.25999999978</v>
      </c>
      <c r="BB90" s="41">
        <v>0</v>
      </c>
      <c r="BC90" s="41">
        <v>0</v>
      </c>
      <c r="BD90" s="41">
        <v>0</v>
      </c>
      <c r="BE90" s="41">
        <v>0</v>
      </c>
      <c r="BF90" s="41">
        <v>0</v>
      </c>
      <c r="BG90" s="41">
        <v>0</v>
      </c>
      <c r="BH90" s="41">
        <v>0</v>
      </c>
      <c r="BI90" s="41">
        <v>3060945.7699999996</v>
      </c>
      <c r="BJ90" s="455" t="s">
        <v>2715</v>
      </c>
      <c r="BK90" s="25" t="s">
        <v>2715</v>
      </c>
    </row>
    <row r="91" spans="1:64" s="10" customFormat="1" ht="31.5" x14ac:dyDescent="0.25">
      <c r="A91" s="27" t="s">
        <v>119</v>
      </c>
      <c r="B91" s="27" t="s">
        <v>120</v>
      </c>
      <c r="C91" s="28" t="s">
        <v>574</v>
      </c>
      <c r="D91" s="27">
        <v>1</v>
      </c>
      <c r="E91" s="27" t="s">
        <v>35</v>
      </c>
      <c r="F91" s="27" t="s">
        <v>102</v>
      </c>
      <c r="G91" s="48" t="s">
        <v>124</v>
      </c>
      <c r="H91" s="45">
        <v>80</v>
      </c>
      <c r="I91" s="45" t="s">
        <v>119</v>
      </c>
      <c r="J91" s="49" t="s">
        <v>125</v>
      </c>
      <c r="K91" s="49" t="s">
        <v>126</v>
      </c>
      <c r="L91" s="40">
        <v>0</v>
      </c>
      <c r="M91" s="40">
        <v>0</v>
      </c>
      <c r="N91" s="40">
        <v>0</v>
      </c>
      <c r="O91" s="40">
        <v>0</v>
      </c>
      <c r="P91" s="40">
        <v>0</v>
      </c>
      <c r="Q91" s="41">
        <f t="shared" si="54"/>
        <v>0</v>
      </c>
      <c r="R91" s="40">
        <v>0</v>
      </c>
      <c r="S91" s="40">
        <v>0</v>
      </c>
      <c r="T91" s="41">
        <f t="shared" si="55"/>
        <v>0</v>
      </c>
      <c r="U91" s="40">
        <v>2148667</v>
      </c>
      <c r="V91" s="40">
        <v>2148667</v>
      </c>
      <c r="W91" s="41">
        <f t="shared" si="56"/>
        <v>0</v>
      </c>
      <c r="X91" s="40">
        <v>0</v>
      </c>
      <c r="Y91" s="40">
        <v>0</v>
      </c>
      <c r="Z91" s="41">
        <f t="shared" si="57"/>
        <v>0</v>
      </c>
      <c r="AA91" s="40">
        <v>1370009.09</v>
      </c>
      <c r="AB91" s="40"/>
      <c r="AC91" s="41">
        <f t="shared" si="58"/>
        <v>-1370009.09</v>
      </c>
      <c r="AD91" s="40">
        <v>0</v>
      </c>
      <c r="AE91" s="41">
        <v>0</v>
      </c>
      <c r="AF91" s="41">
        <f t="shared" si="59"/>
        <v>0</v>
      </c>
      <c r="AG91" s="40">
        <v>0</v>
      </c>
      <c r="AH91" s="41">
        <v>0</v>
      </c>
      <c r="AI91" s="41">
        <f t="shared" si="60"/>
        <v>0</v>
      </c>
      <c r="AJ91" s="40">
        <v>87586.57</v>
      </c>
      <c r="AK91" s="41">
        <v>1417667.51</v>
      </c>
      <c r="AL91" s="41">
        <f t="shared" si="61"/>
        <v>1330080.94</v>
      </c>
      <c r="AM91" s="40">
        <v>0</v>
      </c>
      <c r="AN91" s="41">
        <v>0</v>
      </c>
      <c r="AO91" s="41">
        <f t="shared" si="52"/>
        <v>0</v>
      </c>
      <c r="AP91" s="40">
        <v>0</v>
      </c>
      <c r="AQ91" s="41">
        <f>IFERROR(VLOOKUP(G91,'10'!A:B,2,0),0)</f>
        <v>0</v>
      </c>
      <c r="AR91" s="41">
        <f t="shared" si="45"/>
        <v>0</v>
      </c>
      <c r="AS91" s="41">
        <f t="shared" si="49"/>
        <v>3606262.66</v>
      </c>
      <c r="AT91" s="41">
        <f>AN91+AK91+AH91+AE91+AB91+Y91+V91+S91+P91+AQ91</f>
        <v>3566334.51</v>
      </c>
      <c r="AU91" s="41">
        <f t="shared" si="48"/>
        <v>-39928.15000000014</v>
      </c>
      <c r="AV91" s="459">
        <f t="shared" si="46"/>
        <v>0.98892810819276256</v>
      </c>
      <c r="AW91" s="40">
        <v>876236.02</v>
      </c>
      <c r="AX91" s="40">
        <v>0</v>
      </c>
      <c r="AY91" s="41">
        <f t="shared" si="47"/>
        <v>4482498.68</v>
      </c>
      <c r="AZ91" s="41">
        <f>VLOOKUP(G91,'2017'!A:B,2,0)</f>
        <v>3566334.51</v>
      </c>
      <c r="BA91" s="550">
        <f t="shared" si="53"/>
        <v>-916164.16999999993</v>
      </c>
      <c r="BB91" s="40">
        <v>2896175.08</v>
      </c>
      <c r="BC91" s="40">
        <v>2173508.08</v>
      </c>
      <c r="BD91" s="40">
        <v>622277.31999999995</v>
      </c>
      <c r="BE91" s="40">
        <v>568875.84</v>
      </c>
      <c r="BF91" s="40">
        <v>0</v>
      </c>
      <c r="BG91" s="40">
        <v>0</v>
      </c>
      <c r="BH91" s="40">
        <v>0</v>
      </c>
      <c r="BI91" s="40">
        <v>8594668</v>
      </c>
      <c r="BJ91" s="458" t="s">
        <v>2723</v>
      </c>
      <c r="BK91" s="25" t="s">
        <v>2723</v>
      </c>
    </row>
    <row r="92" spans="1:64" ht="38.25" x14ac:dyDescent="0.25">
      <c r="A92" s="527" t="s">
        <v>150</v>
      </c>
      <c r="B92" s="18" t="s">
        <v>151</v>
      </c>
      <c r="C92" s="19" t="s">
        <v>578</v>
      </c>
      <c r="D92" s="55" t="s">
        <v>3</v>
      </c>
      <c r="E92" s="55" t="s">
        <v>29</v>
      </c>
      <c r="F92" s="55" t="s">
        <v>102</v>
      </c>
      <c r="G92" s="55" t="s">
        <v>2684</v>
      </c>
      <c r="H92" s="45">
        <v>81</v>
      </c>
      <c r="I92" s="45" t="s">
        <v>150</v>
      </c>
      <c r="J92" s="19" t="s">
        <v>98</v>
      </c>
      <c r="K92" s="19" t="s">
        <v>2007</v>
      </c>
      <c r="L92" s="145">
        <v>0</v>
      </c>
      <c r="M92" s="145">
        <v>0</v>
      </c>
      <c r="N92" s="145">
        <v>0</v>
      </c>
      <c r="O92" s="145">
        <f>N92+M92+L92</f>
        <v>0</v>
      </c>
      <c r="P92" s="145"/>
      <c r="Q92" s="145"/>
      <c r="R92" s="145">
        <v>0</v>
      </c>
      <c r="S92" s="145"/>
      <c r="T92" s="145"/>
      <c r="U92" s="145">
        <v>0</v>
      </c>
      <c r="V92" s="145"/>
      <c r="W92" s="145"/>
      <c r="X92" s="145">
        <v>0</v>
      </c>
      <c r="Y92" s="145"/>
      <c r="Z92" s="145"/>
      <c r="AA92" s="145">
        <v>0</v>
      </c>
      <c r="AB92" s="145"/>
      <c r="AC92" s="145"/>
      <c r="AD92" s="145">
        <v>0</v>
      </c>
      <c r="AE92" s="145"/>
      <c r="AF92" s="145"/>
      <c r="AG92" s="145">
        <v>0</v>
      </c>
      <c r="AH92" s="145"/>
      <c r="AI92" s="145"/>
      <c r="AJ92" s="145">
        <v>0</v>
      </c>
      <c r="AK92" s="145"/>
      <c r="AL92" s="145"/>
      <c r="AM92" s="145">
        <v>0</v>
      </c>
      <c r="AN92" s="145"/>
      <c r="AO92" s="145"/>
      <c r="AP92" s="145">
        <v>0</v>
      </c>
      <c r="AQ92" s="41">
        <f>IFERROR(VLOOKUP(G92,'10'!A:B,2,0),0)</f>
        <v>3581.83</v>
      </c>
      <c r="AR92" s="41">
        <f t="shared" si="45"/>
        <v>3581.83</v>
      </c>
      <c r="AS92" s="41">
        <f t="shared" si="49"/>
        <v>0</v>
      </c>
      <c r="AT92" s="41">
        <f>AN92+AK92+AH92+AE92+AB92+-Y92+V92+S92+P92+AQ92</f>
        <v>3581.83</v>
      </c>
      <c r="AU92" s="41">
        <f t="shared" si="48"/>
        <v>3581.83</v>
      </c>
      <c r="AV92" s="459">
        <v>0</v>
      </c>
      <c r="AW92" s="145">
        <v>0</v>
      </c>
      <c r="AX92" s="145">
        <v>887400</v>
      </c>
      <c r="AY92" s="41">
        <f t="shared" si="47"/>
        <v>887400</v>
      </c>
      <c r="AZ92" s="41">
        <f>VLOOKUP(G92,'2017'!A:B,2,0)</f>
        <v>3581.83</v>
      </c>
      <c r="BA92" s="550">
        <f t="shared" si="53"/>
        <v>-883818.17</v>
      </c>
      <c r="BB92" s="145">
        <f>SUM(R92:AX92)</f>
        <v>901727.32</v>
      </c>
      <c r="BC92" s="145">
        <v>4042600</v>
      </c>
      <c r="BD92" s="145">
        <v>0</v>
      </c>
      <c r="BE92" s="145">
        <v>0</v>
      </c>
      <c r="BF92" s="145">
        <v>0</v>
      </c>
      <c r="BG92" s="145">
        <v>0</v>
      </c>
      <c r="BH92" s="145">
        <v>0</v>
      </c>
      <c r="BI92" s="145">
        <v>5539805.21</v>
      </c>
      <c r="BJ92" s="145"/>
      <c r="BK92" s="152"/>
      <c r="BL92" s="518"/>
    </row>
    <row r="93" spans="1:64" s="29" customFormat="1" ht="25.5" x14ac:dyDescent="0.25">
      <c r="A93" s="527" t="s">
        <v>2519</v>
      </c>
      <c r="B93" s="18" t="s">
        <v>2521</v>
      </c>
      <c r="C93" s="19" t="s">
        <v>2520</v>
      </c>
      <c r="D93" s="55" t="s">
        <v>3</v>
      </c>
      <c r="E93" s="55" t="s">
        <v>402</v>
      </c>
      <c r="F93" s="55" t="s">
        <v>77</v>
      </c>
      <c r="G93" s="55" t="s">
        <v>2853</v>
      </c>
      <c r="H93" s="45">
        <v>82</v>
      </c>
      <c r="I93" s="45" t="s">
        <v>2519</v>
      </c>
      <c r="J93" s="19" t="s">
        <v>409</v>
      </c>
      <c r="K93" s="344" t="s">
        <v>2522</v>
      </c>
      <c r="L93" s="145">
        <v>0</v>
      </c>
      <c r="M93" s="145">
        <v>0</v>
      </c>
      <c r="N93" s="145">
        <v>0</v>
      </c>
      <c r="O93" s="145">
        <v>0</v>
      </c>
      <c r="P93" s="145"/>
      <c r="Q93" s="145"/>
      <c r="R93" s="145">
        <v>0</v>
      </c>
      <c r="S93" s="145"/>
      <c r="T93" s="145"/>
      <c r="U93" s="145">
        <v>0</v>
      </c>
      <c r="V93" s="145"/>
      <c r="W93" s="145"/>
      <c r="X93" s="145">
        <v>0</v>
      </c>
      <c r="Y93" s="145"/>
      <c r="Z93" s="145"/>
      <c r="AA93" s="145">
        <v>0</v>
      </c>
      <c r="AB93" s="145"/>
      <c r="AC93" s="145"/>
      <c r="AD93" s="145">
        <v>0</v>
      </c>
      <c r="AE93" s="145"/>
      <c r="AF93" s="145"/>
      <c r="AG93" s="145">
        <v>0</v>
      </c>
      <c r="AH93" s="145"/>
      <c r="AI93" s="145"/>
      <c r="AJ93" s="145">
        <v>0</v>
      </c>
      <c r="AK93" s="145"/>
      <c r="AL93" s="145"/>
      <c r="AM93" s="145">
        <v>0</v>
      </c>
      <c r="AN93" s="145"/>
      <c r="AO93" s="145"/>
      <c r="AP93" s="145">
        <v>0</v>
      </c>
      <c r="AQ93" s="41">
        <f>IFERROR(VLOOKUP(G93,'10'!A:B,2,0),0)</f>
        <v>7069.51</v>
      </c>
      <c r="AR93" s="41">
        <f t="shared" si="45"/>
        <v>7069.51</v>
      </c>
      <c r="AS93" s="41">
        <f t="shared" si="49"/>
        <v>0</v>
      </c>
      <c r="AT93" s="41">
        <f>AN93+AK93+AH93+AE93+AB93+-Y93+V93+S93+P93+AQ93</f>
        <v>7069.51</v>
      </c>
      <c r="AU93" s="41">
        <f t="shared" si="48"/>
        <v>7069.51</v>
      </c>
      <c r="AV93" s="459">
        <v>0</v>
      </c>
      <c r="AW93" s="145">
        <v>0</v>
      </c>
      <c r="AX93" s="145">
        <v>567976</v>
      </c>
      <c r="AY93" s="41">
        <f t="shared" si="47"/>
        <v>567976</v>
      </c>
      <c r="AZ93" s="41">
        <f>VLOOKUP(G93,'2017'!A:B,2,0)</f>
        <v>7069.51</v>
      </c>
      <c r="BA93" s="550">
        <f t="shared" si="53"/>
        <v>-560906.49</v>
      </c>
      <c r="BB93" s="145">
        <v>567976</v>
      </c>
      <c r="BC93" s="145">
        <v>4036519</v>
      </c>
      <c r="BD93" s="145">
        <v>3365506</v>
      </c>
      <c r="BE93" s="145">
        <v>3495915</v>
      </c>
      <c r="BF93" s="145">
        <v>3413164</v>
      </c>
      <c r="BG93" s="145">
        <v>4471975</v>
      </c>
      <c r="BH93" s="145">
        <v>0</v>
      </c>
      <c r="BI93" s="145">
        <v>19351057</v>
      </c>
      <c r="BJ93" s="145"/>
      <c r="BK93" s="152"/>
      <c r="BL93" s="518"/>
    </row>
    <row r="94" spans="1:64" s="10" customFormat="1" ht="63" x14ac:dyDescent="0.25">
      <c r="A94" s="33" t="s">
        <v>119</v>
      </c>
      <c r="B94" s="33" t="s">
        <v>120</v>
      </c>
      <c r="C94" s="34" t="s">
        <v>574</v>
      </c>
      <c r="D94" s="33">
        <v>1</v>
      </c>
      <c r="E94" s="33" t="s">
        <v>35</v>
      </c>
      <c r="F94" s="33" t="s">
        <v>102</v>
      </c>
      <c r="G94" s="33" t="s">
        <v>1681</v>
      </c>
      <c r="H94" s="45">
        <v>83</v>
      </c>
      <c r="I94" s="45" t="s">
        <v>119</v>
      </c>
      <c r="J94" s="34" t="s">
        <v>1682</v>
      </c>
      <c r="K94" s="34" t="s">
        <v>1683</v>
      </c>
      <c r="L94" s="35">
        <v>0</v>
      </c>
      <c r="M94" s="35">
        <v>0</v>
      </c>
      <c r="N94" s="35">
        <v>0</v>
      </c>
      <c r="O94" s="35">
        <v>0</v>
      </c>
      <c r="P94" s="35">
        <v>0</v>
      </c>
      <c r="Q94" s="35">
        <v>0</v>
      </c>
      <c r="R94" s="35">
        <v>0</v>
      </c>
      <c r="S94" s="35">
        <v>0</v>
      </c>
      <c r="T94" s="35">
        <v>0</v>
      </c>
      <c r="U94" s="35">
        <v>0</v>
      </c>
      <c r="V94" s="35">
        <v>0</v>
      </c>
      <c r="W94" s="35">
        <v>0</v>
      </c>
      <c r="X94" s="35">
        <v>0</v>
      </c>
      <c r="Y94" s="35">
        <v>0</v>
      </c>
      <c r="Z94" s="35">
        <v>0</v>
      </c>
      <c r="AA94" s="35">
        <v>0</v>
      </c>
      <c r="AB94" s="35">
        <v>0</v>
      </c>
      <c r="AC94" s="35">
        <v>0</v>
      </c>
      <c r="AD94" s="35">
        <v>0</v>
      </c>
      <c r="AE94" s="35">
        <v>0</v>
      </c>
      <c r="AF94" s="35">
        <v>0</v>
      </c>
      <c r="AG94" s="35">
        <v>0</v>
      </c>
      <c r="AH94" s="35">
        <v>0</v>
      </c>
      <c r="AI94" s="35">
        <v>0</v>
      </c>
      <c r="AJ94" s="37">
        <v>203179.96</v>
      </c>
      <c r="AK94" s="41">
        <v>0</v>
      </c>
      <c r="AL94" s="41">
        <f>AK94-AJ94</f>
        <v>-203179.96</v>
      </c>
      <c r="AM94" s="37"/>
      <c r="AN94" s="41">
        <v>3700</v>
      </c>
      <c r="AO94" s="41">
        <f t="shared" ref="AO94:AO108" si="62">AN94-AM94</f>
        <v>3700</v>
      </c>
      <c r="AP94" s="37"/>
      <c r="AQ94" s="41">
        <f>IFERROR(VLOOKUP(G94,'10'!A:B,2,0),0)</f>
        <v>0</v>
      </c>
      <c r="AR94" s="41">
        <f t="shared" si="45"/>
        <v>0</v>
      </c>
      <c r="AS94" s="41">
        <f t="shared" si="49"/>
        <v>203179.96</v>
      </c>
      <c r="AT94" s="41">
        <f>AN94+AK94+AH94+AE94+AB94+-Y94+V94+S94+P94+AQ94</f>
        <v>3700</v>
      </c>
      <c r="AU94" s="41">
        <f t="shared" si="48"/>
        <v>-199479.96</v>
      </c>
      <c r="AV94" s="459">
        <f t="shared" ref="AV94:AV125" si="63">AT94/AS94</f>
        <v>1.8210457369909908E-2</v>
      </c>
      <c r="AW94" s="37">
        <v>75403.91</v>
      </c>
      <c r="AX94" s="37"/>
      <c r="AY94" s="41">
        <f t="shared" si="47"/>
        <v>278583.87</v>
      </c>
      <c r="AZ94" s="41">
        <f>VLOOKUP(G94,'2017'!A:B,2,0)</f>
        <v>60448.24</v>
      </c>
      <c r="BA94" s="552">
        <f t="shared" ref="BA94:BA95" si="64">AZ94-AY94</f>
        <v>-218135.63</v>
      </c>
      <c r="BB94" s="37">
        <v>612688.5</v>
      </c>
      <c r="BC94" s="37">
        <v>0</v>
      </c>
      <c r="BD94" s="37">
        <v>0</v>
      </c>
      <c r="BE94" s="37">
        <v>0</v>
      </c>
      <c r="BF94" s="37">
        <v>54272.59</v>
      </c>
      <c r="BG94" s="37"/>
      <c r="BH94" s="37"/>
      <c r="BI94" s="37">
        <v>742365</v>
      </c>
      <c r="BJ94" s="57"/>
      <c r="BK94" s="25" t="s">
        <v>2765</v>
      </c>
    </row>
    <row r="95" spans="1:64" s="10" customFormat="1" ht="47.25" x14ac:dyDescent="0.25">
      <c r="A95" s="470" t="s">
        <v>2107</v>
      </c>
      <c r="B95" s="470" t="s">
        <v>2109</v>
      </c>
      <c r="C95" s="471" t="s">
        <v>2108</v>
      </c>
      <c r="D95" s="470" t="s">
        <v>3</v>
      </c>
      <c r="E95" s="470" t="s">
        <v>4</v>
      </c>
      <c r="F95" s="470" t="s">
        <v>5</v>
      </c>
      <c r="G95" s="43" t="s">
        <v>2774</v>
      </c>
      <c r="H95" s="45">
        <v>84</v>
      </c>
      <c r="I95" s="45" t="s">
        <v>2107</v>
      </c>
      <c r="J95" s="475" t="s">
        <v>2114</v>
      </c>
      <c r="K95" s="489" t="s">
        <v>2115</v>
      </c>
      <c r="L95" s="41"/>
      <c r="M95" s="41">
        <v>0</v>
      </c>
      <c r="N95" s="40">
        <v>0</v>
      </c>
      <c r="O95" s="40">
        <v>0</v>
      </c>
      <c r="P95" s="40"/>
      <c r="Q95" s="40"/>
      <c r="R95" s="41">
        <v>0</v>
      </c>
      <c r="S95" s="41"/>
      <c r="T95" s="41"/>
      <c r="U95" s="40">
        <v>0</v>
      </c>
      <c r="V95" s="40"/>
      <c r="W95" s="40"/>
      <c r="X95" s="40">
        <v>0</v>
      </c>
      <c r="Y95" s="40"/>
      <c r="Z95" s="41">
        <v>0</v>
      </c>
      <c r="AA95" s="41"/>
      <c r="AB95" s="41"/>
      <c r="AC95" s="40">
        <v>0</v>
      </c>
      <c r="AD95" s="40"/>
      <c r="AE95" s="40"/>
      <c r="AF95" s="40">
        <v>0</v>
      </c>
      <c r="AG95" s="40"/>
      <c r="AH95" s="40"/>
      <c r="AI95" s="41">
        <v>0</v>
      </c>
      <c r="AJ95" s="41"/>
      <c r="AK95" s="41"/>
      <c r="AL95" s="41"/>
      <c r="AM95" s="41">
        <v>77106.05</v>
      </c>
      <c r="AN95" s="41">
        <v>0</v>
      </c>
      <c r="AO95" s="41">
        <f t="shared" si="62"/>
        <v>-77106.05</v>
      </c>
      <c r="AP95" s="41">
        <v>115892.40000000001</v>
      </c>
      <c r="AQ95" s="41">
        <f>IFERROR(VLOOKUP(G95,'10'!A:B,2,0),0)</f>
        <v>0</v>
      </c>
      <c r="AR95" s="41">
        <f t="shared" si="45"/>
        <v>-115892.40000000001</v>
      </c>
      <c r="AS95" s="41">
        <f t="shared" si="49"/>
        <v>192998.45</v>
      </c>
      <c r="AT95" s="41">
        <f>AN95+AK95+AH95+AE95+AB95+-Y95+V95+S95+P95+AQ95</f>
        <v>0</v>
      </c>
      <c r="AU95" s="41">
        <f t="shared" si="48"/>
        <v>-192998.45</v>
      </c>
      <c r="AV95" s="459">
        <f t="shared" si="63"/>
        <v>0</v>
      </c>
      <c r="AW95" s="40">
        <v>96237</v>
      </c>
      <c r="AX95" s="40">
        <v>119770.09999999999</v>
      </c>
      <c r="AY95" s="41">
        <f t="shared" si="47"/>
        <v>409005.55</v>
      </c>
      <c r="AZ95" s="41"/>
      <c r="BA95" s="552">
        <f t="shared" si="64"/>
        <v>-409005.55</v>
      </c>
      <c r="BB95" s="41">
        <v>415982.35</v>
      </c>
      <c r="BC95" s="41">
        <v>0</v>
      </c>
      <c r="BD95" s="41">
        <v>0</v>
      </c>
      <c r="BE95" s="41">
        <v>0</v>
      </c>
      <c r="BF95" s="41">
        <v>0</v>
      </c>
      <c r="BG95" s="41">
        <v>0</v>
      </c>
      <c r="BH95" s="41">
        <v>0</v>
      </c>
      <c r="BI95" s="41">
        <v>824987.89999999991</v>
      </c>
      <c r="BJ95" s="41"/>
      <c r="BK95" s="41"/>
    </row>
    <row r="96" spans="1:64" s="10" customFormat="1" ht="31.5" x14ac:dyDescent="0.2">
      <c r="A96" s="11" t="s">
        <v>368</v>
      </c>
      <c r="B96" s="11" t="s">
        <v>369</v>
      </c>
      <c r="C96" s="14" t="s">
        <v>601</v>
      </c>
      <c r="D96" s="11" t="s">
        <v>3</v>
      </c>
      <c r="E96" s="11" t="s">
        <v>210</v>
      </c>
      <c r="F96" s="11" t="s">
        <v>77</v>
      </c>
      <c r="G96" s="44" t="s">
        <v>371</v>
      </c>
      <c r="H96" s="45">
        <v>85</v>
      </c>
      <c r="I96" s="45" t="s">
        <v>368</v>
      </c>
      <c r="J96" s="46" t="s">
        <v>40</v>
      </c>
      <c r="K96" s="46" t="s">
        <v>370</v>
      </c>
      <c r="L96" s="41">
        <v>0</v>
      </c>
      <c r="M96" s="41">
        <v>8258.4</v>
      </c>
      <c r="N96" s="41">
        <v>276696.58</v>
      </c>
      <c r="O96" s="41">
        <v>0</v>
      </c>
      <c r="P96" s="41">
        <v>0</v>
      </c>
      <c r="Q96" s="41">
        <f>P96-O96</f>
        <v>0</v>
      </c>
      <c r="R96" s="41">
        <v>0</v>
      </c>
      <c r="S96" s="41">
        <v>0</v>
      </c>
      <c r="T96" s="41">
        <f>S96-R96</f>
        <v>0</v>
      </c>
      <c r="U96" s="41">
        <v>77667.399999999994</v>
      </c>
      <c r="V96" s="41">
        <v>77568.800000000003</v>
      </c>
      <c r="W96" s="41">
        <f>V96-U96</f>
        <v>-98.599999999991269</v>
      </c>
      <c r="X96" s="41">
        <v>0</v>
      </c>
      <c r="Y96" s="41">
        <v>0</v>
      </c>
      <c r="Z96" s="41">
        <f>Y96-X96</f>
        <v>0</v>
      </c>
      <c r="AA96" s="41">
        <v>0</v>
      </c>
      <c r="AB96" s="41">
        <v>0</v>
      </c>
      <c r="AC96" s="41">
        <f>AB96-AA96</f>
        <v>0</v>
      </c>
      <c r="AD96" s="41">
        <v>178697.76</v>
      </c>
      <c r="AE96" s="41">
        <v>99929.61</v>
      </c>
      <c r="AF96" s="41">
        <f>AE96-AD96</f>
        <v>-78768.150000000009</v>
      </c>
      <c r="AG96" s="41">
        <v>0</v>
      </c>
      <c r="AH96" s="41">
        <v>0</v>
      </c>
      <c r="AI96" s="41">
        <f>AH96-AG96</f>
        <v>0</v>
      </c>
      <c r="AJ96" s="41">
        <v>0</v>
      </c>
      <c r="AK96" s="41">
        <v>0</v>
      </c>
      <c r="AL96" s="41">
        <f t="shared" ref="AL96:AL108" si="65">AK96-AJ96</f>
        <v>0</v>
      </c>
      <c r="AM96" s="41">
        <v>193204.4</v>
      </c>
      <c r="AN96" s="41">
        <v>83195.539999999994</v>
      </c>
      <c r="AO96" s="41">
        <f t="shared" si="62"/>
        <v>-110008.86</v>
      </c>
      <c r="AP96" s="41">
        <v>0</v>
      </c>
      <c r="AQ96" s="41">
        <f>IFERROR(VLOOKUP(G96,'10'!A:B,2,0),0)</f>
        <v>0</v>
      </c>
      <c r="AR96" s="41">
        <f t="shared" si="45"/>
        <v>0</v>
      </c>
      <c r="AS96" s="41">
        <f t="shared" si="49"/>
        <v>449569.56000000006</v>
      </c>
      <c r="AT96" s="41">
        <f>AN96+AK96+AH96+AE96+AB96+Y96+V96+S96+P96+AQ96</f>
        <v>260693.95</v>
      </c>
      <c r="AU96" s="41">
        <f t="shared" si="48"/>
        <v>-188875.61</v>
      </c>
      <c r="AV96" s="459">
        <f t="shared" si="63"/>
        <v>0.57987455823299061</v>
      </c>
      <c r="AW96" s="41">
        <v>0</v>
      </c>
      <c r="AX96" s="41">
        <v>215460.23</v>
      </c>
      <c r="AY96" s="41">
        <f t="shared" si="47"/>
        <v>665029.79</v>
      </c>
      <c r="AZ96" s="41">
        <f>VLOOKUP(G96,'2017'!A:B,2,0)</f>
        <v>341443.94999999995</v>
      </c>
      <c r="BA96" s="552">
        <f>AZ96-AY96</f>
        <v>-323585.84000000008</v>
      </c>
      <c r="BB96" s="41">
        <v>2066434.55</v>
      </c>
      <c r="BC96" s="41">
        <v>1064603.31</v>
      </c>
      <c r="BD96" s="41">
        <v>1265345.48</v>
      </c>
      <c r="BE96" s="41">
        <v>1030158.3999999999</v>
      </c>
      <c r="BF96" s="41">
        <v>729955.78</v>
      </c>
      <c r="BG96" s="41">
        <v>116298.64</v>
      </c>
      <c r="BH96" s="41">
        <v>0</v>
      </c>
      <c r="BI96" s="41">
        <v>7222780.9299999997</v>
      </c>
      <c r="BJ96" s="75"/>
      <c r="BK96" s="11"/>
    </row>
    <row r="97" spans="1:64" s="10" customFormat="1" ht="47.25" x14ac:dyDescent="0.25">
      <c r="A97" s="11" t="s">
        <v>19</v>
      </c>
      <c r="B97" s="11" t="s">
        <v>20</v>
      </c>
      <c r="C97" s="14" t="s">
        <v>564</v>
      </c>
      <c r="D97" s="11" t="s">
        <v>3</v>
      </c>
      <c r="E97" s="11" t="s">
        <v>11</v>
      </c>
      <c r="F97" s="11" t="s">
        <v>5</v>
      </c>
      <c r="G97" s="44" t="s">
        <v>21</v>
      </c>
      <c r="H97" s="45">
        <v>86</v>
      </c>
      <c r="I97" s="45" t="s">
        <v>19</v>
      </c>
      <c r="J97" s="46" t="s">
        <v>22</v>
      </c>
      <c r="K97" s="46" t="s">
        <v>23</v>
      </c>
      <c r="L97" s="41">
        <v>0</v>
      </c>
      <c r="M97" s="41">
        <v>0</v>
      </c>
      <c r="N97" s="41">
        <v>281309.15999999997</v>
      </c>
      <c r="O97" s="41">
        <v>0</v>
      </c>
      <c r="P97" s="41">
        <v>0</v>
      </c>
      <c r="Q97" s="41">
        <f>P97-O97</f>
        <v>0</v>
      </c>
      <c r="R97" s="41">
        <v>18540.439999999999</v>
      </c>
      <c r="S97" s="41">
        <v>18540.439999999999</v>
      </c>
      <c r="T97" s="41">
        <f>S97-R97</f>
        <v>0</v>
      </c>
      <c r="U97" s="41">
        <v>0</v>
      </c>
      <c r="V97" s="41">
        <v>0</v>
      </c>
      <c r="W97" s="41">
        <f>V97-U97</f>
        <v>0</v>
      </c>
      <c r="X97" s="41">
        <v>0</v>
      </c>
      <c r="Y97" s="41">
        <v>0</v>
      </c>
      <c r="Z97" s="41">
        <f>Y97-X97</f>
        <v>0</v>
      </c>
      <c r="AA97" s="41">
        <v>111113.14</v>
      </c>
      <c r="AB97" s="41">
        <v>22630.07</v>
      </c>
      <c r="AC97" s="41">
        <f>AB97-AA97</f>
        <v>-88483.07</v>
      </c>
      <c r="AD97" s="41">
        <v>0</v>
      </c>
      <c r="AE97" s="41">
        <v>0</v>
      </c>
      <c r="AF97" s="41">
        <f>AE97-AD97</f>
        <v>0</v>
      </c>
      <c r="AG97" s="41">
        <v>0</v>
      </c>
      <c r="AH97" s="41">
        <v>0</v>
      </c>
      <c r="AI97" s="41">
        <f>AH97-AG97</f>
        <v>0</v>
      </c>
      <c r="AJ97" s="41">
        <v>148150.85999999999</v>
      </c>
      <c r="AK97" s="41">
        <v>47791.35</v>
      </c>
      <c r="AL97" s="41">
        <f t="shared" si="65"/>
        <v>-100359.50999999998</v>
      </c>
      <c r="AM97" s="41">
        <v>0</v>
      </c>
      <c r="AN97" s="41">
        <v>0</v>
      </c>
      <c r="AO97" s="41">
        <f t="shared" si="62"/>
        <v>0</v>
      </c>
      <c r="AP97" s="41">
        <v>0</v>
      </c>
      <c r="AQ97" s="41">
        <f>IFERROR(VLOOKUP(G97,'10'!A:B,2,0),0)</f>
        <v>0</v>
      </c>
      <c r="AR97" s="41">
        <f t="shared" si="45"/>
        <v>0</v>
      </c>
      <c r="AS97" s="41">
        <f t="shared" si="49"/>
        <v>277804.44</v>
      </c>
      <c r="AT97" s="41">
        <f>AN97+AK97+AH97+AE97+AB97+Y97+V97+S97+P97+AQ97</f>
        <v>88961.86</v>
      </c>
      <c r="AU97" s="41">
        <f t="shared" si="48"/>
        <v>-188842.58</v>
      </c>
      <c r="AV97" s="459">
        <f t="shared" si="63"/>
        <v>0.32023195885566119</v>
      </c>
      <c r="AW97" s="41">
        <v>185188.58</v>
      </c>
      <c r="AX97" s="41">
        <v>0</v>
      </c>
      <c r="AY97" s="41">
        <f t="shared" si="47"/>
        <v>462993.01999999996</v>
      </c>
      <c r="AZ97" s="41">
        <f>VLOOKUP(G97,'2017'!A:B,2,0)</f>
        <v>152952.85999999999</v>
      </c>
      <c r="BA97" s="552">
        <f>AZ97-AY97</f>
        <v>-310040.15999999997</v>
      </c>
      <c r="BB97" s="41">
        <v>480078.3</v>
      </c>
      <c r="BC97" s="41">
        <v>515559.2</v>
      </c>
      <c r="BD97" s="41">
        <v>466315.12</v>
      </c>
      <c r="BE97" s="41">
        <v>76991.86</v>
      </c>
      <c r="BF97" s="41">
        <v>0</v>
      </c>
      <c r="BG97" s="41">
        <v>0</v>
      </c>
      <c r="BH97" s="41">
        <v>0</v>
      </c>
      <c r="BI97" s="41">
        <v>2001937.5</v>
      </c>
      <c r="BJ97" s="75"/>
      <c r="BK97" s="25"/>
    </row>
    <row r="98" spans="1:64" s="10" customFormat="1" ht="51.75" x14ac:dyDescent="0.25">
      <c r="A98" s="11" t="s">
        <v>537</v>
      </c>
      <c r="B98" s="11" t="s">
        <v>538</v>
      </c>
      <c r="C98" s="14" t="s">
        <v>611</v>
      </c>
      <c r="D98" s="11">
        <v>1</v>
      </c>
      <c r="E98" s="11" t="s">
        <v>454</v>
      </c>
      <c r="F98" s="11" t="s">
        <v>102</v>
      </c>
      <c r="G98" s="44" t="s">
        <v>545</v>
      </c>
      <c r="H98" s="45">
        <v>87</v>
      </c>
      <c r="I98" s="45" t="s">
        <v>537</v>
      </c>
      <c r="J98" s="46" t="s">
        <v>461</v>
      </c>
      <c r="K98" s="46" t="s">
        <v>546</v>
      </c>
      <c r="L98" s="41">
        <v>0</v>
      </c>
      <c r="M98" s="41">
        <v>0</v>
      </c>
      <c r="N98" s="41">
        <v>1775102.13</v>
      </c>
      <c r="O98" s="41">
        <v>0</v>
      </c>
      <c r="P98" s="41">
        <v>0</v>
      </c>
      <c r="Q98" s="41">
        <f>P98-O98</f>
        <v>0</v>
      </c>
      <c r="R98" s="41">
        <v>887265.39</v>
      </c>
      <c r="S98" s="41">
        <v>887265.39</v>
      </c>
      <c r="T98" s="41">
        <f>S98-R98</f>
        <v>0</v>
      </c>
      <c r="U98" s="41">
        <v>0</v>
      </c>
      <c r="V98" s="41">
        <v>0</v>
      </c>
      <c r="W98" s="41">
        <f>V98-U98</f>
        <v>0</v>
      </c>
      <c r="X98" s="41">
        <v>0</v>
      </c>
      <c r="Y98" s="41">
        <v>0</v>
      </c>
      <c r="Z98" s="41">
        <f>Y98-X98</f>
        <v>0</v>
      </c>
      <c r="AA98" s="41">
        <v>771600.25</v>
      </c>
      <c r="AB98" s="41">
        <v>624965.24</v>
      </c>
      <c r="AC98" s="41">
        <f>AB98-AA98</f>
        <v>-146635.01</v>
      </c>
      <c r="AD98" s="41">
        <v>0</v>
      </c>
      <c r="AE98" s="41">
        <v>0</v>
      </c>
      <c r="AF98" s="41">
        <f>AE98-AD98</f>
        <v>0</v>
      </c>
      <c r="AG98" s="41">
        <v>0</v>
      </c>
      <c r="AH98" s="41">
        <v>0</v>
      </c>
      <c r="AI98" s="41">
        <f>AH98-AG98</f>
        <v>0</v>
      </c>
      <c r="AJ98" s="41">
        <v>969625.59999999998</v>
      </c>
      <c r="AK98" s="41">
        <v>946656.82</v>
      </c>
      <c r="AL98" s="41">
        <f t="shared" si="65"/>
        <v>-22968.780000000028</v>
      </c>
      <c r="AM98" s="41">
        <v>0</v>
      </c>
      <c r="AN98" s="41">
        <v>0</v>
      </c>
      <c r="AO98" s="41">
        <f t="shared" si="62"/>
        <v>0</v>
      </c>
      <c r="AP98" s="41">
        <v>0</v>
      </c>
      <c r="AQ98" s="41">
        <f>IFERROR(VLOOKUP(G98,'10'!A:B,2,0),0)</f>
        <v>0</v>
      </c>
      <c r="AR98" s="41">
        <f t="shared" si="45"/>
        <v>0</v>
      </c>
      <c r="AS98" s="41">
        <f t="shared" si="49"/>
        <v>2628491.2400000002</v>
      </c>
      <c r="AT98" s="41">
        <f>AN98+AK98+AH98+AE98+AB98+-Y98+V98+S98+P98+AQ98</f>
        <v>2458887.4500000002</v>
      </c>
      <c r="AU98" s="41">
        <f t="shared" si="48"/>
        <v>-169603.79000000004</v>
      </c>
      <c r="AV98" s="459">
        <f t="shared" si="63"/>
        <v>0.9354748505838657</v>
      </c>
      <c r="AW98" s="41">
        <v>1083455.8999999999</v>
      </c>
      <c r="AX98" s="41">
        <v>0</v>
      </c>
      <c r="AY98" s="41">
        <f t="shared" si="47"/>
        <v>3711947.14</v>
      </c>
      <c r="AZ98" s="41">
        <f>VLOOKUP(G98,'2017'!A:B,2,0)</f>
        <v>3542343.3499999996</v>
      </c>
      <c r="BA98" s="552">
        <f>AZ98-AY98</f>
        <v>-169603.7900000005</v>
      </c>
      <c r="BB98" s="41">
        <v>5076433.37</v>
      </c>
      <c r="BC98" s="41">
        <v>1618636.61</v>
      </c>
      <c r="BD98" s="41">
        <v>0</v>
      </c>
      <c r="BE98" s="41">
        <v>0</v>
      </c>
      <c r="BF98" s="41">
        <v>0</v>
      </c>
      <c r="BG98" s="41">
        <v>0</v>
      </c>
      <c r="BH98" s="41">
        <v>0</v>
      </c>
      <c r="BI98" s="41">
        <v>12182119.25</v>
      </c>
      <c r="BJ98" s="75"/>
      <c r="BK98" s="25"/>
    </row>
    <row r="99" spans="1:64" s="10" customFormat="1" ht="47.25" x14ac:dyDescent="0.25">
      <c r="A99" s="31" t="s">
        <v>758</v>
      </c>
      <c r="B99" s="31" t="s">
        <v>759</v>
      </c>
      <c r="C99" s="32" t="s">
        <v>760</v>
      </c>
      <c r="D99" s="72" t="s">
        <v>3</v>
      </c>
      <c r="E99" s="72" t="s">
        <v>29</v>
      </c>
      <c r="F99" s="72" t="s">
        <v>102</v>
      </c>
      <c r="G99" s="72"/>
      <c r="H99" s="45">
        <v>88</v>
      </c>
      <c r="I99" s="45" t="s">
        <v>758</v>
      </c>
      <c r="J99" s="32" t="s">
        <v>861</v>
      </c>
      <c r="K99" s="32" t="s">
        <v>1960</v>
      </c>
      <c r="L99" s="35">
        <v>0</v>
      </c>
      <c r="M99" s="35">
        <v>0</v>
      </c>
      <c r="N99" s="35">
        <v>0</v>
      </c>
      <c r="O99" s="35">
        <v>0</v>
      </c>
      <c r="P99" s="35">
        <v>0</v>
      </c>
      <c r="Q99" s="35">
        <v>0</v>
      </c>
      <c r="R99" s="35">
        <v>0</v>
      </c>
      <c r="S99" s="35">
        <v>0</v>
      </c>
      <c r="T99" s="35">
        <v>0</v>
      </c>
      <c r="U99" s="35">
        <v>0</v>
      </c>
      <c r="V99" s="35">
        <v>0</v>
      </c>
      <c r="W99" s="35">
        <v>0</v>
      </c>
      <c r="X99" s="35">
        <v>0</v>
      </c>
      <c r="Y99" s="35">
        <v>0</v>
      </c>
      <c r="Z99" s="35">
        <v>0</v>
      </c>
      <c r="AA99" s="35">
        <v>0</v>
      </c>
      <c r="AB99" s="35">
        <v>0</v>
      </c>
      <c r="AC99" s="35">
        <v>0</v>
      </c>
      <c r="AD99" s="35">
        <v>0</v>
      </c>
      <c r="AE99" s="35">
        <v>0</v>
      </c>
      <c r="AF99" s="35">
        <v>0</v>
      </c>
      <c r="AG99" s="35">
        <v>0</v>
      </c>
      <c r="AH99" s="35">
        <v>0</v>
      </c>
      <c r="AI99" s="35">
        <v>0</v>
      </c>
      <c r="AJ99" s="37">
        <v>164000</v>
      </c>
      <c r="AK99" s="41">
        <v>0</v>
      </c>
      <c r="AL99" s="41">
        <f t="shared" si="65"/>
        <v>-164000</v>
      </c>
      <c r="AM99" s="41"/>
      <c r="AN99" s="41">
        <v>0</v>
      </c>
      <c r="AO99" s="41">
        <f t="shared" si="62"/>
        <v>0</v>
      </c>
      <c r="AP99" s="35">
        <v>0</v>
      </c>
      <c r="AQ99" s="41">
        <f>IFERROR(VLOOKUP(G99,'10'!A:B,2,0),0)</f>
        <v>0</v>
      </c>
      <c r="AR99" s="41">
        <f t="shared" si="45"/>
        <v>0</v>
      </c>
      <c r="AS99" s="41">
        <f t="shared" si="49"/>
        <v>164000</v>
      </c>
      <c r="AT99" s="41">
        <f>AN99+AK99+AH99+AE99+AB99+-Y99+V99+S99+P99+AQ99</f>
        <v>0</v>
      </c>
      <c r="AU99" s="41">
        <f t="shared" si="48"/>
        <v>-164000</v>
      </c>
      <c r="AV99" s="459">
        <f t="shared" si="63"/>
        <v>0</v>
      </c>
      <c r="AW99" s="35">
        <v>0</v>
      </c>
      <c r="AX99" s="35">
        <v>164000</v>
      </c>
      <c r="AY99" s="41">
        <f t="shared" si="47"/>
        <v>328000</v>
      </c>
      <c r="AZ99" s="41"/>
      <c r="BA99" s="556">
        <v>0</v>
      </c>
      <c r="BB99" s="427">
        <v>12300000</v>
      </c>
      <c r="BC99" s="427">
        <v>350208</v>
      </c>
      <c r="BD99" s="35">
        <v>0</v>
      </c>
      <c r="BE99" s="35">
        <v>0</v>
      </c>
      <c r="BF99" s="35">
        <v>0</v>
      </c>
      <c r="BG99" s="35">
        <v>0</v>
      </c>
      <c r="BH99" s="35">
        <v>0</v>
      </c>
      <c r="BI99" s="35">
        <v>12650208</v>
      </c>
      <c r="BJ99" s="58"/>
      <c r="BK99" s="25"/>
    </row>
    <row r="100" spans="1:64" s="10" customFormat="1" ht="78.75" x14ac:dyDescent="0.2">
      <c r="A100" s="11" t="s">
        <v>172</v>
      </c>
      <c r="B100" s="11" t="s">
        <v>173</v>
      </c>
      <c r="C100" s="14" t="s">
        <v>579</v>
      </c>
      <c r="D100" s="11" t="s">
        <v>3</v>
      </c>
      <c r="E100" s="11" t="s">
        <v>29</v>
      </c>
      <c r="F100" s="11" t="s">
        <v>5</v>
      </c>
      <c r="G100" s="44" t="s">
        <v>198</v>
      </c>
      <c r="H100" s="45">
        <v>89</v>
      </c>
      <c r="I100" s="45" t="s">
        <v>172</v>
      </c>
      <c r="J100" s="46" t="s">
        <v>98</v>
      </c>
      <c r="K100" s="46" t="s">
        <v>199</v>
      </c>
      <c r="L100" s="41">
        <v>0</v>
      </c>
      <c r="M100" s="41">
        <v>0</v>
      </c>
      <c r="N100" s="41">
        <v>987365</v>
      </c>
      <c r="O100" s="41">
        <v>1513527.94</v>
      </c>
      <c r="P100" s="41">
        <v>1513527.94</v>
      </c>
      <c r="Q100" s="41">
        <f t="shared" ref="Q100:Q108" si="66">P100-O100</f>
        <v>0</v>
      </c>
      <c r="R100" s="41">
        <v>0</v>
      </c>
      <c r="S100" s="41">
        <v>0</v>
      </c>
      <c r="T100" s="41">
        <f t="shared" ref="T100:T108" si="67">S100-R100</f>
        <v>0</v>
      </c>
      <c r="U100" s="41">
        <v>0</v>
      </c>
      <c r="V100" s="41">
        <v>0</v>
      </c>
      <c r="W100" s="41">
        <f t="shared" ref="W100:W108" si="68">V100-U100</f>
        <v>0</v>
      </c>
      <c r="X100" s="41">
        <v>22355.85</v>
      </c>
      <c r="Y100" s="41">
        <v>0</v>
      </c>
      <c r="Z100" s="41">
        <f t="shared" ref="Z100:Z108" si="69">Y100-X100</f>
        <v>-22355.85</v>
      </c>
      <c r="AA100" s="41">
        <v>0</v>
      </c>
      <c r="AB100" s="41">
        <v>0</v>
      </c>
      <c r="AC100" s="41">
        <f t="shared" ref="AC100:AC108" si="70">AB100-AA100</f>
        <v>0</v>
      </c>
      <c r="AD100" s="41">
        <v>0</v>
      </c>
      <c r="AE100" s="41">
        <v>0</v>
      </c>
      <c r="AF100" s="41">
        <f t="shared" ref="AF100:AF108" si="71">AE100-AD100</f>
        <v>0</v>
      </c>
      <c r="AG100" s="41">
        <v>510249.9</v>
      </c>
      <c r="AH100" s="41">
        <v>383578.79</v>
      </c>
      <c r="AI100" s="41">
        <f t="shared" ref="AI100:AI108" si="72">AH100-AG100</f>
        <v>-126671.11000000004</v>
      </c>
      <c r="AJ100" s="41">
        <v>0</v>
      </c>
      <c r="AK100" s="41">
        <v>0</v>
      </c>
      <c r="AL100" s="41">
        <f t="shared" si="65"/>
        <v>0</v>
      </c>
      <c r="AM100" s="41">
        <v>0</v>
      </c>
      <c r="AN100" s="41">
        <v>0</v>
      </c>
      <c r="AO100" s="41">
        <f t="shared" si="62"/>
        <v>0</v>
      </c>
      <c r="AP100" s="41">
        <v>145981.54999999999</v>
      </c>
      <c r="AQ100" s="41">
        <f>IFERROR(VLOOKUP(G100,'10'!A:B,2,0),0)</f>
        <v>139953.04</v>
      </c>
      <c r="AR100" s="41">
        <f t="shared" si="45"/>
        <v>-6028.5099999999802</v>
      </c>
      <c r="AS100" s="41">
        <f t="shared" si="49"/>
        <v>2192115.2399999998</v>
      </c>
      <c r="AT100" s="41">
        <f>AN100+AK100+AH100+AE100+AB100+-Y100+V100+S100+P100+AQ100</f>
        <v>2037059.77</v>
      </c>
      <c r="AU100" s="41">
        <f t="shared" si="48"/>
        <v>-155055.47000000003</v>
      </c>
      <c r="AV100" s="459">
        <f t="shared" si="63"/>
        <v>0.92926673417041716</v>
      </c>
      <c r="AW100" s="41">
        <v>0</v>
      </c>
      <c r="AX100" s="41">
        <v>0</v>
      </c>
      <c r="AY100" s="41">
        <f t="shared" si="47"/>
        <v>2192115.2399999998</v>
      </c>
      <c r="AZ100" s="41">
        <f>VLOOKUP(G100,'2017'!A:B,2,0)</f>
        <v>2037059.77</v>
      </c>
      <c r="BA100" s="552">
        <f t="shared" ref="BA100:BA125" si="73">AZ100-AY100</f>
        <v>-155055.46999999974</v>
      </c>
      <c r="BB100" s="41">
        <v>321740.28000000003</v>
      </c>
      <c r="BC100" s="41">
        <v>0</v>
      </c>
      <c r="BD100" s="41">
        <v>0</v>
      </c>
      <c r="BE100" s="41">
        <v>0</v>
      </c>
      <c r="BF100" s="41">
        <v>0</v>
      </c>
      <c r="BG100" s="41">
        <v>0</v>
      </c>
      <c r="BH100" s="41">
        <v>0</v>
      </c>
      <c r="BI100" s="41">
        <v>3501220.5199999996</v>
      </c>
      <c r="BJ100" s="75"/>
      <c r="BK100" s="11"/>
    </row>
    <row r="101" spans="1:64" s="10" customFormat="1" ht="52.5" customHeight="1" x14ac:dyDescent="0.25">
      <c r="A101" s="11" t="s">
        <v>208</v>
      </c>
      <c r="B101" s="11" t="s">
        <v>209</v>
      </c>
      <c r="C101" s="14" t="s">
        <v>213</v>
      </c>
      <c r="D101" s="11" t="s">
        <v>3</v>
      </c>
      <c r="E101" s="11" t="s">
        <v>210</v>
      </c>
      <c r="F101" s="11" t="s">
        <v>77</v>
      </c>
      <c r="G101" s="44" t="s">
        <v>211</v>
      </c>
      <c r="H101" s="45">
        <v>90</v>
      </c>
      <c r="I101" s="45" t="s">
        <v>208</v>
      </c>
      <c r="J101" s="46" t="s">
        <v>212</v>
      </c>
      <c r="K101" s="46" t="s">
        <v>213</v>
      </c>
      <c r="L101" s="41">
        <v>0</v>
      </c>
      <c r="M101" s="41">
        <v>4864051.6399999997</v>
      </c>
      <c r="N101" s="41">
        <v>13006349.909999998</v>
      </c>
      <c r="O101" s="41">
        <v>0</v>
      </c>
      <c r="P101" s="41">
        <v>0</v>
      </c>
      <c r="Q101" s="41">
        <f t="shared" si="66"/>
        <v>0</v>
      </c>
      <c r="R101" s="41">
        <v>3455343.62</v>
      </c>
      <c r="S101" s="41">
        <v>3455344.39</v>
      </c>
      <c r="T101" s="41">
        <f t="shared" si="67"/>
        <v>0.77000000001862645</v>
      </c>
      <c r="U101" s="41">
        <v>0</v>
      </c>
      <c r="V101" s="41">
        <v>0</v>
      </c>
      <c r="W101" s="41">
        <f t="shared" si="68"/>
        <v>0</v>
      </c>
      <c r="X101" s="41">
        <v>1683885.4</v>
      </c>
      <c r="Y101" s="41">
        <v>1683856.38</v>
      </c>
      <c r="Z101" s="41">
        <f t="shared" si="69"/>
        <v>-29.020000000018626</v>
      </c>
      <c r="AA101" s="41">
        <v>0</v>
      </c>
      <c r="AB101" s="41">
        <v>0</v>
      </c>
      <c r="AC101" s="41">
        <f t="shared" si="70"/>
        <v>0</v>
      </c>
      <c r="AD101" s="41">
        <v>0</v>
      </c>
      <c r="AE101" s="41">
        <v>0</v>
      </c>
      <c r="AF101" s="41">
        <f t="shared" si="71"/>
        <v>0</v>
      </c>
      <c r="AG101" s="41">
        <v>3158128.7</v>
      </c>
      <c r="AH101" s="40">
        <v>0</v>
      </c>
      <c r="AI101" s="41">
        <f t="shared" si="72"/>
        <v>-3158128.7</v>
      </c>
      <c r="AJ101" s="41">
        <v>0</v>
      </c>
      <c r="AK101" s="41">
        <v>2682615.2799999998</v>
      </c>
      <c r="AL101" s="41">
        <f t="shared" si="65"/>
        <v>2682615.2799999998</v>
      </c>
      <c r="AM101" s="41">
        <v>0</v>
      </c>
      <c r="AN101" s="41">
        <v>0</v>
      </c>
      <c r="AO101" s="41">
        <f t="shared" si="62"/>
        <v>0</v>
      </c>
      <c r="AP101" s="41">
        <v>3158128.7</v>
      </c>
      <c r="AQ101" s="41">
        <f>IFERROR(VLOOKUP(G101,'10'!A:B,2,0),0)</f>
        <v>3481807.26</v>
      </c>
      <c r="AR101" s="41">
        <f t="shared" si="45"/>
        <v>323678.55999999959</v>
      </c>
      <c r="AS101" s="41">
        <f t="shared" si="49"/>
        <v>11455486.42</v>
      </c>
      <c r="AT101" s="41">
        <f>AN101+AK101+AH101+AE101+AB101+Y101+V101+S101+P101+AQ101</f>
        <v>11303623.310000001</v>
      </c>
      <c r="AU101" s="41">
        <f t="shared" si="48"/>
        <v>-151863.1100000008</v>
      </c>
      <c r="AV101" s="459">
        <f t="shared" si="63"/>
        <v>0.98674319846123137</v>
      </c>
      <c r="AW101" s="41">
        <v>0</v>
      </c>
      <c r="AX101" s="41">
        <v>0</v>
      </c>
      <c r="AY101" s="41">
        <f t="shared" si="47"/>
        <v>11455486.420000002</v>
      </c>
      <c r="AZ101" s="41">
        <f>VLOOKUP(G101,'2017'!A:B,2,0)</f>
        <v>11303623.309999999</v>
      </c>
      <c r="BA101" s="552">
        <f t="shared" si="73"/>
        <v>-151863.11000000313</v>
      </c>
      <c r="BB101" s="41">
        <v>12362969.690000001</v>
      </c>
      <c r="BC101" s="41">
        <v>11931082.07</v>
      </c>
      <c r="BD101" s="41">
        <v>11249549.100000001</v>
      </c>
      <c r="BE101" s="41">
        <v>9707930.4900000002</v>
      </c>
      <c r="BF101" s="41">
        <v>3179752.56</v>
      </c>
      <c r="BG101" s="41">
        <v>0</v>
      </c>
      <c r="BH101" s="41">
        <v>0</v>
      </c>
      <c r="BI101" s="41">
        <v>77757171.879999995</v>
      </c>
      <c r="BJ101" s="451" t="s">
        <v>2694</v>
      </c>
      <c r="BK101" s="25" t="s">
        <v>2768</v>
      </c>
    </row>
    <row r="102" spans="1:64" s="10" customFormat="1" ht="63" x14ac:dyDescent="0.2">
      <c r="A102" s="11" t="s">
        <v>233</v>
      </c>
      <c r="B102" s="11" t="s">
        <v>234</v>
      </c>
      <c r="C102" s="14" t="s">
        <v>583</v>
      </c>
      <c r="D102" s="11">
        <v>1</v>
      </c>
      <c r="E102" s="11" t="s">
        <v>4</v>
      </c>
      <c r="F102" s="11" t="s">
        <v>5</v>
      </c>
      <c r="G102" s="44" t="s">
        <v>258</v>
      </c>
      <c r="H102" s="45">
        <v>91</v>
      </c>
      <c r="I102" s="45" t="s">
        <v>233</v>
      </c>
      <c r="J102" s="46" t="s">
        <v>259</v>
      </c>
      <c r="K102" s="46" t="s">
        <v>260</v>
      </c>
      <c r="L102" s="41">
        <v>0</v>
      </c>
      <c r="M102" s="41">
        <v>0</v>
      </c>
      <c r="N102" s="41">
        <v>0</v>
      </c>
      <c r="O102" s="41">
        <v>0</v>
      </c>
      <c r="P102" s="41">
        <v>0</v>
      </c>
      <c r="Q102" s="41">
        <f t="shared" si="66"/>
        <v>0</v>
      </c>
      <c r="R102" s="41">
        <v>11568.06</v>
      </c>
      <c r="S102" s="41">
        <v>11568.06</v>
      </c>
      <c r="T102" s="41">
        <f t="shared" si="67"/>
        <v>0</v>
      </c>
      <c r="U102" s="41">
        <v>0</v>
      </c>
      <c r="V102" s="41">
        <v>0</v>
      </c>
      <c r="W102" s="41">
        <f t="shared" si="68"/>
        <v>0</v>
      </c>
      <c r="X102" s="41">
        <v>2662.24</v>
      </c>
      <c r="Y102" s="41">
        <v>7854.2</v>
      </c>
      <c r="Z102" s="41">
        <f t="shared" si="69"/>
        <v>5191.96</v>
      </c>
      <c r="AA102" s="41">
        <v>0</v>
      </c>
      <c r="AB102" s="41">
        <v>0</v>
      </c>
      <c r="AC102" s="41">
        <f t="shared" si="70"/>
        <v>0</v>
      </c>
      <c r="AD102" s="41">
        <v>0</v>
      </c>
      <c r="AE102" s="41">
        <v>0</v>
      </c>
      <c r="AF102" s="41">
        <f t="shared" si="71"/>
        <v>0</v>
      </c>
      <c r="AG102" s="41">
        <v>79819.5</v>
      </c>
      <c r="AH102" s="41">
        <v>5533.47</v>
      </c>
      <c r="AI102" s="41">
        <f t="shared" si="72"/>
        <v>-74286.03</v>
      </c>
      <c r="AJ102" s="41">
        <v>0</v>
      </c>
      <c r="AK102" s="41">
        <v>0</v>
      </c>
      <c r="AL102" s="41">
        <f t="shared" si="65"/>
        <v>0</v>
      </c>
      <c r="AM102" s="41">
        <v>0</v>
      </c>
      <c r="AN102" s="41">
        <v>0</v>
      </c>
      <c r="AO102" s="41">
        <f t="shared" si="62"/>
        <v>0</v>
      </c>
      <c r="AP102" s="41">
        <v>101497.81</v>
      </c>
      <c r="AQ102" s="41">
        <f>IFERROR(VLOOKUP(G102,'10'!A:B,2,0),0)</f>
        <v>28999.19</v>
      </c>
      <c r="AR102" s="41">
        <f t="shared" si="45"/>
        <v>-72498.62</v>
      </c>
      <c r="AS102" s="41">
        <f t="shared" si="49"/>
        <v>195547.61</v>
      </c>
      <c r="AT102" s="41">
        <f>AN102+AK102+AH102+AE102+AB102+Y102+V102+S102+P102+AQ102</f>
        <v>53954.92</v>
      </c>
      <c r="AU102" s="41">
        <f t="shared" si="48"/>
        <v>-141592.69</v>
      </c>
      <c r="AV102" s="459">
        <f t="shared" si="63"/>
        <v>0.27591705160702296</v>
      </c>
      <c r="AW102" s="41">
        <v>0</v>
      </c>
      <c r="AX102" s="41">
        <v>0</v>
      </c>
      <c r="AY102" s="41">
        <f t="shared" si="47"/>
        <v>195547.61</v>
      </c>
      <c r="AZ102" s="41">
        <f>VLOOKUP(G102,'2017'!A:B,2,0)</f>
        <v>53954.919999999991</v>
      </c>
      <c r="BA102" s="552">
        <f t="shared" si="73"/>
        <v>-141592.69</v>
      </c>
      <c r="BB102" s="41">
        <v>936057.70000000007</v>
      </c>
      <c r="BC102" s="41">
        <v>1499182.09</v>
      </c>
      <c r="BD102" s="41">
        <v>0</v>
      </c>
      <c r="BE102" s="41">
        <v>0</v>
      </c>
      <c r="BF102" s="41">
        <v>0</v>
      </c>
      <c r="BG102" s="41">
        <v>0</v>
      </c>
      <c r="BH102" s="41">
        <v>0</v>
      </c>
      <c r="BI102" s="41">
        <v>2630787.4000000004</v>
      </c>
      <c r="BJ102" s="75"/>
      <c r="BK102" s="11"/>
    </row>
    <row r="103" spans="1:64" s="10" customFormat="1" ht="63" x14ac:dyDescent="0.2">
      <c r="A103" s="11" t="s">
        <v>233</v>
      </c>
      <c r="B103" s="11" t="s">
        <v>234</v>
      </c>
      <c r="C103" s="14" t="s">
        <v>583</v>
      </c>
      <c r="D103" s="11">
        <v>1</v>
      </c>
      <c r="E103" s="11" t="s">
        <v>4</v>
      </c>
      <c r="F103" s="11" t="s">
        <v>5</v>
      </c>
      <c r="G103" s="44" t="s">
        <v>250</v>
      </c>
      <c r="H103" s="45">
        <v>92</v>
      </c>
      <c r="I103" s="45" t="s">
        <v>233</v>
      </c>
      <c r="J103" s="46" t="s">
        <v>251</v>
      </c>
      <c r="K103" s="46" t="s">
        <v>252</v>
      </c>
      <c r="L103" s="41">
        <v>0</v>
      </c>
      <c r="M103" s="41">
        <v>0</v>
      </c>
      <c r="N103" s="41">
        <v>0</v>
      </c>
      <c r="O103" s="41">
        <v>7030.15</v>
      </c>
      <c r="P103" s="41">
        <v>7030.15</v>
      </c>
      <c r="Q103" s="41">
        <f t="shared" si="66"/>
        <v>0</v>
      </c>
      <c r="R103" s="41">
        <v>0</v>
      </c>
      <c r="S103" s="41">
        <v>0</v>
      </c>
      <c r="T103" s="41">
        <f t="shared" si="67"/>
        <v>0</v>
      </c>
      <c r="U103" s="41">
        <v>0</v>
      </c>
      <c r="V103" s="41">
        <v>0</v>
      </c>
      <c r="W103" s="41">
        <f t="shared" si="68"/>
        <v>0</v>
      </c>
      <c r="X103" s="41">
        <v>16471.919999999998</v>
      </c>
      <c r="Y103" s="41">
        <v>0</v>
      </c>
      <c r="Z103" s="41">
        <f t="shared" si="69"/>
        <v>-16471.919999999998</v>
      </c>
      <c r="AA103" s="41">
        <v>0</v>
      </c>
      <c r="AB103" s="41">
        <v>6467.04</v>
      </c>
      <c r="AC103" s="41">
        <f t="shared" si="70"/>
        <v>6467.04</v>
      </c>
      <c r="AD103" s="41">
        <v>0</v>
      </c>
      <c r="AE103" s="41">
        <v>0</v>
      </c>
      <c r="AF103" s="41">
        <f t="shared" si="71"/>
        <v>0</v>
      </c>
      <c r="AG103" s="41">
        <v>14459.16</v>
      </c>
      <c r="AH103" s="41">
        <v>0</v>
      </c>
      <c r="AI103" s="41">
        <f t="shared" si="72"/>
        <v>-14459.16</v>
      </c>
      <c r="AJ103" s="41">
        <v>0</v>
      </c>
      <c r="AK103" s="41">
        <v>0</v>
      </c>
      <c r="AL103" s="41">
        <f t="shared" si="65"/>
        <v>0</v>
      </c>
      <c r="AM103" s="41">
        <v>0</v>
      </c>
      <c r="AN103" s="41">
        <v>0</v>
      </c>
      <c r="AO103" s="41">
        <f t="shared" si="62"/>
        <v>0</v>
      </c>
      <c r="AP103" s="41">
        <v>116279.33</v>
      </c>
      <c r="AQ103" s="41">
        <f>IFERROR(VLOOKUP(G103,'10'!A:B,2,0),0)</f>
        <v>0</v>
      </c>
      <c r="AR103" s="41">
        <f t="shared" si="45"/>
        <v>-116279.33</v>
      </c>
      <c r="AS103" s="41">
        <f t="shared" si="49"/>
        <v>154240.56</v>
      </c>
      <c r="AT103" s="41">
        <f>AN103+AK103+AH103+AE103+AB103+Y103+V103+S103+P103+AQ103</f>
        <v>13497.189999999999</v>
      </c>
      <c r="AU103" s="41">
        <f t="shared" si="48"/>
        <v>-140743.37</v>
      </c>
      <c r="AV103" s="459">
        <f t="shared" si="63"/>
        <v>8.7507397535382392E-2</v>
      </c>
      <c r="AW103" s="41">
        <v>0</v>
      </c>
      <c r="AX103" s="41">
        <v>0</v>
      </c>
      <c r="AY103" s="41">
        <f t="shared" si="47"/>
        <v>154240.56</v>
      </c>
      <c r="AZ103" s="41">
        <f>VLOOKUP(G103,'2017'!A:B,2,0)</f>
        <v>35024.870000000003</v>
      </c>
      <c r="BA103" s="552">
        <f t="shared" si="73"/>
        <v>-119215.69</v>
      </c>
      <c r="BB103" s="41">
        <v>1364677.57</v>
      </c>
      <c r="BC103" s="41">
        <v>1525342.4200000002</v>
      </c>
      <c r="BD103" s="41">
        <v>0</v>
      </c>
      <c r="BE103" s="41">
        <v>0</v>
      </c>
      <c r="BF103" s="41">
        <v>0</v>
      </c>
      <c r="BG103" s="41">
        <v>0</v>
      </c>
      <c r="BH103" s="41">
        <v>0</v>
      </c>
      <c r="BI103" s="41">
        <v>3044260.5500000003</v>
      </c>
      <c r="BJ103" s="75"/>
      <c r="BK103" s="11"/>
    </row>
    <row r="104" spans="1:64" s="10" customFormat="1" ht="51" x14ac:dyDescent="0.2">
      <c r="A104" s="11" t="s">
        <v>537</v>
      </c>
      <c r="B104" s="11" t="s">
        <v>538</v>
      </c>
      <c r="C104" s="14" t="s">
        <v>611</v>
      </c>
      <c r="D104" s="11">
        <v>1</v>
      </c>
      <c r="E104" s="11" t="s">
        <v>454</v>
      </c>
      <c r="F104" s="11" t="s">
        <v>102</v>
      </c>
      <c r="G104" s="44" t="s">
        <v>539</v>
      </c>
      <c r="H104" s="45">
        <v>93</v>
      </c>
      <c r="I104" s="45" t="s">
        <v>537</v>
      </c>
      <c r="J104" s="46" t="s">
        <v>456</v>
      </c>
      <c r="K104" s="46" t="s">
        <v>540</v>
      </c>
      <c r="L104" s="41">
        <v>0</v>
      </c>
      <c r="M104" s="41">
        <v>0</v>
      </c>
      <c r="N104" s="41">
        <v>364704.70999999996</v>
      </c>
      <c r="O104" s="41">
        <v>190568.22</v>
      </c>
      <c r="P104" s="41">
        <v>190568.22</v>
      </c>
      <c r="Q104" s="41">
        <f t="shared" si="66"/>
        <v>0</v>
      </c>
      <c r="R104" s="41">
        <v>0</v>
      </c>
      <c r="S104" s="41">
        <v>0</v>
      </c>
      <c r="T104" s="41">
        <f t="shared" si="67"/>
        <v>0</v>
      </c>
      <c r="U104" s="41">
        <v>0</v>
      </c>
      <c r="V104" s="41">
        <v>0</v>
      </c>
      <c r="W104" s="41">
        <f t="shared" si="68"/>
        <v>0</v>
      </c>
      <c r="X104" s="41">
        <v>146463.19</v>
      </c>
      <c r="Y104" s="41">
        <v>0</v>
      </c>
      <c r="Z104" s="41">
        <f t="shared" si="69"/>
        <v>-146463.19</v>
      </c>
      <c r="AA104" s="41">
        <v>0</v>
      </c>
      <c r="AB104" s="41">
        <v>101872.92</v>
      </c>
      <c r="AC104" s="41">
        <f t="shared" si="70"/>
        <v>101872.92</v>
      </c>
      <c r="AD104" s="41">
        <v>0</v>
      </c>
      <c r="AE104" s="41">
        <v>0</v>
      </c>
      <c r="AF104" s="41">
        <f t="shared" si="71"/>
        <v>0</v>
      </c>
      <c r="AG104" s="41">
        <v>144500</v>
      </c>
      <c r="AH104" s="41">
        <v>122928.4</v>
      </c>
      <c r="AI104" s="41">
        <f t="shared" si="72"/>
        <v>-21571.600000000006</v>
      </c>
      <c r="AJ104" s="41">
        <v>0</v>
      </c>
      <c r="AK104" s="41">
        <v>0</v>
      </c>
      <c r="AL104" s="41">
        <f t="shared" si="65"/>
        <v>0</v>
      </c>
      <c r="AM104" s="41">
        <v>0</v>
      </c>
      <c r="AN104" s="41">
        <v>0</v>
      </c>
      <c r="AO104" s="41">
        <f t="shared" si="62"/>
        <v>0</v>
      </c>
      <c r="AP104" s="41">
        <v>165750</v>
      </c>
      <c r="AQ104" s="41">
        <f>IFERROR(VLOOKUP(G104,'10'!A:B,2,0),0)</f>
        <v>94851.25</v>
      </c>
      <c r="AR104" s="41">
        <f t="shared" si="45"/>
        <v>-70898.75</v>
      </c>
      <c r="AS104" s="41">
        <f t="shared" si="49"/>
        <v>647281.41</v>
      </c>
      <c r="AT104" s="41">
        <f>AN104+AK104+AH104+AE104+AB104+-Y104+V104+S104+P104+AQ104</f>
        <v>510220.79000000004</v>
      </c>
      <c r="AU104" s="41">
        <f t="shared" si="48"/>
        <v>-137060.62</v>
      </c>
      <c r="AV104" s="459">
        <f t="shared" si="63"/>
        <v>0.78825188259307499</v>
      </c>
      <c r="AW104" s="41">
        <v>0</v>
      </c>
      <c r="AX104" s="41">
        <v>0</v>
      </c>
      <c r="AY104" s="41">
        <f t="shared" si="47"/>
        <v>647281.41</v>
      </c>
      <c r="AZ104" s="41">
        <f>VLOOKUP(G104,'2017'!A:B,2,0)</f>
        <v>510242.34</v>
      </c>
      <c r="BA104" s="552">
        <f t="shared" si="73"/>
        <v>-137039.07</v>
      </c>
      <c r="BB104" s="41">
        <v>374549.18</v>
      </c>
      <c r="BC104" s="41">
        <v>41464.699999999997</v>
      </c>
      <c r="BD104" s="41">
        <v>0</v>
      </c>
      <c r="BE104" s="41">
        <v>0</v>
      </c>
      <c r="BF104" s="41">
        <v>0</v>
      </c>
      <c r="BG104" s="41">
        <v>0</v>
      </c>
      <c r="BH104" s="41">
        <v>0</v>
      </c>
      <c r="BI104" s="41">
        <v>1428000</v>
      </c>
      <c r="BJ104" s="75"/>
      <c r="BK104" s="11"/>
    </row>
    <row r="105" spans="1:64" s="10" customFormat="1" ht="47.25" x14ac:dyDescent="0.2">
      <c r="A105" s="11" t="s">
        <v>57</v>
      </c>
      <c r="B105" s="11" t="s">
        <v>58</v>
      </c>
      <c r="C105" s="14" t="s">
        <v>569</v>
      </c>
      <c r="D105" s="11">
        <v>2</v>
      </c>
      <c r="E105" s="11" t="s">
        <v>35</v>
      </c>
      <c r="F105" s="11" t="s">
        <v>5</v>
      </c>
      <c r="G105" s="44" t="s">
        <v>68</v>
      </c>
      <c r="H105" s="45">
        <v>94</v>
      </c>
      <c r="I105" s="45" t="s">
        <v>57</v>
      </c>
      <c r="J105" s="46" t="s">
        <v>69</v>
      </c>
      <c r="K105" s="46" t="s">
        <v>70</v>
      </c>
      <c r="L105" s="41">
        <v>0</v>
      </c>
      <c r="M105" s="41">
        <v>0</v>
      </c>
      <c r="N105" s="41">
        <v>0</v>
      </c>
      <c r="O105" s="41">
        <v>0</v>
      </c>
      <c r="P105" s="41">
        <v>0</v>
      </c>
      <c r="Q105" s="41">
        <f t="shared" si="66"/>
        <v>0</v>
      </c>
      <c r="R105" s="41">
        <v>0</v>
      </c>
      <c r="S105" s="41">
        <v>0</v>
      </c>
      <c r="T105" s="41">
        <f t="shared" si="67"/>
        <v>0</v>
      </c>
      <c r="U105" s="41">
        <v>0</v>
      </c>
      <c r="V105" s="41">
        <v>0</v>
      </c>
      <c r="W105" s="41">
        <f t="shared" si="68"/>
        <v>0</v>
      </c>
      <c r="X105" s="41">
        <v>384496.25</v>
      </c>
      <c r="Y105" s="41">
        <v>384496.25</v>
      </c>
      <c r="Z105" s="41">
        <f t="shared" si="69"/>
        <v>0</v>
      </c>
      <c r="AA105" s="41">
        <v>0</v>
      </c>
      <c r="AB105" s="41">
        <v>0</v>
      </c>
      <c r="AC105" s="41">
        <f t="shared" si="70"/>
        <v>0</v>
      </c>
      <c r="AD105" s="41">
        <v>0</v>
      </c>
      <c r="AE105" s="41">
        <v>0</v>
      </c>
      <c r="AF105" s="41">
        <f t="shared" si="71"/>
        <v>0</v>
      </c>
      <c r="AG105" s="41">
        <v>384496.25</v>
      </c>
      <c r="AH105" s="41">
        <v>290835.68</v>
      </c>
      <c r="AI105" s="41">
        <f t="shared" si="72"/>
        <v>-93660.57</v>
      </c>
      <c r="AJ105" s="41">
        <v>0</v>
      </c>
      <c r="AK105" s="41">
        <v>0</v>
      </c>
      <c r="AL105" s="41">
        <f t="shared" si="65"/>
        <v>0</v>
      </c>
      <c r="AM105" s="41">
        <v>42721.81</v>
      </c>
      <c r="AN105" s="41">
        <v>0</v>
      </c>
      <c r="AO105" s="41">
        <f t="shared" si="62"/>
        <v>-42721.81</v>
      </c>
      <c r="AP105" s="41">
        <v>0</v>
      </c>
      <c r="AQ105" s="41">
        <f>IFERROR(VLOOKUP(G105,'10'!A:B,2,0),0)</f>
        <v>0</v>
      </c>
      <c r="AR105" s="41">
        <f t="shared" si="45"/>
        <v>0</v>
      </c>
      <c r="AS105" s="41">
        <f t="shared" si="49"/>
        <v>811714.31</v>
      </c>
      <c r="AT105" s="41">
        <f>AN105+AK105+AH105+AE105+AB105+Y105+V105+S105+P105+AQ105</f>
        <v>675331.92999999993</v>
      </c>
      <c r="AU105" s="41">
        <f t="shared" si="48"/>
        <v>-136382.38</v>
      </c>
      <c r="AV105" s="459">
        <f t="shared" si="63"/>
        <v>0.8319822894338279</v>
      </c>
      <c r="AW105" s="41">
        <v>0</v>
      </c>
      <c r="AX105" s="41">
        <v>0</v>
      </c>
      <c r="AY105" s="41">
        <f t="shared" si="47"/>
        <v>811714.31</v>
      </c>
      <c r="AZ105" s="41">
        <f>VLOOKUP(G105,'2017'!A:B,2,0)</f>
        <v>811714.30999999994</v>
      </c>
      <c r="BA105" s="552">
        <f t="shared" si="73"/>
        <v>0</v>
      </c>
      <c r="BB105" s="41">
        <v>0</v>
      </c>
      <c r="BC105" s="41">
        <v>0</v>
      </c>
      <c r="BD105" s="41">
        <v>0</v>
      </c>
      <c r="BE105" s="41">
        <v>0</v>
      </c>
      <c r="BF105" s="41">
        <v>0</v>
      </c>
      <c r="BG105" s="41">
        <v>0</v>
      </c>
      <c r="BH105" s="41">
        <v>0</v>
      </c>
      <c r="BI105" s="41">
        <v>427218.06</v>
      </c>
      <c r="BJ105" s="75"/>
      <c r="BK105" s="11"/>
    </row>
    <row r="106" spans="1:64" s="10" customFormat="1" ht="51" x14ac:dyDescent="0.2">
      <c r="A106" s="11" t="s">
        <v>485</v>
      </c>
      <c r="B106" s="11" t="s">
        <v>486</v>
      </c>
      <c r="C106" s="14" t="s">
        <v>610</v>
      </c>
      <c r="D106" s="11">
        <v>1</v>
      </c>
      <c r="E106" s="11" t="s">
        <v>454</v>
      </c>
      <c r="F106" s="11" t="s">
        <v>5</v>
      </c>
      <c r="G106" s="44" t="s">
        <v>512</v>
      </c>
      <c r="H106" s="45">
        <v>95</v>
      </c>
      <c r="I106" s="45" t="s">
        <v>485</v>
      </c>
      <c r="J106" s="46" t="s">
        <v>13</v>
      </c>
      <c r="K106" s="46" t="s">
        <v>513</v>
      </c>
      <c r="L106" s="41">
        <v>0</v>
      </c>
      <c r="M106" s="41">
        <v>0</v>
      </c>
      <c r="N106" s="41">
        <v>1045198.4199999999</v>
      </c>
      <c r="O106" s="41">
        <v>0</v>
      </c>
      <c r="P106" s="41">
        <v>0</v>
      </c>
      <c r="Q106" s="41">
        <f t="shared" si="66"/>
        <v>0</v>
      </c>
      <c r="R106" s="41">
        <v>227568.15</v>
      </c>
      <c r="S106" s="41">
        <v>227568.15</v>
      </c>
      <c r="T106" s="41">
        <f t="shared" si="67"/>
        <v>0</v>
      </c>
      <c r="U106" s="41">
        <v>0</v>
      </c>
      <c r="V106" s="41">
        <v>0</v>
      </c>
      <c r="W106" s="41">
        <f t="shared" si="68"/>
        <v>0</v>
      </c>
      <c r="X106" s="41">
        <v>0</v>
      </c>
      <c r="Y106" s="41">
        <v>0</v>
      </c>
      <c r="Z106" s="41">
        <f t="shared" si="69"/>
        <v>0</v>
      </c>
      <c r="AA106" s="41">
        <v>252110</v>
      </c>
      <c r="AB106" s="41">
        <v>196256.29</v>
      </c>
      <c r="AC106" s="41">
        <f t="shared" si="70"/>
        <v>-55853.709999999992</v>
      </c>
      <c r="AD106" s="41">
        <v>0</v>
      </c>
      <c r="AE106" s="41">
        <v>0</v>
      </c>
      <c r="AF106" s="41">
        <f t="shared" si="71"/>
        <v>0</v>
      </c>
      <c r="AG106" s="41">
        <v>0</v>
      </c>
      <c r="AH106" s="41">
        <v>0</v>
      </c>
      <c r="AI106" s="41">
        <f t="shared" si="72"/>
        <v>0</v>
      </c>
      <c r="AJ106" s="41">
        <v>252110</v>
      </c>
      <c r="AK106" s="41">
        <v>176332.85</v>
      </c>
      <c r="AL106" s="41">
        <f t="shared" si="65"/>
        <v>-75777.149999999994</v>
      </c>
      <c r="AM106" s="41">
        <v>0</v>
      </c>
      <c r="AN106" s="41">
        <v>0</v>
      </c>
      <c r="AO106" s="41">
        <f t="shared" si="62"/>
        <v>0</v>
      </c>
      <c r="AP106" s="41">
        <v>0</v>
      </c>
      <c r="AQ106" s="41">
        <f>IFERROR(VLOOKUP(G106,'10'!A:B,2,0),0)</f>
        <v>0</v>
      </c>
      <c r="AR106" s="41">
        <f t="shared" si="45"/>
        <v>0</v>
      </c>
      <c r="AS106" s="41">
        <f t="shared" si="49"/>
        <v>731788.15</v>
      </c>
      <c r="AT106" s="41">
        <f>AN106+AK106+AH106+AE106+AB106+-Y106+V106+S106+P106+AQ106</f>
        <v>600157.29</v>
      </c>
      <c r="AU106" s="41">
        <f t="shared" si="48"/>
        <v>-131630.85999999999</v>
      </c>
      <c r="AV106" s="459">
        <f t="shared" si="63"/>
        <v>0.82012436249480125</v>
      </c>
      <c r="AW106" s="41">
        <v>253810</v>
      </c>
      <c r="AX106" s="41">
        <v>0</v>
      </c>
      <c r="AY106" s="41">
        <f t="shared" si="47"/>
        <v>985598.15</v>
      </c>
      <c r="AZ106" s="41">
        <f>VLOOKUP(G106,'2017'!A:B,2,0)</f>
        <v>853967.29</v>
      </c>
      <c r="BA106" s="552">
        <f t="shared" si="73"/>
        <v>-131630.85999999999</v>
      </c>
      <c r="BB106" s="41">
        <v>534665.1</v>
      </c>
      <c r="BC106" s="41">
        <v>157377.32999999999</v>
      </c>
      <c r="BD106" s="41">
        <v>0</v>
      </c>
      <c r="BE106" s="41">
        <v>0</v>
      </c>
      <c r="BF106" s="41">
        <v>0</v>
      </c>
      <c r="BG106" s="41">
        <v>0</v>
      </c>
      <c r="BH106" s="41">
        <v>0</v>
      </c>
      <c r="BI106" s="41">
        <v>2722839</v>
      </c>
      <c r="BJ106" s="75"/>
      <c r="BK106" s="11"/>
    </row>
    <row r="107" spans="1:64" s="10" customFormat="1" ht="47.25" x14ac:dyDescent="0.2">
      <c r="A107" s="11" t="s">
        <v>27</v>
      </c>
      <c r="B107" s="11" t="s">
        <v>28</v>
      </c>
      <c r="C107" s="14" t="s">
        <v>565</v>
      </c>
      <c r="D107" s="11">
        <v>1</v>
      </c>
      <c r="E107" s="11" t="s">
        <v>29</v>
      </c>
      <c r="F107" s="11" t="s">
        <v>5</v>
      </c>
      <c r="G107" s="44" t="s">
        <v>30</v>
      </c>
      <c r="H107" s="45">
        <v>96</v>
      </c>
      <c r="I107" s="45" t="s">
        <v>27</v>
      </c>
      <c r="J107" s="46" t="s">
        <v>31</v>
      </c>
      <c r="K107" s="46" t="s">
        <v>32</v>
      </c>
      <c r="L107" s="41">
        <v>0</v>
      </c>
      <c r="M107" s="41">
        <v>0</v>
      </c>
      <c r="N107" s="41">
        <v>19992.78</v>
      </c>
      <c r="O107" s="41">
        <v>28027.59</v>
      </c>
      <c r="P107" s="41">
        <v>28027.59</v>
      </c>
      <c r="Q107" s="41">
        <f t="shared" si="66"/>
        <v>0</v>
      </c>
      <c r="R107" s="41">
        <v>0</v>
      </c>
      <c r="S107" s="41">
        <v>0</v>
      </c>
      <c r="T107" s="41">
        <f t="shared" si="67"/>
        <v>0</v>
      </c>
      <c r="U107" s="41">
        <v>0</v>
      </c>
      <c r="V107" s="41">
        <v>0</v>
      </c>
      <c r="W107" s="41">
        <f t="shared" si="68"/>
        <v>0</v>
      </c>
      <c r="X107" s="41">
        <v>90269.15</v>
      </c>
      <c r="Y107" s="41">
        <v>25180.07</v>
      </c>
      <c r="Z107" s="41">
        <f t="shared" si="69"/>
        <v>-65089.079999999994</v>
      </c>
      <c r="AA107" s="41">
        <v>0</v>
      </c>
      <c r="AB107" s="41">
        <v>0</v>
      </c>
      <c r="AC107" s="41">
        <f t="shared" si="70"/>
        <v>0</v>
      </c>
      <c r="AD107" s="41">
        <v>0</v>
      </c>
      <c r="AE107" s="41">
        <v>0</v>
      </c>
      <c r="AF107" s="41">
        <f t="shared" si="71"/>
        <v>0</v>
      </c>
      <c r="AG107" s="41">
        <v>76669.149999999994</v>
      </c>
      <c r="AH107" s="41">
        <v>75865.08</v>
      </c>
      <c r="AI107" s="41">
        <f t="shared" si="72"/>
        <v>-804.06999999999243</v>
      </c>
      <c r="AJ107" s="41">
        <v>0</v>
      </c>
      <c r="AK107" s="41">
        <v>0</v>
      </c>
      <c r="AL107" s="41">
        <f t="shared" si="65"/>
        <v>0</v>
      </c>
      <c r="AM107" s="41">
        <v>0</v>
      </c>
      <c r="AN107" s="41">
        <v>0</v>
      </c>
      <c r="AO107" s="41">
        <f t="shared" si="62"/>
        <v>0</v>
      </c>
      <c r="AP107" s="41">
        <v>182919.15</v>
      </c>
      <c r="AQ107" s="41">
        <f>IFERROR(VLOOKUP(G107,'10'!A:B,2,0),0)</f>
        <v>118663.74</v>
      </c>
      <c r="AR107" s="41">
        <f t="shared" si="45"/>
        <v>-64255.409999999989</v>
      </c>
      <c r="AS107" s="41">
        <f t="shared" si="49"/>
        <v>377885.04</v>
      </c>
      <c r="AT107" s="41">
        <f>AN107+AK107+AH107+AE107+AB107+Y107+V107+S107+P107+AQ107</f>
        <v>247736.47999999998</v>
      </c>
      <c r="AU107" s="41">
        <f t="shared" si="48"/>
        <v>-130148.55999999998</v>
      </c>
      <c r="AV107" s="459">
        <f t="shared" si="63"/>
        <v>0.65558689489269006</v>
      </c>
      <c r="AW107" s="41">
        <v>0</v>
      </c>
      <c r="AX107" s="41">
        <v>0</v>
      </c>
      <c r="AY107" s="41">
        <f t="shared" si="47"/>
        <v>377885.04</v>
      </c>
      <c r="AZ107" s="41">
        <f>VLOOKUP(G107,'2017'!A:B,2,0)</f>
        <v>341572.74</v>
      </c>
      <c r="BA107" s="552">
        <f t="shared" si="73"/>
        <v>-36312.299999999988</v>
      </c>
      <c r="BB107" s="41">
        <v>9056442.3000000007</v>
      </c>
      <c r="BC107" s="41">
        <v>14390143</v>
      </c>
      <c r="BD107" s="41">
        <v>11683066.4</v>
      </c>
      <c r="BE107" s="41">
        <v>4196585.4800000004</v>
      </c>
      <c r="BF107" s="41">
        <v>0</v>
      </c>
      <c r="BG107" s="41">
        <v>0</v>
      </c>
      <c r="BH107" s="41">
        <v>0</v>
      </c>
      <c r="BI107" s="41">
        <v>39724115</v>
      </c>
      <c r="BJ107" s="75"/>
      <c r="BK107" s="11"/>
    </row>
    <row r="108" spans="1:64" s="10" customFormat="1" ht="63" x14ac:dyDescent="0.2">
      <c r="A108" s="11" t="s">
        <v>485</v>
      </c>
      <c r="B108" s="11" t="s">
        <v>486</v>
      </c>
      <c r="C108" s="14" t="s">
        <v>610</v>
      </c>
      <c r="D108" s="11">
        <v>1</v>
      </c>
      <c r="E108" s="11" t="s">
        <v>454</v>
      </c>
      <c r="F108" s="11" t="s">
        <v>5</v>
      </c>
      <c r="G108" s="44" t="s">
        <v>496</v>
      </c>
      <c r="H108" s="45">
        <v>97</v>
      </c>
      <c r="I108" s="45" t="s">
        <v>485</v>
      </c>
      <c r="J108" s="46" t="s">
        <v>461</v>
      </c>
      <c r="K108" s="46" t="s">
        <v>497</v>
      </c>
      <c r="L108" s="41">
        <v>0</v>
      </c>
      <c r="M108" s="41">
        <v>0</v>
      </c>
      <c r="N108" s="41">
        <v>666582.8600000001</v>
      </c>
      <c r="O108" s="41">
        <v>0</v>
      </c>
      <c r="P108" s="41">
        <v>0</v>
      </c>
      <c r="Q108" s="41">
        <f t="shared" si="66"/>
        <v>0</v>
      </c>
      <c r="R108" s="41">
        <v>438114.36</v>
      </c>
      <c r="S108" s="41">
        <v>438114.36</v>
      </c>
      <c r="T108" s="41">
        <f t="shared" si="67"/>
        <v>0</v>
      </c>
      <c r="U108" s="41">
        <v>0</v>
      </c>
      <c r="V108" s="41">
        <v>0</v>
      </c>
      <c r="W108" s="41">
        <f t="shared" si="68"/>
        <v>0</v>
      </c>
      <c r="X108" s="41">
        <v>0</v>
      </c>
      <c r="Y108" s="41">
        <v>0</v>
      </c>
      <c r="Z108" s="41">
        <f t="shared" si="69"/>
        <v>0</v>
      </c>
      <c r="AA108" s="41">
        <v>279960.25</v>
      </c>
      <c r="AB108" s="41">
        <v>196005.98</v>
      </c>
      <c r="AC108" s="41">
        <f t="shared" si="70"/>
        <v>-83954.26999999999</v>
      </c>
      <c r="AD108" s="41">
        <v>0</v>
      </c>
      <c r="AE108" s="41">
        <v>0</v>
      </c>
      <c r="AF108" s="41">
        <f t="shared" si="71"/>
        <v>0</v>
      </c>
      <c r="AG108" s="41">
        <v>0</v>
      </c>
      <c r="AH108" s="41">
        <v>0</v>
      </c>
      <c r="AI108" s="41">
        <f t="shared" si="72"/>
        <v>0</v>
      </c>
      <c r="AJ108" s="41">
        <v>331317.25</v>
      </c>
      <c r="AK108" s="41">
        <v>286809.5</v>
      </c>
      <c r="AL108" s="41">
        <f t="shared" si="65"/>
        <v>-44507.75</v>
      </c>
      <c r="AM108" s="41">
        <v>0</v>
      </c>
      <c r="AN108" s="41">
        <v>0</v>
      </c>
      <c r="AO108" s="41">
        <f t="shared" si="62"/>
        <v>0</v>
      </c>
      <c r="AP108" s="41">
        <v>0</v>
      </c>
      <c r="AQ108" s="41">
        <f>IFERROR(VLOOKUP(G108,'10'!A:B,2,0),0)</f>
        <v>0</v>
      </c>
      <c r="AR108" s="41">
        <f t="shared" si="45"/>
        <v>0</v>
      </c>
      <c r="AS108" s="41">
        <f t="shared" si="49"/>
        <v>1049391.8599999999</v>
      </c>
      <c r="AT108" s="41">
        <f>AN108+AK108+AH108+AE108+AB108+-Y108+V108+S108+P108+AQ108</f>
        <v>920929.84</v>
      </c>
      <c r="AU108" s="41">
        <f t="shared" si="48"/>
        <v>-128462.01999999999</v>
      </c>
      <c r="AV108" s="459">
        <f t="shared" si="63"/>
        <v>0.87758431821645733</v>
      </c>
      <c r="AW108" s="41">
        <v>353068.75</v>
      </c>
      <c r="AX108" s="41">
        <v>0</v>
      </c>
      <c r="AY108" s="41">
        <f t="shared" si="47"/>
        <v>1402460.6099999999</v>
      </c>
      <c r="AZ108" s="41">
        <f>VLOOKUP(G108,'2017'!A:B,2,0)</f>
        <v>1273998.5899999999</v>
      </c>
      <c r="BA108" s="552">
        <f t="shared" si="73"/>
        <v>-128462.02000000002</v>
      </c>
      <c r="BB108" s="41">
        <v>1125408.5</v>
      </c>
      <c r="BC108" s="41">
        <v>356928.78</v>
      </c>
      <c r="BD108" s="41">
        <v>0</v>
      </c>
      <c r="BE108" s="41">
        <v>0</v>
      </c>
      <c r="BF108" s="41">
        <v>0</v>
      </c>
      <c r="BG108" s="41">
        <v>0</v>
      </c>
      <c r="BH108" s="41">
        <v>0</v>
      </c>
      <c r="BI108" s="41">
        <v>3551380.75</v>
      </c>
      <c r="BJ108" s="75"/>
      <c r="BK108" s="11"/>
    </row>
    <row r="109" spans="1:64" s="10" customFormat="1" ht="51" x14ac:dyDescent="0.2">
      <c r="A109" s="55" t="s">
        <v>2639</v>
      </c>
      <c r="B109" s="55" t="s">
        <v>2641</v>
      </c>
      <c r="C109" s="155" t="s">
        <v>2640</v>
      </c>
      <c r="D109" s="55" t="s">
        <v>2642</v>
      </c>
      <c r="E109" s="55" t="s">
        <v>402</v>
      </c>
      <c r="F109" s="55" t="s">
        <v>5</v>
      </c>
      <c r="G109" s="55" t="s">
        <v>2841</v>
      </c>
      <c r="H109" s="45">
        <v>98</v>
      </c>
      <c r="I109" s="45" t="s">
        <v>2639</v>
      </c>
      <c r="J109" s="344" t="s">
        <v>2665</v>
      </c>
      <c r="K109" s="344" t="s">
        <v>2666</v>
      </c>
      <c r="L109" s="152">
        <v>0</v>
      </c>
      <c r="M109" s="152">
        <v>0</v>
      </c>
      <c r="N109" s="152">
        <v>0</v>
      </c>
      <c r="O109" s="152">
        <f t="shared" ref="O109:AM109" si="74">N109+M109+L109</f>
        <v>0</v>
      </c>
      <c r="P109" s="152">
        <f t="shared" si="74"/>
        <v>0</v>
      </c>
      <c r="Q109" s="152">
        <f t="shared" si="74"/>
        <v>0</v>
      </c>
      <c r="R109" s="152">
        <f t="shared" si="74"/>
        <v>0</v>
      </c>
      <c r="S109" s="152">
        <f t="shared" si="74"/>
        <v>0</v>
      </c>
      <c r="T109" s="152">
        <f t="shared" si="74"/>
        <v>0</v>
      </c>
      <c r="U109" s="152">
        <f t="shared" si="74"/>
        <v>0</v>
      </c>
      <c r="V109" s="152">
        <f t="shared" si="74"/>
        <v>0</v>
      </c>
      <c r="W109" s="152">
        <f t="shared" si="74"/>
        <v>0</v>
      </c>
      <c r="X109" s="152">
        <f t="shared" si="74"/>
        <v>0</v>
      </c>
      <c r="Y109" s="152">
        <f t="shared" si="74"/>
        <v>0</v>
      </c>
      <c r="Z109" s="152">
        <f t="shared" si="74"/>
        <v>0</v>
      </c>
      <c r="AA109" s="152">
        <f t="shared" si="74"/>
        <v>0</v>
      </c>
      <c r="AB109" s="152">
        <f t="shared" si="74"/>
        <v>0</v>
      </c>
      <c r="AC109" s="152">
        <f t="shared" si="74"/>
        <v>0</v>
      </c>
      <c r="AD109" s="152">
        <f t="shared" si="74"/>
        <v>0</v>
      </c>
      <c r="AE109" s="152">
        <f t="shared" si="74"/>
        <v>0</v>
      </c>
      <c r="AF109" s="152">
        <f t="shared" si="74"/>
        <v>0</v>
      </c>
      <c r="AG109" s="152">
        <f t="shared" si="74"/>
        <v>0</v>
      </c>
      <c r="AH109" s="152">
        <f t="shared" si="74"/>
        <v>0</v>
      </c>
      <c r="AI109" s="152">
        <f t="shared" si="74"/>
        <v>0</v>
      </c>
      <c r="AJ109" s="152">
        <f t="shared" si="74"/>
        <v>0</v>
      </c>
      <c r="AK109" s="152">
        <f t="shared" si="74"/>
        <v>0</v>
      </c>
      <c r="AL109" s="152">
        <f t="shared" si="74"/>
        <v>0</v>
      </c>
      <c r="AM109" s="152">
        <f t="shared" si="74"/>
        <v>0</v>
      </c>
      <c r="AN109" s="152">
        <v>0</v>
      </c>
      <c r="AO109" s="152">
        <f>AN109+AM109+AL109</f>
        <v>0</v>
      </c>
      <c r="AP109" s="152">
        <v>127325.11</v>
      </c>
      <c r="AQ109" s="41">
        <f>IFERROR(VLOOKUP(G109,'10'!A:B,2,0),0)</f>
        <v>0</v>
      </c>
      <c r="AR109" s="41">
        <f t="shared" si="45"/>
        <v>-127325.11</v>
      </c>
      <c r="AS109" s="41">
        <f t="shared" si="49"/>
        <v>127325.11</v>
      </c>
      <c r="AT109" s="41">
        <f>AN109+AK109+AH109+AE109+AB109+-Y109+V109+S109+P109+AQ109</f>
        <v>0</v>
      </c>
      <c r="AU109" s="41">
        <f t="shared" si="48"/>
        <v>-127325.11</v>
      </c>
      <c r="AV109" s="459">
        <f t="shared" si="63"/>
        <v>0</v>
      </c>
      <c r="AW109" s="152">
        <v>0</v>
      </c>
      <c r="AX109" s="152">
        <v>0</v>
      </c>
      <c r="AY109" s="41">
        <f t="shared" si="47"/>
        <v>127325.11</v>
      </c>
      <c r="AZ109" s="41"/>
      <c r="BA109" s="552">
        <f t="shared" si="73"/>
        <v>-127325.11</v>
      </c>
      <c r="BB109" s="152">
        <v>1315561.06</v>
      </c>
      <c r="BC109" s="152">
        <v>1022109.18</v>
      </c>
      <c r="BD109" s="152">
        <v>470469.69</v>
      </c>
      <c r="BE109" s="152">
        <v>420000.24</v>
      </c>
      <c r="BF109" s="152">
        <v>18611.419999999998</v>
      </c>
      <c r="BG109" s="152">
        <v>0</v>
      </c>
      <c r="BH109" s="152">
        <v>0</v>
      </c>
      <c r="BI109" s="152">
        <v>3374076.7</v>
      </c>
      <c r="BJ109" s="459"/>
      <c r="BK109" s="41"/>
      <c r="BL109" s="432"/>
    </row>
    <row r="110" spans="1:64" s="10" customFormat="1" ht="63" x14ac:dyDescent="0.2">
      <c r="A110" s="11" t="s">
        <v>537</v>
      </c>
      <c r="B110" s="11" t="s">
        <v>538</v>
      </c>
      <c r="C110" s="14" t="s">
        <v>611</v>
      </c>
      <c r="D110" s="11">
        <v>1</v>
      </c>
      <c r="E110" s="11" t="s">
        <v>454</v>
      </c>
      <c r="F110" s="11" t="s">
        <v>102</v>
      </c>
      <c r="G110" s="44" t="s">
        <v>541</v>
      </c>
      <c r="H110" s="45">
        <v>99</v>
      </c>
      <c r="I110" s="45" t="s">
        <v>537</v>
      </c>
      <c r="J110" s="46" t="s">
        <v>456</v>
      </c>
      <c r="K110" s="46" t="s">
        <v>542</v>
      </c>
      <c r="L110" s="41">
        <v>0</v>
      </c>
      <c r="M110" s="41">
        <v>0</v>
      </c>
      <c r="N110" s="41">
        <v>1306641.76</v>
      </c>
      <c r="O110" s="41">
        <v>0</v>
      </c>
      <c r="P110" s="41">
        <v>0</v>
      </c>
      <c r="Q110" s="41">
        <f>P110-O110</f>
        <v>0</v>
      </c>
      <c r="R110" s="41">
        <v>642264.88</v>
      </c>
      <c r="S110" s="41">
        <v>640020.23</v>
      </c>
      <c r="T110" s="41">
        <f>S110-R110</f>
        <v>-2244.6500000000233</v>
      </c>
      <c r="U110" s="41">
        <v>0</v>
      </c>
      <c r="V110" s="41">
        <v>0</v>
      </c>
      <c r="W110" s="41">
        <f>V110-U110</f>
        <v>0</v>
      </c>
      <c r="X110" s="41">
        <v>0</v>
      </c>
      <c r="Y110" s="41">
        <v>389976.33</v>
      </c>
      <c r="Z110" s="41">
        <f>Y110-X110</f>
        <v>389976.33</v>
      </c>
      <c r="AA110" s="41">
        <v>506650.15</v>
      </c>
      <c r="AB110" s="41">
        <v>0</v>
      </c>
      <c r="AC110" s="41">
        <f>AB110-AA110</f>
        <v>-506650.15</v>
      </c>
      <c r="AD110" s="41">
        <v>0</v>
      </c>
      <c r="AE110" s="41">
        <v>0</v>
      </c>
      <c r="AF110" s="41">
        <f>AE110-AD110</f>
        <v>0</v>
      </c>
      <c r="AG110" s="41">
        <v>0</v>
      </c>
      <c r="AH110" s="41">
        <v>0</v>
      </c>
      <c r="AI110" s="41">
        <f>AH110-AG110</f>
        <v>0</v>
      </c>
      <c r="AJ110" s="41">
        <v>506650.15</v>
      </c>
      <c r="AK110" s="41">
        <v>501326.74</v>
      </c>
      <c r="AL110" s="41">
        <f>AK110-AJ110</f>
        <v>-5323.4100000000326</v>
      </c>
      <c r="AM110" s="41">
        <v>0</v>
      </c>
      <c r="AN110" s="41">
        <v>0</v>
      </c>
      <c r="AO110" s="41">
        <f>AN110-AM110</f>
        <v>0</v>
      </c>
      <c r="AP110" s="41">
        <v>0</v>
      </c>
      <c r="AQ110" s="41">
        <f>IFERROR(VLOOKUP(G110,'10'!A:B,2,0),0)</f>
        <v>0</v>
      </c>
      <c r="AR110" s="41">
        <f t="shared" si="45"/>
        <v>0</v>
      </c>
      <c r="AS110" s="41">
        <f t="shared" si="49"/>
        <v>1655565.1800000002</v>
      </c>
      <c r="AT110" s="41">
        <f>AN110+AK110+AH110+AE110+AB110+Y110+V110+S110+P110+AQ110</f>
        <v>1531323.3</v>
      </c>
      <c r="AU110" s="41">
        <f t="shared" si="48"/>
        <v>-124241.88000000006</v>
      </c>
      <c r="AV110" s="459">
        <f t="shared" si="63"/>
        <v>0.92495500539580078</v>
      </c>
      <c r="AW110" s="41">
        <v>520642.94</v>
      </c>
      <c r="AX110" s="41">
        <v>0</v>
      </c>
      <c r="AY110" s="41">
        <f t="shared" si="47"/>
        <v>2176208.12</v>
      </c>
      <c r="AZ110" s="41">
        <f>VLOOKUP(G110,'2017'!A:B,2,0)</f>
        <v>2051966.24</v>
      </c>
      <c r="BA110" s="552">
        <f t="shared" si="73"/>
        <v>-124241.88000000012</v>
      </c>
      <c r="BB110" s="41">
        <v>1975299.6999999997</v>
      </c>
      <c r="BC110" s="41">
        <v>449350.42</v>
      </c>
      <c r="BD110" s="41">
        <v>0</v>
      </c>
      <c r="BE110" s="41">
        <v>0</v>
      </c>
      <c r="BF110" s="41">
        <v>0</v>
      </c>
      <c r="BG110" s="41">
        <v>0</v>
      </c>
      <c r="BH110" s="41">
        <v>0</v>
      </c>
      <c r="BI110" s="41">
        <v>5907500</v>
      </c>
      <c r="BJ110" s="75"/>
      <c r="BK110" s="11"/>
    </row>
    <row r="111" spans="1:64" s="10" customFormat="1" ht="25.5" x14ac:dyDescent="0.2">
      <c r="A111" s="55" t="s">
        <v>33</v>
      </c>
      <c r="B111" s="55" t="s">
        <v>34</v>
      </c>
      <c r="C111" s="155" t="s">
        <v>566</v>
      </c>
      <c r="D111" s="55">
        <v>1</v>
      </c>
      <c r="E111" s="55" t="s">
        <v>35</v>
      </c>
      <c r="F111" s="55" t="s">
        <v>5</v>
      </c>
      <c r="G111" s="439" t="s">
        <v>2829</v>
      </c>
      <c r="H111" s="45">
        <v>100</v>
      </c>
      <c r="I111" s="45" t="s">
        <v>33</v>
      </c>
      <c r="J111" s="155" t="s">
        <v>1128</v>
      </c>
      <c r="K111" s="155" t="s">
        <v>1134</v>
      </c>
      <c r="L111" s="152">
        <v>0</v>
      </c>
      <c r="M111" s="152">
        <v>0</v>
      </c>
      <c r="N111" s="152">
        <v>0</v>
      </c>
      <c r="O111" s="152">
        <f t="shared" ref="O111:AM111" si="75">N111+M111+L111</f>
        <v>0</v>
      </c>
      <c r="P111" s="152">
        <f t="shared" si="75"/>
        <v>0</v>
      </c>
      <c r="Q111" s="152">
        <f t="shared" si="75"/>
        <v>0</v>
      </c>
      <c r="R111" s="152">
        <f t="shared" si="75"/>
        <v>0</v>
      </c>
      <c r="S111" s="152">
        <f t="shared" si="75"/>
        <v>0</v>
      </c>
      <c r="T111" s="152">
        <f t="shared" si="75"/>
        <v>0</v>
      </c>
      <c r="U111" s="152">
        <f t="shared" si="75"/>
        <v>0</v>
      </c>
      <c r="V111" s="152">
        <f t="shared" si="75"/>
        <v>0</v>
      </c>
      <c r="W111" s="152">
        <f t="shared" si="75"/>
        <v>0</v>
      </c>
      <c r="X111" s="152">
        <f t="shared" si="75"/>
        <v>0</v>
      </c>
      <c r="Y111" s="152">
        <f t="shared" si="75"/>
        <v>0</v>
      </c>
      <c r="Z111" s="152">
        <f t="shared" si="75"/>
        <v>0</v>
      </c>
      <c r="AA111" s="152">
        <f t="shared" si="75"/>
        <v>0</v>
      </c>
      <c r="AB111" s="152">
        <f t="shared" si="75"/>
        <v>0</v>
      </c>
      <c r="AC111" s="152">
        <f t="shared" si="75"/>
        <v>0</v>
      </c>
      <c r="AD111" s="152">
        <f t="shared" si="75"/>
        <v>0</v>
      </c>
      <c r="AE111" s="152">
        <f t="shared" si="75"/>
        <v>0</v>
      </c>
      <c r="AF111" s="152">
        <f t="shared" si="75"/>
        <v>0</v>
      </c>
      <c r="AG111" s="152">
        <f t="shared" si="75"/>
        <v>0</v>
      </c>
      <c r="AH111" s="152">
        <f t="shared" si="75"/>
        <v>0</v>
      </c>
      <c r="AI111" s="152">
        <f t="shared" si="75"/>
        <v>0</v>
      </c>
      <c r="AJ111" s="152">
        <f t="shared" si="75"/>
        <v>0</v>
      </c>
      <c r="AK111" s="152">
        <f t="shared" si="75"/>
        <v>0</v>
      </c>
      <c r="AL111" s="152">
        <f t="shared" si="75"/>
        <v>0</v>
      </c>
      <c r="AM111" s="152">
        <f t="shared" si="75"/>
        <v>0</v>
      </c>
      <c r="AN111" s="152">
        <v>0</v>
      </c>
      <c r="AO111" s="152">
        <f>AN111+AM111+AL111</f>
        <v>0</v>
      </c>
      <c r="AP111" s="152">
        <v>118614.95000000001</v>
      </c>
      <c r="AQ111" s="41">
        <f>IFERROR(VLOOKUP(G111,'10'!A:B,2,0),0)</f>
        <v>0</v>
      </c>
      <c r="AR111" s="41">
        <f t="shared" si="45"/>
        <v>-118614.95000000001</v>
      </c>
      <c r="AS111" s="41">
        <f t="shared" si="49"/>
        <v>118614.95000000001</v>
      </c>
      <c r="AT111" s="41">
        <f>AN111+AK111+AH111+AE111+AB111+-Y111+V111+S111+P111+AQ111</f>
        <v>0</v>
      </c>
      <c r="AU111" s="41">
        <f t="shared" si="48"/>
        <v>-118614.95000000001</v>
      </c>
      <c r="AV111" s="459">
        <f t="shared" si="63"/>
        <v>0</v>
      </c>
      <c r="AW111" s="152">
        <v>30000</v>
      </c>
      <c r="AX111" s="152">
        <v>3629.5</v>
      </c>
      <c r="AY111" s="41">
        <f t="shared" si="47"/>
        <v>152244.45000000001</v>
      </c>
      <c r="AZ111" s="41"/>
      <c r="BA111" s="552">
        <f t="shared" si="73"/>
        <v>-152244.45000000001</v>
      </c>
      <c r="BB111" s="152">
        <v>512959.54999666673</v>
      </c>
      <c r="BC111" s="152">
        <v>184796</v>
      </c>
      <c r="BD111" s="152">
        <v>0</v>
      </c>
      <c r="BE111" s="152">
        <v>0</v>
      </c>
      <c r="BF111" s="152">
        <v>0</v>
      </c>
      <c r="BG111" s="152">
        <v>0</v>
      </c>
      <c r="BH111" s="152">
        <v>0</v>
      </c>
      <c r="BI111" s="152">
        <v>849999.9999966668</v>
      </c>
      <c r="BJ111" s="459"/>
      <c r="BK111" s="41"/>
      <c r="BL111" s="432"/>
    </row>
    <row r="112" spans="1:64" s="10" customFormat="1" ht="47.25" x14ac:dyDescent="0.2">
      <c r="A112" s="11" t="s">
        <v>458</v>
      </c>
      <c r="B112" s="11" t="s">
        <v>459</v>
      </c>
      <c r="C112" s="14" t="s">
        <v>609</v>
      </c>
      <c r="D112" s="11">
        <v>1</v>
      </c>
      <c r="E112" s="11" t="s">
        <v>454</v>
      </c>
      <c r="F112" s="11" t="s">
        <v>77</v>
      </c>
      <c r="G112" s="44" t="s">
        <v>479</v>
      </c>
      <c r="H112" s="45">
        <v>101</v>
      </c>
      <c r="I112" s="45" t="s">
        <v>458</v>
      </c>
      <c r="J112" s="46" t="s">
        <v>40</v>
      </c>
      <c r="K112" s="46" t="s">
        <v>480</v>
      </c>
      <c r="L112" s="41">
        <v>0</v>
      </c>
      <c r="M112" s="41">
        <v>0</v>
      </c>
      <c r="N112" s="41">
        <v>15106.58</v>
      </c>
      <c r="O112" s="41">
        <v>15300.7</v>
      </c>
      <c r="P112" s="41">
        <v>15300.7</v>
      </c>
      <c r="Q112" s="41">
        <f t="shared" ref="Q112:Q125" si="76">P112-O112</f>
        <v>0</v>
      </c>
      <c r="R112" s="41">
        <v>0</v>
      </c>
      <c r="S112" s="41">
        <v>0</v>
      </c>
      <c r="T112" s="41">
        <f t="shared" ref="T112:T125" si="77">S112-R112</f>
        <v>0</v>
      </c>
      <c r="U112" s="41">
        <v>0</v>
      </c>
      <c r="V112" s="41">
        <v>0</v>
      </c>
      <c r="W112" s="41">
        <f t="shared" ref="W112:W125" si="78">V112-U112</f>
        <v>0</v>
      </c>
      <c r="X112" s="41">
        <v>13991.61</v>
      </c>
      <c r="Y112" s="41">
        <v>9766.23</v>
      </c>
      <c r="Z112" s="41">
        <f t="shared" ref="Z112:Z125" si="79">Y112-X112</f>
        <v>-4225.380000000001</v>
      </c>
      <c r="AA112" s="41">
        <v>0</v>
      </c>
      <c r="AB112" s="41">
        <v>0</v>
      </c>
      <c r="AC112" s="41">
        <f t="shared" ref="AC112:AC125" si="80">AB112-AA112</f>
        <v>0</v>
      </c>
      <c r="AD112" s="41">
        <v>0</v>
      </c>
      <c r="AE112" s="41">
        <v>0</v>
      </c>
      <c r="AF112" s="41">
        <f t="shared" ref="AF112:AF125" si="81">AE112-AD112</f>
        <v>0</v>
      </c>
      <c r="AG112" s="41">
        <v>35723.370000000003</v>
      </c>
      <c r="AH112" s="41">
        <v>9371.27</v>
      </c>
      <c r="AI112" s="41">
        <f t="shared" ref="AI112:AI125" si="82">AH112-AG112</f>
        <v>-26352.100000000002</v>
      </c>
      <c r="AJ112" s="41">
        <v>0</v>
      </c>
      <c r="AK112" s="41">
        <v>0</v>
      </c>
      <c r="AL112" s="41">
        <f t="shared" ref="AL112:AL125" si="83">AK112-AJ112</f>
        <v>0</v>
      </c>
      <c r="AM112" s="41">
        <v>0</v>
      </c>
      <c r="AN112" s="41">
        <v>0</v>
      </c>
      <c r="AO112" s="41">
        <f t="shared" ref="AO112:AO125" si="84">AN112-AM112</f>
        <v>0</v>
      </c>
      <c r="AP112" s="41">
        <v>90147.42</v>
      </c>
      <c r="AQ112" s="41">
        <f>IFERROR(VLOOKUP(G112,'10'!A:B,2,0),0)</f>
        <v>10247.540000000001</v>
      </c>
      <c r="AR112" s="41">
        <f t="shared" si="45"/>
        <v>-79899.88</v>
      </c>
      <c r="AS112" s="41">
        <f t="shared" si="49"/>
        <v>155163.1</v>
      </c>
      <c r="AT112" s="41">
        <f>AN112+AK112+AH112+AE112+AB112+Y112+V112+S112+P112+AQ112</f>
        <v>44685.74</v>
      </c>
      <c r="AU112" s="41">
        <f t="shared" si="48"/>
        <v>-110477.36000000002</v>
      </c>
      <c r="AV112" s="459">
        <f t="shared" si="63"/>
        <v>0.28799205481200102</v>
      </c>
      <c r="AW112" s="41">
        <v>0</v>
      </c>
      <c r="AX112" s="41">
        <v>0</v>
      </c>
      <c r="AY112" s="41">
        <f t="shared" si="47"/>
        <v>155163.10000000003</v>
      </c>
      <c r="AZ112" s="41">
        <f>VLOOKUP(G112,'2017'!A:B,2,0)</f>
        <v>44685.74</v>
      </c>
      <c r="BA112" s="552">
        <f t="shared" si="73"/>
        <v>-110477.36000000004</v>
      </c>
      <c r="BB112" s="41">
        <v>107916.65</v>
      </c>
      <c r="BC112" s="41">
        <v>90161.17</v>
      </c>
      <c r="BD112" s="41">
        <v>0</v>
      </c>
      <c r="BE112" s="41">
        <v>0</v>
      </c>
      <c r="BF112" s="41">
        <v>0</v>
      </c>
      <c r="BG112" s="41">
        <v>0</v>
      </c>
      <c r="BH112" s="41">
        <v>0</v>
      </c>
      <c r="BI112" s="41">
        <v>368347.49999999994</v>
      </c>
      <c r="BJ112" s="75"/>
      <c r="BK112" s="11"/>
    </row>
    <row r="113" spans="1:64" s="10" customFormat="1" ht="47.25" x14ac:dyDescent="0.25">
      <c r="A113" s="472" t="s">
        <v>287</v>
      </c>
      <c r="B113" s="472" t="s">
        <v>288</v>
      </c>
      <c r="C113" s="473" t="s">
        <v>585</v>
      </c>
      <c r="D113" s="472" t="s">
        <v>3</v>
      </c>
      <c r="E113" s="472" t="s">
        <v>4</v>
      </c>
      <c r="F113" s="472" t="s">
        <v>77</v>
      </c>
      <c r="G113" s="474" t="s">
        <v>289</v>
      </c>
      <c r="H113" s="45">
        <v>102</v>
      </c>
      <c r="I113" s="45" t="s">
        <v>287</v>
      </c>
      <c r="J113" s="475" t="s">
        <v>285</v>
      </c>
      <c r="K113" s="475" t="s">
        <v>290</v>
      </c>
      <c r="L113" s="41">
        <v>0</v>
      </c>
      <c r="M113" s="41">
        <v>0</v>
      </c>
      <c r="N113" s="41">
        <v>14168.29</v>
      </c>
      <c r="O113" s="41">
        <v>12387.36</v>
      </c>
      <c r="P113" s="41">
        <v>12387.36</v>
      </c>
      <c r="Q113" s="41">
        <f t="shared" si="76"/>
        <v>0</v>
      </c>
      <c r="R113" s="41">
        <v>0</v>
      </c>
      <c r="S113" s="41">
        <v>0</v>
      </c>
      <c r="T113" s="41">
        <f t="shared" si="77"/>
        <v>0</v>
      </c>
      <c r="U113" s="41">
        <v>0</v>
      </c>
      <c r="V113" s="41">
        <v>0</v>
      </c>
      <c r="W113" s="41">
        <f t="shared" si="78"/>
        <v>0</v>
      </c>
      <c r="X113" s="41">
        <v>101320.89</v>
      </c>
      <c r="Y113" s="41">
        <v>101337.96</v>
      </c>
      <c r="Z113" s="41">
        <f t="shared" si="79"/>
        <v>17.070000000006985</v>
      </c>
      <c r="AA113" s="41">
        <v>0</v>
      </c>
      <c r="AB113" s="41">
        <v>0</v>
      </c>
      <c r="AC113" s="41">
        <f t="shared" si="80"/>
        <v>0</v>
      </c>
      <c r="AD113" s="41">
        <v>0</v>
      </c>
      <c r="AE113" s="41">
        <v>0</v>
      </c>
      <c r="AF113" s="41">
        <f t="shared" si="81"/>
        <v>0</v>
      </c>
      <c r="AG113" s="41">
        <v>155589.1</v>
      </c>
      <c r="AH113" s="41">
        <v>175031.79</v>
      </c>
      <c r="AI113" s="41">
        <f t="shared" si="82"/>
        <v>19442.690000000002</v>
      </c>
      <c r="AJ113" s="41">
        <v>0</v>
      </c>
      <c r="AK113" s="41">
        <v>0</v>
      </c>
      <c r="AL113" s="41">
        <f t="shared" si="83"/>
        <v>0</v>
      </c>
      <c r="AM113" s="41">
        <v>0</v>
      </c>
      <c r="AN113" s="41">
        <v>0</v>
      </c>
      <c r="AO113" s="41">
        <f t="shared" si="84"/>
        <v>0</v>
      </c>
      <c r="AP113" s="41">
        <v>207049.8</v>
      </c>
      <c r="AQ113" s="41">
        <f>IFERROR(VLOOKUP(G113,'10'!A:B,2,0),0)</f>
        <v>79322.47</v>
      </c>
      <c r="AR113" s="41">
        <f t="shared" si="45"/>
        <v>-127727.32999999999</v>
      </c>
      <c r="AS113" s="41">
        <f t="shared" si="49"/>
        <v>476347.14999999997</v>
      </c>
      <c r="AT113" s="41">
        <f>AN113+AK113+AH113+AE113+AB113+Y113+V113+S113+P113+AQ113</f>
        <v>368079.57999999996</v>
      </c>
      <c r="AU113" s="41">
        <f t="shared" si="48"/>
        <v>-108267.56999999998</v>
      </c>
      <c r="AV113" s="459">
        <f t="shared" si="63"/>
        <v>0.77271288387051329</v>
      </c>
      <c r="AW113" s="41">
        <v>0</v>
      </c>
      <c r="AX113" s="41">
        <v>0</v>
      </c>
      <c r="AY113" s="41">
        <f t="shared" si="47"/>
        <v>476347.15</v>
      </c>
      <c r="AZ113" s="41">
        <f>VLOOKUP(G113,'2017'!A:B,2,0)</f>
        <v>368079.58</v>
      </c>
      <c r="BA113" s="552">
        <f t="shared" si="73"/>
        <v>-108267.57</v>
      </c>
      <c r="BB113" s="41">
        <v>820198.15</v>
      </c>
      <c r="BC113" s="41">
        <v>826052.95000000007</v>
      </c>
      <c r="BD113" s="41">
        <v>546577.19999999995</v>
      </c>
      <c r="BE113" s="41">
        <v>110903.26</v>
      </c>
      <c r="BF113" s="41">
        <v>0</v>
      </c>
      <c r="BG113" s="41">
        <v>0</v>
      </c>
      <c r="BH113" s="41">
        <v>0</v>
      </c>
      <c r="BI113" s="41">
        <v>2794247</v>
      </c>
      <c r="BJ113" s="75"/>
      <c r="BK113" s="24"/>
      <c r="BL113" s="29"/>
    </row>
    <row r="114" spans="1:64" s="10" customFormat="1" ht="31.5" x14ac:dyDescent="0.25">
      <c r="A114" s="20" t="s">
        <v>119</v>
      </c>
      <c r="B114" s="20" t="s">
        <v>120</v>
      </c>
      <c r="C114" s="21" t="s">
        <v>574</v>
      </c>
      <c r="D114" s="20">
        <v>1</v>
      </c>
      <c r="E114" s="20" t="s">
        <v>35</v>
      </c>
      <c r="F114" s="20" t="s">
        <v>102</v>
      </c>
      <c r="G114" s="20" t="s">
        <v>755</v>
      </c>
      <c r="H114" s="45">
        <v>103</v>
      </c>
      <c r="I114" s="45" t="s">
        <v>119</v>
      </c>
      <c r="J114" s="34" t="s">
        <v>756</v>
      </c>
      <c r="K114" s="34" t="s">
        <v>757</v>
      </c>
      <c r="L114" s="41">
        <v>0</v>
      </c>
      <c r="M114" s="41">
        <v>0</v>
      </c>
      <c r="N114" s="41">
        <v>0</v>
      </c>
      <c r="O114" s="41">
        <v>0</v>
      </c>
      <c r="P114" s="41">
        <v>0</v>
      </c>
      <c r="Q114" s="41">
        <f t="shared" si="76"/>
        <v>0</v>
      </c>
      <c r="R114" s="41">
        <v>0</v>
      </c>
      <c r="S114" s="41">
        <v>0</v>
      </c>
      <c r="T114" s="41">
        <f t="shared" si="77"/>
        <v>0</v>
      </c>
      <c r="U114" s="41">
        <v>0</v>
      </c>
      <c r="V114" s="41">
        <v>0</v>
      </c>
      <c r="W114" s="41">
        <f t="shared" si="78"/>
        <v>0</v>
      </c>
      <c r="X114" s="41">
        <v>0</v>
      </c>
      <c r="Y114" s="41">
        <v>0</v>
      </c>
      <c r="Z114" s="41">
        <f t="shared" si="79"/>
        <v>0</v>
      </c>
      <c r="AA114" s="41">
        <v>0</v>
      </c>
      <c r="AB114" s="41">
        <v>0</v>
      </c>
      <c r="AC114" s="41">
        <f t="shared" si="80"/>
        <v>0</v>
      </c>
      <c r="AD114" s="37">
        <v>200000</v>
      </c>
      <c r="AE114" s="41">
        <v>177000</v>
      </c>
      <c r="AF114" s="41">
        <f t="shared" si="81"/>
        <v>-23000</v>
      </c>
      <c r="AG114" s="37">
        <v>0</v>
      </c>
      <c r="AH114" s="41">
        <v>0</v>
      </c>
      <c r="AI114" s="41">
        <f t="shared" si="82"/>
        <v>0</v>
      </c>
      <c r="AJ114" s="37">
        <v>0</v>
      </c>
      <c r="AK114" s="41">
        <v>0</v>
      </c>
      <c r="AL114" s="41">
        <f t="shared" si="83"/>
        <v>0</v>
      </c>
      <c r="AM114" s="37">
        <v>0</v>
      </c>
      <c r="AN114" s="41">
        <v>57021.97</v>
      </c>
      <c r="AO114" s="41">
        <f t="shared" si="84"/>
        <v>57021.97</v>
      </c>
      <c r="AP114" s="37">
        <v>142020.04999999999</v>
      </c>
      <c r="AQ114" s="41">
        <f>IFERROR(VLOOKUP(G114,'10'!A:B,2,0),0)</f>
        <v>0</v>
      </c>
      <c r="AR114" s="41">
        <f t="shared" si="45"/>
        <v>-142020.04999999999</v>
      </c>
      <c r="AS114" s="41">
        <f t="shared" si="49"/>
        <v>342020.05</v>
      </c>
      <c r="AT114" s="41">
        <f>AN114+AK114+AH114+AE114+AB114+-Y114+V114+S114+P114+AQ114</f>
        <v>234021.97</v>
      </c>
      <c r="AU114" s="41">
        <f t="shared" si="48"/>
        <v>-107998.07999999999</v>
      </c>
      <c r="AV114" s="459">
        <f t="shared" si="63"/>
        <v>0.6842346523252073</v>
      </c>
      <c r="AW114" s="37">
        <v>0</v>
      </c>
      <c r="AX114" s="37">
        <v>0</v>
      </c>
      <c r="AY114" s="41">
        <f t="shared" si="47"/>
        <v>342020.05</v>
      </c>
      <c r="AZ114" s="41">
        <f>VLOOKUP(G114,'2017'!A:B,2,0)</f>
        <v>234021.97</v>
      </c>
      <c r="BA114" s="552">
        <f t="shared" si="73"/>
        <v>-107998.07999999999</v>
      </c>
      <c r="BB114" s="37">
        <v>304012.48</v>
      </c>
      <c r="BC114" s="37">
        <v>147141.22</v>
      </c>
      <c r="BD114" s="37">
        <v>0</v>
      </c>
      <c r="BE114" s="37">
        <v>631602.25</v>
      </c>
      <c r="BF114" s="37">
        <v>0</v>
      </c>
      <c r="BG114" s="37">
        <v>0</v>
      </c>
      <c r="BH114" s="37">
        <v>0</v>
      </c>
      <c r="BI114" s="41">
        <v>1224776</v>
      </c>
      <c r="BJ114" s="75"/>
      <c r="BK114" s="11"/>
      <c r="BL114" s="8"/>
    </row>
    <row r="115" spans="1:64" s="10" customFormat="1" ht="48.75" customHeight="1" x14ac:dyDescent="0.25">
      <c r="A115" s="11" t="s">
        <v>330</v>
      </c>
      <c r="B115" s="11" t="s">
        <v>331</v>
      </c>
      <c r="C115" s="14" t="s">
        <v>333</v>
      </c>
      <c r="D115" s="11" t="s">
        <v>3</v>
      </c>
      <c r="E115" s="11" t="s">
        <v>210</v>
      </c>
      <c r="F115" s="11" t="s">
        <v>77</v>
      </c>
      <c r="G115" s="44" t="s">
        <v>332</v>
      </c>
      <c r="H115" s="45">
        <v>104</v>
      </c>
      <c r="I115" s="45" t="s">
        <v>330</v>
      </c>
      <c r="J115" s="46" t="s">
        <v>212</v>
      </c>
      <c r="K115" s="46" t="s">
        <v>333</v>
      </c>
      <c r="L115" s="41">
        <v>0</v>
      </c>
      <c r="M115" s="41">
        <v>279718.15000000002</v>
      </c>
      <c r="N115" s="41">
        <v>2850352.76</v>
      </c>
      <c r="O115" s="41">
        <v>1177618.43</v>
      </c>
      <c r="P115" s="41">
        <v>1116651.8799999999</v>
      </c>
      <c r="Q115" s="41">
        <f t="shared" si="76"/>
        <v>-60966.550000000047</v>
      </c>
      <c r="R115" s="41">
        <v>0</v>
      </c>
      <c r="S115" s="41">
        <v>0</v>
      </c>
      <c r="T115" s="41">
        <f t="shared" si="77"/>
        <v>0</v>
      </c>
      <c r="U115" s="41">
        <v>0</v>
      </c>
      <c r="V115" s="41">
        <v>0</v>
      </c>
      <c r="W115" s="41">
        <f t="shared" si="78"/>
        <v>0</v>
      </c>
      <c r="X115" s="41">
        <v>1013567</v>
      </c>
      <c r="Y115" s="41">
        <v>999220.74</v>
      </c>
      <c r="Z115" s="41">
        <f t="shared" si="79"/>
        <v>-14346.260000000009</v>
      </c>
      <c r="AA115" s="41">
        <v>0</v>
      </c>
      <c r="AB115" s="41">
        <v>0</v>
      </c>
      <c r="AC115" s="41">
        <f t="shared" si="80"/>
        <v>0</v>
      </c>
      <c r="AD115" s="41">
        <v>0</v>
      </c>
      <c r="AE115" s="41">
        <v>0</v>
      </c>
      <c r="AF115" s="41">
        <f t="shared" si="81"/>
        <v>0</v>
      </c>
      <c r="AG115" s="41">
        <v>1278821.6000000001</v>
      </c>
      <c r="AH115" s="41">
        <v>0</v>
      </c>
      <c r="AI115" s="41">
        <f t="shared" si="82"/>
        <v>-1278821.6000000001</v>
      </c>
      <c r="AJ115" s="41">
        <v>0</v>
      </c>
      <c r="AK115" s="40">
        <v>1036469.08</v>
      </c>
      <c r="AL115" s="40">
        <f t="shared" si="83"/>
        <v>1036469.08</v>
      </c>
      <c r="AM115" s="41">
        <v>0</v>
      </c>
      <c r="AN115" s="41">
        <v>0</v>
      </c>
      <c r="AO115" s="41">
        <f t="shared" si="84"/>
        <v>0</v>
      </c>
      <c r="AP115" s="41">
        <v>1106004.33</v>
      </c>
      <c r="AQ115" s="41">
        <f>IFERROR(VLOOKUP(G115,'10'!A:B,2,0),0)</f>
        <v>1316944.43</v>
      </c>
      <c r="AR115" s="41">
        <f t="shared" si="45"/>
        <v>210940.09999999986</v>
      </c>
      <c r="AS115" s="41">
        <f t="shared" si="49"/>
        <v>4576011.3600000003</v>
      </c>
      <c r="AT115" s="41">
        <f>AN115+AK115+AH115+AE115+AB115+Y115+V115+S115+P115+AQ115</f>
        <v>4469286.13</v>
      </c>
      <c r="AU115" s="41">
        <f t="shared" si="48"/>
        <v>-106725.23000000033</v>
      </c>
      <c r="AV115" s="459">
        <f t="shared" si="63"/>
        <v>0.97667723665790895</v>
      </c>
      <c r="AW115" s="41">
        <v>0</v>
      </c>
      <c r="AX115" s="41">
        <v>0</v>
      </c>
      <c r="AY115" s="41">
        <f t="shared" si="47"/>
        <v>4576011.3600000003</v>
      </c>
      <c r="AZ115" s="41">
        <f>VLOOKUP(G115,'2017'!A:B,2,0)</f>
        <v>4469288.09</v>
      </c>
      <c r="BA115" s="552">
        <f t="shared" si="73"/>
        <v>-106723.27000000048</v>
      </c>
      <c r="BB115" s="41">
        <v>4166905</v>
      </c>
      <c r="BC115" s="41">
        <v>3355323.83</v>
      </c>
      <c r="BD115" s="41">
        <v>2994653.74</v>
      </c>
      <c r="BE115" s="41">
        <v>2967804.25</v>
      </c>
      <c r="BF115" s="41">
        <v>1996888.09</v>
      </c>
      <c r="BG115" s="41">
        <v>450669.52</v>
      </c>
      <c r="BH115" s="41">
        <v>0</v>
      </c>
      <c r="BI115" s="41">
        <v>23638326.699999999</v>
      </c>
      <c r="BJ115" s="75"/>
      <c r="BK115" s="25" t="s">
        <v>2760</v>
      </c>
    </row>
    <row r="116" spans="1:64" s="10" customFormat="1" ht="31.5" x14ac:dyDescent="0.2">
      <c r="A116" s="11" t="s">
        <v>33</v>
      </c>
      <c r="B116" s="11" t="s">
        <v>34</v>
      </c>
      <c r="C116" s="14" t="s">
        <v>566</v>
      </c>
      <c r="D116" s="11">
        <v>1</v>
      </c>
      <c r="E116" s="11" t="s">
        <v>35</v>
      </c>
      <c r="F116" s="11" t="s">
        <v>5</v>
      </c>
      <c r="G116" s="44" t="s">
        <v>39</v>
      </c>
      <c r="H116" s="45">
        <v>105</v>
      </c>
      <c r="I116" s="45" t="s">
        <v>33</v>
      </c>
      <c r="J116" s="46" t="s">
        <v>40</v>
      </c>
      <c r="K116" s="46" t="s">
        <v>41</v>
      </c>
      <c r="L116" s="41">
        <v>0</v>
      </c>
      <c r="M116" s="41">
        <v>0</v>
      </c>
      <c r="N116" s="41">
        <v>0</v>
      </c>
      <c r="O116" s="41">
        <v>0</v>
      </c>
      <c r="P116" s="41">
        <v>0</v>
      </c>
      <c r="Q116" s="41">
        <f t="shared" si="76"/>
        <v>0</v>
      </c>
      <c r="R116" s="41">
        <v>20151.75</v>
      </c>
      <c r="S116" s="41">
        <v>20151.75</v>
      </c>
      <c r="T116" s="41">
        <f t="shared" si="77"/>
        <v>0</v>
      </c>
      <c r="U116" s="41">
        <v>0</v>
      </c>
      <c r="V116" s="41">
        <v>0</v>
      </c>
      <c r="W116" s="41">
        <f t="shared" si="78"/>
        <v>0</v>
      </c>
      <c r="X116" s="41">
        <v>0</v>
      </c>
      <c r="Y116" s="41">
        <v>0</v>
      </c>
      <c r="Z116" s="41">
        <f t="shared" si="79"/>
        <v>0</v>
      </c>
      <c r="AA116" s="41">
        <v>9616.9</v>
      </c>
      <c r="AB116" s="41">
        <v>9289</v>
      </c>
      <c r="AC116" s="41">
        <f t="shared" si="80"/>
        <v>-327.89999999999964</v>
      </c>
      <c r="AD116" s="41">
        <v>0</v>
      </c>
      <c r="AE116" s="41">
        <v>0</v>
      </c>
      <c r="AF116" s="41">
        <f t="shared" si="81"/>
        <v>0</v>
      </c>
      <c r="AG116" s="41">
        <v>0</v>
      </c>
      <c r="AH116" s="41">
        <v>0</v>
      </c>
      <c r="AI116" s="41">
        <f t="shared" si="82"/>
        <v>0</v>
      </c>
      <c r="AJ116" s="41">
        <v>112966.7</v>
      </c>
      <c r="AK116" s="41">
        <v>13128.79</v>
      </c>
      <c r="AL116" s="41">
        <f t="shared" si="83"/>
        <v>-99837.91</v>
      </c>
      <c r="AM116" s="41">
        <v>0</v>
      </c>
      <c r="AN116" s="41">
        <v>0</v>
      </c>
      <c r="AO116" s="41">
        <f t="shared" si="84"/>
        <v>0</v>
      </c>
      <c r="AP116" s="41">
        <v>0</v>
      </c>
      <c r="AQ116" s="41">
        <f>IFERROR(VLOOKUP(G116,'10'!A:B,2,0),0)</f>
        <v>0</v>
      </c>
      <c r="AR116" s="41">
        <f t="shared" si="45"/>
        <v>0</v>
      </c>
      <c r="AS116" s="41">
        <f t="shared" si="49"/>
        <v>142735.34999999998</v>
      </c>
      <c r="AT116" s="41">
        <f>AN116+AK116+AH116+AE116+AB116+-Y116+V116+S116+P116+AQ116</f>
        <v>42569.54</v>
      </c>
      <c r="AU116" s="41">
        <f t="shared" si="48"/>
        <v>-100165.81</v>
      </c>
      <c r="AV116" s="459">
        <f t="shared" si="63"/>
        <v>0.29824104540325858</v>
      </c>
      <c r="AW116" s="41">
        <v>63619.1</v>
      </c>
      <c r="AX116" s="41">
        <v>0</v>
      </c>
      <c r="AY116" s="41">
        <f t="shared" si="47"/>
        <v>206354.44999999998</v>
      </c>
      <c r="AZ116" s="41">
        <f>VLOOKUP(G116,'2017'!A:B,2,0)</f>
        <v>106188.64</v>
      </c>
      <c r="BA116" s="552">
        <f t="shared" si="73"/>
        <v>-100165.80999999998</v>
      </c>
      <c r="BB116" s="41">
        <v>492292.88000000006</v>
      </c>
      <c r="BC116" s="41">
        <v>737072.38</v>
      </c>
      <c r="BD116" s="41">
        <v>9280.2900000000009</v>
      </c>
      <c r="BE116" s="41">
        <v>0</v>
      </c>
      <c r="BF116" s="41">
        <v>0</v>
      </c>
      <c r="BG116" s="41">
        <v>0</v>
      </c>
      <c r="BH116" s="41">
        <v>0</v>
      </c>
      <c r="BI116" s="41">
        <v>1445000</v>
      </c>
      <c r="BJ116" s="75"/>
      <c r="BK116" s="11"/>
    </row>
    <row r="117" spans="1:64" s="10" customFormat="1" ht="63" x14ac:dyDescent="0.2">
      <c r="A117" s="11" t="s">
        <v>57</v>
      </c>
      <c r="B117" s="11" t="s">
        <v>58</v>
      </c>
      <c r="C117" s="14" t="s">
        <v>569</v>
      </c>
      <c r="D117" s="11">
        <v>2</v>
      </c>
      <c r="E117" s="11" t="s">
        <v>35</v>
      </c>
      <c r="F117" s="11" t="s">
        <v>5</v>
      </c>
      <c r="G117" s="44" t="s">
        <v>65</v>
      </c>
      <c r="H117" s="45">
        <v>106</v>
      </c>
      <c r="I117" s="45" t="s">
        <v>57</v>
      </c>
      <c r="J117" s="46" t="s">
        <v>66</v>
      </c>
      <c r="K117" s="46" t="s">
        <v>67</v>
      </c>
      <c r="L117" s="41">
        <v>0</v>
      </c>
      <c r="M117" s="41">
        <v>0</v>
      </c>
      <c r="N117" s="41">
        <v>0</v>
      </c>
      <c r="O117" s="41">
        <v>0</v>
      </c>
      <c r="P117" s="41">
        <v>0</v>
      </c>
      <c r="Q117" s="41">
        <f t="shared" si="76"/>
        <v>0</v>
      </c>
      <c r="R117" s="41">
        <v>0</v>
      </c>
      <c r="S117" s="41">
        <v>0</v>
      </c>
      <c r="T117" s="41">
        <f t="shared" si="77"/>
        <v>0</v>
      </c>
      <c r="U117" s="41">
        <v>0</v>
      </c>
      <c r="V117" s="41">
        <v>0</v>
      </c>
      <c r="W117" s="41">
        <f t="shared" si="78"/>
        <v>0</v>
      </c>
      <c r="X117" s="41">
        <v>307597</v>
      </c>
      <c r="Y117" s="41">
        <v>307596.83</v>
      </c>
      <c r="Z117" s="41">
        <f t="shared" si="79"/>
        <v>-0.16999999998370185</v>
      </c>
      <c r="AA117" s="41">
        <v>357547.34</v>
      </c>
      <c r="AB117" s="41">
        <v>357547.34</v>
      </c>
      <c r="AC117" s="41">
        <f t="shared" si="80"/>
        <v>0</v>
      </c>
      <c r="AD117" s="41">
        <v>0</v>
      </c>
      <c r="AE117" s="41">
        <v>0</v>
      </c>
      <c r="AF117" s="41">
        <f t="shared" si="81"/>
        <v>0</v>
      </c>
      <c r="AG117" s="41">
        <v>0</v>
      </c>
      <c r="AH117" s="41">
        <v>0</v>
      </c>
      <c r="AI117" s="41">
        <f t="shared" si="82"/>
        <v>0</v>
      </c>
      <c r="AJ117" s="41">
        <v>0</v>
      </c>
      <c r="AK117" s="41">
        <v>0</v>
      </c>
      <c r="AL117" s="41">
        <f t="shared" si="83"/>
        <v>0</v>
      </c>
      <c r="AM117" s="41">
        <v>257646.32</v>
      </c>
      <c r="AN117" s="41">
        <v>0</v>
      </c>
      <c r="AO117" s="41">
        <f t="shared" si="84"/>
        <v>-257646.32</v>
      </c>
      <c r="AP117" s="41">
        <v>0</v>
      </c>
      <c r="AQ117" s="41">
        <f>IFERROR(VLOOKUP(G117,'10'!A:B,2,0),0)</f>
        <v>159996.89000000001</v>
      </c>
      <c r="AR117" s="41">
        <f t="shared" si="45"/>
        <v>159996.89000000001</v>
      </c>
      <c r="AS117" s="41">
        <f t="shared" si="49"/>
        <v>922790.66</v>
      </c>
      <c r="AT117" s="41">
        <f t="shared" ref="AT117:AT122" si="85">AN117+AK117+AH117+AE117+AB117+Y117+V117+S117+P117+AQ117</f>
        <v>825141.06</v>
      </c>
      <c r="AU117" s="41">
        <f t="shared" si="48"/>
        <v>-97649.599999999977</v>
      </c>
      <c r="AV117" s="459">
        <f t="shared" si="63"/>
        <v>0.89418011664747454</v>
      </c>
      <c r="AW117" s="41">
        <v>0</v>
      </c>
      <c r="AX117" s="41"/>
      <c r="AY117" s="41">
        <f t="shared" si="47"/>
        <v>922790.66</v>
      </c>
      <c r="AZ117" s="41">
        <f>VLOOKUP(G117,'2017'!A:B,2,0)</f>
        <v>825141.06</v>
      </c>
      <c r="BA117" s="552">
        <f t="shared" si="73"/>
        <v>-97649.599999999977</v>
      </c>
      <c r="BB117" s="41">
        <v>0</v>
      </c>
      <c r="BC117" s="41">
        <v>0</v>
      </c>
      <c r="BD117" s="41">
        <v>0</v>
      </c>
      <c r="BE117" s="41">
        <v>0</v>
      </c>
      <c r="BF117" s="41">
        <v>0</v>
      </c>
      <c r="BG117" s="41">
        <v>0</v>
      </c>
      <c r="BH117" s="41">
        <v>0</v>
      </c>
      <c r="BI117" s="41">
        <v>615193.66</v>
      </c>
      <c r="BJ117" s="75"/>
      <c r="BK117" s="11"/>
    </row>
    <row r="118" spans="1:64" s="10" customFormat="1" ht="31.5" x14ac:dyDescent="0.25">
      <c r="A118" s="472" t="s">
        <v>406</v>
      </c>
      <c r="B118" s="472" t="s">
        <v>407</v>
      </c>
      <c r="C118" s="473" t="s">
        <v>605</v>
      </c>
      <c r="D118" s="472" t="s">
        <v>3</v>
      </c>
      <c r="E118" s="472" t="s">
        <v>402</v>
      </c>
      <c r="F118" s="472" t="s">
        <v>77</v>
      </c>
      <c r="G118" s="474" t="s">
        <v>408</v>
      </c>
      <c r="H118" s="45">
        <v>107</v>
      </c>
      <c r="I118" s="45" t="s">
        <v>406</v>
      </c>
      <c r="J118" s="475" t="s">
        <v>409</v>
      </c>
      <c r="K118" s="475" t="s">
        <v>410</v>
      </c>
      <c r="L118" s="41">
        <v>0</v>
      </c>
      <c r="M118" s="41">
        <v>0</v>
      </c>
      <c r="N118" s="41">
        <v>0</v>
      </c>
      <c r="O118" s="41">
        <v>21795.439999999999</v>
      </c>
      <c r="P118" s="41">
        <v>21444.400000000001</v>
      </c>
      <c r="Q118" s="41">
        <f t="shared" si="76"/>
        <v>-351.03999999999724</v>
      </c>
      <c r="R118" s="41">
        <v>0</v>
      </c>
      <c r="S118" s="41">
        <v>0</v>
      </c>
      <c r="T118" s="41">
        <f t="shared" si="77"/>
        <v>0</v>
      </c>
      <c r="U118" s="41">
        <v>0</v>
      </c>
      <c r="V118" s="41">
        <v>0</v>
      </c>
      <c r="W118" s="41">
        <f t="shared" si="78"/>
        <v>0</v>
      </c>
      <c r="X118" s="41">
        <v>32669.66</v>
      </c>
      <c r="Y118" s="41">
        <v>32669.66</v>
      </c>
      <c r="Z118" s="41">
        <f t="shared" si="79"/>
        <v>0</v>
      </c>
      <c r="AA118" s="41">
        <v>0</v>
      </c>
      <c r="AB118" s="41">
        <v>0</v>
      </c>
      <c r="AC118" s="41">
        <f t="shared" si="80"/>
        <v>0</v>
      </c>
      <c r="AD118" s="41">
        <v>0</v>
      </c>
      <c r="AE118" s="41">
        <v>0</v>
      </c>
      <c r="AF118" s="41">
        <f t="shared" si="81"/>
        <v>0</v>
      </c>
      <c r="AG118" s="41">
        <v>57984.45</v>
      </c>
      <c r="AH118" s="41">
        <v>57602.39</v>
      </c>
      <c r="AI118" s="41">
        <f t="shared" si="82"/>
        <v>-382.05999999999767</v>
      </c>
      <c r="AJ118" s="41">
        <v>0</v>
      </c>
      <c r="AK118" s="41">
        <v>0</v>
      </c>
      <c r="AL118" s="41">
        <f t="shared" si="83"/>
        <v>0</v>
      </c>
      <c r="AM118" s="41">
        <v>0</v>
      </c>
      <c r="AN118" s="41">
        <v>0</v>
      </c>
      <c r="AO118" s="41">
        <f t="shared" si="84"/>
        <v>0</v>
      </c>
      <c r="AP118" s="41">
        <v>96837.1</v>
      </c>
      <c r="AQ118" s="41">
        <f>IFERROR(VLOOKUP(G118,'10'!A:B,2,0),0)</f>
        <v>0</v>
      </c>
      <c r="AR118" s="41">
        <f t="shared" si="45"/>
        <v>-96837.1</v>
      </c>
      <c r="AS118" s="41">
        <f t="shared" si="49"/>
        <v>209286.65000000002</v>
      </c>
      <c r="AT118" s="41">
        <f t="shared" si="85"/>
        <v>111716.45000000001</v>
      </c>
      <c r="AU118" s="41">
        <f t="shared" si="48"/>
        <v>-97570.2</v>
      </c>
      <c r="AV118" s="459">
        <f t="shared" si="63"/>
        <v>0.53379635060334718</v>
      </c>
      <c r="AW118" s="41">
        <v>0</v>
      </c>
      <c r="AX118" s="41">
        <v>0</v>
      </c>
      <c r="AY118" s="41">
        <f t="shared" si="47"/>
        <v>209286.65</v>
      </c>
      <c r="AZ118" s="41">
        <f>VLOOKUP(G118,'2017'!A:B,2,0)</f>
        <v>209286.66</v>
      </c>
      <c r="BA118" s="552">
        <f t="shared" si="73"/>
        <v>1.0000000009313226E-2</v>
      </c>
      <c r="BB118" s="41">
        <v>2651665.1</v>
      </c>
      <c r="BC118" s="41">
        <v>2917705.75</v>
      </c>
      <c r="BD118" s="41">
        <v>2397946.0499999998</v>
      </c>
      <c r="BE118" s="41">
        <v>2160457.75</v>
      </c>
      <c r="BF118" s="41">
        <v>2955843.55</v>
      </c>
      <c r="BG118" s="41">
        <v>895973.13</v>
      </c>
      <c r="BH118" s="41">
        <v>0</v>
      </c>
      <c r="BI118" s="41">
        <v>14188877.980000002</v>
      </c>
      <c r="BJ118" s="75"/>
      <c r="BK118" s="24"/>
      <c r="BL118" s="8"/>
    </row>
    <row r="119" spans="1:64" s="10" customFormat="1" ht="31.5" x14ac:dyDescent="0.2">
      <c r="A119" s="11" t="s">
        <v>308</v>
      </c>
      <c r="B119" s="11" t="s">
        <v>309</v>
      </c>
      <c r="C119" s="14" t="s">
        <v>590</v>
      </c>
      <c r="D119" s="11">
        <v>1</v>
      </c>
      <c r="E119" s="11" t="s">
        <v>4</v>
      </c>
      <c r="F119" s="11" t="s">
        <v>77</v>
      </c>
      <c r="G119" s="44" t="s">
        <v>310</v>
      </c>
      <c r="H119" s="45">
        <v>108</v>
      </c>
      <c r="I119" s="45" t="s">
        <v>308</v>
      </c>
      <c r="J119" s="46" t="s">
        <v>311</v>
      </c>
      <c r="K119" s="46" t="s">
        <v>312</v>
      </c>
      <c r="L119" s="41">
        <v>0</v>
      </c>
      <c r="M119" s="41">
        <v>0</v>
      </c>
      <c r="N119" s="41">
        <v>113840.36</v>
      </c>
      <c r="O119" s="41">
        <v>12439.2</v>
      </c>
      <c r="P119" s="41">
        <v>0</v>
      </c>
      <c r="Q119" s="41">
        <f t="shared" si="76"/>
        <v>-12439.2</v>
      </c>
      <c r="R119" s="41">
        <v>260891.95</v>
      </c>
      <c r="S119" s="41">
        <v>270323.28000000003</v>
      </c>
      <c r="T119" s="41">
        <f t="shared" si="77"/>
        <v>9431.3300000000163</v>
      </c>
      <c r="U119" s="41">
        <v>0</v>
      </c>
      <c r="V119" s="41">
        <v>0</v>
      </c>
      <c r="W119" s="41">
        <f t="shared" si="78"/>
        <v>0</v>
      </c>
      <c r="X119" s="41">
        <v>142121.09</v>
      </c>
      <c r="Y119" s="41">
        <v>165573.89000000001</v>
      </c>
      <c r="Z119" s="41">
        <f t="shared" si="79"/>
        <v>23452.800000000017</v>
      </c>
      <c r="AA119" s="41">
        <v>0</v>
      </c>
      <c r="AB119" s="41">
        <v>0</v>
      </c>
      <c r="AC119" s="41">
        <f t="shared" si="80"/>
        <v>0</v>
      </c>
      <c r="AD119" s="41">
        <v>0</v>
      </c>
      <c r="AE119" s="41">
        <v>0</v>
      </c>
      <c r="AF119" s="41">
        <f t="shared" si="81"/>
        <v>0</v>
      </c>
      <c r="AG119" s="41">
        <v>142121.09</v>
      </c>
      <c r="AH119" s="41">
        <v>101750.88</v>
      </c>
      <c r="AI119" s="41">
        <f t="shared" si="82"/>
        <v>-40370.209999999992</v>
      </c>
      <c r="AJ119" s="41">
        <v>0</v>
      </c>
      <c r="AK119" s="41">
        <v>0</v>
      </c>
      <c r="AL119" s="41">
        <f t="shared" si="83"/>
        <v>0</v>
      </c>
      <c r="AM119" s="41">
        <v>0</v>
      </c>
      <c r="AN119" s="41">
        <v>0</v>
      </c>
      <c r="AO119" s="41">
        <f t="shared" si="84"/>
        <v>0</v>
      </c>
      <c r="AP119" s="41">
        <v>142121.09</v>
      </c>
      <c r="AQ119" s="41">
        <f>IFERROR(VLOOKUP(G119,'10'!A:B,2,0),0)</f>
        <v>64647.53</v>
      </c>
      <c r="AR119" s="41">
        <f t="shared" si="45"/>
        <v>-77473.56</v>
      </c>
      <c r="AS119" s="41">
        <f t="shared" si="49"/>
        <v>699694.41999999993</v>
      </c>
      <c r="AT119" s="41">
        <f t="shared" si="85"/>
        <v>602295.58000000007</v>
      </c>
      <c r="AU119" s="41">
        <f t="shared" si="48"/>
        <v>-97398.839999999953</v>
      </c>
      <c r="AV119" s="459">
        <f t="shared" si="63"/>
        <v>0.86079803237533337</v>
      </c>
      <c r="AW119" s="41">
        <v>0</v>
      </c>
      <c r="AX119" s="41">
        <v>0</v>
      </c>
      <c r="AY119" s="41">
        <f t="shared" si="47"/>
        <v>699694.41999999993</v>
      </c>
      <c r="AZ119" s="41">
        <f>VLOOKUP(G119,'2017'!A:B,2,0)</f>
        <v>687518.52</v>
      </c>
      <c r="BA119" s="552">
        <f t="shared" si="73"/>
        <v>-12175.899999999907</v>
      </c>
      <c r="BB119" s="41">
        <v>615002.80000000005</v>
      </c>
      <c r="BC119" s="41">
        <v>497940.14</v>
      </c>
      <c r="BD119" s="41">
        <v>113521.96</v>
      </c>
      <c r="BE119" s="41">
        <v>0</v>
      </c>
      <c r="BF119" s="41">
        <v>0</v>
      </c>
      <c r="BG119" s="41">
        <v>0</v>
      </c>
      <c r="BH119" s="41">
        <v>0</v>
      </c>
      <c r="BI119" s="41">
        <v>2039999.6800000002</v>
      </c>
      <c r="BJ119" s="75"/>
      <c r="BK119" s="11"/>
    </row>
    <row r="120" spans="1:64" s="10" customFormat="1" ht="63" x14ac:dyDescent="0.2">
      <c r="A120" s="11" t="s">
        <v>74</v>
      </c>
      <c r="B120" s="11" t="s">
        <v>75</v>
      </c>
      <c r="C120" s="14" t="s">
        <v>570</v>
      </c>
      <c r="D120" s="11">
        <v>1</v>
      </c>
      <c r="E120" s="11" t="s">
        <v>76</v>
      </c>
      <c r="F120" s="11" t="s">
        <v>77</v>
      </c>
      <c r="G120" s="44" t="s">
        <v>78</v>
      </c>
      <c r="H120" s="45">
        <v>109</v>
      </c>
      <c r="I120" s="45" t="s">
        <v>74</v>
      </c>
      <c r="J120" s="46" t="s">
        <v>79</v>
      </c>
      <c r="K120" s="46" t="s">
        <v>80</v>
      </c>
      <c r="L120" s="41">
        <v>0</v>
      </c>
      <c r="M120" s="41">
        <v>0</v>
      </c>
      <c r="N120" s="41">
        <v>94394.14</v>
      </c>
      <c r="O120" s="41">
        <v>107105.81</v>
      </c>
      <c r="P120" s="41">
        <v>107105.81</v>
      </c>
      <c r="Q120" s="41">
        <f t="shared" si="76"/>
        <v>0</v>
      </c>
      <c r="R120" s="41">
        <v>0</v>
      </c>
      <c r="S120" s="41">
        <v>0</v>
      </c>
      <c r="T120" s="41">
        <f t="shared" si="77"/>
        <v>0</v>
      </c>
      <c r="U120" s="41">
        <v>0</v>
      </c>
      <c r="V120" s="41">
        <v>0</v>
      </c>
      <c r="W120" s="41">
        <f t="shared" si="78"/>
        <v>0</v>
      </c>
      <c r="X120" s="41">
        <v>55515.86</v>
      </c>
      <c r="Y120" s="41">
        <v>55540.959999999999</v>
      </c>
      <c r="Z120" s="41">
        <f t="shared" si="79"/>
        <v>25.099999999998545</v>
      </c>
      <c r="AA120" s="41">
        <v>0</v>
      </c>
      <c r="AB120" s="41">
        <v>0</v>
      </c>
      <c r="AC120" s="41">
        <f t="shared" si="80"/>
        <v>0</v>
      </c>
      <c r="AD120" s="41">
        <v>0</v>
      </c>
      <c r="AE120" s="41">
        <v>0</v>
      </c>
      <c r="AF120" s="41">
        <f t="shared" si="81"/>
        <v>0</v>
      </c>
      <c r="AG120" s="41">
        <v>128072.09</v>
      </c>
      <c r="AH120" s="41">
        <v>65929.13</v>
      </c>
      <c r="AI120" s="41">
        <f t="shared" si="82"/>
        <v>-62142.959999999992</v>
      </c>
      <c r="AJ120" s="41">
        <v>0</v>
      </c>
      <c r="AK120" s="41">
        <v>0</v>
      </c>
      <c r="AL120" s="41">
        <f t="shared" si="83"/>
        <v>0</v>
      </c>
      <c r="AM120" s="41">
        <v>0</v>
      </c>
      <c r="AN120" s="41">
        <v>0</v>
      </c>
      <c r="AO120" s="41">
        <f t="shared" si="84"/>
        <v>0</v>
      </c>
      <c r="AP120" s="41">
        <v>139701.26999999999</v>
      </c>
      <c r="AQ120" s="41">
        <f>IFERROR(VLOOKUP(G120,'10'!A:B,2,0),0)</f>
        <v>106247.98</v>
      </c>
      <c r="AR120" s="41">
        <f t="shared" si="45"/>
        <v>-33453.289999999994</v>
      </c>
      <c r="AS120" s="41">
        <f t="shared" si="49"/>
        <v>430395.03</v>
      </c>
      <c r="AT120" s="41">
        <f t="shared" si="85"/>
        <v>334823.88</v>
      </c>
      <c r="AU120" s="41">
        <f t="shared" si="48"/>
        <v>-95571.15</v>
      </c>
      <c r="AV120" s="459">
        <f t="shared" si="63"/>
        <v>0.77794550740978585</v>
      </c>
      <c r="AW120" s="41">
        <v>0</v>
      </c>
      <c r="AX120" s="41">
        <v>0</v>
      </c>
      <c r="AY120" s="41">
        <f t="shared" si="47"/>
        <v>430395.02999999997</v>
      </c>
      <c r="AZ120" s="41">
        <f>VLOOKUP(G120,'2017'!A:B,2,0)</f>
        <v>334950.15999999997</v>
      </c>
      <c r="BA120" s="552">
        <f t="shared" si="73"/>
        <v>-95444.87</v>
      </c>
      <c r="BB120" s="41">
        <v>1107675.8</v>
      </c>
      <c r="BC120" s="41">
        <v>604288.9</v>
      </c>
      <c r="BD120" s="41">
        <v>444469.94</v>
      </c>
      <c r="BE120" s="41">
        <v>311608.39</v>
      </c>
      <c r="BF120" s="41">
        <v>199365.91</v>
      </c>
      <c r="BG120" s="41">
        <v>0</v>
      </c>
      <c r="BH120" s="41">
        <v>0</v>
      </c>
      <c r="BI120" s="41">
        <v>3192198.1100000003</v>
      </c>
      <c r="BJ120" s="75"/>
      <c r="BK120" s="11"/>
    </row>
    <row r="121" spans="1:64" s="10" customFormat="1" ht="47.25" x14ac:dyDescent="0.2">
      <c r="A121" s="11" t="s">
        <v>350</v>
      </c>
      <c r="B121" s="11" t="s">
        <v>351</v>
      </c>
      <c r="C121" s="14" t="s">
        <v>352</v>
      </c>
      <c r="D121" s="11" t="s">
        <v>3</v>
      </c>
      <c r="E121" s="11" t="s">
        <v>210</v>
      </c>
      <c r="F121" s="11" t="s">
        <v>77</v>
      </c>
      <c r="G121" s="44" t="s">
        <v>353</v>
      </c>
      <c r="H121" s="45">
        <v>110</v>
      </c>
      <c r="I121" s="45" t="s">
        <v>350</v>
      </c>
      <c r="J121" s="46" t="s">
        <v>354</v>
      </c>
      <c r="K121" s="46" t="s">
        <v>355</v>
      </c>
      <c r="L121" s="41">
        <v>0</v>
      </c>
      <c r="M121" s="41">
        <v>0</v>
      </c>
      <c r="N121" s="41">
        <v>76711.28</v>
      </c>
      <c r="O121" s="41">
        <v>20183.95</v>
      </c>
      <c r="P121" s="41">
        <v>20205.18</v>
      </c>
      <c r="Q121" s="41">
        <f t="shared" si="76"/>
        <v>21.229999999999563</v>
      </c>
      <c r="R121" s="41">
        <v>0</v>
      </c>
      <c r="S121" s="41">
        <v>0</v>
      </c>
      <c r="T121" s="41">
        <f t="shared" si="77"/>
        <v>0</v>
      </c>
      <c r="U121" s="41">
        <v>0</v>
      </c>
      <c r="V121" s="41">
        <v>0</v>
      </c>
      <c r="W121" s="41">
        <f t="shared" si="78"/>
        <v>0</v>
      </c>
      <c r="X121" s="41">
        <v>24636.12</v>
      </c>
      <c r="Y121" s="41">
        <v>24636.080000000002</v>
      </c>
      <c r="Z121" s="41">
        <f t="shared" si="79"/>
        <v>-3.9999999997235136E-2</v>
      </c>
      <c r="AA121" s="41">
        <v>0</v>
      </c>
      <c r="AB121" s="41">
        <v>0</v>
      </c>
      <c r="AC121" s="41">
        <f t="shared" si="80"/>
        <v>0</v>
      </c>
      <c r="AD121" s="41">
        <v>0</v>
      </c>
      <c r="AE121" s="41">
        <v>0</v>
      </c>
      <c r="AF121" s="41">
        <f t="shared" si="81"/>
        <v>0</v>
      </c>
      <c r="AG121" s="41">
        <v>51756.21</v>
      </c>
      <c r="AH121" s="41">
        <v>46818.71</v>
      </c>
      <c r="AI121" s="41">
        <f t="shared" si="82"/>
        <v>-4937.5</v>
      </c>
      <c r="AJ121" s="41">
        <v>0</v>
      </c>
      <c r="AK121" s="41">
        <v>0</v>
      </c>
      <c r="AL121" s="41">
        <f t="shared" si="83"/>
        <v>0</v>
      </c>
      <c r="AM121" s="41">
        <v>0</v>
      </c>
      <c r="AN121" s="41">
        <v>0</v>
      </c>
      <c r="AO121" s="41">
        <f t="shared" si="84"/>
        <v>0</v>
      </c>
      <c r="AP121" s="41">
        <v>130277.98</v>
      </c>
      <c r="AQ121" s="41">
        <f>IFERROR(VLOOKUP(G121,'10'!A:B,2,0),0)</f>
        <v>47142.8</v>
      </c>
      <c r="AR121" s="41">
        <f t="shared" si="45"/>
        <v>-83135.179999999993</v>
      </c>
      <c r="AS121" s="41">
        <f t="shared" si="49"/>
        <v>226854.26</v>
      </c>
      <c r="AT121" s="41">
        <f t="shared" si="85"/>
        <v>138802.77000000002</v>
      </c>
      <c r="AU121" s="41">
        <f t="shared" si="48"/>
        <v>-88051.489999999991</v>
      </c>
      <c r="AV121" s="459">
        <f t="shared" si="63"/>
        <v>0.61185877664364785</v>
      </c>
      <c r="AW121" s="41">
        <v>0</v>
      </c>
      <c r="AX121" s="41">
        <v>0</v>
      </c>
      <c r="AY121" s="41">
        <f t="shared" si="47"/>
        <v>226854.26</v>
      </c>
      <c r="AZ121" s="41">
        <f>VLOOKUP(G121,'2017'!A:B,2,0)</f>
        <v>138781.54</v>
      </c>
      <c r="BA121" s="552">
        <f t="shared" si="73"/>
        <v>-88072.72</v>
      </c>
      <c r="BB121" s="41">
        <v>444887.08999999997</v>
      </c>
      <c r="BC121" s="41">
        <v>298055.51</v>
      </c>
      <c r="BD121" s="41">
        <v>17778.63</v>
      </c>
      <c r="BE121" s="41">
        <v>0</v>
      </c>
      <c r="BF121" s="41">
        <v>0</v>
      </c>
      <c r="BG121" s="41">
        <v>0</v>
      </c>
      <c r="BH121" s="41">
        <v>0</v>
      </c>
      <c r="BI121" s="41">
        <v>1064286.77</v>
      </c>
      <c r="BJ121" s="75"/>
      <c r="BK121" s="11"/>
    </row>
    <row r="122" spans="1:64" s="10" customFormat="1" ht="31.5" x14ac:dyDescent="0.2">
      <c r="A122" s="11" t="s">
        <v>74</v>
      </c>
      <c r="B122" s="11" t="s">
        <v>75</v>
      </c>
      <c r="C122" s="14" t="s">
        <v>570</v>
      </c>
      <c r="D122" s="11">
        <v>1</v>
      </c>
      <c r="E122" s="11" t="s">
        <v>76</v>
      </c>
      <c r="F122" s="11" t="s">
        <v>77</v>
      </c>
      <c r="G122" s="44" t="s">
        <v>83</v>
      </c>
      <c r="H122" s="45">
        <v>111</v>
      </c>
      <c r="I122" s="45" t="s">
        <v>74</v>
      </c>
      <c r="J122" s="46" t="s">
        <v>84</v>
      </c>
      <c r="K122" s="46" t="s">
        <v>85</v>
      </c>
      <c r="L122" s="41">
        <v>0</v>
      </c>
      <c r="M122" s="41">
        <v>0</v>
      </c>
      <c r="N122" s="41">
        <v>6155.97</v>
      </c>
      <c r="O122" s="41">
        <v>54357.919999999998</v>
      </c>
      <c r="P122" s="41">
        <v>54357.919999999998</v>
      </c>
      <c r="Q122" s="41">
        <f t="shared" si="76"/>
        <v>0</v>
      </c>
      <c r="R122" s="41">
        <v>0</v>
      </c>
      <c r="S122" s="41">
        <v>0</v>
      </c>
      <c r="T122" s="41">
        <f t="shared" si="77"/>
        <v>0</v>
      </c>
      <c r="U122" s="41">
        <v>0</v>
      </c>
      <c r="V122" s="41">
        <v>0</v>
      </c>
      <c r="W122" s="41">
        <f t="shared" si="78"/>
        <v>0</v>
      </c>
      <c r="X122" s="41">
        <v>48005.61</v>
      </c>
      <c r="Y122" s="41">
        <v>31224.21</v>
      </c>
      <c r="Z122" s="41">
        <f t="shared" si="79"/>
        <v>-16781.400000000001</v>
      </c>
      <c r="AA122" s="41">
        <v>0</v>
      </c>
      <c r="AB122" s="41">
        <v>0</v>
      </c>
      <c r="AC122" s="41">
        <f t="shared" si="80"/>
        <v>0</v>
      </c>
      <c r="AD122" s="41">
        <v>0</v>
      </c>
      <c r="AE122" s="41">
        <v>0</v>
      </c>
      <c r="AF122" s="41">
        <f t="shared" si="81"/>
        <v>0</v>
      </c>
      <c r="AG122" s="41">
        <v>36777.800000000003</v>
      </c>
      <c r="AH122" s="41">
        <v>31140.49</v>
      </c>
      <c r="AI122" s="41">
        <f t="shared" si="82"/>
        <v>-5637.3100000000013</v>
      </c>
      <c r="AJ122" s="41">
        <v>0</v>
      </c>
      <c r="AK122" s="41">
        <v>0</v>
      </c>
      <c r="AL122" s="41">
        <f t="shared" si="83"/>
        <v>0</v>
      </c>
      <c r="AM122" s="41">
        <v>0</v>
      </c>
      <c r="AN122" s="41">
        <v>0</v>
      </c>
      <c r="AO122" s="41">
        <f t="shared" si="84"/>
        <v>0</v>
      </c>
      <c r="AP122" s="41">
        <v>72697.95</v>
      </c>
      <c r="AQ122" s="41">
        <f>IFERROR(VLOOKUP(G122,'10'!A:B,2,0),0)</f>
        <v>8308.16</v>
      </c>
      <c r="AR122" s="41">
        <f t="shared" si="45"/>
        <v>-64389.789999999994</v>
      </c>
      <c r="AS122" s="41">
        <f t="shared" si="49"/>
        <v>211839.28000000003</v>
      </c>
      <c r="AT122" s="41">
        <f t="shared" si="85"/>
        <v>125030.78</v>
      </c>
      <c r="AU122" s="41">
        <f t="shared" si="48"/>
        <v>-86808.5</v>
      </c>
      <c r="AV122" s="459">
        <f t="shared" si="63"/>
        <v>0.59021528018788572</v>
      </c>
      <c r="AW122" s="41">
        <v>0</v>
      </c>
      <c r="AX122" s="41">
        <v>0</v>
      </c>
      <c r="AY122" s="41">
        <f t="shared" si="47"/>
        <v>211839.27999999997</v>
      </c>
      <c r="AZ122" s="41">
        <f>VLOOKUP(G122,'2017'!A:B,2,0)</f>
        <v>125030.78000000001</v>
      </c>
      <c r="BA122" s="552">
        <f t="shared" si="73"/>
        <v>-86808.499999999956</v>
      </c>
      <c r="BB122" s="41">
        <v>114510.29999999999</v>
      </c>
      <c r="BC122" s="41">
        <v>121833.05</v>
      </c>
      <c r="BD122" s="41">
        <v>119104.55</v>
      </c>
      <c r="BE122" s="41">
        <v>138119.04999999999</v>
      </c>
      <c r="BF122" s="41">
        <v>75617.7</v>
      </c>
      <c r="BG122" s="41">
        <v>0</v>
      </c>
      <c r="BH122" s="41">
        <v>0</v>
      </c>
      <c r="BI122" s="41">
        <v>787179.89999999991</v>
      </c>
      <c r="BJ122" s="75"/>
      <c r="BK122" s="11"/>
    </row>
    <row r="123" spans="1:64" s="10" customFormat="1" ht="78.75" x14ac:dyDescent="0.25">
      <c r="A123" s="472" t="s">
        <v>233</v>
      </c>
      <c r="B123" s="472" t="s">
        <v>234</v>
      </c>
      <c r="C123" s="473" t="s">
        <v>583</v>
      </c>
      <c r="D123" s="472">
        <v>1</v>
      </c>
      <c r="E123" s="472" t="s">
        <v>4</v>
      </c>
      <c r="F123" s="472" t="s">
        <v>5</v>
      </c>
      <c r="G123" s="474" t="s">
        <v>255</v>
      </c>
      <c r="H123" s="45">
        <v>112</v>
      </c>
      <c r="I123" s="45" t="s">
        <v>233</v>
      </c>
      <c r="J123" s="475" t="s">
        <v>256</v>
      </c>
      <c r="K123" s="475" t="s">
        <v>257</v>
      </c>
      <c r="L123" s="41">
        <v>0</v>
      </c>
      <c r="M123" s="41">
        <v>0</v>
      </c>
      <c r="N123" s="41">
        <v>0</v>
      </c>
      <c r="O123" s="41">
        <v>0</v>
      </c>
      <c r="P123" s="41">
        <v>0</v>
      </c>
      <c r="Q123" s="41">
        <f t="shared" si="76"/>
        <v>0</v>
      </c>
      <c r="R123" s="41">
        <v>9593.6200000000008</v>
      </c>
      <c r="S123" s="41">
        <v>9593.6200000000008</v>
      </c>
      <c r="T123" s="41">
        <f t="shared" si="77"/>
        <v>0</v>
      </c>
      <c r="U123" s="41">
        <v>7445.46</v>
      </c>
      <c r="V123" s="41">
        <v>7445.46</v>
      </c>
      <c r="W123" s="41">
        <f t="shared" si="78"/>
        <v>0</v>
      </c>
      <c r="X123" s="41">
        <v>0</v>
      </c>
      <c r="Y123" s="41">
        <v>0</v>
      </c>
      <c r="Z123" s="41">
        <f t="shared" si="79"/>
        <v>0</v>
      </c>
      <c r="AA123" s="41">
        <v>0</v>
      </c>
      <c r="AB123" s="41">
        <v>0</v>
      </c>
      <c r="AC123" s="41">
        <f t="shared" si="80"/>
        <v>0</v>
      </c>
      <c r="AD123" s="41">
        <v>20160.64</v>
      </c>
      <c r="AE123" s="41">
        <v>25354.14</v>
      </c>
      <c r="AF123" s="41">
        <f t="shared" si="81"/>
        <v>5193.5</v>
      </c>
      <c r="AG123" s="41">
        <v>0</v>
      </c>
      <c r="AH123" s="41">
        <v>0</v>
      </c>
      <c r="AI123" s="41">
        <f t="shared" si="82"/>
        <v>0</v>
      </c>
      <c r="AJ123" s="41">
        <v>0</v>
      </c>
      <c r="AK123" s="41">
        <v>0</v>
      </c>
      <c r="AL123" s="41">
        <f t="shared" si="83"/>
        <v>0</v>
      </c>
      <c r="AM123" s="41">
        <v>90874.85</v>
      </c>
      <c r="AN123" s="41">
        <v>0</v>
      </c>
      <c r="AO123" s="41">
        <f t="shared" si="84"/>
        <v>-90874.85</v>
      </c>
      <c r="AP123" s="41">
        <v>0</v>
      </c>
      <c r="AQ123" s="41">
        <f>IFERROR(VLOOKUP(G123,'10'!A:B,2,0),0)</f>
        <v>0</v>
      </c>
      <c r="AR123" s="41">
        <f t="shared" si="45"/>
        <v>0</v>
      </c>
      <c r="AS123" s="41">
        <f t="shared" si="49"/>
        <v>128074.57</v>
      </c>
      <c r="AT123" s="41">
        <f>AN123+AK123+AH123+AE123+AB123+-Y123+V123+S123+P123+AQ123</f>
        <v>42393.22</v>
      </c>
      <c r="AU123" s="41">
        <f t="shared" si="48"/>
        <v>-85681.35</v>
      </c>
      <c r="AV123" s="459">
        <f t="shared" si="63"/>
        <v>0.33100419544644966</v>
      </c>
      <c r="AW123" s="41">
        <v>0</v>
      </c>
      <c r="AX123" s="41">
        <v>11152.32</v>
      </c>
      <c r="AY123" s="41">
        <f t="shared" si="47"/>
        <v>139226.89000000001</v>
      </c>
      <c r="AZ123" s="41">
        <f>VLOOKUP(G123,'2017'!A:B,2,0)</f>
        <v>94923.12000000001</v>
      </c>
      <c r="BA123" s="552">
        <f t="shared" si="73"/>
        <v>-44303.770000000004</v>
      </c>
      <c r="BB123" s="41">
        <v>2110577.34</v>
      </c>
      <c r="BC123" s="41">
        <v>998341.57</v>
      </c>
      <c r="BD123" s="41">
        <v>0</v>
      </c>
      <c r="BE123" s="41">
        <v>0</v>
      </c>
      <c r="BF123" s="41">
        <v>0</v>
      </c>
      <c r="BG123" s="41">
        <v>0</v>
      </c>
      <c r="BH123" s="41">
        <v>0</v>
      </c>
      <c r="BI123" s="41">
        <v>3248145.8</v>
      </c>
      <c r="BJ123" s="75"/>
      <c r="BK123" s="27"/>
    </row>
    <row r="124" spans="1:64" s="10" customFormat="1" ht="78.75" x14ac:dyDescent="0.2">
      <c r="A124" s="11" t="s">
        <v>485</v>
      </c>
      <c r="B124" s="11" t="s">
        <v>486</v>
      </c>
      <c r="C124" s="14" t="s">
        <v>610</v>
      </c>
      <c r="D124" s="11">
        <v>1</v>
      </c>
      <c r="E124" s="11" t="s">
        <v>454</v>
      </c>
      <c r="F124" s="11" t="s">
        <v>5</v>
      </c>
      <c r="G124" s="44" t="s">
        <v>532</v>
      </c>
      <c r="H124" s="45">
        <v>113</v>
      </c>
      <c r="I124" s="45" t="s">
        <v>485</v>
      </c>
      <c r="J124" s="46" t="s">
        <v>37</v>
      </c>
      <c r="K124" s="46" t="s">
        <v>533</v>
      </c>
      <c r="L124" s="41">
        <v>0</v>
      </c>
      <c r="M124" s="41">
        <v>0</v>
      </c>
      <c r="N124" s="41">
        <v>600409.5</v>
      </c>
      <c r="O124" s="41">
        <v>226545.14</v>
      </c>
      <c r="P124" s="41">
        <v>226545.14</v>
      </c>
      <c r="Q124" s="41">
        <f t="shared" si="76"/>
        <v>0</v>
      </c>
      <c r="R124" s="41">
        <v>0</v>
      </c>
      <c r="S124" s="41">
        <v>0</v>
      </c>
      <c r="T124" s="41">
        <f t="shared" si="77"/>
        <v>0</v>
      </c>
      <c r="U124" s="41">
        <v>0</v>
      </c>
      <c r="V124" s="41">
        <v>0</v>
      </c>
      <c r="W124" s="41">
        <f t="shared" si="78"/>
        <v>0</v>
      </c>
      <c r="X124" s="41">
        <v>219200.76</v>
      </c>
      <c r="Y124" s="41">
        <v>176149.83</v>
      </c>
      <c r="Z124" s="41">
        <f t="shared" si="79"/>
        <v>-43050.930000000022</v>
      </c>
      <c r="AA124" s="41">
        <v>0</v>
      </c>
      <c r="AB124" s="41">
        <v>0</v>
      </c>
      <c r="AC124" s="41">
        <f t="shared" si="80"/>
        <v>0</v>
      </c>
      <c r="AD124" s="41">
        <v>0</v>
      </c>
      <c r="AE124" s="41">
        <v>0</v>
      </c>
      <c r="AF124" s="41">
        <f t="shared" si="81"/>
        <v>0</v>
      </c>
      <c r="AG124" s="41">
        <v>221427.03</v>
      </c>
      <c r="AH124" s="41">
        <v>203960.98</v>
      </c>
      <c r="AI124" s="41">
        <f t="shared" si="82"/>
        <v>-17466.049999999988</v>
      </c>
      <c r="AJ124" s="41">
        <v>0</v>
      </c>
      <c r="AK124" s="41">
        <v>0</v>
      </c>
      <c r="AL124" s="41">
        <f t="shared" si="83"/>
        <v>0</v>
      </c>
      <c r="AM124" s="41">
        <v>0</v>
      </c>
      <c r="AN124" s="41">
        <v>0</v>
      </c>
      <c r="AO124" s="41">
        <f t="shared" si="84"/>
        <v>0</v>
      </c>
      <c r="AP124" s="41">
        <v>219200.76</v>
      </c>
      <c r="AQ124" s="41">
        <f>IFERROR(VLOOKUP(G124,'10'!A:B,2,0),0)</f>
        <v>194421.18</v>
      </c>
      <c r="AR124" s="41">
        <f t="shared" si="45"/>
        <v>-24779.580000000016</v>
      </c>
      <c r="AS124" s="41">
        <f t="shared" si="49"/>
        <v>886373.69000000006</v>
      </c>
      <c r="AT124" s="41">
        <f>AN124+AK124+AH124+AE124+AB124+Y124+V124+S124+P124+AQ124</f>
        <v>801077.12999999989</v>
      </c>
      <c r="AU124" s="41">
        <f t="shared" si="48"/>
        <v>-85296.560000000027</v>
      </c>
      <c r="AV124" s="459">
        <f t="shared" si="63"/>
        <v>0.90376907509517779</v>
      </c>
      <c r="AW124" s="41">
        <v>0</v>
      </c>
      <c r="AX124" s="41">
        <v>0</v>
      </c>
      <c r="AY124" s="41">
        <f t="shared" si="47"/>
        <v>886373.69000000006</v>
      </c>
      <c r="AZ124" s="41">
        <f>VLOOKUP(G124,'2017'!A:B,2,0)</f>
        <v>825856.64</v>
      </c>
      <c r="BA124" s="552">
        <f t="shared" si="73"/>
        <v>-60517.050000000047</v>
      </c>
      <c r="BB124" s="41">
        <v>851782.27</v>
      </c>
      <c r="BC124" s="41">
        <v>226734.54</v>
      </c>
      <c r="BD124" s="41">
        <v>0</v>
      </c>
      <c r="BE124" s="41">
        <v>0</v>
      </c>
      <c r="BF124" s="41">
        <v>0</v>
      </c>
      <c r="BG124" s="41">
        <v>0</v>
      </c>
      <c r="BH124" s="41">
        <v>0</v>
      </c>
      <c r="BI124" s="41">
        <v>2565300</v>
      </c>
      <c r="BJ124" s="75"/>
      <c r="BK124" s="11"/>
    </row>
    <row r="125" spans="1:64" s="10" customFormat="1" ht="51" x14ac:dyDescent="0.2">
      <c r="A125" s="11" t="s">
        <v>485</v>
      </c>
      <c r="B125" s="11" t="s">
        <v>486</v>
      </c>
      <c r="C125" s="14" t="s">
        <v>610</v>
      </c>
      <c r="D125" s="11">
        <v>1</v>
      </c>
      <c r="E125" s="11" t="s">
        <v>454</v>
      </c>
      <c r="F125" s="11" t="s">
        <v>5</v>
      </c>
      <c r="G125" s="44" t="s">
        <v>521</v>
      </c>
      <c r="H125" s="45">
        <v>114</v>
      </c>
      <c r="I125" s="45" t="s">
        <v>485</v>
      </c>
      <c r="J125" s="46" t="s">
        <v>98</v>
      </c>
      <c r="K125" s="46" t="s">
        <v>522</v>
      </c>
      <c r="L125" s="41">
        <v>0</v>
      </c>
      <c r="M125" s="41">
        <v>0</v>
      </c>
      <c r="N125" s="41">
        <v>191291.88999999998</v>
      </c>
      <c r="O125" s="41">
        <v>50753.17</v>
      </c>
      <c r="P125" s="41">
        <v>50753.17</v>
      </c>
      <c r="Q125" s="41">
        <f t="shared" si="76"/>
        <v>0</v>
      </c>
      <c r="R125" s="41">
        <v>0</v>
      </c>
      <c r="S125" s="41">
        <v>0</v>
      </c>
      <c r="T125" s="41">
        <f t="shared" si="77"/>
        <v>0</v>
      </c>
      <c r="U125" s="41">
        <v>0</v>
      </c>
      <c r="V125" s="41">
        <v>0</v>
      </c>
      <c r="W125" s="41">
        <f t="shared" si="78"/>
        <v>0</v>
      </c>
      <c r="X125" s="41">
        <v>92276.92</v>
      </c>
      <c r="Y125" s="41">
        <v>60650.81</v>
      </c>
      <c r="Z125" s="41">
        <f t="shared" si="79"/>
        <v>-31626.11</v>
      </c>
      <c r="AA125" s="41">
        <v>0</v>
      </c>
      <c r="AB125" s="41">
        <v>0</v>
      </c>
      <c r="AC125" s="41">
        <f t="shared" si="80"/>
        <v>0</v>
      </c>
      <c r="AD125" s="41">
        <v>0</v>
      </c>
      <c r="AE125" s="41">
        <v>0</v>
      </c>
      <c r="AF125" s="41">
        <f t="shared" si="81"/>
        <v>0</v>
      </c>
      <c r="AG125" s="41">
        <v>92276.93</v>
      </c>
      <c r="AH125" s="41">
        <v>63803.73</v>
      </c>
      <c r="AI125" s="41">
        <f t="shared" si="82"/>
        <v>-28473.19999999999</v>
      </c>
      <c r="AJ125" s="41">
        <v>0</v>
      </c>
      <c r="AK125" s="41">
        <v>0</v>
      </c>
      <c r="AL125" s="41">
        <f t="shared" si="83"/>
        <v>0</v>
      </c>
      <c r="AM125" s="41">
        <v>0</v>
      </c>
      <c r="AN125" s="41">
        <v>0</v>
      </c>
      <c r="AO125" s="41">
        <f t="shared" si="84"/>
        <v>0</v>
      </c>
      <c r="AP125" s="41">
        <v>92276.93</v>
      </c>
      <c r="AQ125" s="41">
        <f>IFERROR(VLOOKUP(G125,'10'!A:B,2,0),0)</f>
        <v>68657.72</v>
      </c>
      <c r="AR125" s="41">
        <f t="shared" si="45"/>
        <v>-23619.209999999992</v>
      </c>
      <c r="AS125" s="41">
        <f t="shared" si="49"/>
        <v>327583.94999999995</v>
      </c>
      <c r="AT125" s="41">
        <f>AN125+AK125+AH125+AE125+AB125+Y125+V125+S125+P125+AQ125</f>
        <v>243865.43000000002</v>
      </c>
      <c r="AU125" s="41">
        <f t="shared" si="48"/>
        <v>-83718.51999999999</v>
      </c>
      <c r="AV125" s="459">
        <f t="shared" si="63"/>
        <v>0.74443644140685172</v>
      </c>
      <c r="AW125" s="41">
        <v>0</v>
      </c>
      <c r="AX125" s="41">
        <v>0</v>
      </c>
      <c r="AY125" s="41">
        <f t="shared" si="47"/>
        <v>327583.94999999995</v>
      </c>
      <c r="AZ125" s="41">
        <f>VLOOKUP(G125,'2017'!A:B,2,0)</f>
        <v>243865.44</v>
      </c>
      <c r="BA125" s="552">
        <f t="shared" si="73"/>
        <v>-83718.509999999951</v>
      </c>
      <c r="BB125" s="41">
        <v>369107.70999999996</v>
      </c>
      <c r="BC125" s="41">
        <v>198316.45</v>
      </c>
      <c r="BD125" s="41">
        <v>0</v>
      </c>
      <c r="BE125" s="41">
        <v>0</v>
      </c>
      <c r="BF125" s="41">
        <v>0</v>
      </c>
      <c r="BG125" s="41">
        <v>0</v>
      </c>
      <c r="BH125" s="41">
        <v>0</v>
      </c>
      <c r="BI125" s="41">
        <v>1086300</v>
      </c>
      <c r="BJ125" s="75"/>
      <c r="BK125" s="11"/>
    </row>
    <row r="126" spans="1:64" s="10" customFormat="1" ht="38.25" x14ac:dyDescent="0.2">
      <c r="A126" s="55" t="s">
        <v>842</v>
      </c>
      <c r="B126" s="55" t="s">
        <v>843</v>
      </c>
      <c r="C126" s="155" t="s">
        <v>844</v>
      </c>
      <c r="D126" s="55">
        <v>1</v>
      </c>
      <c r="E126" s="55" t="s">
        <v>35</v>
      </c>
      <c r="F126" s="55" t="s">
        <v>5</v>
      </c>
      <c r="G126" s="439" t="s">
        <v>2834</v>
      </c>
      <c r="H126" s="45">
        <v>115</v>
      </c>
      <c r="I126" s="45" t="s">
        <v>842</v>
      </c>
      <c r="J126" s="155" t="s">
        <v>499</v>
      </c>
      <c r="K126" s="155" t="s">
        <v>1442</v>
      </c>
      <c r="L126" s="152">
        <v>0</v>
      </c>
      <c r="M126" s="152">
        <v>0</v>
      </c>
      <c r="N126" s="152">
        <v>0</v>
      </c>
      <c r="O126" s="152">
        <f t="shared" ref="O126:X127" si="86">N126+M126+L126</f>
        <v>0</v>
      </c>
      <c r="P126" s="152">
        <f t="shared" si="86"/>
        <v>0</v>
      </c>
      <c r="Q126" s="152">
        <f t="shared" si="86"/>
        <v>0</v>
      </c>
      <c r="R126" s="152">
        <f t="shared" si="86"/>
        <v>0</v>
      </c>
      <c r="S126" s="152">
        <f t="shared" si="86"/>
        <v>0</v>
      </c>
      <c r="T126" s="152">
        <f t="shared" si="86"/>
        <v>0</v>
      </c>
      <c r="U126" s="152">
        <f t="shared" si="86"/>
        <v>0</v>
      </c>
      <c r="V126" s="152">
        <f t="shared" si="86"/>
        <v>0</v>
      </c>
      <c r="W126" s="152">
        <f t="shared" si="86"/>
        <v>0</v>
      </c>
      <c r="X126" s="152">
        <f t="shared" si="86"/>
        <v>0</v>
      </c>
      <c r="Y126" s="152">
        <f t="shared" ref="Y126:AH127" si="87">X126+W126+V126</f>
        <v>0</v>
      </c>
      <c r="Z126" s="152">
        <f t="shared" si="87"/>
        <v>0</v>
      </c>
      <c r="AA126" s="152">
        <f t="shared" si="87"/>
        <v>0</v>
      </c>
      <c r="AB126" s="152">
        <f t="shared" si="87"/>
        <v>0</v>
      </c>
      <c r="AC126" s="152">
        <f t="shared" si="87"/>
        <v>0</v>
      </c>
      <c r="AD126" s="152">
        <f t="shared" si="87"/>
        <v>0</v>
      </c>
      <c r="AE126" s="152">
        <f t="shared" si="87"/>
        <v>0</v>
      </c>
      <c r="AF126" s="152">
        <f t="shared" si="87"/>
        <v>0</v>
      </c>
      <c r="AG126" s="152">
        <f t="shared" si="87"/>
        <v>0</v>
      </c>
      <c r="AH126" s="152">
        <f t="shared" si="87"/>
        <v>0</v>
      </c>
      <c r="AI126" s="152">
        <f t="shared" ref="AI126:AM127" si="88">AH126+AG126+AF126</f>
        <v>0</v>
      </c>
      <c r="AJ126" s="152">
        <f t="shared" si="88"/>
        <v>0</v>
      </c>
      <c r="AK126" s="152">
        <f t="shared" si="88"/>
        <v>0</v>
      </c>
      <c r="AL126" s="152">
        <f t="shared" si="88"/>
        <v>0</v>
      </c>
      <c r="AM126" s="152">
        <f t="shared" si="88"/>
        <v>0</v>
      </c>
      <c r="AN126" s="152">
        <v>0</v>
      </c>
      <c r="AO126" s="152">
        <f>AN126+AM126+AL126</f>
        <v>0</v>
      </c>
      <c r="AP126" s="152">
        <v>77900</v>
      </c>
      <c r="AQ126" s="41">
        <f>IFERROR(VLOOKUP(G126,'10'!A:B,2,0),0)</f>
        <v>0</v>
      </c>
      <c r="AR126" s="41">
        <f t="shared" si="45"/>
        <v>-77900</v>
      </c>
      <c r="AS126" s="41">
        <f t="shared" si="49"/>
        <v>77900</v>
      </c>
      <c r="AT126" s="41">
        <f>AN126+AK126+AH126+AE126+AB126+-Y126+V126+S126+P126+AQ126</f>
        <v>0</v>
      </c>
      <c r="AU126" s="41">
        <f t="shared" si="48"/>
        <v>-77900</v>
      </c>
      <c r="AV126" s="459">
        <f t="shared" ref="AV126:AV157" si="89">AT126/AS126</f>
        <v>0</v>
      </c>
      <c r="AW126" s="152">
        <v>77900</v>
      </c>
      <c r="AX126" s="152">
        <v>116850</v>
      </c>
      <c r="AY126" s="41">
        <f t="shared" si="47"/>
        <v>272650</v>
      </c>
      <c r="AZ126" s="41"/>
      <c r="BA126" s="552">
        <f t="shared" ref="BA126:BA128" si="90">AZ126-AY126</f>
        <v>-272650</v>
      </c>
      <c r="BB126" s="152">
        <v>116850</v>
      </c>
      <c r="BC126" s="152">
        <v>0</v>
      </c>
      <c r="BD126" s="152">
        <v>0</v>
      </c>
      <c r="BE126" s="152">
        <v>0</v>
      </c>
      <c r="BF126" s="152">
        <v>0</v>
      </c>
      <c r="BG126" s="152">
        <v>0</v>
      </c>
      <c r="BH126" s="152">
        <v>0</v>
      </c>
      <c r="BI126" s="152">
        <v>389500</v>
      </c>
      <c r="BJ126" s="459"/>
      <c r="BK126" s="41"/>
      <c r="BL126" s="432"/>
    </row>
    <row r="127" spans="1:64" s="10" customFormat="1" ht="51" x14ac:dyDescent="0.2">
      <c r="A127" s="55" t="s">
        <v>2639</v>
      </c>
      <c r="B127" s="55" t="s">
        <v>2641</v>
      </c>
      <c r="C127" s="155" t="s">
        <v>2640</v>
      </c>
      <c r="D127" s="55" t="s">
        <v>2642</v>
      </c>
      <c r="E127" s="55" t="s">
        <v>402</v>
      </c>
      <c r="F127" s="55" t="s">
        <v>5</v>
      </c>
      <c r="G127" s="55" t="s">
        <v>2842</v>
      </c>
      <c r="H127" s="45">
        <v>116</v>
      </c>
      <c r="I127" s="45" t="s">
        <v>2639</v>
      </c>
      <c r="J127" s="344" t="s">
        <v>2653</v>
      </c>
      <c r="K127" s="344" t="s">
        <v>2654</v>
      </c>
      <c r="L127" s="152">
        <v>0</v>
      </c>
      <c r="M127" s="152">
        <v>0</v>
      </c>
      <c r="N127" s="152">
        <v>0</v>
      </c>
      <c r="O127" s="152">
        <f t="shared" si="86"/>
        <v>0</v>
      </c>
      <c r="P127" s="152">
        <f t="shared" si="86"/>
        <v>0</v>
      </c>
      <c r="Q127" s="152">
        <f t="shared" si="86"/>
        <v>0</v>
      </c>
      <c r="R127" s="152">
        <f t="shared" si="86"/>
        <v>0</v>
      </c>
      <c r="S127" s="152">
        <f t="shared" si="86"/>
        <v>0</v>
      </c>
      <c r="T127" s="152">
        <f t="shared" si="86"/>
        <v>0</v>
      </c>
      <c r="U127" s="152">
        <f t="shared" si="86"/>
        <v>0</v>
      </c>
      <c r="V127" s="152">
        <f t="shared" si="86"/>
        <v>0</v>
      </c>
      <c r="W127" s="152">
        <f t="shared" si="86"/>
        <v>0</v>
      </c>
      <c r="X127" s="152">
        <f t="shared" si="86"/>
        <v>0</v>
      </c>
      <c r="Y127" s="152">
        <f t="shared" si="87"/>
        <v>0</v>
      </c>
      <c r="Z127" s="152">
        <f t="shared" si="87"/>
        <v>0</v>
      </c>
      <c r="AA127" s="152">
        <f t="shared" si="87"/>
        <v>0</v>
      </c>
      <c r="AB127" s="152">
        <f t="shared" si="87"/>
        <v>0</v>
      </c>
      <c r="AC127" s="152">
        <f t="shared" si="87"/>
        <v>0</v>
      </c>
      <c r="AD127" s="152">
        <f t="shared" si="87"/>
        <v>0</v>
      </c>
      <c r="AE127" s="152">
        <f t="shared" si="87"/>
        <v>0</v>
      </c>
      <c r="AF127" s="152">
        <f t="shared" si="87"/>
        <v>0</v>
      </c>
      <c r="AG127" s="152">
        <f t="shared" si="87"/>
        <v>0</v>
      </c>
      <c r="AH127" s="152">
        <f t="shared" si="87"/>
        <v>0</v>
      </c>
      <c r="AI127" s="152">
        <f t="shared" si="88"/>
        <v>0</v>
      </c>
      <c r="AJ127" s="152">
        <f t="shared" si="88"/>
        <v>0</v>
      </c>
      <c r="AK127" s="152">
        <f t="shared" si="88"/>
        <v>0</v>
      </c>
      <c r="AL127" s="152">
        <f t="shared" si="88"/>
        <v>0</v>
      </c>
      <c r="AM127" s="152">
        <f t="shared" si="88"/>
        <v>0</v>
      </c>
      <c r="AN127" s="152">
        <v>0</v>
      </c>
      <c r="AO127" s="152">
        <f>AN127+AM127+AL127</f>
        <v>0</v>
      </c>
      <c r="AP127" s="152">
        <v>77337.13</v>
      </c>
      <c r="AQ127" s="41">
        <f>IFERROR(VLOOKUP(G127,'10'!A:B,2,0),0)</f>
        <v>0</v>
      </c>
      <c r="AR127" s="41">
        <f t="shared" si="45"/>
        <v>-77337.13</v>
      </c>
      <c r="AS127" s="41">
        <f t="shared" si="49"/>
        <v>77337.13</v>
      </c>
      <c r="AT127" s="41">
        <f>AN127+AK127+AH127+AE127+AB127+-Y127+V127+S127+P127+AQ127</f>
        <v>0</v>
      </c>
      <c r="AU127" s="41">
        <f t="shared" si="48"/>
        <v>-77337.13</v>
      </c>
      <c r="AV127" s="459">
        <f t="shared" si="89"/>
        <v>0</v>
      </c>
      <c r="AW127" s="152">
        <v>0</v>
      </c>
      <c r="AX127" s="152">
        <v>0</v>
      </c>
      <c r="AY127" s="41">
        <f t="shared" si="47"/>
        <v>77337.13</v>
      </c>
      <c r="AZ127" s="41"/>
      <c r="BA127" s="552">
        <f t="shared" si="90"/>
        <v>-77337.13</v>
      </c>
      <c r="BB127" s="152">
        <v>1853609.28</v>
      </c>
      <c r="BC127" s="152">
        <v>2007100</v>
      </c>
      <c r="BD127" s="152">
        <v>2416375</v>
      </c>
      <c r="BE127" s="152">
        <v>2559600</v>
      </c>
      <c r="BF127" s="152">
        <v>3180352.34</v>
      </c>
      <c r="BG127" s="152">
        <v>0</v>
      </c>
      <c r="BH127" s="152">
        <v>0</v>
      </c>
      <c r="BI127" s="152">
        <v>12094373.75</v>
      </c>
      <c r="BJ127" s="459"/>
      <c r="BK127" s="41"/>
      <c r="BL127" s="432"/>
    </row>
    <row r="128" spans="1:64" s="10" customFormat="1" ht="63" x14ac:dyDescent="0.25">
      <c r="A128" s="43" t="s">
        <v>2639</v>
      </c>
      <c r="B128" s="43" t="s">
        <v>2641</v>
      </c>
      <c r="C128" s="475" t="s">
        <v>2640</v>
      </c>
      <c r="D128" s="43" t="s">
        <v>2642</v>
      </c>
      <c r="E128" s="43" t="s">
        <v>402</v>
      </c>
      <c r="F128" s="43" t="s">
        <v>5</v>
      </c>
      <c r="G128" s="530" t="s">
        <v>2857</v>
      </c>
      <c r="H128" s="45">
        <v>117</v>
      </c>
      <c r="I128" s="45" t="s">
        <v>2639</v>
      </c>
      <c r="J128" s="475" t="s">
        <v>2661</v>
      </c>
      <c r="K128" s="485" t="s">
        <v>2662</v>
      </c>
      <c r="L128" s="41">
        <v>0</v>
      </c>
      <c r="M128" s="40">
        <v>0</v>
      </c>
      <c r="N128" s="40">
        <v>0</v>
      </c>
      <c r="O128" s="41">
        <v>0</v>
      </c>
      <c r="P128" s="41">
        <v>0</v>
      </c>
      <c r="Q128" s="41">
        <v>0</v>
      </c>
      <c r="R128" s="41">
        <v>0</v>
      </c>
      <c r="S128" s="41">
        <v>0</v>
      </c>
      <c r="T128" s="41">
        <v>0</v>
      </c>
      <c r="U128" s="41">
        <v>0</v>
      </c>
      <c r="V128" s="41">
        <v>0</v>
      </c>
      <c r="W128" s="41">
        <v>0</v>
      </c>
      <c r="X128" s="41">
        <v>0</v>
      </c>
      <c r="Y128" s="41">
        <v>0</v>
      </c>
      <c r="Z128" s="41">
        <v>0</v>
      </c>
      <c r="AA128" s="41">
        <v>0</v>
      </c>
      <c r="AB128" s="41">
        <v>0</v>
      </c>
      <c r="AC128" s="41">
        <v>0</v>
      </c>
      <c r="AD128" s="41">
        <v>0</v>
      </c>
      <c r="AE128" s="41">
        <v>0</v>
      </c>
      <c r="AF128" s="41">
        <v>0</v>
      </c>
      <c r="AG128" s="41">
        <v>0</v>
      </c>
      <c r="AH128" s="41">
        <v>0</v>
      </c>
      <c r="AI128" s="41">
        <v>0</v>
      </c>
      <c r="AJ128" s="41">
        <v>0</v>
      </c>
      <c r="AK128" s="41">
        <v>0</v>
      </c>
      <c r="AL128" s="41">
        <v>0</v>
      </c>
      <c r="AM128" s="41">
        <v>0</v>
      </c>
      <c r="AN128" s="41">
        <v>0</v>
      </c>
      <c r="AO128" s="41">
        <v>0</v>
      </c>
      <c r="AP128" s="41">
        <v>149827.97</v>
      </c>
      <c r="AQ128" s="41">
        <f>IFERROR(VLOOKUP(G128,'10'!A:B,2,0),0)</f>
        <v>73009.87</v>
      </c>
      <c r="AR128" s="41">
        <f t="shared" si="45"/>
        <v>-76818.100000000006</v>
      </c>
      <c r="AS128" s="41">
        <f t="shared" si="49"/>
        <v>149827.97</v>
      </c>
      <c r="AT128" s="41">
        <f>AN128+AK128+AH128+AE128+AB128+-Y128+V128+S128+P128+AQ128</f>
        <v>73009.87</v>
      </c>
      <c r="AU128" s="41">
        <f t="shared" si="48"/>
        <v>-76818.100000000006</v>
      </c>
      <c r="AV128" s="459">
        <f t="shared" si="89"/>
        <v>0.48729132484408616</v>
      </c>
      <c r="AW128" s="41">
        <v>0</v>
      </c>
      <c r="AX128" s="41">
        <v>0</v>
      </c>
      <c r="AY128" s="41">
        <f t="shared" si="47"/>
        <v>149827.97</v>
      </c>
      <c r="AZ128" s="41">
        <f>VLOOKUP(G128,'2017'!A:B,2,0)</f>
        <v>73009.87</v>
      </c>
      <c r="BA128" s="552">
        <f t="shared" si="90"/>
        <v>-76818.100000000006</v>
      </c>
      <c r="BB128" s="41">
        <v>3832250.7199999997</v>
      </c>
      <c r="BC128" s="41">
        <v>1269665.6200000001</v>
      </c>
      <c r="BD128" s="41">
        <v>130040.89</v>
      </c>
      <c r="BE128" s="41">
        <v>0</v>
      </c>
      <c r="BF128" s="41">
        <v>0</v>
      </c>
      <c r="BG128" s="41">
        <v>0</v>
      </c>
      <c r="BH128" s="41">
        <v>0</v>
      </c>
      <c r="BI128" s="41">
        <v>5381785.2000000002</v>
      </c>
      <c r="BJ128" s="459"/>
      <c r="BK128" s="41"/>
      <c r="BL128" s="432"/>
    </row>
    <row r="129" spans="1:63" s="10" customFormat="1" ht="78.75" x14ac:dyDescent="0.2">
      <c r="A129" s="11" t="s">
        <v>458</v>
      </c>
      <c r="B129" s="11" t="s">
        <v>459</v>
      </c>
      <c r="C129" s="14" t="s">
        <v>609</v>
      </c>
      <c r="D129" s="11">
        <v>1</v>
      </c>
      <c r="E129" s="11" t="s">
        <v>454</v>
      </c>
      <c r="F129" s="11" t="s">
        <v>77</v>
      </c>
      <c r="G129" s="44" t="s">
        <v>483</v>
      </c>
      <c r="H129" s="45">
        <v>118</v>
      </c>
      <c r="I129" s="45" t="s">
        <v>458</v>
      </c>
      <c r="J129" s="46" t="s">
        <v>37</v>
      </c>
      <c r="K129" s="46" t="s">
        <v>484</v>
      </c>
      <c r="L129" s="41">
        <v>0</v>
      </c>
      <c r="M129" s="41">
        <v>0</v>
      </c>
      <c r="N129" s="41">
        <v>16633.3</v>
      </c>
      <c r="O129" s="41">
        <v>8779.56</v>
      </c>
      <c r="P129" s="41">
        <v>8779.56</v>
      </c>
      <c r="Q129" s="41">
        <f t="shared" ref="Q129:Q147" si="91">P129-O129</f>
        <v>0</v>
      </c>
      <c r="R129" s="41">
        <v>0</v>
      </c>
      <c r="S129" s="41">
        <v>0</v>
      </c>
      <c r="T129" s="41">
        <f t="shared" ref="T129:T147" si="92">S129-R129</f>
        <v>0</v>
      </c>
      <c r="U129" s="41">
        <v>0</v>
      </c>
      <c r="V129" s="41">
        <v>0</v>
      </c>
      <c r="W129" s="41">
        <f t="shared" ref="W129:W147" si="93">V129-U129</f>
        <v>0</v>
      </c>
      <c r="X129" s="41">
        <v>38420.1</v>
      </c>
      <c r="Y129" s="41">
        <v>7248.39</v>
      </c>
      <c r="Z129" s="41">
        <f t="shared" ref="Z129:Z147" si="94">Y129-X129</f>
        <v>-31171.71</v>
      </c>
      <c r="AA129" s="41">
        <v>0</v>
      </c>
      <c r="AB129" s="41">
        <v>0</v>
      </c>
      <c r="AC129" s="41">
        <f t="shared" ref="AC129:AC147" si="95">AB129-AA129</f>
        <v>0</v>
      </c>
      <c r="AD129" s="41">
        <v>0</v>
      </c>
      <c r="AE129" s="41">
        <v>0</v>
      </c>
      <c r="AF129" s="41">
        <f t="shared" ref="AF129:AF147" si="96">AE129-AD129</f>
        <v>0</v>
      </c>
      <c r="AG129" s="41">
        <v>35097.35</v>
      </c>
      <c r="AH129" s="41">
        <v>7663.33</v>
      </c>
      <c r="AI129" s="41">
        <f t="shared" ref="AI129:AI147" si="97">AH129-AG129</f>
        <v>-27434.019999999997</v>
      </c>
      <c r="AJ129" s="41">
        <v>0</v>
      </c>
      <c r="AK129" s="41">
        <v>0</v>
      </c>
      <c r="AL129" s="41">
        <f t="shared" ref="AL129:AL147" si="98">AK129-AJ129</f>
        <v>0</v>
      </c>
      <c r="AM129" s="41">
        <v>0</v>
      </c>
      <c r="AN129" s="41">
        <v>0</v>
      </c>
      <c r="AO129" s="41">
        <f t="shared" ref="AO129:AO147" si="99">AN129-AM129</f>
        <v>0</v>
      </c>
      <c r="AP129" s="41">
        <v>26688.67</v>
      </c>
      <c r="AQ129" s="41">
        <f>IFERROR(VLOOKUP(G129,'10'!A:B,2,0),0)</f>
        <v>13755.58</v>
      </c>
      <c r="AR129" s="41">
        <f t="shared" si="45"/>
        <v>-12933.089999999998</v>
      </c>
      <c r="AS129" s="41">
        <f t="shared" si="49"/>
        <v>108985.68</v>
      </c>
      <c r="AT129" s="41">
        <f>AN129+AK129+AH129+AE129+AB129+Y129+V129+S129+P129+AQ129</f>
        <v>37446.86</v>
      </c>
      <c r="AU129" s="41">
        <f t="shared" si="48"/>
        <v>-71538.819999999992</v>
      </c>
      <c r="AV129" s="459">
        <f t="shared" si="89"/>
        <v>0.34359431440901228</v>
      </c>
      <c r="AW129" s="41">
        <v>0</v>
      </c>
      <c r="AX129" s="41">
        <v>0</v>
      </c>
      <c r="AY129" s="41">
        <f t="shared" si="47"/>
        <v>108985.68</v>
      </c>
      <c r="AZ129" s="41">
        <f>VLOOKUP(G129,'2017'!A:B,2,0)</f>
        <v>37446.86</v>
      </c>
      <c r="BA129" s="552">
        <f>AZ129-AY129</f>
        <v>-71538.819999999992</v>
      </c>
      <c r="BB129" s="41">
        <v>126724.79999999999</v>
      </c>
      <c r="BC129" s="41">
        <v>33376.080000000002</v>
      </c>
      <c r="BD129" s="41">
        <v>0</v>
      </c>
      <c r="BE129" s="41">
        <v>0</v>
      </c>
      <c r="BF129" s="41">
        <v>0</v>
      </c>
      <c r="BG129" s="41">
        <v>0</v>
      </c>
      <c r="BH129" s="41">
        <v>0</v>
      </c>
      <c r="BI129" s="41">
        <v>285719.86</v>
      </c>
      <c r="BJ129" s="75"/>
      <c r="BK129" s="11"/>
    </row>
    <row r="130" spans="1:63" s="10" customFormat="1" ht="31.5" x14ac:dyDescent="0.2">
      <c r="A130" s="11" t="s">
        <v>406</v>
      </c>
      <c r="B130" s="11" t="s">
        <v>411</v>
      </c>
      <c r="C130" s="14" t="s">
        <v>606</v>
      </c>
      <c r="D130" s="11">
        <v>1</v>
      </c>
      <c r="E130" s="11" t="s">
        <v>402</v>
      </c>
      <c r="F130" s="11" t="s">
        <v>77</v>
      </c>
      <c r="G130" s="44" t="s">
        <v>719</v>
      </c>
      <c r="H130" s="45">
        <v>119</v>
      </c>
      <c r="I130" s="45" t="s">
        <v>406</v>
      </c>
      <c r="J130" s="46" t="s">
        <v>63</v>
      </c>
      <c r="K130" s="46" t="s">
        <v>720</v>
      </c>
      <c r="L130" s="41"/>
      <c r="M130" s="41"/>
      <c r="N130" s="41"/>
      <c r="O130" s="41"/>
      <c r="P130" s="41">
        <v>0</v>
      </c>
      <c r="Q130" s="41">
        <f t="shared" si="91"/>
        <v>0</v>
      </c>
      <c r="R130" s="41"/>
      <c r="S130" s="41">
        <v>0</v>
      </c>
      <c r="T130" s="41">
        <f t="shared" si="92"/>
        <v>0</v>
      </c>
      <c r="U130" s="41"/>
      <c r="V130" s="41">
        <v>0</v>
      </c>
      <c r="W130" s="41">
        <f t="shared" si="93"/>
        <v>0</v>
      </c>
      <c r="X130" s="41"/>
      <c r="Y130" s="41">
        <v>0</v>
      </c>
      <c r="Z130" s="41">
        <f t="shared" si="94"/>
        <v>0</v>
      </c>
      <c r="AA130" s="41">
        <v>50001.47</v>
      </c>
      <c r="AB130" s="41">
        <v>0</v>
      </c>
      <c r="AC130" s="41">
        <f t="shared" si="95"/>
        <v>-50001.47</v>
      </c>
      <c r="AD130" s="41">
        <v>0</v>
      </c>
      <c r="AE130" s="41">
        <v>0</v>
      </c>
      <c r="AF130" s="41">
        <f t="shared" si="96"/>
        <v>0</v>
      </c>
      <c r="AG130" s="41">
        <v>16779.77</v>
      </c>
      <c r="AH130" s="41">
        <v>5521.94</v>
      </c>
      <c r="AI130" s="41">
        <f t="shared" si="97"/>
        <v>-11257.830000000002</v>
      </c>
      <c r="AJ130" s="41">
        <v>0</v>
      </c>
      <c r="AK130" s="41">
        <v>20329.080000000002</v>
      </c>
      <c r="AL130" s="41">
        <f t="shared" si="98"/>
        <v>20329.080000000002</v>
      </c>
      <c r="AM130" s="41">
        <v>0</v>
      </c>
      <c r="AN130" s="41">
        <v>0</v>
      </c>
      <c r="AO130" s="41">
        <f t="shared" si="99"/>
        <v>0</v>
      </c>
      <c r="AP130" s="41">
        <v>38777.42</v>
      </c>
      <c r="AQ130" s="41">
        <f>IFERROR(VLOOKUP(G130,'10'!A:B,2,0),0)</f>
        <v>8701.67</v>
      </c>
      <c r="AR130" s="41">
        <f t="shared" si="45"/>
        <v>-30075.75</v>
      </c>
      <c r="AS130" s="41">
        <f t="shared" si="49"/>
        <v>105558.66</v>
      </c>
      <c r="AT130" s="41">
        <f>AN130+AK130+AH130+AE130+AB130+-Y130+V130+S130+P130+AQ130</f>
        <v>34552.69</v>
      </c>
      <c r="AU130" s="41">
        <f t="shared" si="48"/>
        <v>-71005.97</v>
      </c>
      <c r="AV130" s="459">
        <f t="shared" si="89"/>
        <v>0.32733164668820164</v>
      </c>
      <c r="AW130" s="41">
        <v>0</v>
      </c>
      <c r="AX130" s="41">
        <v>23851.41</v>
      </c>
      <c r="AY130" s="41">
        <f t="shared" si="47"/>
        <v>129410.07</v>
      </c>
      <c r="AZ130" s="41">
        <f>VLOOKUP(G130,'2017'!A:B,2,0)</f>
        <v>38802.689999999995</v>
      </c>
      <c r="BA130" s="552">
        <f>AZ130-AY130</f>
        <v>-90607.38</v>
      </c>
      <c r="BB130" s="41">
        <v>106502</v>
      </c>
      <c r="BC130" s="41">
        <v>30559.03</v>
      </c>
      <c r="BD130" s="41">
        <v>84000</v>
      </c>
      <c r="BE130" s="41">
        <v>0</v>
      </c>
      <c r="BF130" s="41">
        <v>0</v>
      </c>
      <c r="BG130" s="41">
        <v>0</v>
      </c>
      <c r="BH130" s="41">
        <v>0</v>
      </c>
      <c r="BI130" s="41">
        <v>168374.8</v>
      </c>
      <c r="BJ130" s="75"/>
      <c r="BK130" s="11"/>
    </row>
    <row r="131" spans="1:63" s="10" customFormat="1" ht="38.25" x14ac:dyDescent="0.2">
      <c r="A131" s="11" t="s">
        <v>57</v>
      </c>
      <c r="B131" s="11" t="s">
        <v>58</v>
      </c>
      <c r="C131" s="14" t="s">
        <v>569</v>
      </c>
      <c r="D131" s="11">
        <v>2</v>
      </c>
      <c r="E131" s="11" t="s">
        <v>35</v>
      </c>
      <c r="F131" s="11" t="s">
        <v>5</v>
      </c>
      <c r="G131" s="44" t="s">
        <v>664</v>
      </c>
      <c r="H131" s="45">
        <v>120</v>
      </c>
      <c r="I131" s="45" t="s">
        <v>57</v>
      </c>
      <c r="J131" s="46" t="s">
        <v>665</v>
      </c>
      <c r="K131" s="46" t="s">
        <v>666</v>
      </c>
      <c r="L131" s="41"/>
      <c r="M131" s="41"/>
      <c r="N131" s="41"/>
      <c r="O131" s="41"/>
      <c r="P131" s="41">
        <v>0</v>
      </c>
      <c r="Q131" s="41">
        <f t="shared" si="91"/>
        <v>0</v>
      </c>
      <c r="R131" s="41"/>
      <c r="S131" s="41">
        <v>0</v>
      </c>
      <c r="T131" s="41">
        <f t="shared" si="92"/>
        <v>0</v>
      </c>
      <c r="U131" s="41"/>
      <c r="V131" s="41">
        <v>0</v>
      </c>
      <c r="W131" s="41">
        <f t="shared" si="93"/>
        <v>0</v>
      </c>
      <c r="X131" s="41"/>
      <c r="Y131" s="41">
        <v>0</v>
      </c>
      <c r="Z131" s="41">
        <f t="shared" si="94"/>
        <v>0</v>
      </c>
      <c r="AA131" s="41">
        <v>448384.68</v>
      </c>
      <c r="AB131" s="41">
        <v>448384.68</v>
      </c>
      <c r="AC131" s="41">
        <f t="shared" si="95"/>
        <v>0</v>
      </c>
      <c r="AD131" s="41">
        <v>0</v>
      </c>
      <c r="AE131" s="41">
        <v>0</v>
      </c>
      <c r="AF131" s="41">
        <f t="shared" si="96"/>
        <v>0</v>
      </c>
      <c r="AG131" s="41">
        <v>0</v>
      </c>
      <c r="AH131" s="41">
        <v>0</v>
      </c>
      <c r="AI131" s="41">
        <f t="shared" si="97"/>
        <v>0</v>
      </c>
      <c r="AJ131" s="41">
        <v>406950.34</v>
      </c>
      <c r="AK131" s="41">
        <v>337463.3</v>
      </c>
      <c r="AL131" s="41">
        <f t="shared" si="98"/>
        <v>-69487.040000000037</v>
      </c>
      <c r="AM131" s="41">
        <v>0</v>
      </c>
      <c r="AN131" s="41">
        <v>0</v>
      </c>
      <c r="AO131" s="41">
        <f t="shared" si="99"/>
        <v>0</v>
      </c>
      <c r="AP131" s="41">
        <v>0</v>
      </c>
      <c r="AQ131" s="41">
        <f>IFERROR(VLOOKUP(G131,'10'!A:B,2,0),0)</f>
        <v>0</v>
      </c>
      <c r="AR131" s="41">
        <f t="shared" si="45"/>
        <v>0</v>
      </c>
      <c r="AS131" s="41">
        <f t="shared" si="49"/>
        <v>855335.02</v>
      </c>
      <c r="AT131" s="41">
        <f>AN131+AK131+AH131+AE131+AB131+-Y131+V131+S131+P131+AQ131</f>
        <v>785847.98</v>
      </c>
      <c r="AU131" s="41">
        <f t="shared" si="48"/>
        <v>-69487.040000000037</v>
      </c>
      <c r="AV131" s="459">
        <f t="shared" si="89"/>
        <v>0.91876044079196006</v>
      </c>
      <c r="AW131" s="41">
        <v>0</v>
      </c>
      <c r="AX131" s="41">
        <v>0</v>
      </c>
      <c r="AY131" s="41">
        <f t="shared" si="47"/>
        <v>855335.02</v>
      </c>
      <c r="AZ131" s="41">
        <f>VLOOKUP(G131,'2017'!A:B,2,0)</f>
        <v>855335.03</v>
      </c>
      <c r="BA131" s="552">
        <f>AZ131-AY131</f>
        <v>1.0000000009313226E-2</v>
      </c>
      <c r="BB131" s="41">
        <v>91254.859999999986</v>
      </c>
      <c r="BC131" s="41">
        <v>0</v>
      </c>
      <c r="BD131" s="41">
        <v>0</v>
      </c>
      <c r="BE131" s="41">
        <v>0</v>
      </c>
      <c r="BF131" s="41">
        <v>0</v>
      </c>
      <c r="BG131" s="41">
        <v>0</v>
      </c>
      <c r="BH131" s="41">
        <v>0</v>
      </c>
      <c r="BI131" s="41">
        <v>498205.2</v>
      </c>
      <c r="BJ131" s="75"/>
      <c r="BK131" s="11"/>
    </row>
    <row r="132" spans="1:63" s="10" customFormat="1" ht="31.5" x14ac:dyDescent="0.2">
      <c r="A132" s="18" t="s">
        <v>33</v>
      </c>
      <c r="B132" s="18" t="s">
        <v>34</v>
      </c>
      <c r="C132" s="19" t="s">
        <v>566</v>
      </c>
      <c r="D132" s="18">
        <v>1</v>
      </c>
      <c r="E132" s="18" t="s">
        <v>35</v>
      </c>
      <c r="F132" s="18" t="s">
        <v>5</v>
      </c>
      <c r="G132" s="18" t="s">
        <v>746</v>
      </c>
      <c r="H132" s="45">
        <v>121</v>
      </c>
      <c r="I132" s="45" t="s">
        <v>33</v>
      </c>
      <c r="J132" s="32" t="s">
        <v>747</v>
      </c>
      <c r="K132" s="32" t="s">
        <v>748</v>
      </c>
      <c r="L132" s="35">
        <v>0</v>
      </c>
      <c r="M132" s="35">
        <v>0</v>
      </c>
      <c r="N132" s="35">
        <v>0</v>
      </c>
      <c r="O132" s="35">
        <v>0</v>
      </c>
      <c r="P132" s="35"/>
      <c r="Q132" s="41">
        <f t="shared" si="91"/>
        <v>0</v>
      </c>
      <c r="R132" s="35"/>
      <c r="S132" s="35"/>
      <c r="T132" s="41">
        <f t="shared" si="92"/>
        <v>0</v>
      </c>
      <c r="U132" s="35"/>
      <c r="V132" s="35"/>
      <c r="W132" s="41">
        <f t="shared" si="93"/>
        <v>0</v>
      </c>
      <c r="X132" s="35"/>
      <c r="Y132" s="35"/>
      <c r="Z132" s="41">
        <f t="shared" si="94"/>
        <v>0</v>
      </c>
      <c r="AA132" s="35"/>
      <c r="AB132" s="35"/>
      <c r="AC132" s="41">
        <f t="shared" si="95"/>
        <v>0</v>
      </c>
      <c r="AD132" s="35">
        <v>68000</v>
      </c>
      <c r="AE132" s="41">
        <v>0</v>
      </c>
      <c r="AF132" s="41">
        <f t="shared" si="96"/>
        <v>-68000</v>
      </c>
      <c r="AG132" s="35">
        <v>0</v>
      </c>
      <c r="AH132" s="41">
        <v>0</v>
      </c>
      <c r="AI132" s="41">
        <f t="shared" si="97"/>
        <v>0</v>
      </c>
      <c r="AJ132" s="35">
        <v>0</v>
      </c>
      <c r="AK132" s="41">
        <v>0</v>
      </c>
      <c r="AL132" s="41">
        <f t="shared" si="98"/>
        <v>0</v>
      </c>
      <c r="AM132" s="41">
        <v>0</v>
      </c>
      <c r="AN132" s="41">
        <v>0</v>
      </c>
      <c r="AO132" s="41">
        <f t="shared" si="99"/>
        <v>0</v>
      </c>
      <c r="AP132" s="35">
        <v>0</v>
      </c>
      <c r="AQ132" s="41">
        <f>IFERROR(VLOOKUP(G132,'10'!A:B,2,0),0)</f>
        <v>0</v>
      </c>
      <c r="AR132" s="41">
        <f t="shared" si="45"/>
        <v>0</v>
      </c>
      <c r="AS132" s="41">
        <f t="shared" si="49"/>
        <v>68000</v>
      </c>
      <c r="AT132" s="41">
        <f>AN132+AK132+AH132+AE132+AB132+-Y132+V132+S132+P132+AQ132</f>
        <v>0</v>
      </c>
      <c r="AU132" s="41">
        <f t="shared" si="48"/>
        <v>-68000</v>
      </c>
      <c r="AV132" s="459">
        <f t="shared" si="89"/>
        <v>0</v>
      </c>
      <c r="AW132" s="35">
        <v>0</v>
      </c>
      <c r="AX132" s="35">
        <v>0</v>
      </c>
      <c r="AY132" s="41">
        <f t="shared" si="47"/>
        <v>68000</v>
      </c>
      <c r="AZ132" s="41"/>
      <c r="BA132" s="552">
        <v>0</v>
      </c>
      <c r="BB132" s="35">
        <v>2396611</v>
      </c>
      <c r="BC132" s="35">
        <v>1676821</v>
      </c>
      <c r="BD132" s="35">
        <v>108569</v>
      </c>
      <c r="BE132" s="35">
        <v>0</v>
      </c>
      <c r="BF132" s="35">
        <v>0</v>
      </c>
      <c r="BG132" s="35">
        <v>0</v>
      </c>
      <c r="BH132" s="35">
        <v>0</v>
      </c>
      <c r="BI132" s="35">
        <v>4250001</v>
      </c>
      <c r="BJ132" s="75"/>
      <c r="BK132" s="11"/>
    </row>
    <row r="133" spans="1:63" s="10" customFormat="1" ht="47.25" x14ac:dyDescent="0.2">
      <c r="A133" s="11" t="s">
        <v>458</v>
      </c>
      <c r="B133" s="11" t="s">
        <v>459</v>
      </c>
      <c r="C133" s="14" t="s">
        <v>609</v>
      </c>
      <c r="D133" s="11">
        <v>1</v>
      </c>
      <c r="E133" s="11" t="s">
        <v>454</v>
      </c>
      <c r="F133" s="11" t="s">
        <v>77</v>
      </c>
      <c r="G133" s="44" t="s">
        <v>476</v>
      </c>
      <c r="H133" s="45">
        <v>122</v>
      </c>
      <c r="I133" s="45" t="s">
        <v>458</v>
      </c>
      <c r="J133" s="46" t="s">
        <v>477</v>
      </c>
      <c r="K133" s="46" t="s">
        <v>478</v>
      </c>
      <c r="L133" s="41">
        <v>0</v>
      </c>
      <c r="M133" s="41">
        <v>0</v>
      </c>
      <c r="N133" s="41">
        <v>11355.95</v>
      </c>
      <c r="O133" s="41">
        <v>6195.79</v>
      </c>
      <c r="P133" s="41">
        <v>6195.79</v>
      </c>
      <c r="Q133" s="41">
        <f t="shared" si="91"/>
        <v>0</v>
      </c>
      <c r="R133" s="41">
        <v>0</v>
      </c>
      <c r="S133" s="41">
        <v>0</v>
      </c>
      <c r="T133" s="41">
        <f t="shared" si="92"/>
        <v>0</v>
      </c>
      <c r="U133" s="41">
        <v>0</v>
      </c>
      <c r="V133" s="41">
        <v>0</v>
      </c>
      <c r="W133" s="41">
        <f t="shared" si="93"/>
        <v>0</v>
      </c>
      <c r="X133" s="41">
        <v>20332.68</v>
      </c>
      <c r="Y133" s="41">
        <v>3021.89</v>
      </c>
      <c r="Z133" s="41">
        <f t="shared" si="94"/>
        <v>-17310.79</v>
      </c>
      <c r="AA133" s="41">
        <v>0</v>
      </c>
      <c r="AB133" s="41">
        <v>0</v>
      </c>
      <c r="AC133" s="41">
        <f t="shared" si="95"/>
        <v>0</v>
      </c>
      <c r="AD133" s="41">
        <v>0</v>
      </c>
      <c r="AE133" s="41">
        <v>0</v>
      </c>
      <c r="AF133" s="41">
        <f t="shared" si="96"/>
        <v>0</v>
      </c>
      <c r="AG133" s="41">
        <v>44394.45</v>
      </c>
      <c r="AH133" s="41">
        <v>5264.86</v>
      </c>
      <c r="AI133" s="41">
        <f t="shared" si="97"/>
        <v>-39129.589999999997</v>
      </c>
      <c r="AJ133" s="41">
        <v>0</v>
      </c>
      <c r="AK133" s="41">
        <v>0</v>
      </c>
      <c r="AL133" s="41">
        <f t="shared" si="98"/>
        <v>0</v>
      </c>
      <c r="AM133" s="41">
        <v>0</v>
      </c>
      <c r="AN133" s="41">
        <v>0</v>
      </c>
      <c r="AO133" s="41">
        <f t="shared" si="99"/>
        <v>0</v>
      </c>
      <c r="AP133" s="41">
        <v>10660.49</v>
      </c>
      <c r="AQ133" s="41">
        <f>IFERROR(VLOOKUP(G133,'10'!A:B,2,0),0)</f>
        <v>145</v>
      </c>
      <c r="AR133" s="41">
        <f t="shared" si="45"/>
        <v>-10515.49</v>
      </c>
      <c r="AS133" s="41">
        <f t="shared" si="49"/>
        <v>81583.41</v>
      </c>
      <c r="AT133" s="41">
        <f>AN133+AK133+AH133+AE133+AB133+Y133+V133+S133+P133+AQ133</f>
        <v>14627.54</v>
      </c>
      <c r="AU133" s="41">
        <f t="shared" si="48"/>
        <v>-66955.87</v>
      </c>
      <c r="AV133" s="459">
        <f t="shared" si="89"/>
        <v>0.17929552098888732</v>
      </c>
      <c r="AW133" s="41">
        <v>0</v>
      </c>
      <c r="AX133" s="41">
        <v>0</v>
      </c>
      <c r="AY133" s="41">
        <f t="shared" si="47"/>
        <v>81583.409999999989</v>
      </c>
      <c r="AZ133" s="41">
        <f>VLOOKUP(G133,'2017'!A:B,2,0)</f>
        <v>14627.54</v>
      </c>
      <c r="BA133" s="552">
        <f t="shared" ref="BA133:BA144" si="100">AZ133-AY133</f>
        <v>-66955.87</v>
      </c>
      <c r="BB133" s="41">
        <v>49164.68</v>
      </c>
      <c r="BC133" s="41">
        <v>15854.86</v>
      </c>
      <c r="BD133" s="41">
        <v>0</v>
      </c>
      <c r="BE133" s="41">
        <v>0</v>
      </c>
      <c r="BF133" s="41">
        <v>0</v>
      </c>
      <c r="BG133" s="41">
        <v>0</v>
      </c>
      <c r="BH133" s="41">
        <v>0</v>
      </c>
      <c r="BI133" s="41">
        <v>157958.90000000002</v>
      </c>
      <c r="BJ133" s="75"/>
      <c r="BK133" s="11"/>
    </row>
    <row r="134" spans="1:63" s="10" customFormat="1" ht="51" x14ac:dyDescent="0.2">
      <c r="A134" s="11" t="s">
        <v>485</v>
      </c>
      <c r="B134" s="11" t="s">
        <v>486</v>
      </c>
      <c r="C134" s="14" t="s">
        <v>610</v>
      </c>
      <c r="D134" s="11">
        <v>1</v>
      </c>
      <c r="E134" s="11" t="s">
        <v>454</v>
      </c>
      <c r="F134" s="11" t="s">
        <v>5</v>
      </c>
      <c r="G134" s="44" t="s">
        <v>514</v>
      </c>
      <c r="H134" s="45">
        <v>123</v>
      </c>
      <c r="I134" s="45" t="s">
        <v>485</v>
      </c>
      <c r="J134" s="46" t="s">
        <v>477</v>
      </c>
      <c r="K134" s="46" t="s">
        <v>515</v>
      </c>
      <c r="L134" s="41">
        <v>0</v>
      </c>
      <c r="M134" s="41">
        <v>0</v>
      </c>
      <c r="N134" s="41">
        <v>50153.48</v>
      </c>
      <c r="O134" s="41">
        <v>35541.160000000003</v>
      </c>
      <c r="P134" s="41">
        <v>35541.160000000003</v>
      </c>
      <c r="Q134" s="41">
        <f t="shared" si="91"/>
        <v>0</v>
      </c>
      <c r="R134" s="41">
        <v>0</v>
      </c>
      <c r="S134" s="41">
        <v>0</v>
      </c>
      <c r="T134" s="41">
        <f t="shared" si="92"/>
        <v>0</v>
      </c>
      <c r="U134" s="41">
        <v>0</v>
      </c>
      <c r="V134" s="41">
        <v>0</v>
      </c>
      <c r="W134" s="41">
        <f t="shared" si="93"/>
        <v>0</v>
      </c>
      <c r="X134" s="41">
        <v>60188.27</v>
      </c>
      <c r="Y134" s="41">
        <v>21424.44</v>
      </c>
      <c r="Z134" s="41">
        <f t="shared" si="94"/>
        <v>-38763.83</v>
      </c>
      <c r="AA134" s="41">
        <v>0</v>
      </c>
      <c r="AB134" s="41">
        <v>0</v>
      </c>
      <c r="AC134" s="41">
        <f t="shared" si="95"/>
        <v>0</v>
      </c>
      <c r="AD134" s="41">
        <v>0</v>
      </c>
      <c r="AE134" s="41">
        <v>0</v>
      </c>
      <c r="AF134" s="41">
        <f t="shared" si="96"/>
        <v>0</v>
      </c>
      <c r="AG134" s="41">
        <v>46589.919999999998</v>
      </c>
      <c r="AH134" s="41">
        <v>27359.21</v>
      </c>
      <c r="AI134" s="41">
        <f t="shared" si="97"/>
        <v>-19230.71</v>
      </c>
      <c r="AJ134" s="41">
        <v>0</v>
      </c>
      <c r="AK134" s="41">
        <v>0</v>
      </c>
      <c r="AL134" s="41">
        <f t="shared" si="98"/>
        <v>0</v>
      </c>
      <c r="AM134" s="41">
        <v>0</v>
      </c>
      <c r="AN134" s="41">
        <v>0</v>
      </c>
      <c r="AO134" s="41">
        <f t="shared" si="99"/>
        <v>0</v>
      </c>
      <c r="AP134" s="41">
        <v>39058.03</v>
      </c>
      <c r="AQ134" s="41">
        <f>IFERROR(VLOOKUP(G134,'10'!A:B,2,0),0)</f>
        <v>30725.58</v>
      </c>
      <c r="AR134" s="41">
        <f t="shared" si="45"/>
        <v>-8332.4499999999971</v>
      </c>
      <c r="AS134" s="41">
        <f t="shared" si="49"/>
        <v>181377.38</v>
      </c>
      <c r="AT134" s="41">
        <f>AN134+AK134+AH134+AE134+AB134+Y134+V134+S134+P134+AQ134</f>
        <v>115050.39</v>
      </c>
      <c r="AU134" s="41">
        <f t="shared" si="48"/>
        <v>-66326.989999999991</v>
      </c>
      <c r="AV134" s="459">
        <f t="shared" si="89"/>
        <v>0.63431498459179414</v>
      </c>
      <c r="AW134" s="41">
        <v>0</v>
      </c>
      <c r="AX134" s="41">
        <v>0</v>
      </c>
      <c r="AY134" s="41">
        <f t="shared" si="47"/>
        <v>181377.38</v>
      </c>
      <c r="AZ134" s="41">
        <f>VLOOKUP(G134,'2017'!A:B,2,0)</f>
        <v>115050.39</v>
      </c>
      <c r="BA134" s="552">
        <f t="shared" si="100"/>
        <v>-66326.990000000005</v>
      </c>
      <c r="BB134" s="41">
        <v>145104.97</v>
      </c>
      <c r="BC134" s="41">
        <v>39864.17</v>
      </c>
      <c r="BD134" s="41">
        <v>0</v>
      </c>
      <c r="BE134" s="41">
        <v>0</v>
      </c>
      <c r="BF134" s="41">
        <v>0</v>
      </c>
      <c r="BG134" s="41">
        <v>0</v>
      </c>
      <c r="BH134" s="41">
        <v>0</v>
      </c>
      <c r="BI134" s="41">
        <v>416499.99999999994</v>
      </c>
      <c r="BJ134" s="75"/>
      <c r="BK134" s="11"/>
    </row>
    <row r="135" spans="1:63" s="10" customFormat="1" ht="51" x14ac:dyDescent="0.2">
      <c r="A135" s="11" t="s">
        <v>485</v>
      </c>
      <c r="B135" s="11" t="s">
        <v>486</v>
      </c>
      <c r="C135" s="14" t="s">
        <v>610</v>
      </c>
      <c r="D135" s="11">
        <v>1</v>
      </c>
      <c r="E135" s="11" t="s">
        <v>454</v>
      </c>
      <c r="F135" s="11" t="s">
        <v>5</v>
      </c>
      <c r="G135" s="44" t="s">
        <v>505</v>
      </c>
      <c r="H135" s="45">
        <v>124</v>
      </c>
      <c r="I135" s="45" t="s">
        <v>485</v>
      </c>
      <c r="J135" s="46" t="s">
        <v>409</v>
      </c>
      <c r="K135" s="46" t="s">
        <v>506</v>
      </c>
      <c r="L135" s="41">
        <v>0</v>
      </c>
      <c r="M135" s="41">
        <v>0</v>
      </c>
      <c r="N135" s="41">
        <v>112701.37</v>
      </c>
      <c r="O135" s="41">
        <v>72711.17</v>
      </c>
      <c r="P135" s="41">
        <v>72711.17</v>
      </c>
      <c r="Q135" s="41">
        <f t="shared" si="91"/>
        <v>0</v>
      </c>
      <c r="R135" s="41">
        <v>0</v>
      </c>
      <c r="S135" s="41">
        <v>0</v>
      </c>
      <c r="T135" s="41">
        <f t="shared" si="92"/>
        <v>0</v>
      </c>
      <c r="U135" s="41">
        <v>0</v>
      </c>
      <c r="V135" s="41">
        <v>0</v>
      </c>
      <c r="W135" s="41">
        <f t="shared" si="93"/>
        <v>0</v>
      </c>
      <c r="X135" s="41">
        <v>42973.45</v>
      </c>
      <c r="Y135" s="41">
        <v>33196.81</v>
      </c>
      <c r="Z135" s="41">
        <f t="shared" si="94"/>
        <v>-9776.64</v>
      </c>
      <c r="AA135" s="41">
        <v>0</v>
      </c>
      <c r="AB135" s="41">
        <v>0</v>
      </c>
      <c r="AC135" s="41">
        <f t="shared" si="95"/>
        <v>0</v>
      </c>
      <c r="AD135" s="41">
        <v>0</v>
      </c>
      <c r="AE135" s="41">
        <v>0</v>
      </c>
      <c r="AF135" s="41">
        <f t="shared" si="96"/>
        <v>0</v>
      </c>
      <c r="AG135" s="41">
        <v>56659.3</v>
      </c>
      <c r="AH135" s="41">
        <v>54925.09</v>
      </c>
      <c r="AI135" s="41">
        <f t="shared" si="97"/>
        <v>-1734.2100000000064</v>
      </c>
      <c r="AJ135" s="41">
        <v>0</v>
      </c>
      <c r="AK135" s="41">
        <v>0</v>
      </c>
      <c r="AL135" s="41">
        <f t="shared" si="98"/>
        <v>0</v>
      </c>
      <c r="AM135" s="41">
        <v>0</v>
      </c>
      <c r="AN135" s="41">
        <v>0</v>
      </c>
      <c r="AO135" s="41">
        <f t="shared" si="99"/>
        <v>0</v>
      </c>
      <c r="AP135" s="41">
        <v>50968.55</v>
      </c>
      <c r="AQ135" s="41">
        <f>IFERROR(VLOOKUP(G135,'10'!A:B,2,0),0)</f>
        <v>0</v>
      </c>
      <c r="AR135" s="41">
        <f t="shared" si="45"/>
        <v>-50968.55</v>
      </c>
      <c r="AS135" s="41">
        <f t="shared" si="49"/>
        <v>223312.46999999997</v>
      </c>
      <c r="AT135" s="41">
        <f>AN135+AK135+AH135+AE135+AB135+Y135+V135+S135+P135+AQ135</f>
        <v>160833.07</v>
      </c>
      <c r="AU135" s="41">
        <f t="shared" si="48"/>
        <v>-62479.400000000009</v>
      </c>
      <c r="AV135" s="459">
        <f t="shared" si="89"/>
        <v>0.72021535564046213</v>
      </c>
      <c r="AW135" s="41">
        <v>0</v>
      </c>
      <c r="AX135" s="41">
        <v>0</v>
      </c>
      <c r="AY135" s="41">
        <f t="shared" si="47"/>
        <v>223312.46999999997</v>
      </c>
      <c r="AZ135" s="41">
        <f>VLOOKUP(G135,'2017'!A:B,2,0)</f>
        <v>209457.92000000001</v>
      </c>
      <c r="BA135" s="552">
        <f t="shared" si="100"/>
        <v>-13854.549999999959</v>
      </c>
      <c r="BB135" s="41">
        <v>188355.87</v>
      </c>
      <c r="BC135" s="41">
        <v>33118.089999999997</v>
      </c>
      <c r="BD135" s="41">
        <v>0</v>
      </c>
      <c r="BE135" s="41">
        <v>0</v>
      </c>
      <c r="BF135" s="41">
        <v>0</v>
      </c>
      <c r="BG135" s="41">
        <v>0</v>
      </c>
      <c r="BH135" s="41">
        <v>0</v>
      </c>
      <c r="BI135" s="41">
        <v>557487.79999999993</v>
      </c>
      <c r="BJ135" s="75"/>
      <c r="BK135" s="11"/>
    </row>
    <row r="136" spans="1:63" s="10" customFormat="1" ht="31.5" x14ac:dyDescent="0.2">
      <c r="A136" s="11" t="s">
        <v>19</v>
      </c>
      <c r="B136" s="11" t="s">
        <v>654</v>
      </c>
      <c r="C136" s="14" t="s">
        <v>655</v>
      </c>
      <c r="D136" s="11" t="s">
        <v>3</v>
      </c>
      <c r="E136" s="11" t="s">
        <v>11</v>
      </c>
      <c r="F136" s="11" t="s">
        <v>5</v>
      </c>
      <c r="G136" s="44" t="s">
        <v>656</v>
      </c>
      <c r="H136" s="45">
        <v>125</v>
      </c>
      <c r="I136" s="45" t="s">
        <v>19</v>
      </c>
      <c r="J136" s="46" t="s">
        <v>25</v>
      </c>
      <c r="K136" s="46" t="s">
        <v>655</v>
      </c>
      <c r="L136" s="41">
        <v>0</v>
      </c>
      <c r="M136" s="41">
        <v>0</v>
      </c>
      <c r="N136" s="41">
        <v>0</v>
      </c>
      <c r="O136" s="41">
        <v>108479.69</v>
      </c>
      <c r="P136" s="41">
        <v>108479.69</v>
      </c>
      <c r="Q136" s="41">
        <f t="shared" si="91"/>
        <v>0</v>
      </c>
      <c r="R136" s="41">
        <v>0</v>
      </c>
      <c r="S136" s="41">
        <v>0</v>
      </c>
      <c r="T136" s="41">
        <f t="shared" si="92"/>
        <v>0</v>
      </c>
      <c r="U136" s="41">
        <v>0</v>
      </c>
      <c r="V136" s="41">
        <v>0</v>
      </c>
      <c r="W136" s="41">
        <f t="shared" si="93"/>
        <v>0</v>
      </c>
      <c r="X136" s="41">
        <v>0</v>
      </c>
      <c r="Y136" s="41">
        <v>73046.62</v>
      </c>
      <c r="Z136" s="41">
        <f t="shared" si="94"/>
        <v>73046.62</v>
      </c>
      <c r="AA136" s="41">
        <v>73046.61</v>
      </c>
      <c r="AB136" s="41">
        <v>0</v>
      </c>
      <c r="AC136" s="41">
        <f t="shared" si="95"/>
        <v>-73046.61</v>
      </c>
      <c r="AD136" s="41">
        <v>0</v>
      </c>
      <c r="AE136" s="41">
        <v>0</v>
      </c>
      <c r="AF136" s="41">
        <f t="shared" si="96"/>
        <v>0</v>
      </c>
      <c r="AG136" s="41">
        <v>91181.04</v>
      </c>
      <c r="AH136" s="41">
        <v>75136.77</v>
      </c>
      <c r="AI136" s="41">
        <f t="shared" si="97"/>
        <v>-16044.26999999999</v>
      </c>
      <c r="AJ136" s="41">
        <v>0</v>
      </c>
      <c r="AK136" s="41">
        <v>0</v>
      </c>
      <c r="AL136" s="41">
        <f t="shared" si="98"/>
        <v>0</v>
      </c>
      <c r="AM136" s="41">
        <v>0</v>
      </c>
      <c r="AN136" s="41">
        <v>0</v>
      </c>
      <c r="AO136" s="41">
        <f t="shared" si="99"/>
        <v>0</v>
      </c>
      <c r="AP136" s="41">
        <v>265517.90000000002</v>
      </c>
      <c r="AQ136" s="41">
        <f>IFERROR(VLOOKUP(G136,'10'!A:B,2,0),0)</f>
        <v>220658.22</v>
      </c>
      <c r="AR136" s="41">
        <f t="shared" si="45"/>
        <v>-44859.680000000022</v>
      </c>
      <c r="AS136" s="41">
        <f t="shared" si="49"/>
        <v>538225.24</v>
      </c>
      <c r="AT136" s="41">
        <f>AN136+AK136+AH136+AE136+AB136+Y136+V136+S136+P136+AQ136</f>
        <v>477321.30000000005</v>
      </c>
      <c r="AU136" s="41">
        <f t="shared" si="48"/>
        <v>-60903.940000000017</v>
      </c>
      <c r="AV136" s="459">
        <f t="shared" si="89"/>
        <v>0.88684302505025603</v>
      </c>
      <c r="AW136" s="41">
        <v>0</v>
      </c>
      <c r="AX136" s="41">
        <v>0</v>
      </c>
      <c r="AY136" s="41">
        <f t="shared" si="47"/>
        <v>538225.24</v>
      </c>
      <c r="AZ136" s="41">
        <f>VLOOKUP(G136,'2017'!A:B,2,0)</f>
        <v>480404.33</v>
      </c>
      <c r="BA136" s="552">
        <f t="shared" si="100"/>
        <v>-57820.909999999974</v>
      </c>
      <c r="BB136" s="41">
        <v>661877.96000000008</v>
      </c>
      <c r="BC136" s="41">
        <v>750235.38</v>
      </c>
      <c r="BD136" s="41">
        <v>792210.92</v>
      </c>
      <c r="BE136" s="41">
        <v>707118.27</v>
      </c>
      <c r="BF136" s="41">
        <v>641327.98</v>
      </c>
      <c r="BG136" s="41">
        <v>417346.25000000006</v>
      </c>
      <c r="BH136" s="41">
        <v>0</v>
      </c>
      <c r="BI136" s="41">
        <v>4508342</v>
      </c>
      <c r="BJ136" s="75"/>
      <c r="BK136" s="11"/>
    </row>
    <row r="137" spans="1:63" s="10" customFormat="1" ht="38.25" x14ac:dyDescent="0.2">
      <c r="A137" s="11" t="s">
        <v>379</v>
      </c>
      <c r="B137" s="11" t="s">
        <v>397</v>
      </c>
      <c r="C137" s="14" t="s">
        <v>398</v>
      </c>
      <c r="D137" s="11" t="s">
        <v>3</v>
      </c>
      <c r="E137" s="11" t="s">
        <v>210</v>
      </c>
      <c r="F137" s="11" t="s">
        <v>77</v>
      </c>
      <c r="G137" s="44" t="s">
        <v>399</v>
      </c>
      <c r="H137" s="45">
        <v>126</v>
      </c>
      <c r="I137" s="45" t="s">
        <v>379</v>
      </c>
      <c r="J137" s="46" t="s">
        <v>40</v>
      </c>
      <c r="K137" s="46" t="s">
        <v>398</v>
      </c>
      <c r="L137" s="41">
        <v>0</v>
      </c>
      <c r="M137" s="41">
        <v>0</v>
      </c>
      <c r="N137" s="41">
        <v>12588.65</v>
      </c>
      <c r="O137" s="41">
        <v>45039.49</v>
      </c>
      <c r="P137" s="41">
        <v>45039.49</v>
      </c>
      <c r="Q137" s="41">
        <f t="shared" si="91"/>
        <v>0</v>
      </c>
      <c r="R137" s="41">
        <v>0</v>
      </c>
      <c r="S137" s="41">
        <v>0</v>
      </c>
      <c r="T137" s="41">
        <f t="shared" si="92"/>
        <v>0</v>
      </c>
      <c r="U137" s="41">
        <v>0</v>
      </c>
      <c r="V137" s="41">
        <v>0</v>
      </c>
      <c r="W137" s="41">
        <f t="shared" si="93"/>
        <v>0</v>
      </c>
      <c r="X137" s="41">
        <v>24946.34</v>
      </c>
      <c r="Y137" s="41">
        <v>24946.34</v>
      </c>
      <c r="Z137" s="41">
        <f t="shared" si="94"/>
        <v>0</v>
      </c>
      <c r="AA137" s="41">
        <v>0</v>
      </c>
      <c r="AB137" s="41">
        <v>0</v>
      </c>
      <c r="AC137" s="41">
        <f t="shared" si="95"/>
        <v>0</v>
      </c>
      <c r="AD137" s="41">
        <v>0</v>
      </c>
      <c r="AE137" s="41">
        <v>0</v>
      </c>
      <c r="AF137" s="41">
        <f t="shared" si="96"/>
        <v>0</v>
      </c>
      <c r="AG137" s="41">
        <v>51910.35</v>
      </c>
      <c r="AH137" s="41">
        <v>29530.75</v>
      </c>
      <c r="AI137" s="41">
        <f t="shared" si="97"/>
        <v>-22379.599999999999</v>
      </c>
      <c r="AJ137" s="41">
        <v>0</v>
      </c>
      <c r="AK137" s="41">
        <v>0</v>
      </c>
      <c r="AL137" s="41">
        <f t="shared" si="98"/>
        <v>0</v>
      </c>
      <c r="AM137" s="41">
        <v>0</v>
      </c>
      <c r="AN137" s="41">
        <v>0</v>
      </c>
      <c r="AO137" s="41">
        <f t="shared" si="99"/>
        <v>0</v>
      </c>
      <c r="AP137" s="41">
        <v>79991.25</v>
      </c>
      <c r="AQ137" s="41">
        <f>IFERROR(VLOOKUP(G137,'10'!A:B,2,0),0)</f>
        <v>43599.09</v>
      </c>
      <c r="AR137" s="41">
        <f t="shared" si="45"/>
        <v>-36392.160000000003</v>
      </c>
      <c r="AS137" s="41">
        <f t="shared" si="49"/>
        <v>201887.43</v>
      </c>
      <c r="AT137" s="41">
        <f>AN137+AK137+AH137+AE137+AB137+Y137+V137+S137+P137+AQ137</f>
        <v>143115.66999999998</v>
      </c>
      <c r="AU137" s="41">
        <f t="shared" si="48"/>
        <v>-58771.76</v>
      </c>
      <c r="AV137" s="459">
        <f t="shared" si="89"/>
        <v>0.70888846323914267</v>
      </c>
      <c r="AW137" s="41">
        <v>0</v>
      </c>
      <c r="AX137" s="41">
        <v>0</v>
      </c>
      <c r="AY137" s="41">
        <f t="shared" si="47"/>
        <v>201887.43</v>
      </c>
      <c r="AZ137" s="41">
        <f>VLOOKUP(G137,'2017'!A:B,2,0)</f>
        <v>143115.66999999998</v>
      </c>
      <c r="BA137" s="552">
        <f t="shared" si="100"/>
        <v>-58771.760000000009</v>
      </c>
      <c r="BB137" s="41">
        <v>1551238.2600000002</v>
      </c>
      <c r="BC137" s="41">
        <v>1912305.3499999999</v>
      </c>
      <c r="BD137" s="41">
        <v>287955.34999999998</v>
      </c>
      <c r="BE137" s="41">
        <v>52036.959999999999</v>
      </c>
      <c r="BF137" s="41">
        <v>0</v>
      </c>
      <c r="BG137" s="41">
        <v>0</v>
      </c>
      <c r="BH137" s="41">
        <v>0</v>
      </c>
      <c r="BI137" s="41">
        <v>4018012.0000000005</v>
      </c>
      <c r="BJ137" s="75"/>
      <c r="BK137" s="11"/>
    </row>
    <row r="138" spans="1:63" s="10" customFormat="1" ht="78.75" x14ac:dyDescent="0.2">
      <c r="A138" s="11" t="s">
        <v>233</v>
      </c>
      <c r="B138" s="11" t="s">
        <v>234</v>
      </c>
      <c r="C138" s="14" t="s">
        <v>583</v>
      </c>
      <c r="D138" s="11">
        <v>1</v>
      </c>
      <c r="E138" s="11" t="s">
        <v>4</v>
      </c>
      <c r="F138" s="11" t="s">
        <v>5</v>
      </c>
      <c r="G138" s="44" t="s">
        <v>238</v>
      </c>
      <c r="H138" s="45">
        <v>127</v>
      </c>
      <c r="I138" s="45" t="s">
        <v>233</v>
      </c>
      <c r="J138" s="46" t="s">
        <v>239</v>
      </c>
      <c r="K138" s="46" t="s">
        <v>240</v>
      </c>
      <c r="L138" s="41">
        <v>0</v>
      </c>
      <c r="M138" s="41">
        <v>0</v>
      </c>
      <c r="N138" s="41">
        <v>0</v>
      </c>
      <c r="O138" s="41">
        <v>0</v>
      </c>
      <c r="P138" s="41">
        <v>0</v>
      </c>
      <c r="Q138" s="41">
        <f t="shared" si="91"/>
        <v>0</v>
      </c>
      <c r="R138" s="41">
        <v>0</v>
      </c>
      <c r="S138" s="41">
        <v>0</v>
      </c>
      <c r="T138" s="41">
        <f t="shared" si="92"/>
        <v>0</v>
      </c>
      <c r="U138" s="41">
        <v>962.51</v>
      </c>
      <c r="V138" s="41">
        <v>962.51</v>
      </c>
      <c r="W138" s="41">
        <f t="shared" si="93"/>
        <v>0</v>
      </c>
      <c r="X138" s="41">
        <v>0</v>
      </c>
      <c r="Y138" s="41">
        <v>0</v>
      </c>
      <c r="Z138" s="41">
        <f t="shared" si="94"/>
        <v>0</v>
      </c>
      <c r="AA138" s="41">
        <v>47718.43</v>
      </c>
      <c r="AB138" s="41">
        <v>9743.2000000000007</v>
      </c>
      <c r="AC138" s="41">
        <f t="shared" si="95"/>
        <v>-37975.229999999996</v>
      </c>
      <c r="AD138" s="41">
        <v>0</v>
      </c>
      <c r="AE138" s="41">
        <v>0</v>
      </c>
      <c r="AF138" s="41">
        <f t="shared" si="96"/>
        <v>0</v>
      </c>
      <c r="AG138" s="41">
        <v>0</v>
      </c>
      <c r="AH138" s="41">
        <v>0</v>
      </c>
      <c r="AI138" s="41">
        <f t="shared" si="97"/>
        <v>0</v>
      </c>
      <c r="AJ138" s="41">
        <v>29302.34</v>
      </c>
      <c r="AK138" s="41">
        <v>13166.27</v>
      </c>
      <c r="AL138" s="41">
        <f t="shared" si="98"/>
        <v>-16136.07</v>
      </c>
      <c r="AM138" s="41">
        <v>0</v>
      </c>
      <c r="AN138" s="41">
        <v>0</v>
      </c>
      <c r="AO138" s="41">
        <f t="shared" si="99"/>
        <v>0</v>
      </c>
      <c r="AP138" s="41">
        <v>0</v>
      </c>
      <c r="AQ138" s="41">
        <f>IFERROR(VLOOKUP(G138,'10'!A:B,2,0),0)</f>
        <v>0</v>
      </c>
      <c r="AR138" s="41">
        <f t="shared" si="45"/>
        <v>0</v>
      </c>
      <c r="AS138" s="41">
        <f t="shared" si="49"/>
        <v>77983.28</v>
      </c>
      <c r="AT138" s="41">
        <f>AN138+AK138+AH138+AE138+AB138+-Y138+V138+S138+P138+AQ138</f>
        <v>23871.98</v>
      </c>
      <c r="AU138" s="41">
        <f t="shared" si="48"/>
        <v>-54111.299999999996</v>
      </c>
      <c r="AV138" s="459">
        <f t="shared" si="89"/>
        <v>0.30611664449097292</v>
      </c>
      <c r="AW138" s="41">
        <v>147384.93</v>
      </c>
      <c r="AX138" s="41">
        <v>0</v>
      </c>
      <c r="AY138" s="41">
        <f t="shared" si="47"/>
        <v>225368.21</v>
      </c>
      <c r="AZ138" s="41">
        <f>VLOOKUP(G138,'2017'!A:B,2,0)</f>
        <v>171256.91</v>
      </c>
      <c r="BA138" s="552">
        <f t="shared" si="100"/>
        <v>-54111.299999999988</v>
      </c>
      <c r="BB138" s="41">
        <v>1495859.02</v>
      </c>
      <c r="BC138" s="41">
        <v>1492365.0999999999</v>
      </c>
      <c r="BD138" s="41">
        <v>1431808.1199999999</v>
      </c>
      <c r="BE138" s="41">
        <v>0</v>
      </c>
      <c r="BF138" s="41">
        <v>0</v>
      </c>
      <c r="BG138" s="41">
        <v>0</v>
      </c>
      <c r="BH138" s="41">
        <v>0</v>
      </c>
      <c r="BI138" s="41">
        <v>4645400.45</v>
      </c>
      <c r="BJ138" s="75"/>
      <c r="BK138" s="11"/>
    </row>
    <row r="139" spans="1:63" s="10" customFormat="1" ht="47.25" x14ac:dyDescent="0.2">
      <c r="A139" s="11" t="s">
        <v>406</v>
      </c>
      <c r="B139" s="11" t="s">
        <v>411</v>
      </c>
      <c r="C139" s="14" t="s">
        <v>606</v>
      </c>
      <c r="D139" s="11">
        <v>1</v>
      </c>
      <c r="E139" s="11" t="s">
        <v>402</v>
      </c>
      <c r="F139" s="11" t="s">
        <v>77</v>
      </c>
      <c r="G139" s="44" t="s">
        <v>732</v>
      </c>
      <c r="H139" s="45">
        <v>128</v>
      </c>
      <c r="I139" s="45" t="s">
        <v>406</v>
      </c>
      <c r="J139" s="46" t="s">
        <v>519</v>
      </c>
      <c r="K139" s="46" t="s">
        <v>733</v>
      </c>
      <c r="L139" s="41"/>
      <c r="M139" s="41"/>
      <c r="N139" s="41"/>
      <c r="O139" s="41"/>
      <c r="P139" s="41">
        <v>0</v>
      </c>
      <c r="Q139" s="41">
        <f t="shared" si="91"/>
        <v>0</v>
      </c>
      <c r="R139" s="41"/>
      <c r="S139" s="41">
        <v>0</v>
      </c>
      <c r="T139" s="41">
        <f t="shared" si="92"/>
        <v>0</v>
      </c>
      <c r="U139" s="41"/>
      <c r="V139" s="41">
        <v>0</v>
      </c>
      <c r="W139" s="41">
        <f t="shared" si="93"/>
        <v>0</v>
      </c>
      <c r="X139" s="41"/>
      <c r="Y139" s="41">
        <v>0</v>
      </c>
      <c r="Z139" s="41">
        <f t="shared" si="94"/>
        <v>0</v>
      </c>
      <c r="AA139" s="41">
        <v>34000</v>
      </c>
      <c r="AB139" s="41">
        <v>3613.5</v>
      </c>
      <c r="AC139" s="41">
        <f t="shared" si="95"/>
        <v>-30386.5</v>
      </c>
      <c r="AD139" s="41">
        <v>0</v>
      </c>
      <c r="AE139" s="41">
        <v>20128.400000000001</v>
      </c>
      <c r="AF139" s="41">
        <f t="shared" si="96"/>
        <v>20128.400000000001</v>
      </c>
      <c r="AG139" s="41">
        <v>51000</v>
      </c>
      <c r="AH139" s="41">
        <v>0</v>
      </c>
      <c r="AI139" s="41">
        <f t="shared" si="97"/>
        <v>-51000</v>
      </c>
      <c r="AJ139" s="41">
        <v>42534</v>
      </c>
      <c r="AK139" s="41">
        <v>25522.33</v>
      </c>
      <c r="AL139" s="41">
        <f t="shared" si="98"/>
        <v>-17011.669999999998</v>
      </c>
      <c r="AM139" s="41">
        <v>0</v>
      </c>
      <c r="AN139" s="41">
        <v>25594.99</v>
      </c>
      <c r="AO139" s="41">
        <f t="shared" si="99"/>
        <v>25594.99</v>
      </c>
      <c r="AP139" s="41">
        <v>0</v>
      </c>
      <c r="AQ139" s="41">
        <f>IFERROR(VLOOKUP(G139,'10'!A:B,2,0),0)</f>
        <v>0</v>
      </c>
      <c r="AR139" s="41">
        <f t="shared" si="45"/>
        <v>0</v>
      </c>
      <c r="AS139" s="41">
        <f t="shared" si="49"/>
        <v>127534</v>
      </c>
      <c r="AT139" s="41">
        <f>AN139+AK139+AH139+AE139+AB139+-Y139+V139+S139+P139+AQ139</f>
        <v>74859.22</v>
      </c>
      <c r="AU139" s="41">
        <f t="shared" si="48"/>
        <v>-52674.779999999992</v>
      </c>
      <c r="AV139" s="459">
        <f t="shared" si="89"/>
        <v>0.5869746106920507</v>
      </c>
      <c r="AW139" s="41">
        <v>58671.25</v>
      </c>
      <c r="AX139" s="41">
        <v>0</v>
      </c>
      <c r="AY139" s="41">
        <f t="shared" si="47"/>
        <v>186205.25</v>
      </c>
      <c r="AZ139" s="41">
        <f>VLOOKUP(G139,'2017'!A:B,2,0)</f>
        <v>133530.47</v>
      </c>
      <c r="BA139" s="552">
        <f t="shared" si="100"/>
        <v>-52674.78</v>
      </c>
      <c r="BB139" s="41">
        <v>210390.3</v>
      </c>
      <c r="BC139" s="41">
        <v>193909.65</v>
      </c>
      <c r="BD139" s="41">
        <v>36814.35</v>
      </c>
      <c r="BE139" s="41">
        <v>0</v>
      </c>
      <c r="BF139" s="41">
        <v>0</v>
      </c>
      <c r="BG139" s="41">
        <v>0</v>
      </c>
      <c r="BH139" s="41">
        <v>0</v>
      </c>
      <c r="BI139" s="41">
        <v>542319.54999999993</v>
      </c>
      <c r="BJ139" s="75"/>
      <c r="BK139" s="11"/>
    </row>
    <row r="140" spans="1:63" s="10" customFormat="1" ht="38.25" x14ac:dyDescent="0.2">
      <c r="A140" s="11" t="s">
        <v>19</v>
      </c>
      <c r="B140" s="11" t="s">
        <v>20</v>
      </c>
      <c r="C140" s="14" t="s">
        <v>564</v>
      </c>
      <c r="D140" s="11" t="s">
        <v>3</v>
      </c>
      <c r="E140" s="11" t="s">
        <v>11</v>
      </c>
      <c r="F140" s="11" t="s">
        <v>5</v>
      </c>
      <c r="G140" s="44" t="s">
        <v>657</v>
      </c>
      <c r="H140" s="45">
        <v>129</v>
      </c>
      <c r="I140" s="45" t="s">
        <v>19</v>
      </c>
      <c r="J140" s="46" t="s">
        <v>658</v>
      </c>
      <c r="K140" s="46" t="s">
        <v>659</v>
      </c>
      <c r="L140" s="41">
        <v>0</v>
      </c>
      <c r="M140" s="41">
        <v>0</v>
      </c>
      <c r="N140" s="41">
        <v>0</v>
      </c>
      <c r="O140" s="41">
        <v>18000</v>
      </c>
      <c r="P140" s="41">
        <v>18000</v>
      </c>
      <c r="Q140" s="41">
        <f t="shared" si="91"/>
        <v>0</v>
      </c>
      <c r="R140" s="41">
        <v>0</v>
      </c>
      <c r="S140" s="41">
        <v>0</v>
      </c>
      <c r="T140" s="41">
        <f t="shared" si="92"/>
        <v>0</v>
      </c>
      <c r="U140" s="41">
        <v>0</v>
      </c>
      <c r="V140" s="41">
        <v>0</v>
      </c>
      <c r="W140" s="41">
        <f t="shared" si="93"/>
        <v>0</v>
      </c>
      <c r="X140" s="41">
        <v>0</v>
      </c>
      <c r="Y140" s="41">
        <v>0</v>
      </c>
      <c r="Z140" s="41">
        <f t="shared" si="94"/>
        <v>0</v>
      </c>
      <c r="AA140" s="41">
        <v>4453</v>
      </c>
      <c r="AB140" s="41">
        <v>12000</v>
      </c>
      <c r="AC140" s="41">
        <f t="shared" si="95"/>
        <v>7547</v>
      </c>
      <c r="AD140" s="41">
        <v>0</v>
      </c>
      <c r="AE140" s="41">
        <v>0</v>
      </c>
      <c r="AF140" s="41">
        <f t="shared" si="96"/>
        <v>0</v>
      </c>
      <c r="AG140" s="41">
        <v>2227</v>
      </c>
      <c r="AH140" s="41">
        <v>0</v>
      </c>
      <c r="AI140" s="41">
        <f t="shared" si="97"/>
        <v>-2227</v>
      </c>
      <c r="AJ140" s="41">
        <v>100000</v>
      </c>
      <c r="AK140" s="41">
        <v>9000</v>
      </c>
      <c r="AL140" s="41">
        <f t="shared" si="98"/>
        <v>-91000</v>
      </c>
      <c r="AM140" s="41">
        <v>0</v>
      </c>
      <c r="AN140" s="41">
        <v>60000</v>
      </c>
      <c r="AO140" s="41">
        <f t="shared" si="99"/>
        <v>60000</v>
      </c>
      <c r="AP140" s="41">
        <v>22266</v>
      </c>
      <c r="AQ140" s="41">
        <f>IFERROR(VLOOKUP(G140,'10'!A:B,2,0),0)</f>
        <v>0</v>
      </c>
      <c r="AR140" s="41">
        <f t="shared" ref="AR140:AR203" si="101">AQ140-AP140</f>
        <v>-22266</v>
      </c>
      <c r="AS140" s="41">
        <f t="shared" si="49"/>
        <v>146946</v>
      </c>
      <c r="AT140" s="41">
        <f>AN140+AK140+AH140+AE140+AB140+-Y140+V140+S140+P140+AQ140</f>
        <v>99000</v>
      </c>
      <c r="AU140" s="41">
        <f t="shared" si="48"/>
        <v>-47946</v>
      </c>
      <c r="AV140" s="459">
        <f t="shared" si="89"/>
        <v>0.67371687558695026</v>
      </c>
      <c r="AW140" s="41">
        <v>0</v>
      </c>
      <c r="AX140" s="41">
        <v>0</v>
      </c>
      <c r="AY140" s="41">
        <f t="shared" ref="AY140:AY203" si="102">AX140+AW140+AP140+AM140+AJ140+AG140+AA140+X140+U140+R140+O140+AD140</f>
        <v>146946</v>
      </c>
      <c r="AZ140" s="41">
        <f>VLOOKUP(G140,'2017'!A:B,2,0)</f>
        <v>126000</v>
      </c>
      <c r="BA140" s="552">
        <f t="shared" si="100"/>
        <v>-20946</v>
      </c>
      <c r="BB140" s="41">
        <v>567783</v>
      </c>
      <c r="BC140" s="41">
        <v>653136</v>
      </c>
      <c r="BD140" s="41">
        <v>553681.19999999995</v>
      </c>
      <c r="BE140" s="41">
        <v>200454</v>
      </c>
      <c r="BF140" s="41">
        <v>0</v>
      </c>
      <c r="BG140" s="41">
        <v>0</v>
      </c>
      <c r="BH140" s="41">
        <v>0</v>
      </c>
      <c r="BI140" s="41">
        <v>2004000.2</v>
      </c>
      <c r="BJ140" s="75"/>
      <c r="BK140" s="11"/>
    </row>
    <row r="141" spans="1:63" s="10" customFormat="1" ht="31.5" x14ac:dyDescent="0.2">
      <c r="A141" s="11" t="s">
        <v>9</v>
      </c>
      <c r="B141" s="11" t="s">
        <v>10</v>
      </c>
      <c r="C141" s="14" t="s">
        <v>562</v>
      </c>
      <c r="D141" s="11">
        <v>1</v>
      </c>
      <c r="E141" s="11" t="s">
        <v>11</v>
      </c>
      <c r="F141" s="11" t="s">
        <v>5</v>
      </c>
      <c r="G141" s="44" t="s">
        <v>12</v>
      </c>
      <c r="H141" s="45">
        <v>130</v>
      </c>
      <c r="I141" s="45" t="s">
        <v>9</v>
      </c>
      <c r="J141" s="46" t="s">
        <v>13</v>
      </c>
      <c r="K141" s="46" t="s">
        <v>14</v>
      </c>
      <c r="L141" s="41">
        <v>0</v>
      </c>
      <c r="M141" s="41">
        <v>0</v>
      </c>
      <c r="N141" s="41">
        <v>17125.11</v>
      </c>
      <c r="O141" s="41">
        <v>0</v>
      </c>
      <c r="P141" s="41">
        <v>20466.45</v>
      </c>
      <c r="Q141" s="41">
        <f t="shared" si="91"/>
        <v>20466.45</v>
      </c>
      <c r="R141" s="41">
        <v>20466.45</v>
      </c>
      <c r="S141" s="41">
        <v>0</v>
      </c>
      <c r="T141" s="41">
        <f t="shared" si="92"/>
        <v>-20466.45</v>
      </c>
      <c r="U141" s="41">
        <v>0</v>
      </c>
      <c r="V141" s="41">
        <v>0</v>
      </c>
      <c r="W141" s="41">
        <f t="shared" si="93"/>
        <v>0</v>
      </c>
      <c r="X141" s="41">
        <v>0</v>
      </c>
      <c r="Y141" s="41">
        <v>0</v>
      </c>
      <c r="Z141" s="41">
        <f t="shared" si="94"/>
        <v>0</v>
      </c>
      <c r="AA141" s="41">
        <v>43148</v>
      </c>
      <c r="AB141" s="41">
        <v>19882.8</v>
      </c>
      <c r="AC141" s="41">
        <f t="shared" si="95"/>
        <v>-23265.200000000001</v>
      </c>
      <c r="AD141" s="41">
        <v>0</v>
      </c>
      <c r="AE141" s="41">
        <v>0</v>
      </c>
      <c r="AF141" s="41">
        <f t="shared" si="96"/>
        <v>0</v>
      </c>
      <c r="AG141" s="41">
        <v>0</v>
      </c>
      <c r="AH141" s="41">
        <v>0</v>
      </c>
      <c r="AI141" s="41">
        <f t="shared" si="97"/>
        <v>0</v>
      </c>
      <c r="AJ141" s="41">
        <v>43148</v>
      </c>
      <c r="AK141" s="41">
        <v>18984.32</v>
      </c>
      <c r="AL141" s="41">
        <f t="shared" si="98"/>
        <v>-24163.68</v>
      </c>
      <c r="AM141" s="41">
        <v>0</v>
      </c>
      <c r="AN141" s="41">
        <v>0</v>
      </c>
      <c r="AO141" s="41">
        <f t="shared" si="99"/>
        <v>0</v>
      </c>
      <c r="AP141" s="41">
        <v>0</v>
      </c>
      <c r="AQ141" s="41">
        <f>IFERROR(VLOOKUP(G141,'10'!A:B,2,0),0)</f>
        <v>0</v>
      </c>
      <c r="AR141" s="41">
        <f t="shared" si="101"/>
        <v>0</v>
      </c>
      <c r="AS141" s="41">
        <f t="shared" si="49"/>
        <v>106762.45</v>
      </c>
      <c r="AT141" s="41">
        <f>AN141+AK141+AH141+AE141+AB141+-Y141+V141+S141+P141+AQ141</f>
        <v>59333.569999999992</v>
      </c>
      <c r="AU141" s="41">
        <f t="shared" ref="AU141:AU204" si="103">AO141+AL141+AI141+AF141+AC141+Z141+W141+T141+Q141+AR141</f>
        <v>-47428.880000000005</v>
      </c>
      <c r="AV141" s="459">
        <f t="shared" si="89"/>
        <v>0.55575316977083233</v>
      </c>
      <c r="AW141" s="41">
        <v>43148</v>
      </c>
      <c r="AX141" s="41">
        <v>0</v>
      </c>
      <c r="AY141" s="41">
        <f t="shared" si="102"/>
        <v>149910.45000000001</v>
      </c>
      <c r="AZ141" s="41">
        <f>VLOOKUP(G141,'2017'!A:B,2,0)</f>
        <v>79283.570000000007</v>
      </c>
      <c r="BA141" s="552">
        <f t="shared" si="100"/>
        <v>-70626.880000000005</v>
      </c>
      <c r="BB141" s="41">
        <v>172598</v>
      </c>
      <c r="BC141" s="41">
        <v>172595</v>
      </c>
      <c r="BD141" s="41">
        <v>172595</v>
      </c>
      <c r="BE141" s="41">
        <v>172592</v>
      </c>
      <c r="BF141" s="41">
        <v>142584.44</v>
      </c>
      <c r="BG141" s="41">
        <v>0</v>
      </c>
      <c r="BH141" s="41">
        <v>0</v>
      </c>
      <c r="BI141" s="41">
        <v>1000000</v>
      </c>
      <c r="BJ141" s="75"/>
      <c r="BK141" s="11"/>
    </row>
    <row r="142" spans="1:63" s="10" customFormat="1" ht="63" x14ac:dyDescent="0.2">
      <c r="A142" s="11" t="s">
        <v>485</v>
      </c>
      <c r="B142" s="11" t="s">
        <v>486</v>
      </c>
      <c r="C142" s="14" t="s">
        <v>610</v>
      </c>
      <c r="D142" s="11">
        <v>1</v>
      </c>
      <c r="E142" s="11" t="s">
        <v>454</v>
      </c>
      <c r="F142" s="11" t="s">
        <v>5</v>
      </c>
      <c r="G142" s="44" t="s">
        <v>501</v>
      </c>
      <c r="H142" s="45">
        <v>131</v>
      </c>
      <c r="I142" s="45" t="s">
        <v>485</v>
      </c>
      <c r="J142" s="46" t="s">
        <v>84</v>
      </c>
      <c r="K142" s="46" t="s">
        <v>502</v>
      </c>
      <c r="L142" s="41">
        <v>0</v>
      </c>
      <c r="M142" s="41">
        <v>0</v>
      </c>
      <c r="N142" s="41">
        <v>130545.30000000002</v>
      </c>
      <c r="O142" s="41">
        <v>68695.8</v>
      </c>
      <c r="P142" s="41">
        <v>68695.78</v>
      </c>
      <c r="Q142" s="41">
        <f t="shared" si="91"/>
        <v>-2.0000000004074536E-2</v>
      </c>
      <c r="R142" s="41">
        <v>0</v>
      </c>
      <c r="S142" s="41">
        <v>0</v>
      </c>
      <c r="T142" s="41">
        <f t="shared" si="92"/>
        <v>0</v>
      </c>
      <c r="U142" s="41">
        <v>0</v>
      </c>
      <c r="V142" s="41">
        <v>0</v>
      </c>
      <c r="W142" s="41">
        <f t="shared" si="93"/>
        <v>0</v>
      </c>
      <c r="X142" s="41">
        <v>78923.09</v>
      </c>
      <c r="Y142" s="41">
        <v>62975.44</v>
      </c>
      <c r="Z142" s="41">
        <f t="shared" si="94"/>
        <v>-15947.649999999994</v>
      </c>
      <c r="AA142" s="41">
        <v>0</v>
      </c>
      <c r="AB142" s="41">
        <v>0</v>
      </c>
      <c r="AC142" s="41">
        <f t="shared" si="95"/>
        <v>0</v>
      </c>
      <c r="AD142" s="41">
        <v>0</v>
      </c>
      <c r="AE142" s="41">
        <v>0</v>
      </c>
      <c r="AF142" s="41">
        <f t="shared" si="96"/>
        <v>0</v>
      </c>
      <c r="AG142" s="41">
        <v>77860</v>
      </c>
      <c r="AH142" s="41">
        <v>63564.28</v>
      </c>
      <c r="AI142" s="41">
        <f t="shared" si="97"/>
        <v>-14295.720000000001</v>
      </c>
      <c r="AJ142" s="41">
        <v>0</v>
      </c>
      <c r="AK142" s="41">
        <v>0</v>
      </c>
      <c r="AL142" s="41">
        <f t="shared" si="98"/>
        <v>0</v>
      </c>
      <c r="AM142" s="41">
        <v>0</v>
      </c>
      <c r="AN142" s="41">
        <v>0</v>
      </c>
      <c r="AO142" s="41">
        <f t="shared" si="99"/>
        <v>0</v>
      </c>
      <c r="AP142" s="41">
        <v>51085</v>
      </c>
      <c r="AQ142" s="41">
        <f>IFERROR(VLOOKUP(G142,'10'!A:B,2,0),0)</f>
        <v>35338.120000000003</v>
      </c>
      <c r="AR142" s="41">
        <f t="shared" si="101"/>
        <v>-15746.879999999997</v>
      </c>
      <c r="AS142" s="41">
        <f t="shared" si="49"/>
        <v>276563.89</v>
      </c>
      <c r="AT142" s="41">
        <f>AN142+AK142+AH142+AE142+AB142+Y142+V142+S142+P142+AQ142</f>
        <v>230573.62</v>
      </c>
      <c r="AU142" s="41">
        <f t="shared" si="103"/>
        <v>-45990.27</v>
      </c>
      <c r="AV142" s="459">
        <f t="shared" si="89"/>
        <v>0.83370833408511857</v>
      </c>
      <c r="AW142" s="41">
        <v>0</v>
      </c>
      <c r="AX142" s="41">
        <v>0</v>
      </c>
      <c r="AY142" s="41">
        <f t="shared" si="102"/>
        <v>276563.89</v>
      </c>
      <c r="AZ142" s="41">
        <f>VLOOKUP(G142,'2017'!A:B,2,0)</f>
        <v>230573.62</v>
      </c>
      <c r="BA142" s="552">
        <f t="shared" si="100"/>
        <v>-45990.270000000019</v>
      </c>
      <c r="BB142" s="41">
        <v>275235.09999999998</v>
      </c>
      <c r="BC142" s="41">
        <v>60386.21</v>
      </c>
      <c r="BD142" s="41">
        <v>0</v>
      </c>
      <c r="BE142" s="41">
        <v>0</v>
      </c>
      <c r="BF142" s="41">
        <v>0</v>
      </c>
      <c r="BG142" s="41">
        <v>0</v>
      </c>
      <c r="BH142" s="41">
        <v>0</v>
      </c>
      <c r="BI142" s="41">
        <v>742730.5</v>
      </c>
      <c r="BJ142" s="75"/>
      <c r="BK142" s="11"/>
    </row>
    <row r="143" spans="1:63" s="10" customFormat="1" ht="31.5" x14ac:dyDescent="0.2">
      <c r="A143" s="18" t="s">
        <v>33</v>
      </c>
      <c r="B143" s="18" t="s">
        <v>34</v>
      </c>
      <c r="C143" s="19" t="s">
        <v>566</v>
      </c>
      <c r="D143" s="18">
        <v>1</v>
      </c>
      <c r="E143" s="18" t="s">
        <v>35</v>
      </c>
      <c r="F143" s="18" t="s">
        <v>5</v>
      </c>
      <c r="G143" s="18" t="s">
        <v>740</v>
      </c>
      <c r="H143" s="45">
        <v>132</v>
      </c>
      <c r="I143" s="45" t="s">
        <v>33</v>
      </c>
      <c r="J143" s="32" t="s">
        <v>741</v>
      </c>
      <c r="K143" s="32" t="s">
        <v>742</v>
      </c>
      <c r="L143" s="35">
        <v>0</v>
      </c>
      <c r="M143" s="35">
        <v>0</v>
      </c>
      <c r="N143" s="35">
        <v>0</v>
      </c>
      <c r="O143" s="35">
        <v>0</v>
      </c>
      <c r="P143" s="35"/>
      <c r="Q143" s="41">
        <f t="shared" si="91"/>
        <v>0</v>
      </c>
      <c r="R143" s="35"/>
      <c r="S143" s="35"/>
      <c r="T143" s="41">
        <f t="shared" si="92"/>
        <v>0</v>
      </c>
      <c r="U143" s="35"/>
      <c r="V143" s="35"/>
      <c r="W143" s="41">
        <f t="shared" si="93"/>
        <v>0</v>
      </c>
      <c r="X143" s="35"/>
      <c r="Y143" s="35"/>
      <c r="Z143" s="41">
        <f t="shared" si="94"/>
        <v>0</v>
      </c>
      <c r="AA143" s="35"/>
      <c r="AB143" s="35"/>
      <c r="AC143" s="41">
        <f t="shared" si="95"/>
        <v>0</v>
      </c>
      <c r="AD143" s="35">
        <v>35829.49</v>
      </c>
      <c r="AE143" s="41">
        <v>580.96</v>
      </c>
      <c r="AF143" s="41">
        <f t="shared" si="96"/>
        <v>-35248.53</v>
      </c>
      <c r="AG143" s="35">
        <v>0</v>
      </c>
      <c r="AH143" s="41">
        <v>0</v>
      </c>
      <c r="AI143" s="41">
        <f t="shared" si="97"/>
        <v>0</v>
      </c>
      <c r="AJ143" s="35">
        <v>0</v>
      </c>
      <c r="AK143" s="41">
        <v>0</v>
      </c>
      <c r="AL143" s="41">
        <f t="shared" si="98"/>
        <v>0</v>
      </c>
      <c r="AM143" s="41">
        <v>10545.66</v>
      </c>
      <c r="AN143" s="41">
        <v>1281.8900000000001</v>
      </c>
      <c r="AO143" s="41">
        <f t="shared" si="99"/>
        <v>-9263.77</v>
      </c>
      <c r="AP143" s="35">
        <v>0</v>
      </c>
      <c r="AQ143" s="41">
        <f>IFERROR(VLOOKUP(G143,'10'!A:B,2,0),0)</f>
        <v>0</v>
      </c>
      <c r="AR143" s="41">
        <f t="shared" si="101"/>
        <v>0</v>
      </c>
      <c r="AS143" s="41">
        <f t="shared" ref="AS143:AS206" si="104">AM143+AJ143+AG143+AD143+AA143+X143+U143+R143+O143+AP143</f>
        <v>46375.149999999994</v>
      </c>
      <c r="AT143" s="41">
        <f>AN143+AK143+AH143+AE143+AB143+Y143+V143+S143+P143+AQ143</f>
        <v>1862.8500000000001</v>
      </c>
      <c r="AU143" s="41">
        <f t="shared" si="103"/>
        <v>-44512.3</v>
      </c>
      <c r="AV143" s="459">
        <f t="shared" si="89"/>
        <v>4.0169142310051836E-2</v>
      </c>
      <c r="AW143" s="35">
        <v>0</v>
      </c>
      <c r="AX143" s="35">
        <v>26134.1</v>
      </c>
      <c r="AY143" s="41">
        <f t="shared" si="102"/>
        <v>72509.25</v>
      </c>
      <c r="AZ143" s="41">
        <f>VLOOKUP(G143,'2017'!A:B,2,0)</f>
        <v>39951.07</v>
      </c>
      <c r="BA143" s="552">
        <f t="shared" si="100"/>
        <v>-32558.18</v>
      </c>
      <c r="BB143" s="35">
        <v>1306298.3400000001</v>
      </c>
      <c r="BC143" s="35">
        <v>1862421.96</v>
      </c>
      <c r="BD143" s="35">
        <v>583770.44999999995</v>
      </c>
      <c r="BE143" s="35">
        <v>0</v>
      </c>
      <c r="BF143" s="35">
        <v>0</v>
      </c>
      <c r="BG143" s="35">
        <v>0</v>
      </c>
      <c r="BH143" s="35">
        <v>0</v>
      </c>
      <c r="BI143" s="35">
        <v>3825000</v>
      </c>
      <c r="BJ143" s="75"/>
      <c r="BK143" s="11"/>
    </row>
    <row r="144" spans="1:63" s="10" customFormat="1" ht="38.25" x14ac:dyDescent="0.2">
      <c r="A144" s="11" t="s">
        <v>57</v>
      </c>
      <c r="B144" s="11" t="s">
        <v>58</v>
      </c>
      <c r="C144" s="14" t="s">
        <v>569</v>
      </c>
      <c r="D144" s="11">
        <v>2</v>
      </c>
      <c r="E144" s="11" t="s">
        <v>35</v>
      </c>
      <c r="F144" s="11" t="s">
        <v>5</v>
      </c>
      <c r="G144" s="44" t="s">
        <v>62</v>
      </c>
      <c r="H144" s="45">
        <v>133</v>
      </c>
      <c r="I144" s="45" t="s">
        <v>57</v>
      </c>
      <c r="J144" s="46" t="s">
        <v>63</v>
      </c>
      <c r="K144" s="46" t="s">
        <v>64</v>
      </c>
      <c r="L144" s="41">
        <v>0</v>
      </c>
      <c r="M144" s="41">
        <v>0</v>
      </c>
      <c r="N144" s="41">
        <v>0</v>
      </c>
      <c r="O144" s="41">
        <v>0</v>
      </c>
      <c r="P144" s="41">
        <v>0</v>
      </c>
      <c r="Q144" s="41">
        <f t="shared" si="91"/>
        <v>0</v>
      </c>
      <c r="R144" s="41">
        <v>177849</v>
      </c>
      <c r="S144" s="41">
        <v>177849.41</v>
      </c>
      <c r="T144" s="41">
        <f t="shared" si="92"/>
        <v>0.41000000000349246</v>
      </c>
      <c r="U144" s="41">
        <v>0</v>
      </c>
      <c r="V144" s="41">
        <v>0</v>
      </c>
      <c r="W144" s="41">
        <f t="shared" si="93"/>
        <v>0</v>
      </c>
      <c r="X144" s="41">
        <v>0</v>
      </c>
      <c r="Y144" s="41">
        <v>0</v>
      </c>
      <c r="Z144" s="41">
        <f t="shared" si="94"/>
        <v>0</v>
      </c>
      <c r="AA144" s="41">
        <v>88924.7</v>
      </c>
      <c r="AB144" s="41">
        <v>33603.11</v>
      </c>
      <c r="AC144" s="41">
        <f t="shared" si="95"/>
        <v>-55321.59</v>
      </c>
      <c r="AD144" s="41">
        <v>0</v>
      </c>
      <c r="AE144" s="41">
        <v>0</v>
      </c>
      <c r="AF144" s="41">
        <f t="shared" si="96"/>
        <v>0</v>
      </c>
      <c r="AG144" s="41">
        <v>0</v>
      </c>
      <c r="AH144" s="41">
        <v>43647.87</v>
      </c>
      <c r="AI144" s="41">
        <f t="shared" si="97"/>
        <v>43647.87</v>
      </c>
      <c r="AJ144" s="41">
        <v>88924.71</v>
      </c>
      <c r="AK144" s="41">
        <v>0</v>
      </c>
      <c r="AL144" s="41">
        <f t="shared" si="98"/>
        <v>-88924.71</v>
      </c>
      <c r="AM144" s="41">
        <v>0</v>
      </c>
      <c r="AN144" s="41">
        <v>0</v>
      </c>
      <c r="AO144" s="41">
        <f t="shared" si="99"/>
        <v>0</v>
      </c>
      <c r="AP144" s="41">
        <v>0</v>
      </c>
      <c r="AQ144" s="41">
        <f>IFERROR(VLOOKUP(G144,'10'!A:B,2,0),0)</f>
        <v>56795.13</v>
      </c>
      <c r="AR144" s="41">
        <f t="shared" si="101"/>
        <v>56795.13</v>
      </c>
      <c r="AS144" s="41">
        <f t="shared" si="104"/>
        <v>355698.41000000003</v>
      </c>
      <c r="AT144" s="41">
        <f t="shared" ref="AT144:AT149" si="105">AN144+AK144+AH144+AE144+AB144+-Y144+V144+S144+P144+AQ144</f>
        <v>311895.52</v>
      </c>
      <c r="AU144" s="41">
        <f t="shared" si="103"/>
        <v>-43802.889999999992</v>
      </c>
      <c r="AV144" s="459">
        <f t="shared" si="89"/>
        <v>0.87685384930452737</v>
      </c>
      <c r="AW144" s="41">
        <v>0</v>
      </c>
      <c r="AX144" s="41">
        <v>19761.04</v>
      </c>
      <c r="AY144" s="41">
        <f t="shared" si="102"/>
        <v>375459.45</v>
      </c>
      <c r="AZ144" s="41">
        <f>VLOOKUP(G144,'2017'!A:B,2,0)</f>
        <v>375459.86</v>
      </c>
      <c r="BA144" s="552">
        <f t="shared" si="100"/>
        <v>0.40999999997438863</v>
      </c>
      <c r="BB144" s="41">
        <v>0</v>
      </c>
      <c r="BC144" s="41">
        <v>0</v>
      </c>
      <c r="BD144" s="41">
        <v>0</v>
      </c>
      <c r="BE144" s="41">
        <v>0</v>
      </c>
      <c r="BF144" s="41">
        <v>0</v>
      </c>
      <c r="BG144" s="41">
        <v>0</v>
      </c>
      <c r="BH144" s="41">
        <v>0</v>
      </c>
      <c r="BI144" s="41">
        <v>197610.45</v>
      </c>
      <c r="BJ144" s="75"/>
      <c r="BK144" s="11"/>
    </row>
    <row r="145" spans="1:64" s="10" customFormat="1" ht="63" x14ac:dyDescent="0.2">
      <c r="A145" s="11" t="s">
        <v>138</v>
      </c>
      <c r="B145" s="11" t="s">
        <v>139</v>
      </c>
      <c r="C145" s="14" t="s">
        <v>576</v>
      </c>
      <c r="D145" s="11">
        <v>1</v>
      </c>
      <c r="E145" s="11" t="s">
        <v>35</v>
      </c>
      <c r="F145" s="11" t="s">
        <v>5</v>
      </c>
      <c r="G145" s="44" t="s">
        <v>698</v>
      </c>
      <c r="H145" s="45">
        <v>134</v>
      </c>
      <c r="I145" s="45" t="s">
        <v>138</v>
      </c>
      <c r="J145" s="46" t="s">
        <v>488</v>
      </c>
      <c r="K145" s="46" t="s">
        <v>699</v>
      </c>
      <c r="L145" s="41">
        <v>0</v>
      </c>
      <c r="M145" s="41">
        <v>0</v>
      </c>
      <c r="N145" s="41">
        <v>0</v>
      </c>
      <c r="O145" s="41">
        <v>0</v>
      </c>
      <c r="P145" s="41">
        <v>0</v>
      </c>
      <c r="Q145" s="41">
        <f t="shared" si="91"/>
        <v>0</v>
      </c>
      <c r="R145" s="41">
        <v>0</v>
      </c>
      <c r="S145" s="41">
        <v>0</v>
      </c>
      <c r="T145" s="41">
        <f t="shared" si="92"/>
        <v>0</v>
      </c>
      <c r="U145" s="41">
        <v>0</v>
      </c>
      <c r="V145" s="41">
        <v>0</v>
      </c>
      <c r="W145" s="41">
        <f t="shared" si="93"/>
        <v>0</v>
      </c>
      <c r="X145" s="41">
        <v>0</v>
      </c>
      <c r="Y145" s="41">
        <v>0</v>
      </c>
      <c r="Z145" s="41">
        <f t="shared" si="94"/>
        <v>0</v>
      </c>
      <c r="AA145" s="41">
        <v>43468.12</v>
      </c>
      <c r="AB145" s="41">
        <v>0</v>
      </c>
      <c r="AC145" s="41">
        <f t="shared" si="95"/>
        <v>-43468.12</v>
      </c>
      <c r="AD145" s="41">
        <v>0</v>
      </c>
      <c r="AE145" s="41">
        <v>0</v>
      </c>
      <c r="AF145" s="41">
        <f t="shared" si="96"/>
        <v>0</v>
      </c>
      <c r="AG145" s="41">
        <v>0</v>
      </c>
      <c r="AH145" s="41">
        <v>0</v>
      </c>
      <c r="AI145" s="41">
        <f t="shared" si="97"/>
        <v>0</v>
      </c>
      <c r="AJ145" s="41">
        <v>0</v>
      </c>
      <c r="AK145" s="41">
        <v>0</v>
      </c>
      <c r="AL145" s="41">
        <f t="shared" si="98"/>
        <v>0</v>
      </c>
      <c r="AM145" s="41">
        <v>0</v>
      </c>
      <c r="AN145" s="41">
        <v>0</v>
      </c>
      <c r="AO145" s="41">
        <f t="shared" si="99"/>
        <v>0</v>
      </c>
      <c r="AP145" s="41">
        <v>0</v>
      </c>
      <c r="AQ145" s="41">
        <f>IFERROR(VLOOKUP(G145,'10'!A:B,2,0),0)</f>
        <v>0</v>
      </c>
      <c r="AR145" s="41">
        <f t="shared" si="101"/>
        <v>0</v>
      </c>
      <c r="AS145" s="41">
        <f t="shared" si="104"/>
        <v>43468.12</v>
      </c>
      <c r="AT145" s="41">
        <f t="shared" si="105"/>
        <v>0</v>
      </c>
      <c r="AU145" s="41">
        <f t="shared" si="103"/>
        <v>-43468.12</v>
      </c>
      <c r="AV145" s="459">
        <f t="shared" si="89"/>
        <v>0</v>
      </c>
      <c r="AW145" s="41">
        <v>0</v>
      </c>
      <c r="AX145" s="41">
        <v>0</v>
      </c>
      <c r="AY145" s="41">
        <f t="shared" si="102"/>
        <v>43468.12</v>
      </c>
      <c r="AZ145" s="41"/>
      <c r="BA145" s="552">
        <v>0</v>
      </c>
      <c r="BB145" s="41">
        <v>2459646.21</v>
      </c>
      <c r="BC145" s="41">
        <v>0</v>
      </c>
      <c r="BD145" s="41">
        <v>0</v>
      </c>
      <c r="BE145" s="41">
        <v>0</v>
      </c>
      <c r="BF145" s="41">
        <v>0</v>
      </c>
      <c r="BG145" s="41">
        <v>0</v>
      </c>
      <c r="BH145" s="41">
        <v>0</v>
      </c>
      <c r="BI145" s="41">
        <v>2503114.33</v>
      </c>
      <c r="BJ145" s="75"/>
      <c r="BK145" s="11"/>
    </row>
    <row r="146" spans="1:64" s="10" customFormat="1" ht="31.5" x14ac:dyDescent="0.2">
      <c r="A146" s="11" t="s">
        <v>0</v>
      </c>
      <c r="B146" s="11" t="s">
        <v>1</v>
      </c>
      <c r="C146" s="14" t="s">
        <v>2</v>
      </c>
      <c r="D146" s="11" t="s">
        <v>3</v>
      </c>
      <c r="E146" s="11" t="s">
        <v>4</v>
      </c>
      <c r="F146" s="11" t="s">
        <v>5</v>
      </c>
      <c r="G146" s="44" t="s">
        <v>6</v>
      </c>
      <c r="H146" s="45">
        <v>135</v>
      </c>
      <c r="I146" s="45" t="s">
        <v>0</v>
      </c>
      <c r="J146" s="46" t="s">
        <v>7</v>
      </c>
      <c r="K146" s="46" t="s">
        <v>8</v>
      </c>
      <c r="L146" s="41">
        <v>0</v>
      </c>
      <c r="M146" s="41">
        <v>0</v>
      </c>
      <c r="N146" s="41">
        <v>44962.61</v>
      </c>
      <c r="O146" s="41">
        <v>0</v>
      </c>
      <c r="P146" s="41">
        <v>0</v>
      </c>
      <c r="Q146" s="41">
        <f t="shared" si="91"/>
        <v>0</v>
      </c>
      <c r="R146" s="41">
        <v>0</v>
      </c>
      <c r="S146" s="41">
        <v>0</v>
      </c>
      <c r="T146" s="41">
        <f t="shared" si="92"/>
        <v>0</v>
      </c>
      <c r="U146" s="41">
        <v>94605.04</v>
      </c>
      <c r="V146" s="41">
        <v>94605.04</v>
      </c>
      <c r="W146" s="41">
        <f t="shared" si="93"/>
        <v>0</v>
      </c>
      <c r="X146" s="41">
        <v>0</v>
      </c>
      <c r="Y146" s="41">
        <v>0</v>
      </c>
      <c r="Z146" s="41">
        <f t="shared" si="94"/>
        <v>0</v>
      </c>
      <c r="AA146" s="41">
        <v>0</v>
      </c>
      <c r="AB146" s="41">
        <v>0</v>
      </c>
      <c r="AC146" s="41">
        <f t="shared" si="95"/>
        <v>0</v>
      </c>
      <c r="AD146" s="41">
        <v>197122.48</v>
      </c>
      <c r="AE146" s="41">
        <v>0</v>
      </c>
      <c r="AF146" s="41">
        <f t="shared" si="96"/>
        <v>-197122.48</v>
      </c>
      <c r="AG146" s="41">
        <v>0</v>
      </c>
      <c r="AH146" s="41">
        <v>164826.69</v>
      </c>
      <c r="AI146" s="41">
        <f t="shared" si="97"/>
        <v>164826.69</v>
      </c>
      <c r="AJ146" s="41">
        <v>0</v>
      </c>
      <c r="AK146" s="41">
        <v>0</v>
      </c>
      <c r="AL146" s="41">
        <f t="shared" si="98"/>
        <v>0</v>
      </c>
      <c r="AM146" s="41">
        <v>93406.33</v>
      </c>
      <c r="AN146" s="41">
        <v>82334.61</v>
      </c>
      <c r="AO146" s="41">
        <f t="shared" si="99"/>
        <v>-11071.720000000001</v>
      </c>
      <c r="AP146" s="41">
        <v>0</v>
      </c>
      <c r="AQ146" s="41">
        <f>IFERROR(VLOOKUP(G146,'10'!A:B,2,0),0)</f>
        <v>0</v>
      </c>
      <c r="AR146" s="41">
        <f t="shared" si="101"/>
        <v>0</v>
      </c>
      <c r="AS146" s="41">
        <f t="shared" si="104"/>
        <v>385133.85</v>
      </c>
      <c r="AT146" s="41">
        <f t="shared" si="105"/>
        <v>341766.33999999997</v>
      </c>
      <c r="AU146" s="41">
        <f t="shared" si="103"/>
        <v>-43367.510000000009</v>
      </c>
      <c r="AV146" s="459">
        <f t="shared" si="89"/>
        <v>0.8873962649608701</v>
      </c>
      <c r="AW146" s="41">
        <v>0</v>
      </c>
      <c r="AX146" s="41">
        <v>0</v>
      </c>
      <c r="AY146" s="41">
        <f t="shared" si="102"/>
        <v>385133.85</v>
      </c>
      <c r="AZ146" s="41">
        <f>VLOOKUP(G146,'2017'!A:B,2,0)</f>
        <v>437729.63999999996</v>
      </c>
      <c r="BA146" s="552">
        <f>AZ146-AY146</f>
        <v>52595.789999999979</v>
      </c>
      <c r="BB146" s="41">
        <v>8215877.9000000004</v>
      </c>
      <c r="BC146" s="41">
        <v>10045341.42</v>
      </c>
      <c r="BD146" s="41">
        <v>13470569.970000001</v>
      </c>
      <c r="BE146" s="41">
        <v>10665098.93</v>
      </c>
      <c r="BF146" s="41">
        <v>7364393.3799999999</v>
      </c>
      <c r="BG146" s="41">
        <v>3239453.9299999997</v>
      </c>
      <c r="BH146" s="41">
        <v>994014.01</v>
      </c>
      <c r="BI146" s="41">
        <v>54424846</v>
      </c>
      <c r="BJ146" s="75"/>
      <c r="BK146" s="11"/>
    </row>
    <row r="147" spans="1:64" s="10" customFormat="1" ht="63" x14ac:dyDescent="0.2">
      <c r="A147" s="11" t="s">
        <v>458</v>
      </c>
      <c r="B147" s="11" t="s">
        <v>459</v>
      </c>
      <c r="C147" s="14" t="s">
        <v>609</v>
      </c>
      <c r="D147" s="11">
        <v>1</v>
      </c>
      <c r="E147" s="11" t="s">
        <v>454</v>
      </c>
      <c r="F147" s="11" t="s">
        <v>77</v>
      </c>
      <c r="G147" s="44" t="s">
        <v>465</v>
      </c>
      <c r="H147" s="45">
        <v>136</v>
      </c>
      <c r="I147" s="45" t="s">
        <v>458</v>
      </c>
      <c r="J147" s="46" t="s">
        <v>456</v>
      </c>
      <c r="K147" s="46" t="s">
        <v>466</v>
      </c>
      <c r="L147" s="41">
        <v>0</v>
      </c>
      <c r="M147" s="41">
        <v>0</v>
      </c>
      <c r="N147" s="41">
        <v>29521.570000000003</v>
      </c>
      <c r="O147" s="41">
        <v>51786.65</v>
      </c>
      <c r="P147" s="41">
        <v>51385.04</v>
      </c>
      <c r="Q147" s="41">
        <f t="shared" si="91"/>
        <v>-401.61000000000058</v>
      </c>
      <c r="R147" s="41">
        <v>0</v>
      </c>
      <c r="S147" s="41">
        <v>0</v>
      </c>
      <c r="T147" s="41">
        <f t="shared" si="92"/>
        <v>0</v>
      </c>
      <c r="U147" s="41">
        <v>0</v>
      </c>
      <c r="V147" s="41">
        <v>0</v>
      </c>
      <c r="W147" s="41">
        <f t="shared" si="93"/>
        <v>0</v>
      </c>
      <c r="X147" s="41">
        <v>32048.63</v>
      </c>
      <c r="Y147" s="41">
        <v>0</v>
      </c>
      <c r="Z147" s="41">
        <f t="shared" si="94"/>
        <v>-32048.63</v>
      </c>
      <c r="AA147" s="41">
        <v>0</v>
      </c>
      <c r="AB147" s="41">
        <v>11348.67</v>
      </c>
      <c r="AC147" s="41">
        <f t="shared" si="95"/>
        <v>11348.67</v>
      </c>
      <c r="AD147" s="41">
        <v>0</v>
      </c>
      <c r="AE147" s="41">
        <v>0</v>
      </c>
      <c r="AF147" s="41">
        <f t="shared" si="96"/>
        <v>0</v>
      </c>
      <c r="AG147" s="41">
        <v>18673.650000000001</v>
      </c>
      <c r="AH147" s="41">
        <v>0</v>
      </c>
      <c r="AI147" s="41">
        <f t="shared" si="97"/>
        <v>-18673.650000000001</v>
      </c>
      <c r="AJ147" s="41">
        <v>0</v>
      </c>
      <c r="AK147" s="41">
        <v>16276.36</v>
      </c>
      <c r="AL147" s="41">
        <f t="shared" si="98"/>
        <v>16276.36</v>
      </c>
      <c r="AM147" s="41">
        <v>0</v>
      </c>
      <c r="AN147" s="41">
        <v>0</v>
      </c>
      <c r="AO147" s="41">
        <f t="shared" si="99"/>
        <v>0</v>
      </c>
      <c r="AP147" s="41">
        <v>18673.650000000001</v>
      </c>
      <c r="AQ147" s="41">
        <f>IFERROR(VLOOKUP(G147,'10'!A:B,2,0),0)</f>
        <v>0</v>
      </c>
      <c r="AR147" s="41">
        <f t="shared" si="101"/>
        <v>-18673.650000000001</v>
      </c>
      <c r="AS147" s="41">
        <f t="shared" si="104"/>
        <v>121182.57999999999</v>
      </c>
      <c r="AT147" s="41">
        <f t="shared" si="105"/>
        <v>79010.070000000007</v>
      </c>
      <c r="AU147" s="41">
        <f t="shared" si="103"/>
        <v>-42172.51</v>
      </c>
      <c r="AV147" s="459">
        <f t="shared" si="89"/>
        <v>0.65199197772485129</v>
      </c>
      <c r="AW147" s="41">
        <v>0</v>
      </c>
      <c r="AX147" s="41">
        <v>0</v>
      </c>
      <c r="AY147" s="41">
        <f t="shared" si="102"/>
        <v>121182.58000000002</v>
      </c>
      <c r="AZ147" s="41">
        <f>VLOOKUP(G147,'2017'!A:B,2,0)</f>
        <v>121182.57</v>
      </c>
      <c r="BA147" s="552">
        <f>AZ147-AY147</f>
        <v>-1.0000000009313226E-2</v>
      </c>
      <c r="BB147" s="41">
        <v>74606.640000000014</v>
      </c>
      <c r="BC147" s="41">
        <v>18644.310000000001</v>
      </c>
      <c r="BD147" s="41">
        <v>0</v>
      </c>
      <c r="BE147" s="41">
        <v>0</v>
      </c>
      <c r="BF147" s="41">
        <v>0</v>
      </c>
      <c r="BG147" s="41">
        <v>0</v>
      </c>
      <c r="BH147" s="41">
        <v>0</v>
      </c>
      <c r="BI147" s="41">
        <v>243955.1</v>
      </c>
      <c r="BJ147" s="75"/>
      <c r="BK147" s="11"/>
    </row>
    <row r="148" spans="1:64" s="10" customFormat="1" ht="47.25" x14ac:dyDescent="0.2">
      <c r="A148" s="43" t="s">
        <v>2107</v>
      </c>
      <c r="B148" s="43" t="s">
        <v>2109</v>
      </c>
      <c r="C148" s="475" t="s">
        <v>2108</v>
      </c>
      <c r="D148" s="43" t="s">
        <v>3</v>
      </c>
      <c r="E148" s="43" t="s">
        <v>4</v>
      </c>
      <c r="F148" s="43" t="s">
        <v>5</v>
      </c>
      <c r="G148" s="478" t="s">
        <v>2849</v>
      </c>
      <c r="H148" s="45">
        <v>137</v>
      </c>
      <c r="I148" s="45" t="s">
        <v>2107</v>
      </c>
      <c r="J148" s="475" t="s">
        <v>1057</v>
      </c>
      <c r="K148" s="485" t="s">
        <v>2133</v>
      </c>
      <c r="L148" s="41">
        <v>0</v>
      </c>
      <c r="M148" s="40">
        <v>0</v>
      </c>
      <c r="N148" s="40">
        <v>0</v>
      </c>
      <c r="O148" s="41">
        <v>0</v>
      </c>
      <c r="P148" s="41">
        <v>0</v>
      </c>
      <c r="Q148" s="41">
        <v>0</v>
      </c>
      <c r="R148" s="41">
        <v>0</v>
      </c>
      <c r="S148" s="41">
        <v>0</v>
      </c>
      <c r="T148" s="41">
        <v>0</v>
      </c>
      <c r="U148" s="41">
        <v>0</v>
      </c>
      <c r="V148" s="41">
        <v>0</v>
      </c>
      <c r="W148" s="41">
        <v>0</v>
      </c>
      <c r="X148" s="41">
        <v>0</v>
      </c>
      <c r="Y148" s="41">
        <v>0</v>
      </c>
      <c r="Z148" s="41">
        <v>0</v>
      </c>
      <c r="AA148" s="41">
        <v>0</v>
      </c>
      <c r="AB148" s="41">
        <v>0</v>
      </c>
      <c r="AC148" s="41">
        <v>0</v>
      </c>
      <c r="AD148" s="41">
        <v>0</v>
      </c>
      <c r="AE148" s="41">
        <v>0</v>
      </c>
      <c r="AF148" s="41">
        <v>0</v>
      </c>
      <c r="AG148" s="41">
        <v>0</v>
      </c>
      <c r="AH148" s="41">
        <v>0</v>
      </c>
      <c r="AI148" s="41">
        <v>0</v>
      </c>
      <c r="AJ148" s="41">
        <v>0</v>
      </c>
      <c r="AK148" s="41">
        <v>0</v>
      </c>
      <c r="AL148" s="41">
        <v>0</v>
      </c>
      <c r="AM148" s="41">
        <v>0</v>
      </c>
      <c r="AN148" s="41">
        <v>0</v>
      </c>
      <c r="AO148" s="41">
        <v>0</v>
      </c>
      <c r="AP148" s="41">
        <v>143653.01999999999</v>
      </c>
      <c r="AQ148" s="41">
        <f>IFERROR(VLOOKUP(G148,'10'!A:B,2,0),0)</f>
        <v>102778.24000000001</v>
      </c>
      <c r="AR148" s="41">
        <f t="shared" si="101"/>
        <v>-40874.779999999984</v>
      </c>
      <c r="AS148" s="41">
        <f t="shared" si="104"/>
        <v>143653.01999999999</v>
      </c>
      <c r="AT148" s="41">
        <f t="shared" si="105"/>
        <v>102778.24000000001</v>
      </c>
      <c r="AU148" s="41">
        <f t="shared" si="103"/>
        <v>-40874.779999999984</v>
      </c>
      <c r="AV148" s="459">
        <f t="shared" si="89"/>
        <v>0.7154617424680666</v>
      </c>
      <c r="AW148" s="41">
        <v>0</v>
      </c>
      <c r="AX148" s="41">
        <v>0</v>
      </c>
      <c r="AY148" s="41">
        <f t="shared" si="102"/>
        <v>143653.01999999999</v>
      </c>
      <c r="AZ148" s="41">
        <f>VLOOKUP(G148,'2017'!A:B,2,0)</f>
        <v>170329.77</v>
      </c>
      <c r="BA148" s="552">
        <f t="shared" ref="BA148" si="106">AZ148-AY148</f>
        <v>26676.75</v>
      </c>
      <c r="BB148" s="41">
        <v>287306.03999999998</v>
      </c>
      <c r="BC148" s="41">
        <v>23942.17</v>
      </c>
      <c r="BD148" s="41">
        <v>23942.17</v>
      </c>
      <c r="BE148" s="41">
        <v>0</v>
      </c>
      <c r="BF148" s="41">
        <v>0</v>
      </c>
      <c r="BG148" s="41">
        <v>0</v>
      </c>
      <c r="BH148" s="41">
        <v>0</v>
      </c>
      <c r="BI148" s="41">
        <v>478843.39999999991</v>
      </c>
      <c r="BJ148" s="459"/>
      <c r="BK148" s="41"/>
      <c r="BL148" s="432"/>
    </row>
    <row r="149" spans="1:64" s="10" customFormat="1" ht="47.25" x14ac:dyDescent="0.2">
      <c r="A149" s="11" t="s">
        <v>150</v>
      </c>
      <c r="B149" s="11" t="s">
        <v>151</v>
      </c>
      <c r="C149" s="14" t="s">
        <v>578</v>
      </c>
      <c r="D149" s="11" t="s">
        <v>3</v>
      </c>
      <c r="E149" s="11" t="s">
        <v>29</v>
      </c>
      <c r="F149" s="11" t="s">
        <v>102</v>
      </c>
      <c r="G149" s="44" t="s">
        <v>158</v>
      </c>
      <c r="H149" s="45">
        <v>138</v>
      </c>
      <c r="I149" s="45" t="s">
        <v>150</v>
      </c>
      <c r="J149" s="46" t="s">
        <v>98</v>
      </c>
      <c r="K149" s="46" t="s">
        <v>159</v>
      </c>
      <c r="L149" s="41">
        <v>0</v>
      </c>
      <c r="M149" s="41">
        <v>6834050.4199999999</v>
      </c>
      <c r="N149" s="41">
        <v>956429.63</v>
      </c>
      <c r="O149" s="41">
        <v>0</v>
      </c>
      <c r="P149" s="41">
        <v>4701.59</v>
      </c>
      <c r="Q149" s="41">
        <f t="shared" ref="Q149:Q156" si="107">P149-O149</f>
        <v>4701.59</v>
      </c>
      <c r="R149" s="41">
        <v>43106.149999999994</v>
      </c>
      <c r="S149" s="41">
        <v>0</v>
      </c>
      <c r="T149" s="41">
        <f t="shared" ref="T149:T156" si="108">S149-R149</f>
        <v>-43106.149999999994</v>
      </c>
      <c r="U149" s="41">
        <v>0</v>
      </c>
      <c r="V149" s="41">
        <v>0</v>
      </c>
      <c r="W149" s="41">
        <f t="shared" ref="W149:W156" si="109">V149-U149</f>
        <v>0</v>
      </c>
      <c r="X149" s="41">
        <v>0</v>
      </c>
      <c r="Y149" s="41">
        <v>0</v>
      </c>
      <c r="Z149" s="41">
        <f t="shared" ref="Z149:Z156" si="110">Y149-X149</f>
        <v>0</v>
      </c>
      <c r="AA149" s="41">
        <v>0</v>
      </c>
      <c r="AB149" s="41">
        <v>0</v>
      </c>
      <c r="AC149" s="41">
        <f t="shared" ref="AC149:AC156" si="111">AB149-AA149</f>
        <v>0</v>
      </c>
      <c r="AD149" s="41">
        <v>0</v>
      </c>
      <c r="AE149" s="41">
        <v>0</v>
      </c>
      <c r="AF149" s="41">
        <f t="shared" ref="AF149:AF156" si="112">AE149-AD149</f>
        <v>0</v>
      </c>
      <c r="AG149" s="41">
        <v>0</v>
      </c>
      <c r="AH149" s="41">
        <v>0</v>
      </c>
      <c r="AI149" s="41">
        <f t="shared" ref="AI149:AI156" si="113">AH149-AG149</f>
        <v>0</v>
      </c>
      <c r="AJ149" s="41">
        <v>0</v>
      </c>
      <c r="AK149" s="41">
        <v>0</v>
      </c>
      <c r="AL149" s="41">
        <f t="shared" ref="AL149:AL156" si="114">AK149-AJ149</f>
        <v>0</v>
      </c>
      <c r="AM149" s="41">
        <v>0</v>
      </c>
      <c r="AN149" s="41">
        <v>0</v>
      </c>
      <c r="AO149" s="41">
        <f t="shared" ref="AO149:AO166" si="115">AN149-AM149</f>
        <v>0</v>
      </c>
      <c r="AP149" s="41">
        <v>0</v>
      </c>
      <c r="AQ149" s="41">
        <f>IFERROR(VLOOKUP(G149,'10'!A:B,2,0),0)</f>
        <v>0</v>
      </c>
      <c r="AR149" s="41">
        <f t="shared" si="101"/>
        <v>0</v>
      </c>
      <c r="AS149" s="41">
        <f t="shared" si="104"/>
        <v>43106.149999999994</v>
      </c>
      <c r="AT149" s="41">
        <f t="shared" si="105"/>
        <v>4701.59</v>
      </c>
      <c r="AU149" s="41">
        <f t="shared" si="103"/>
        <v>-38404.559999999998</v>
      </c>
      <c r="AV149" s="459">
        <f t="shared" si="89"/>
        <v>0.10907005148917268</v>
      </c>
      <c r="AW149" s="41">
        <v>0</v>
      </c>
      <c r="AX149" s="41">
        <v>0</v>
      </c>
      <c r="AY149" s="41">
        <f t="shared" si="102"/>
        <v>43106.149999999994</v>
      </c>
      <c r="AZ149" s="41">
        <f>VLOOKUP(G149,'2017'!A:B,2,0)</f>
        <v>4701.59</v>
      </c>
      <c r="BA149" s="552">
        <f>AZ149-AY149</f>
        <v>-38404.559999999998</v>
      </c>
      <c r="BB149" s="41">
        <v>0</v>
      </c>
      <c r="BC149" s="41">
        <v>0</v>
      </c>
      <c r="BD149" s="41">
        <v>0</v>
      </c>
      <c r="BE149" s="41">
        <v>0</v>
      </c>
      <c r="BF149" s="41">
        <v>0</v>
      </c>
      <c r="BG149" s="41">
        <v>0</v>
      </c>
      <c r="BH149" s="41">
        <v>0</v>
      </c>
      <c r="BI149" s="41">
        <v>7833586.2000000002</v>
      </c>
      <c r="BJ149" s="75"/>
      <c r="BK149" s="11"/>
    </row>
    <row r="150" spans="1:64" s="10" customFormat="1" ht="31.5" x14ac:dyDescent="0.25">
      <c r="A150" s="472" t="s">
        <v>406</v>
      </c>
      <c r="B150" s="472" t="s">
        <v>411</v>
      </c>
      <c r="C150" s="473" t="s">
        <v>606</v>
      </c>
      <c r="D150" s="472">
        <v>1</v>
      </c>
      <c r="E150" s="472" t="s">
        <v>402</v>
      </c>
      <c r="F150" s="472" t="s">
        <v>77</v>
      </c>
      <c r="G150" s="474" t="s">
        <v>418</v>
      </c>
      <c r="H150" s="45">
        <v>139</v>
      </c>
      <c r="I150" s="45" t="s">
        <v>406</v>
      </c>
      <c r="J150" s="475" t="s">
        <v>419</v>
      </c>
      <c r="K150" s="475" t="s">
        <v>420</v>
      </c>
      <c r="L150" s="41">
        <v>0</v>
      </c>
      <c r="M150" s="41">
        <v>0</v>
      </c>
      <c r="N150" s="41">
        <v>0</v>
      </c>
      <c r="O150" s="41">
        <v>6970</v>
      </c>
      <c r="P150" s="41">
        <v>6970</v>
      </c>
      <c r="Q150" s="41">
        <f t="shared" si="107"/>
        <v>0</v>
      </c>
      <c r="R150" s="41">
        <v>3684.17</v>
      </c>
      <c r="S150" s="41">
        <v>3684.17</v>
      </c>
      <c r="T150" s="41">
        <f t="shared" si="108"/>
        <v>0</v>
      </c>
      <c r="U150" s="41">
        <v>4516.7</v>
      </c>
      <c r="V150" s="41">
        <v>4516.7</v>
      </c>
      <c r="W150" s="41">
        <f t="shared" si="109"/>
        <v>0</v>
      </c>
      <c r="X150" s="41">
        <v>8141.0499999999993</v>
      </c>
      <c r="Y150" s="41">
        <v>8138.43</v>
      </c>
      <c r="Z150" s="41">
        <f t="shared" si="110"/>
        <v>-2.6199999999989814</v>
      </c>
      <c r="AA150" s="41">
        <v>0</v>
      </c>
      <c r="AB150" s="41">
        <v>0</v>
      </c>
      <c r="AC150" s="41">
        <f t="shared" si="111"/>
        <v>0</v>
      </c>
      <c r="AD150" s="41">
        <v>36737.199999999997</v>
      </c>
      <c r="AE150" s="41">
        <v>15376.84</v>
      </c>
      <c r="AF150" s="41">
        <f t="shared" si="112"/>
        <v>-21360.359999999997</v>
      </c>
      <c r="AG150" s="41">
        <v>0</v>
      </c>
      <c r="AH150" s="41">
        <v>0</v>
      </c>
      <c r="AI150" s="41">
        <f t="shared" si="113"/>
        <v>0</v>
      </c>
      <c r="AJ150" s="41">
        <v>0</v>
      </c>
      <c r="AK150" s="41">
        <v>22001.63</v>
      </c>
      <c r="AL150" s="41">
        <f t="shared" si="114"/>
        <v>22001.63</v>
      </c>
      <c r="AM150" s="41">
        <v>37287.800000000003</v>
      </c>
      <c r="AN150" s="41">
        <v>0</v>
      </c>
      <c r="AO150" s="41">
        <f t="shared" si="115"/>
        <v>-37287.800000000003</v>
      </c>
      <c r="AP150" s="41">
        <v>0</v>
      </c>
      <c r="AQ150" s="41">
        <f>IFERROR(VLOOKUP(G150,'10'!A:B,2,0),0)</f>
        <v>0</v>
      </c>
      <c r="AR150" s="41">
        <f t="shared" si="101"/>
        <v>0</v>
      </c>
      <c r="AS150" s="41">
        <f t="shared" si="104"/>
        <v>97336.92</v>
      </c>
      <c r="AT150" s="41">
        <f>AN150+AK150+AH150+AE150+AB150+Y150+V150+S150+P150+AQ150</f>
        <v>60687.77</v>
      </c>
      <c r="AU150" s="41">
        <f t="shared" si="103"/>
        <v>-36649.149999999994</v>
      </c>
      <c r="AV150" s="459">
        <f t="shared" si="89"/>
        <v>0.62348151143471564</v>
      </c>
      <c r="AW150" s="41">
        <v>0</v>
      </c>
      <c r="AX150" s="41">
        <v>25165.95</v>
      </c>
      <c r="AY150" s="41">
        <f t="shared" si="102"/>
        <v>122502.87</v>
      </c>
      <c r="AZ150" s="41">
        <f>VLOOKUP(G150,'2017'!A:B,2,0)</f>
        <v>77035.67</v>
      </c>
      <c r="BA150" s="552">
        <f>AZ150-AY150</f>
        <v>-45467.199999999997</v>
      </c>
      <c r="BB150" s="41">
        <v>70693.649999999994</v>
      </c>
      <c r="BC150" s="41">
        <v>76221.2</v>
      </c>
      <c r="BD150" s="41">
        <v>7255.6</v>
      </c>
      <c r="BE150" s="41">
        <v>0</v>
      </c>
      <c r="BF150" s="41">
        <v>0</v>
      </c>
      <c r="BG150" s="41">
        <v>0</v>
      </c>
      <c r="BH150" s="41">
        <v>0</v>
      </c>
      <c r="BI150" s="41">
        <v>224396.6</v>
      </c>
      <c r="BJ150" s="75"/>
      <c r="BK150" s="24"/>
    </row>
    <row r="151" spans="1:64" s="10" customFormat="1" ht="31.5" x14ac:dyDescent="0.2">
      <c r="A151" s="11" t="s">
        <v>379</v>
      </c>
      <c r="B151" s="11" t="s">
        <v>380</v>
      </c>
      <c r="C151" s="14" t="s">
        <v>381</v>
      </c>
      <c r="D151" s="11">
        <v>1</v>
      </c>
      <c r="E151" s="11" t="s">
        <v>210</v>
      </c>
      <c r="F151" s="11" t="s">
        <v>77</v>
      </c>
      <c r="G151" s="44" t="s">
        <v>382</v>
      </c>
      <c r="H151" s="45">
        <v>140</v>
      </c>
      <c r="I151" s="45" t="s">
        <v>379</v>
      </c>
      <c r="J151" s="46" t="s">
        <v>383</v>
      </c>
      <c r="K151" s="46" t="s">
        <v>384</v>
      </c>
      <c r="L151" s="41">
        <v>0</v>
      </c>
      <c r="M151" s="41">
        <v>0</v>
      </c>
      <c r="N151" s="41">
        <v>163128.72999999998</v>
      </c>
      <c r="O151" s="41">
        <v>0</v>
      </c>
      <c r="P151" s="41">
        <v>0</v>
      </c>
      <c r="Q151" s="41">
        <f t="shared" si="107"/>
        <v>0</v>
      </c>
      <c r="R151" s="41">
        <v>0</v>
      </c>
      <c r="S151" s="41">
        <v>0</v>
      </c>
      <c r="T151" s="41">
        <f t="shared" si="108"/>
        <v>0</v>
      </c>
      <c r="U151" s="41">
        <v>100719.87</v>
      </c>
      <c r="V151" s="41">
        <v>99627.3</v>
      </c>
      <c r="W151" s="41">
        <f t="shared" si="109"/>
        <v>-1092.5699999999924</v>
      </c>
      <c r="X151" s="41">
        <v>0</v>
      </c>
      <c r="Y151" s="41">
        <v>0</v>
      </c>
      <c r="Z151" s="41">
        <f t="shared" si="110"/>
        <v>0</v>
      </c>
      <c r="AA151" s="41">
        <v>0</v>
      </c>
      <c r="AB151" s="41">
        <v>0</v>
      </c>
      <c r="AC151" s="41">
        <f t="shared" si="111"/>
        <v>0</v>
      </c>
      <c r="AD151" s="41">
        <v>159853.67000000001</v>
      </c>
      <c r="AE151" s="41">
        <v>154418.35</v>
      </c>
      <c r="AF151" s="41">
        <f t="shared" si="112"/>
        <v>-5435.320000000007</v>
      </c>
      <c r="AG151" s="41">
        <v>0</v>
      </c>
      <c r="AH151" s="41">
        <v>0</v>
      </c>
      <c r="AI151" s="41">
        <f t="shared" si="113"/>
        <v>0</v>
      </c>
      <c r="AJ151" s="41">
        <v>0</v>
      </c>
      <c r="AK151" s="41">
        <v>0</v>
      </c>
      <c r="AL151" s="41">
        <f t="shared" si="114"/>
        <v>0</v>
      </c>
      <c r="AM151" s="41">
        <v>99066.37</v>
      </c>
      <c r="AN151" s="41">
        <v>71014.31</v>
      </c>
      <c r="AO151" s="41">
        <f t="shared" si="115"/>
        <v>-28052.059999999998</v>
      </c>
      <c r="AP151" s="41">
        <v>0</v>
      </c>
      <c r="AQ151" s="41">
        <f>IFERROR(VLOOKUP(G151,'10'!A:B,2,0),0)</f>
        <v>0</v>
      </c>
      <c r="AR151" s="41">
        <f t="shared" si="101"/>
        <v>0</v>
      </c>
      <c r="AS151" s="41">
        <f t="shared" si="104"/>
        <v>359639.91000000003</v>
      </c>
      <c r="AT151" s="41">
        <f>AN151+AK151+AH151+AE151+AB151+Y151+V151+S151+P151+AQ151</f>
        <v>325059.96000000002</v>
      </c>
      <c r="AU151" s="41">
        <f t="shared" si="103"/>
        <v>-34579.949999999997</v>
      </c>
      <c r="AV151" s="459">
        <f t="shared" si="89"/>
        <v>0.90384840770313835</v>
      </c>
      <c r="AW151" s="41">
        <v>0</v>
      </c>
      <c r="AX151" s="41">
        <v>99066.4</v>
      </c>
      <c r="AY151" s="41">
        <f t="shared" si="102"/>
        <v>458706.31000000006</v>
      </c>
      <c r="AZ151" s="41">
        <f>VLOOKUP(G151,'2017'!A:B,2,0)</f>
        <v>457657.31</v>
      </c>
      <c r="BA151" s="552">
        <f>AZ151-AY151</f>
        <v>-1049.0000000000582</v>
      </c>
      <c r="BB151" s="41">
        <v>618863.02999999991</v>
      </c>
      <c r="BC151" s="41">
        <v>735881.54</v>
      </c>
      <c r="BD151" s="41">
        <v>1016463.77</v>
      </c>
      <c r="BE151" s="41">
        <v>1358467.58</v>
      </c>
      <c r="BF151" s="41">
        <v>469341.98</v>
      </c>
      <c r="BG151" s="41">
        <v>32157.46</v>
      </c>
      <c r="BH151" s="41">
        <v>0</v>
      </c>
      <c r="BI151" s="41">
        <v>4853010.3999999994</v>
      </c>
      <c r="BJ151" s="75"/>
      <c r="BK151" s="11"/>
    </row>
    <row r="152" spans="1:64" s="10" customFormat="1" ht="51" x14ac:dyDescent="0.2">
      <c r="A152" s="11" t="s">
        <v>485</v>
      </c>
      <c r="B152" s="11" t="s">
        <v>486</v>
      </c>
      <c r="C152" s="14" t="s">
        <v>610</v>
      </c>
      <c r="D152" s="11">
        <v>1</v>
      </c>
      <c r="E152" s="11" t="s">
        <v>454</v>
      </c>
      <c r="F152" s="11" t="s">
        <v>5</v>
      </c>
      <c r="G152" s="44" t="s">
        <v>490</v>
      </c>
      <c r="H152" s="45">
        <v>141</v>
      </c>
      <c r="I152" s="45" t="s">
        <v>485</v>
      </c>
      <c r="J152" s="46" t="s">
        <v>491</v>
      </c>
      <c r="K152" s="46" t="s">
        <v>492</v>
      </c>
      <c r="L152" s="41">
        <v>0</v>
      </c>
      <c r="M152" s="41">
        <v>0</v>
      </c>
      <c r="N152" s="41">
        <v>88865.860000000015</v>
      </c>
      <c r="O152" s="41">
        <v>26205.47</v>
      </c>
      <c r="P152" s="41">
        <v>26205.47</v>
      </c>
      <c r="Q152" s="41">
        <f t="shared" si="107"/>
        <v>0</v>
      </c>
      <c r="R152" s="41">
        <v>0</v>
      </c>
      <c r="S152" s="41">
        <v>0</v>
      </c>
      <c r="T152" s="41">
        <f t="shared" si="108"/>
        <v>0</v>
      </c>
      <c r="U152" s="41">
        <v>0</v>
      </c>
      <c r="V152" s="41">
        <v>0</v>
      </c>
      <c r="W152" s="41">
        <f t="shared" si="109"/>
        <v>0</v>
      </c>
      <c r="X152" s="41">
        <v>18700</v>
      </c>
      <c r="Y152" s="41">
        <v>15914.32</v>
      </c>
      <c r="Z152" s="41">
        <f t="shared" si="110"/>
        <v>-2785.6800000000003</v>
      </c>
      <c r="AA152" s="41">
        <v>0</v>
      </c>
      <c r="AB152" s="41">
        <v>0</v>
      </c>
      <c r="AC152" s="41">
        <f t="shared" si="111"/>
        <v>0</v>
      </c>
      <c r="AD152" s="41">
        <v>0</v>
      </c>
      <c r="AE152" s="41">
        <v>0</v>
      </c>
      <c r="AF152" s="41">
        <f t="shared" si="112"/>
        <v>0</v>
      </c>
      <c r="AG152" s="41">
        <v>45050</v>
      </c>
      <c r="AH152" s="41">
        <v>27827.34</v>
      </c>
      <c r="AI152" s="41">
        <f t="shared" si="113"/>
        <v>-17222.66</v>
      </c>
      <c r="AJ152" s="41">
        <v>0</v>
      </c>
      <c r="AK152" s="41">
        <v>0</v>
      </c>
      <c r="AL152" s="41">
        <f t="shared" si="114"/>
        <v>0</v>
      </c>
      <c r="AM152" s="41">
        <v>0</v>
      </c>
      <c r="AN152" s="41">
        <v>0</v>
      </c>
      <c r="AO152" s="41">
        <f t="shared" si="115"/>
        <v>0</v>
      </c>
      <c r="AP152" s="41">
        <v>45050</v>
      </c>
      <c r="AQ152" s="41">
        <f>IFERROR(VLOOKUP(G152,'10'!A:B,2,0),0)</f>
        <v>30817.54</v>
      </c>
      <c r="AR152" s="41">
        <f t="shared" si="101"/>
        <v>-14232.46</v>
      </c>
      <c r="AS152" s="41">
        <f t="shared" si="104"/>
        <v>135005.47</v>
      </c>
      <c r="AT152" s="41">
        <f>AN152+AK152+AH152+AE152+AB152+Y152+V152+S152+P152+AQ152</f>
        <v>100764.67000000001</v>
      </c>
      <c r="AU152" s="41">
        <f t="shared" si="103"/>
        <v>-34240.800000000003</v>
      </c>
      <c r="AV152" s="459">
        <f t="shared" si="89"/>
        <v>0.7463747209650099</v>
      </c>
      <c r="AW152" s="41">
        <v>0</v>
      </c>
      <c r="AX152" s="41">
        <v>0</v>
      </c>
      <c r="AY152" s="41">
        <f t="shared" si="102"/>
        <v>135005.47</v>
      </c>
      <c r="AZ152" s="41">
        <f>VLOOKUP(G152,'2017'!A:B,2,0)</f>
        <v>100764.67000000001</v>
      </c>
      <c r="BA152" s="552">
        <f>AZ152-AY152</f>
        <v>-34240.799999999988</v>
      </c>
      <c r="BB152" s="41">
        <v>172522.83000000002</v>
      </c>
      <c r="BC152" s="41">
        <v>46859.59</v>
      </c>
      <c r="BD152" s="41">
        <v>0</v>
      </c>
      <c r="BE152" s="41">
        <v>0</v>
      </c>
      <c r="BF152" s="41">
        <v>0</v>
      </c>
      <c r="BG152" s="41">
        <v>0</v>
      </c>
      <c r="BH152" s="41">
        <v>0</v>
      </c>
      <c r="BI152" s="41">
        <v>443253.75</v>
      </c>
      <c r="BJ152" s="75"/>
      <c r="BK152" s="11"/>
    </row>
    <row r="153" spans="1:64" s="10" customFormat="1" ht="63" x14ac:dyDescent="0.2">
      <c r="A153" s="11" t="s">
        <v>74</v>
      </c>
      <c r="B153" s="11" t="s">
        <v>75</v>
      </c>
      <c r="C153" s="14" t="s">
        <v>570</v>
      </c>
      <c r="D153" s="11">
        <v>1</v>
      </c>
      <c r="E153" s="11" t="s">
        <v>76</v>
      </c>
      <c r="F153" s="11" t="s">
        <v>77</v>
      </c>
      <c r="G153" s="44" t="s">
        <v>86</v>
      </c>
      <c r="H153" s="45">
        <v>142</v>
      </c>
      <c r="I153" s="45" t="s">
        <v>74</v>
      </c>
      <c r="J153" s="46" t="s">
        <v>87</v>
      </c>
      <c r="K153" s="46" t="s">
        <v>88</v>
      </c>
      <c r="L153" s="41">
        <v>0</v>
      </c>
      <c r="M153" s="41">
        <v>0</v>
      </c>
      <c r="N153" s="41">
        <v>0</v>
      </c>
      <c r="O153" s="41">
        <v>0</v>
      </c>
      <c r="P153" s="41">
        <v>0</v>
      </c>
      <c r="Q153" s="41">
        <f t="shared" si="107"/>
        <v>0</v>
      </c>
      <c r="R153" s="41">
        <v>0</v>
      </c>
      <c r="S153" s="41">
        <v>0</v>
      </c>
      <c r="T153" s="41">
        <f t="shared" si="108"/>
        <v>0</v>
      </c>
      <c r="U153" s="41">
        <v>0</v>
      </c>
      <c r="V153" s="41">
        <v>0</v>
      </c>
      <c r="W153" s="41">
        <f t="shared" si="109"/>
        <v>0</v>
      </c>
      <c r="X153" s="41">
        <v>13.6</v>
      </c>
      <c r="Y153" s="41">
        <v>13.6</v>
      </c>
      <c r="Z153" s="41">
        <f t="shared" si="110"/>
        <v>0</v>
      </c>
      <c r="AA153" s="41">
        <v>0</v>
      </c>
      <c r="AB153" s="41">
        <v>0</v>
      </c>
      <c r="AC153" s="41">
        <f t="shared" si="111"/>
        <v>0</v>
      </c>
      <c r="AD153" s="41">
        <v>0</v>
      </c>
      <c r="AE153" s="41">
        <v>0</v>
      </c>
      <c r="AF153" s="41">
        <f t="shared" si="112"/>
        <v>0</v>
      </c>
      <c r="AG153" s="41">
        <v>18986.45</v>
      </c>
      <c r="AH153" s="41">
        <v>9835.2800000000007</v>
      </c>
      <c r="AI153" s="41">
        <f t="shared" si="113"/>
        <v>-9151.17</v>
      </c>
      <c r="AJ153" s="41">
        <v>0</v>
      </c>
      <c r="AK153" s="41">
        <v>0</v>
      </c>
      <c r="AL153" s="41">
        <f t="shared" si="114"/>
        <v>0</v>
      </c>
      <c r="AM153" s="41">
        <v>0</v>
      </c>
      <c r="AN153" s="41">
        <v>0</v>
      </c>
      <c r="AO153" s="41">
        <f t="shared" si="115"/>
        <v>0</v>
      </c>
      <c r="AP153" s="41">
        <v>29999.9</v>
      </c>
      <c r="AQ153" s="41">
        <f>IFERROR(VLOOKUP(G153,'10'!A:B,2,0),0)</f>
        <v>5937.36</v>
      </c>
      <c r="AR153" s="41">
        <f t="shared" si="101"/>
        <v>-24062.54</v>
      </c>
      <c r="AS153" s="41">
        <f t="shared" si="104"/>
        <v>48999.95</v>
      </c>
      <c r="AT153" s="41">
        <f>AN153+AK153+AH153+AE153+AB153+Y153+V153+S153+P153+AQ153</f>
        <v>15786.240000000002</v>
      </c>
      <c r="AU153" s="41">
        <f t="shared" si="103"/>
        <v>-33213.71</v>
      </c>
      <c r="AV153" s="459">
        <f t="shared" si="89"/>
        <v>0.32216849200866537</v>
      </c>
      <c r="AW153" s="41">
        <v>0</v>
      </c>
      <c r="AX153" s="41">
        <v>0</v>
      </c>
      <c r="AY153" s="41">
        <f t="shared" si="102"/>
        <v>48999.950000000004</v>
      </c>
      <c r="AZ153" s="41">
        <f>VLOOKUP(G153,'2017'!A:B,2,0)</f>
        <v>15786.330000000002</v>
      </c>
      <c r="BA153" s="552">
        <f>AZ153-AY153</f>
        <v>-33213.620000000003</v>
      </c>
      <c r="BB153" s="41">
        <v>136300.04999999999</v>
      </c>
      <c r="BC153" s="41">
        <v>56015</v>
      </c>
      <c r="BD153" s="41">
        <v>13685</v>
      </c>
      <c r="BE153" s="41">
        <v>0</v>
      </c>
      <c r="BF153" s="41">
        <v>0</v>
      </c>
      <c r="BG153" s="41">
        <v>0</v>
      </c>
      <c r="BH153" s="41">
        <v>0</v>
      </c>
      <c r="BI153" s="41">
        <v>255000</v>
      </c>
      <c r="BJ153" s="75"/>
      <c r="BK153" s="11"/>
    </row>
    <row r="154" spans="1:64" s="10" customFormat="1" ht="78.75" x14ac:dyDescent="0.2">
      <c r="A154" s="11" t="s">
        <v>138</v>
      </c>
      <c r="B154" s="11" t="s">
        <v>139</v>
      </c>
      <c r="C154" s="14" t="s">
        <v>576</v>
      </c>
      <c r="D154" s="11">
        <v>2</v>
      </c>
      <c r="E154" s="11" t="s">
        <v>35</v>
      </c>
      <c r="F154" s="11" t="s">
        <v>5</v>
      </c>
      <c r="G154" s="44" t="s">
        <v>702</v>
      </c>
      <c r="H154" s="45">
        <v>143</v>
      </c>
      <c r="I154" s="45" t="s">
        <v>138</v>
      </c>
      <c r="J154" s="46" t="s">
        <v>703</v>
      </c>
      <c r="K154" s="46" t="s">
        <v>704</v>
      </c>
      <c r="L154" s="41">
        <v>0</v>
      </c>
      <c r="M154" s="41">
        <v>0</v>
      </c>
      <c r="N154" s="41">
        <v>0</v>
      </c>
      <c r="O154" s="41">
        <v>0</v>
      </c>
      <c r="P154" s="41">
        <v>0</v>
      </c>
      <c r="Q154" s="41">
        <f t="shared" si="107"/>
        <v>0</v>
      </c>
      <c r="R154" s="41">
        <v>0</v>
      </c>
      <c r="S154" s="41">
        <v>0</v>
      </c>
      <c r="T154" s="41">
        <f t="shared" si="108"/>
        <v>0</v>
      </c>
      <c r="U154" s="41">
        <v>0</v>
      </c>
      <c r="V154" s="41">
        <v>0</v>
      </c>
      <c r="W154" s="41">
        <f t="shared" si="109"/>
        <v>0</v>
      </c>
      <c r="X154" s="41">
        <v>0</v>
      </c>
      <c r="Y154" s="41">
        <v>0</v>
      </c>
      <c r="Z154" s="41">
        <f t="shared" si="110"/>
        <v>0</v>
      </c>
      <c r="AA154" s="41">
        <v>32109.77</v>
      </c>
      <c r="AB154" s="41">
        <v>0</v>
      </c>
      <c r="AC154" s="41">
        <f t="shared" si="111"/>
        <v>-32109.77</v>
      </c>
      <c r="AD154" s="41">
        <v>0</v>
      </c>
      <c r="AE154" s="41">
        <v>0</v>
      </c>
      <c r="AF154" s="41">
        <f t="shared" si="112"/>
        <v>0</v>
      </c>
      <c r="AG154" s="41">
        <v>0</v>
      </c>
      <c r="AH154" s="41">
        <v>0</v>
      </c>
      <c r="AI154" s="41">
        <f t="shared" si="113"/>
        <v>0</v>
      </c>
      <c r="AJ154" s="41">
        <v>0</v>
      </c>
      <c r="AK154" s="41">
        <v>0</v>
      </c>
      <c r="AL154" s="41">
        <f t="shared" si="114"/>
        <v>0</v>
      </c>
      <c r="AM154" s="41">
        <v>0</v>
      </c>
      <c r="AN154" s="41">
        <v>0</v>
      </c>
      <c r="AO154" s="41">
        <f t="shared" si="115"/>
        <v>0</v>
      </c>
      <c r="AP154" s="41">
        <v>0</v>
      </c>
      <c r="AQ154" s="41">
        <f>IFERROR(VLOOKUP(G154,'10'!A:B,2,0),0)</f>
        <v>0</v>
      </c>
      <c r="AR154" s="41">
        <f t="shared" si="101"/>
        <v>0</v>
      </c>
      <c r="AS154" s="41">
        <f t="shared" si="104"/>
        <v>32109.77</v>
      </c>
      <c r="AT154" s="41">
        <f t="shared" ref="AT154:AT159" si="116">AN154+AK154+AH154+AE154+AB154+-Y154+V154+S154+P154+AQ154</f>
        <v>0</v>
      </c>
      <c r="AU154" s="41">
        <f t="shared" si="103"/>
        <v>-32109.77</v>
      </c>
      <c r="AV154" s="459">
        <f t="shared" si="89"/>
        <v>0</v>
      </c>
      <c r="AW154" s="41">
        <v>0</v>
      </c>
      <c r="AX154" s="41">
        <v>0</v>
      </c>
      <c r="AY154" s="41">
        <f t="shared" si="102"/>
        <v>32109.77</v>
      </c>
      <c r="AZ154" s="41">
        <f>VLOOKUP(G154,'2017'!A:B,2,0)</f>
        <v>0</v>
      </c>
      <c r="BA154" s="552">
        <v>0</v>
      </c>
      <c r="BB154" s="41">
        <v>1755063.85</v>
      </c>
      <c r="BC154" s="41">
        <v>1321731.3</v>
      </c>
      <c r="BD154" s="41">
        <v>0</v>
      </c>
      <c r="BE154" s="41">
        <v>0</v>
      </c>
      <c r="BF154" s="41">
        <v>0</v>
      </c>
      <c r="BG154" s="41">
        <v>0</v>
      </c>
      <c r="BH154" s="41">
        <v>0</v>
      </c>
      <c r="BI154" s="41">
        <v>3108904.92</v>
      </c>
      <c r="BJ154" s="75"/>
      <c r="BK154" s="11"/>
    </row>
    <row r="155" spans="1:64" s="10" customFormat="1" ht="63" x14ac:dyDescent="0.2">
      <c r="A155" s="11" t="s">
        <v>172</v>
      </c>
      <c r="B155" s="11" t="s">
        <v>173</v>
      </c>
      <c r="C155" s="14" t="s">
        <v>579</v>
      </c>
      <c r="D155" s="11" t="s">
        <v>3</v>
      </c>
      <c r="E155" s="11" t="s">
        <v>29</v>
      </c>
      <c r="F155" s="11" t="s">
        <v>5</v>
      </c>
      <c r="G155" s="44" t="s">
        <v>176</v>
      </c>
      <c r="H155" s="45">
        <v>144</v>
      </c>
      <c r="I155" s="45" t="s">
        <v>172</v>
      </c>
      <c r="J155" s="46" t="s">
        <v>98</v>
      </c>
      <c r="K155" s="46" t="s">
        <v>177</v>
      </c>
      <c r="L155" s="41">
        <v>0</v>
      </c>
      <c r="M155" s="41">
        <v>0</v>
      </c>
      <c r="N155" s="41">
        <v>1573000.3</v>
      </c>
      <c r="O155" s="41">
        <v>0</v>
      </c>
      <c r="P155" s="41">
        <v>0</v>
      </c>
      <c r="Q155" s="41">
        <f t="shared" si="107"/>
        <v>0</v>
      </c>
      <c r="R155" s="41">
        <v>31864.83</v>
      </c>
      <c r="S155" s="41">
        <v>0</v>
      </c>
      <c r="T155" s="41">
        <f t="shared" si="108"/>
        <v>-31864.83</v>
      </c>
      <c r="U155" s="41">
        <v>0</v>
      </c>
      <c r="V155" s="41">
        <v>0</v>
      </c>
      <c r="W155" s="41">
        <f t="shared" si="109"/>
        <v>0</v>
      </c>
      <c r="X155" s="41">
        <v>0</v>
      </c>
      <c r="Y155" s="41">
        <v>0</v>
      </c>
      <c r="Z155" s="41">
        <f t="shared" si="110"/>
        <v>0</v>
      </c>
      <c r="AA155" s="41">
        <v>0</v>
      </c>
      <c r="AB155" s="41">
        <v>0</v>
      </c>
      <c r="AC155" s="41">
        <f t="shared" si="111"/>
        <v>0</v>
      </c>
      <c r="AD155" s="41">
        <v>0</v>
      </c>
      <c r="AE155" s="41">
        <v>0</v>
      </c>
      <c r="AF155" s="41">
        <f t="shared" si="112"/>
        <v>0</v>
      </c>
      <c r="AG155" s="41">
        <v>0</v>
      </c>
      <c r="AH155" s="41">
        <v>0</v>
      </c>
      <c r="AI155" s="41">
        <f t="shared" si="113"/>
        <v>0</v>
      </c>
      <c r="AJ155" s="41">
        <v>0</v>
      </c>
      <c r="AK155" s="41">
        <v>0</v>
      </c>
      <c r="AL155" s="41">
        <f t="shared" si="114"/>
        <v>0</v>
      </c>
      <c r="AM155" s="41">
        <v>0</v>
      </c>
      <c r="AN155" s="41">
        <v>0</v>
      </c>
      <c r="AO155" s="41">
        <f t="shared" si="115"/>
        <v>0</v>
      </c>
      <c r="AP155" s="41">
        <v>0</v>
      </c>
      <c r="AQ155" s="41">
        <f>IFERROR(VLOOKUP(G155,'10'!A:B,2,0),0)</f>
        <v>0</v>
      </c>
      <c r="AR155" s="41">
        <f t="shared" si="101"/>
        <v>0</v>
      </c>
      <c r="AS155" s="41">
        <f t="shared" si="104"/>
        <v>31864.83</v>
      </c>
      <c r="AT155" s="41">
        <f t="shared" si="116"/>
        <v>0</v>
      </c>
      <c r="AU155" s="41">
        <f t="shared" si="103"/>
        <v>-31864.83</v>
      </c>
      <c r="AV155" s="459">
        <f t="shared" si="89"/>
        <v>0</v>
      </c>
      <c r="AW155" s="41">
        <v>0</v>
      </c>
      <c r="AX155" s="41">
        <v>0</v>
      </c>
      <c r="AY155" s="41">
        <f t="shared" si="102"/>
        <v>31864.83</v>
      </c>
      <c r="AZ155" s="41"/>
      <c r="BA155" s="552">
        <v>0</v>
      </c>
      <c r="BB155" s="41">
        <v>0</v>
      </c>
      <c r="BC155" s="41">
        <v>0</v>
      </c>
      <c r="BD155" s="41">
        <v>0</v>
      </c>
      <c r="BE155" s="41">
        <v>0</v>
      </c>
      <c r="BF155" s="41">
        <v>0</v>
      </c>
      <c r="BG155" s="41">
        <v>0</v>
      </c>
      <c r="BH155" s="41">
        <v>0</v>
      </c>
      <c r="BI155" s="41">
        <v>1604865.1300000001</v>
      </c>
      <c r="BJ155" s="75"/>
      <c r="BK155" s="11"/>
    </row>
    <row r="156" spans="1:64" s="10" customFormat="1" ht="47.25" x14ac:dyDescent="0.25">
      <c r="A156" s="11" t="s">
        <v>406</v>
      </c>
      <c r="B156" s="11" t="s">
        <v>411</v>
      </c>
      <c r="C156" s="14" t="s">
        <v>606</v>
      </c>
      <c r="D156" s="11">
        <v>1</v>
      </c>
      <c r="E156" s="11" t="s">
        <v>402</v>
      </c>
      <c r="F156" s="11" t="s">
        <v>77</v>
      </c>
      <c r="G156" s="44" t="s">
        <v>723</v>
      </c>
      <c r="H156" s="45">
        <v>145</v>
      </c>
      <c r="I156" s="45" t="s">
        <v>406</v>
      </c>
      <c r="J156" s="46" t="s">
        <v>724</v>
      </c>
      <c r="K156" s="46" t="s">
        <v>725</v>
      </c>
      <c r="L156" s="41"/>
      <c r="M156" s="41"/>
      <c r="N156" s="41"/>
      <c r="O156" s="41"/>
      <c r="P156" s="41">
        <v>0</v>
      </c>
      <c r="Q156" s="41">
        <f t="shared" si="107"/>
        <v>0</v>
      </c>
      <c r="R156" s="41"/>
      <c r="S156" s="41">
        <v>0</v>
      </c>
      <c r="T156" s="41">
        <f t="shared" si="108"/>
        <v>0</v>
      </c>
      <c r="U156" s="41"/>
      <c r="V156" s="41">
        <v>0</v>
      </c>
      <c r="W156" s="41">
        <f t="shared" si="109"/>
        <v>0</v>
      </c>
      <c r="X156" s="41"/>
      <c r="Y156" s="41">
        <v>0</v>
      </c>
      <c r="Z156" s="41">
        <f t="shared" si="110"/>
        <v>0</v>
      </c>
      <c r="AA156" s="41">
        <v>42500</v>
      </c>
      <c r="AB156" s="41">
        <v>0</v>
      </c>
      <c r="AC156" s="41">
        <f t="shared" si="111"/>
        <v>-42500</v>
      </c>
      <c r="AD156" s="41">
        <v>0</v>
      </c>
      <c r="AE156" s="41">
        <v>42500</v>
      </c>
      <c r="AF156" s="41">
        <f t="shared" si="112"/>
        <v>42500</v>
      </c>
      <c r="AG156" s="41">
        <v>8416.7000000000007</v>
      </c>
      <c r="AH156" s="41">
        <v>1146.5899999999999</v>
      </c>
      <c r="AI156" s="41">
        <f t="shared" si="113"/>
        <v>-7270.1100000000006</v>
      </c>
      <c r="AJ156" s="41">
        <v>0</v>
      </c>
      <c r="AK156" s="41">
        <v>0</v>
      </c>
      <c r="AL156" s="41">
        <f t="shared" si="114"/>
        <v>0</v>
      </c>
      <c r="AM156" s="41">
        <v>0</v>
      </c>
      <c r="AN156" s="41">
        <v>16915</v>
      </c>
      <c r="AO156" s="41">
        <f t="shared" si="115"/>
        <v>16915</v>
      </c>
      <c r="AP156" s="41">
        <v>81949</v>
      </c>
      <c r="AQ156" s="41">
        <f>IFERROR(VLOOKUP(G156,'10'!A:B,2,0),0)</f>
        <v>42450.559999999998</v>
      </c>
      <c r="AR156" s="41">
        <f t="shared" si="101"/>
        <v>-39498.44</v>
      </c>
      <c r="AS156" s="41">
        <f t="shared" si="104"/>
        <v>132865.70000000001</v>
      </c>
      <c r="AT156" s="41">
        <f t="shared" si="116"/>
        <v>103012.15</v>
      </c>
      <c r="AU156" s="41">
        <f t="shared" si="103"/>
        <v>-29853.550000000003</v>
      </c>
      <c r="AV156" s="459">
        <f t="shared" si="89"/>
        <v>0.77531033216247669</v>
      </c>
      <c r="AW156" s="41">
        <v>0</v>
      </c>
      <c r="AX156" s="41">
        <v>0</v>
      </c>
      <c r="AY156" s="41">
        <f t="shared" si="102"/>
        <v>132865.70000000001</v>
      </c>
      <c r="AZ156" s="41">
        <f>VLOOKUP(G156,'2017'!A:B,2,0)</f>
        <v>103012.15</v>
      </c>
      <c r="BA156" s="552">
        <f>AZ156-AY156</f>
        <v>-29853.550000000017</v>
      </c>
      <c r="BB156" s="41">
        <v>187769</v>
      </c>
      <c r="BC156" s="41">
        <v>147417</v>
      </c>
      <c r="BD156" s="41">
        <v>14510.35</v>
      </c>
      <c r="BE156" s="41">
        <v>0</v>
      </c>
      <c r="BF156" s="41">
        <v>0</v>
      </c>
      <c r="BG156" s="41">
        <v>0</v>
      </c>
      <c r="BH156" s="41">
        <v>0</v>
      </c>
      <c r="BI156" s="41">
        <v>253980.00000000003</v>
      </c>
      <c r="BJ156" s="75"/>
      <c r="BK156" s="11"/>
      <c r="BL156" s="8"/>
    </row>
    <row r="157" spans="1:64" s="10" customFormat="1" ht="25.5" x14ac:dyDescent="0.2">
      <c r="A157" s="55" t="s">
        <v>33</v>
      </c>
      <c r="B157" s="55" t="s">
        <v>34</v>
      </c>
      <c r="C157" s="155" t="s">
        <v>566</v>
      </c>
      <c r="D157" s="55">
        <v>1</v>
      </c>
      <c r="E157" s="55" t="s">
        <v>35</v>
      </c>
      <c r="F157" s="55" t="s">
        <v>5</v>
      </c>
      <c r="G157" s="484" t="s">
        <v>2821</v>
      </c>
      <c r="H157" s="45">
        <v>146</v>
      </c>
      <c r="I157" s="45" t="s">
        <v>33</v>
      </c>
      <c r="J157" s="155" t="s">
        <v>2773</v>
      </c>
      <c r="K157" s="155" t="s">
        <v>1132</v>
      </c>
      <c r="L157" s="493"/>
      <c r="M157" s="152">
        <v>0</v>
      </c>
      <c r="N157" s="152">
        <v>0</v>
      </c>
      <c r="O157" s="152">
        <v>0</v>
      </c>
      <c r="P157" s="152"/>
      <c r="Q157" s="152"/>
      <c r="R157" s="152">
        <v>0</v>
      </c>
      <c r="S157" s="152"/>
      <c r="T157" s="152"/>
      <c r="U157" s="152">
        <v>0</v>
      </c>
      <c r="V157" s="152"/>
      <c r="W157" s="152"/>
      <c r="X157" s="152">
        <v>0</v>
      </c>
      <c r="Y157" s="152"/>
      <c r="Z157" s="152">
        <v>0</v>
      </c>
      <c r="AA157" s="152"/>
      <c r="AB157" s="152"/>
      <c r="AC157" s="152">
        <v>0</v>
      </c>
      <c r="AD157" s="152"/>
      <c r="AE157" s="152"/>
      <c r="AF157" s="152">
        <v>0</v>
      </c>
      <c r="AG157" s="152"/>
      <c r="AH157" s="152"/>
      <c r="AI157" s="152">
        <v>0</v>
      </c>
      <c r="AJ157" s="152"/>
      <c r="AK157" s="152"/>
      <c r="AL157" s="152"/>
      <c r="AM157" s="152">
        <v>9940</v>
      </c>
      <c r="AN157" s="41">
        <v>0</v>
      </c>
      <c r="AO157" s="41">
        <f t="shared" si="115"/>
        <v>-9940</v>
      </c>
      <c r="AP157" s="152">
        <v>19732</v>
      </c>
      <c r="AQ157" s="41">
        <f>IFERROR(VLOOKUP(G157,'10'!A:B,2,0),0)</f>
        <v>0</v>
      </c>
      <c r="AR157" s="41">
        <f t="shared" si="101"/>
        <v>-19732</v>
      </c>
      <c r="AS157" s="41">
        <f t="shared" si="104"/>
        <v>29672</v>
      </c>
      <c r="AT157" s="41">
        <f t="shared" si="116"/>
        <v>0</v>
      </c>
      <c r="AU157" s="41">
        <f t="shared" si="103"/>
        <v>-29672</v>
      </c>
      <c r="AV157" s="459">
        <f t="shared" si="89"/>
        <v>0</v>
      </c>
      <c r="AW157" s="152">
        <v>15482</v>
      </c>
      <c r="AX157" s="152">
        <v>6132</v>
      </c>
      <c r="AY157" s="41">
        <f t="shared" si="102"/>
        <v>51286</v>
      </c>
      <c r="AZ157" s="41"/>
      <c r="BA157" s="552">
        <f>AZ157-AY157</f>
        <v>-51286</v>
      </c>
      <c r="BB157" s="152">
        <v>999530</v>
      </c>
      <c r="BC157" s="152">
        <v>343401</v>
      </c>
      <c r="BD157" s="152">
        <v>305783</v>
      </c>
      <c r="BE157" s="152">
        <v>0</v>
      </c>
      <c r="BF157" s="152">
        <v>0</v>
      </c>
      <c r="BG157" s="152">
        <v>0</v>
      </c>
      <c r="BH157" s="152">
        <v>0</v>
      </c>
      <c r="BI157" s="152">
        <v>1700000</v>
      </c>
      <c r="BJ157" s="145"/>
      <c r="BK157" s="41"/>
    </row>
    <row r="158" spans="1:64" s="10" customFormat="1" ht="47.25" x14ac:dyDescent="0.2">
      <c r="A158" s="11" t="s">
        <v>138</v>
      </c>
      <c r="B158" s="11" t="s">
        <v>139</v>
      </c>
      <c r="C158" s="14" t="s">
        <v>576</v>
      </c>
      <c r="D158" s="11">
        <v>1</v>
      </c>
      <c r="E158" s="11" t="s">
        <v>35</v>
      </c>
      <c r="F158" s="11" t="s">
        <v>5</v>
      </c>
      <c r="G158" s="44" t="s">
        <v>700</v>
      </c>
      <c r="H158" s="45">
        <v>147</v>
      </c>
      <c r="I158" s="45" t="s">
        <v>138</v>
      </c>
      <c r="J158" s="46" t="s">
        <v>488</v>
      </c>
      <c r="K158" s="46" t="s">
        <v>701</v>
      </c>
      <c r="L158" s="41">
        <v>0</v>
      </c>
      <c r="M158" s="41">
        <v>0</v>
      </c>
      <c r="N158" s="41">
        <v>0</v>
      </c>
      <c r="O158" s="41">
        <v>0</v>
      </c>
      <c r="P158" s="41">
        <v>0</v>
      </c>
      <c r="Q158" s="41">
        <f>P158-O158</f>
        <v>0</v>
      </c>
      <c r="R158" s="41">
        <v>0</v>
      </c>
      <c r="S158" s="41">
        <v>0</v>
      </c>
      <c r="T158" s="41">
        <f>S158-R158</f>
        <v>0</v>
      </c>
      <c r="U158" s="41">
        <v>0</v>
      </c>
      <c r="V158" s="41">
        <v>0</v>
      </c>
      <c r="W158" s="41">
        <f>V158-U158</f>
        <v>0</v>
      </c>
      <c r="X158" s="41">
        <v>0</v>
      </c>
      <c r="Y158" s="41">
        <v>0</v>
      </c>
      <c r="Z158" s="41">
        <f>Y158-X158</f>
        <v>0</v>
      </c>
      <c r="AA158" s="41">
        <v>29478.26</v>
      </c>
      <c r="AB158" s="41">
        <v>0</v>
      </c>
      <c r="AC158" s="41">
        <f>AB158-AA158</f>
        <v>-29478.26</v>
      </c>
      <c r="AD158" s="41">
        <v>0</v>
      </c>
      <c r="AE158" s="41">
        <v>0</v>
      </c>
      <c r="AF158" s="41">
        <f>AE158-AD158</f>
        <v>0</v>
      </c>
      <c r="AG158" s="41">
        <v>0</v>
      </c>
      <c r="AH158" s="41">
        <v>0</v>
      </c>
      <c r="AI158" s="41">
        <f t="shared" ref="AI158:AI166" si="117">AH158-AG158</f>
        <v>0</v>
      </c>
      <c r="AJ158" s="41">
        <v>0</v>
      </c>
      <c r="AK158" s="41">
        <v>0</v>
      </c>
      <c r="AL158" s="41">
        <f t="shared" ref="AL158:AL166" si="118">AK158-AJ158</f>
        <v>0</v>
      </c>
      <c r="AM158" s="41">
        <v>0</v>
      </c>
      <c r="AN158" s="41">
        <v>0</v>
      </c>
      <c r="AO158" s="41">
        <f t="shared" si="115"/>
        <v>0</v>
      </c>
      <c r="AP158" s="41">
        <v>0</v>
      </c>
      <c r="AQ158" s="41">
        <f>IFERROR(VLOOKUP(G158,'10'!A:B,2,0),0)</f>
        <v>0</v>
      </c>
      <c r="AR158" s="41">
        <f t="shared" si="101"/>
        <v>0</v>
      </c>
      <c r="AS158" s="41">
        <f t="shared" si="104"/>
        <v>29478.26</v>
      </c>
      <c r="AT158" s="41">
        <f t="shared" si="116"/>
        <v>0</v>
      </c>
      <c r="AU158" s="41">
        <f t="shared" si="103"/>
        <v>-29478.26</v>
      </c>
      <c r="AV158" s="459">
        <f t="shared" ref="AV158:AV189" si="119">AT158/AS158</f>
        <v>0</v>
      </c>
      <c r="AW158" s="41">
        <v>0</v>
      </c>
      <c r="AX158" s="41">
        <v>0</v>
      </c>
      <c r="AY158" s="41">
        <f t="shared" si="102"/>
        <v>29478.26</v>
      </c>
      <c r="AZ158" s="41"/>
      <c r="BA158" s="552">
        <v>0</v>
      </c>
      <c r="BB158" s="41">
        <v>5885545.2700000005</v>
      </c>
      <c r="BC158" s="41">
        <v>0</v>
      </c>
      <c r="BD158" s="41">
        <v>0</v>
      </c>
      <c r="BE158" s="41">
        <v>0</v>
      </c>
      <c r="BF158" s="41">
        <v>0</v>
      </c>
      <c r="BG158" s="41">
        <v>0</v>
      </c>
      <c r="BH158" s="41">
        <v>0</v>
      </c>
      <c r="BI158" s="41">
        <v>5915023.5300000003</v>
      </c>
      <c r="BJ158" s="75"/>
      <c r="BK158" s="11"/>
    </row>
    <row r="159" spans="1:64" s="10" customFormat="1" ht="47.25" x14ac:dyDescent="0.2">
      <c r="A159" s="11" t="s">
        <v>406</v>
      </c>
      <c r="B159" s="11" t="s">
        <v>411</v>
      </c>
      <c r="C159" s="14" t="s">
        <v>606</v>
      </c>
      <c r="D159" s="11">
        <v>1</v>
      </c>
      <c r="E159" s="11" t="s">
        <v>402</v>
      </c>
      <c r="F159" s="11" t="s">
        <v>77</v>
      </c>
      <c r="G159" s="44" t="s">
        <v>729</v>
      </c>
      <c r="H159" s="45">
        <v>148</v>
      </c>
      <c r="I159" s="45" t="s">
        <v>406</v>
      </c>
      <c r="J159" s="46" t="s">
        <v>730</v>
      </c>
      <c r="K159" s="46" t="s">
        <v>731</v>
      </c>
      <c r="L159" s="41">
        <v>0</v>
      </c>
      <c r="M159" s="41">
        <v>0</v>
      </c>
      <c r="N159" s="41">
        <v>0</v>
      </c>
      <c r="O159" s="41">
        <v>0</v>
      </c>
      <c r="P159" s="41">
        <v>0</v>
      </c>
      <c r="Q159" s="41">
        <f>P159-O159</f>
        <v>0</v>
      </c>
      <c r="R159" s="41">
        <v>0</v>
      </c>
      <c r="S159" s="41">
        <v>0</v>
      </c>
      <c r="T159" s="41">
        <f>S159-R159</f>
        <v>0</v>
      </c>
      <c r="U159" s="41">
        <v>0</v>
      </c>
      <c r="V159" s="41">
        <v>0</v>
      </c>
      <c r="W159" s="41">
        <f>V159-U159</f>
        <v>0</v>
      </c>
      <c r="X159" s="41">
        <v>0</v>
      </c>
      <c r="Y159" s="41">
        <v>0</v>
      </c>
      <c r="Z159" s="41">
        <f>Y159-X159</f>
        <v>0</v>
      </c>
      <c r="AA159" s="41">
        <v>33030.32</v>
      </c>
      <c r="AB159" s="41">
        <v>0</v>
      </c>
      <c r="AC159" s="41">
        <f>AB159-AA159</f>
        <v>-33030.32</v>
      </c>
      <c r="AD159" s="41">
        <v>0</v>
      </c>
      <c r="AE159" s="41">
        <v>0</v>
      </c>
      <c r="AF159" s="41">
        <f>AE159-AD159</f>
        <v>0</v>
      </c>
      <c r="AG159" s="41">
        <v>0</v>
      </c>
      <c r="AH159" s="41">
        <v>0</v>
      </c>
      <c r="AI159" s="41">
        <f t="shared" si="117"/>
        <v>0</v>
      </c>
      <c r="AJ159" s="41">
        <v>0</v>
      </c>
      <c r="AK159" s="41">
        <v>0</v>
      </c>
      <c r="AL159" s="41">
        <f t="shared" si="118"/>
        <v>0</v>
      </c>
      <c r="AM159" s="41">
        <v>0</v>
      </c>
      <c r="AN159" s="41">
        <v>0</v>
      </c>
      <c r="AO159" s="41">
        <f t="shared" si="115"/>
        <v>0</v>
      </c>
      <c r="AP159" s="41">
        <v>0</v>
      </c>
      <c r="AQ159" s="41">
        <f>IFERROR(VLOOKUP(G159,'10'!A:B,2,0),0)</f>
        <v>3886.2</v>
      </c>
      <c r="AR159" s="41">
        <f t="shared" si="101"/>
        <v>3886.2</v>
      </c>
      <c r="AS159" s="41">
        <f t="shared" si="104"/>
        <v>33030.32</v>
      </c>
      <c r="AT159" s="41">
        <f t="shared" si="116"/>
        <v>3886.2</v>
      </c>
      <c r="AU159" s="41">
        <f t="shared" si="103"/>
        <v>-29144.12</v>
      </c>
      <c r="AV159" s="459">
        <f t="shared" si="119"/>
        <v>0.1176555358833944</v>
      </c>
      <c r="AW159" s="41">
        <v>0</v>
      </c>
      <c r="AX159" s="41">
        <v>0</v>
      </c>
      <c r="AY159" s="41">
        <f t="shared" si="102"/>
        <v>33030.32</v>
      </c>
      <c r="AZ159" s="41">
        <f>VLOOKUP(G159,'2017'!A:B,2,0)</f>
        <v>12674.75</v>
      </c>
      <c r="BA159" s="552">
        <v>0</v>
      </c>
      <c r="BB159" s="41">
        <v>49545.479999999996</v>
      </c>
      <c r="BC159" s="41">
        <v>0</v>
      </c>
      <c r="BD159" s="41">
        <v>0</v>
      </c>
      <c r="BE159" s="41">
        <v>0</v>
      </c>
      <c r="BF159" s="41">
        <v>0</v>
      </c>
      <c r="BG159" s="41">
        <v>0</v>
      </c>
      <c r="BH159" s="41">
        <v>0</v>
      </c>
      <c r="BI159" s="41">
        <v>82575.799999999988</v>
      </c>
      <c r="BJ159" s="75"/>
      <c r="BK159" s="11"/>
    </row>
    <row r="160" spans="1:64" s="10" customFormat="1" ht="63" x14ac:dyDescent="0.2">
      <c r="A160" s="11" t="s">
        <v>485</v>
      </c>
      <c r="B160" s="11" t="s">
        <v>486</v>
      </c>
      <c r="C160" s="14" t="s">
        <v>610</v>
      </c>
      <c r="D160" s="11">
        <v>1</v>
      </c>
      <c r="E160" s="11" t="s">
        <v>454</v>
      </c>
      <c r="F160" s="11" t="s">
        <v>5</v>
      </c>
      <c r="G160" s="44" t="s">
        <v>516</v>
      </c>
      <c r="H160" s="45">
        <v>149</v>
      </c>
      <c r="I160" s="45" t="s">
        <v>485</v>
      </c>
      <c r="J160" s="46" t="s">
        <v>40</v>
      </c>
      <c r="K160" s="46" t="s">
        <v>517</v>
      </c>
      <c r="L160" s="41">
        <v>0</v>
      </c>
      <c r="M160" s="41">
        <v>0</v>
      </c>
      <c r="N160" s="41">
        <v>364923.33999999997</v>
      </c>
      <c r="O160" s="41">
        <v>156396.75</v>
      </c>
      <c r="P160" s="41">
        <v>156396.75</v>
      </c>
      <c r="Q160" s="41">
        <f>P160-O160</f>
        <v>0</v>
      </c>
      <c r="R160" s="41">
        <v>0</v>
      </c>
      <c r="S160" s="41">
        <v>0</v>
      </c>
      <c r="T160" s="41">
        <f>S160-R160</f>
        <v>0</v>
      </c>
      <c r="U160" s="41">
        <v>0</v>
      </c>
      <c r="V160" s="41">
        <v>0</v>
      </c>
      <c r="W160" s="41">
        <f>V160-U160</f>
        <v>0</v>
      </c>
      <c r="X160" s="41">
        <v>83091.75</v>
      </c>
      <c r="Y160" s="41">
        <v>74170.89</v>
      </c>
      <c r="Z160" s="41">
        <f>Y160-X160</f>
        <v>-8920.86</v>
      </c>
      <c r="AA160" s="41">
        <v>0</v>
      </c>
      <c r="AB160" s="41">
        <v>0</v>
      </c>
      <c r="AC160" s="41">
        <f>AB160-AA160</f>
        <v>0</v>
      </c>
      <c r="AD160" s="41">
        <v>0</v>
      </c>
      <c r="AE160" s="41">
        <v>0</v>
      </c>
      <c r="AF160" s="41">
        <f>AE160-AD160</f>
        <v>0</v>
      </c>
      <c r="AG160" s="41">
        <v>125417.5</v>
      </c>
      <c r="AH160" s="41">
        <v>118044.05</v>
      </c>
      <c r="AI160" s="41">
        <f t="shared" si="117"/>
        <v>-7373.4499999999971</v>
      </c>
      <c r="AJ160" s="41">
        <v>0</v>
      </c>
      <c r="AK160" s="41">
        <v>0</v>
      </c>
      <c r="AL160" s="41">
        <f t="shared" si="118"/>
        <v>0</v>
      </c>
      <c r="AM160" s="41">
        <v>0</v>
      </c>
      <c r="AN160" s="41">
        <v>0</v>
      </c>
      <c r="AO160" s="41">
        <f t="shared" si="115"/>
        <v>0</v>
      </c>
      <c r="AP160" s="41">
        <v>139538.54999999999</v>
      </c>
      <c r="AQ160" s="41">
        <f>IFERROR(VLOOKUP(G160,'10'!A:B,2,0),0)</f>
        <v>127447.67</v>
      </c>
      <c r="AR160" s="41">
        <f t="shared" si="101"/>
        <v>-12090.87999999999</v>
      </c>
      <c r="AS160" s="41">
        <f t="shared" si="104"/>
        <v>504444.55</v>
      </c>
      <c r="AT160" s="41">
        <f>AN160+AK160+AH160+AE160+AB160+Y160+V160+S160+P160+AQ160</f>
        <v>476059.36</v>
      </c>
      <c r="AU160" s="41">
        <f t="shared" si="103"/>
        <v>-28385.189999999988</v>
      </c>
      <c r="AV160" s="459">
        <f t="shared" si="119"/>
        <v>0.9437298113340703</v>
      </c>
      <c r="AW160" s="41">
        <v>0</v>
      </c>
      <c r="AX160" s="41">
        <v>0</v>
      </c>
      <c r="AY160" s="41">
        <f t="shared" si="102"/>
        <v>504444.55</v>
      </c>
      <c r="AZ160" s="41">
        <f>VLOOKUP(G160,'2017'!A:B,2,0)</f>
        <v>488150.24</v>
      </c>
      <c r="BA160" s="552">
        <f t="shared" ref="BA160:BA176" si="120">AZ160-AY160</f>
        <v>-16294.309999999998</v>
      </c>
      <c r="BB160" s="41">
        <v>521802.25</v>
      </c>
      <c r="BC160" s="41">
        <v>175939.16</v>
      </c>
      <c r="BD160" s="41">
        <v>0</v>
      </c>
      <c r="BE160" s="41">
        <v>0</v>
      </c>
      <c r="BF160" s="41">
        <v>0</v>
      </c>
      <c r="BG160" s="41">
        <v>0</v>
      </c>
      <c r="BH160" s="41">
        <v>0</v>
      </c>
      <c r="BI160" s="41">
        <v>1567109.2999999998</v>
      </c>
      <c r="BJ160" s="75"/>
      <c r="BK160" s="11"/>
    </row>
    <row r="161" spans="1:64" s="10" customFormat="1" ht="47.25" x14ac:dyDescent="0.2">
      <c r="A161" s="11" t="s">
        <v>57</v>
      </c>
      <c r="B161" s="11" t="s">
        <v>58</v>
      </c>
      <c r="C161" s="14" t="s">
        <v>569</v>
      </c>
      <c r="D161" s="11">
        <v>2</v>
      </c>
      <c r="E161" s="11" t="s">
        <v>35</v>
      </c>
      <c r="F161" s="11" t="s">
        <v>5</v>
      </c>
      <c r="G161" s="44" t="s">
        <v>661</v>
      </c>
      <c r="H161" s="45">
        <v>150</v>
      </c>
      <c r="I161" s="45" t="s">
        <v>57</v>
      </c>
      <c r="J161" s="46" t="s">
        <v>662</v>
      </c>
      <c r="K161" s="46" t="s">
        <v>663</v>
      </c>
      <c r="L161" s="41">
        <v>0</v>
      </c>
      <c r="M161" s="41">
        <v>0</v>
      </c>
      <c r="N161" s="41">
        <v>0</v>
      </c>
      <c r="O161" s="41">
        <v>0</v>
      </c>
      <c r="P161" s="41">
        <v>0</v>
      </c>
      <c r="Q161" s="41">
        <f>P161-O161</f>
        <v>0</v>
      </c>
      <c r="R161" s="41">
        <v>0</v>
      </c>
      <c r="S161" s="41">
        <v>0</v>
      </c>
      <c r="T161" s="41">
        <f>S161-R161</f>
        <v>0</v>
      </c>
      <c r="U161" s="41">
        <v>0</v>
      </c>
      <c r="V161" s="41">
        <v>0</v>
      </c>
      <c r="W161" s="41">
        <f>V161-U161</f>
        <v>0</v>
      </c>
      <c r="X161" s="41">
        <v>156646</v>
      </c>
      <c r="Y161" s="41">
        <v>156646</v>
      </c>
      <c r="Z161" s="41">
        <f>Y161-X161</f>
        <v>0</v>
      </c>
      <c r="AA161" s="41">
        <v>0</v>
      </c>
      <c r="AB161" s="41">
        <v>0</v>
      </c>
      <c r="AC161" s="41">
        <f>AB161-AA161</f>
        <v>0</v>
      </c>
      <c r="AD161" s="41">
        <v>0</v>
      </c>
      <c r="AE161" s="41">
        <v>0</v>
      </c>
      <c r="AF161" s="41">
        <f>AE161-AD161</f>
        <v>0</v>
      </c>
      <c r="AG161" s="41">
        <v>0</v>
      </c>
      <c r="AH161" s="41">
        <v>0</v>
      </c>
      <c r="AI161" s="41">
        <f t="shared" si="117"/>
        <v>0</v>
      </c>
      <c r="AJ161" s="41">
        <v>176683.89</v>
      </c>
      <c r="AK161" s="41">
        <v>40047.25</v>
      </c>
      <c r="AL161" s="41">
        <f t="shared" si="118"/>
        <v>-136636.64000000001</v>
      </c>
      <c r="AM161" s="41">
        <v>0</v>
      </c>
      <c r="AN161" s="41">
        <v>0</v>
      </c>
      <c r="AO161" s="41">
        <f t="shared" si="115"/>
        <v>0</v>
      </c>
      <c r="AP161" s="41">
        <v>0</v>
      </c>
      <c r="AQ161" s="41">
        <f>IFERROR(VLOOKUP(G161,'10'!A:B,2,0),0)</f>
        <v>110007.18</v>
      </c>
      <c r="AR161" s="41">
        <f t="shared" si="101"/>
        <v>110007.18</v>
      </c>
      <c r="AS161" s="41">
        <f t="shared" si="104"/>
        <v>333329.89</v>
      </c>
      <c r="AT161" s="41">
        <f>AN161+AK161+AH161+AE161+AB161+Y161+V161+S161+P161+AQ161</f>
        <v>306700.43</v>
      </c>
      <c r="AU161" s="41">
        <f t="shared" si="103"/>
        <v>-26629.460000000021</v>
      </c>
      <c r="AV161" s="459">
        <f t="shared" si="119"/>
        <v>0.92011079474450963</v>
      </c>
      <c r="AW161" s="41">
        <v>50131.48</v>
      </c>
      <c r="AX161" s="41">
        <v>0</v>
      </c>
      <c r="AY161" s="41">
        <f t="shared" si="102"/>
        <v>383461.37</v>
      </c>
      <c r="AZ161" s="41">
        <f>VLOOKUP(G161,'2017'!A:B,2,0)</f>
        <v>305644.87</v>
      </c>
      <c r="BA161" s="552">
        <f t="shared" si="120"/>
        <v>-77816.5</v>
      </c>
      <c r="BB161" s="41">
        <v>164801.32</v>
      </c>
      <c r="BC161" s="41">
        <v>0</v>
      </c>
      <c r="BD161" s="41">
        <v>0</v>
      </c>
      <c r="BE161" s="41">
        <v>0</v>
      </c>
      <c r="BF161" s="41">
        <v>0</v>
      </c>
      <c r="BG161" s="41">
        <v>0</v>
      </c>
      <c r="BH161" s="41">
        <v>0</v>
      </c>
      <c r="BI161" s="41">
        <v>391616.69000000006</v>
      </c>
      <c r="BJ161" s="75"/>
      <c r="BK161" s="11"/>
    </row>
    <row r="162" spans="1:64" s="10" customFormat="1" ht="63" x14ac:dyDescent="0.2">
      <c r="A162" s="11" t="s">
        <v>458</v>
      </c>
      <c r="B162" s="11" t="s">
        <v>459</v>
      </c>
      <c r="C162" s="14" t="s">
        <v>609</v>
      </c>
      <c r="D162" s="11">
        <v>1</v>
      </c>
      <c r="E162" s="11" t="s">
        <v>454</v>
      </c>
      <c r="F162" s="11" t="s">
        <v>77</v>
      </c>
      <c r="G162" s="44" t="s">
        <v>472</v>
      </c>
      <c r="H162" s="45">
        <v>151</v>
      </c>
      <c r="I162" s="45" t="s">
        <v>458</v>
      </c>
      <c r="J162" s="46" t="s">
        <v>311</v>
      </c>
      <c r="K162" s="46" t="s">
        <v>473</v>
      </c>
      <c r="L162" s="41">
        <v>0</v>
      </c>
      <c r="M162" s="41">
        <v>0</v>
      </c>
      <c r="N162" s="41">
        <v>21275.440000000002</v>
      </c>
      <c r="O162" s="41">
        <v>7492.66</v>
      </c>
      <c r="P162" s="41">
        <v>7492.66</v>
      </c>
      <c r="Q162" s="41">
        <f>P162-O162</f>
        <v>0</v>
      </c>
      <c r="R162" s="41">
        <v>0</v>
      </c>
      <c r="S162" s="41">
        <v>0</v>
      </c>
      <c r="T162" s="41">
        <f>S162-R162</f>
        <v>0</v>
      </c>
      <c r="U162" s="41">
        <v>0</v>
      </c>
      <c r="V162" s="41">
        <v>0</v>
      </c>
      <c r="W162" s="41">
        <f>V162-U162</f>
        <v>0</v>
      </c>
      <c r="X162" s="41">
        <v>12227.25</v>
      </c>
      <c r="Y162" s="41">
        <v>5195.45</v>
      </c>
      <c r="Z162" s="41">
        <f>Y162-X162</f>
        <v>-7031.8</v>
      </c>
      <c r="AA162" s="41">
        <v>0</v>
      </c>
      <c r="AB162" s="41">
        <v>0</v>
      </c>
      <c r="AC162" s="41">
        <f>AB162-AA162</f>
        <v>0</v>
      </c>
      <c r="AD162" s="41">
        <v>0</v>
      </c>
      <c r="AE162" s="41">
        <v>0</v>
      </c>
      <c r="AF162" s="41">
        <f>AE162-AD162</f>
        <v>0</v>
      </c>
      <c r="AG162" s="41">
        <v>15727.55</v>
      </c>
      <c r="AH162" s="41">
        <v>5013.76</v>
      </c>
      <c r="AI162" s="41">
        <f t="shared" si="117"/>
        <v>-10713.789999999999</v>
      </c>
      <c r="AJ162" s="41">
        <v>0</v>
      </c>
      <c r="AK162" s="41">
        <v>0</v>
      </c>
      <c r="AL162" s="41">
        <f t="shared" si="118"/>
        <v>0</v>
      </c>
      <c r="AM162" s="41">
        <v>0</v>
      </c>
      <c r="AN162" s="41">
        <v>0</v>
      </c>
      <c r="AO162" s="41">
        <f t="shared" si="115"/>
        <v>0</v>
      </c>
      <c r="AP162" s="41">
        <v>15728.4</v>
      </c>
      <c r="AQ162" s="41">
        <f>IFERROR(VLOOKUP(G162,'10'!A:B,2,0),0)</f>
        <v>6022.09</v>
      </c>
      <c r="AR162" s="41">
        <f t="shared" si="101"/>
        <v>-9706.31</v>
      </c>
      <c r="AS162" s="41">
        <f t="shared" si="104"/>
        <v>51175.86</v>
      </c>
      <c r="AT162" s="41">
        <f>AN162+AK162+AH162+AE162+AB162+Y162+V162+S162+P162+AQ162</f>
        <v>23723.96</v>
      </c>
      <c r="AU162" s="41">
        <f t="shared" si="103"/>
        <v>-27451.9</v>
      </c>
      <c r="AV162" s="459">
        <f t="shared" si="119"/>
        <v>0.46357716313902686</v>
      </c>
      <c r="AW162" s="41">
        <v>0</v>
      </c>
      <c r="AX162" s="41">
        <v>0</v>
      </c>
      <c r="AY162" s="41">
        <f t="shared" si="102"/>
        <v>51175.86</v>
      </c>
      <c r="AZ162" s="41">
        <f>VLOOKUP(G162,'2017'!A:B,2,0)</f>
        <v>23723.960000000003</v>
      </c>
      <c r="BA162" s="552">
        <f t="shared" si="120"/>
        <v>-27451.899999999998</v>
      </c>
      <c r="BB162" s="41">
        <v>81619.55</v>
      </c>
      <c r="BC162" s="41">
        <v>15929.15</v>
      </c>
      <c r="BD162" s="41">
        <v>0</v>
      </c>
      <c r="BE162" s="41">
        <v>0</v>
      </c>
      <c r="BF162" s="41">
        <v>0</v>
      </c>
      <c r="BG162" s="41">
        <v>0</v>
      </c>
      <c r="BH162" s="41">
        <v>0</v>
      </c>
      <c r="BI162" s="41">
        <v>170000</v>
      </c>
      <c r="BJ162" s="75"/>
      <c r="BK162" s="11"/>
    </row>
    <row r="163" spans="1:64" s="10" customFormat="1" ht="31.5" x14ac:dyDescent="0.2">
      <c r="A163" s="20" t="s">
        <v>406</v>
      </c>
      <c r="B163" s="20" t="s">
        <v>411</v>
      </c>
      <c r="C163" s="21" t="s">
        <v>606</v>
      </c>
      <c r="D163" s="22">
        <v>1</v>
      </c>
      <c r="E163" s="20" t="s">
        <v>402</v>
      </c>
      <c r="F163" s="20" t="s">
        <v>77</v>
      </c>
      <c r="G163" s="20" t="s">
        <v>875</v>
      </c>
      <c r="H163" s="45">
        <v>152</v>
      </c>
      <c r="I163" s="45" t="s">
        <v>406</v>
      </c>
      <c r="J163" s="34" t="s">
        <v>876</v>
      </c>
      <c r="K163" s="34" t="s">
        <v>877</v>
      </c>
      <c r="L163" s="431"/>
      <c r="M163" s="37">
        <v>0</v>
      </c>
      <c r="N163" s="37">
        <v>0</v>
      </c>
      <c r="O163" s="37">
        <v>0</v>
      </c>
      <c r="P163" s="37"/>
      <c r="Q163" s="37"/>
      <c r="R163" s="37">
        <v>0</v>
      </c>
      <c r="S163" s="37"/>
      <c r="T163" s="37"/>
      <c r="U163" s="37">
        <v>0</v>
      </c>
      <c r="V163" s="37"/>
      <c r="W163" s="37"/>
      <c r="X163" s="37">
        <v>0</v>
      </c>
      <c r="Y163" s="37"/>
      <c r="Z163" s="37"/>
      <c r="AA163" s="37">
        <v>0</v>
      </c>
      <c r="AB163" s="37"/>
      <c r="AC163" s="37"/>
      <c r="AD163" s="37">
        <v>0</v>
      </c>
      <c r="AE163" s="37"/>
      <c r="AF163" s="37"/>
      <c r="AG163" s="37">
        <v>24659.35</v>
      </c>
      <c r="AH163" s="41">
        <v>4792.1000000000004</v>
      </c>
      <c r="AI163" s="41">
        <f t="shared" si="117"/>
        <v>-19867.25</v>
      </c>
      <c r="AJ163" s="37">
        <v>0</v>
      </c>
      <c r="AK163" s="41">
        <v>0</v>
      </c>
      <c r="AL163" s="41">
        <f t="shared" si="118"/>
        <v>0</v>
      </c>
      <c r="AM163" s="37">
        <v>0</v>
      </c>
      <c r="AN163" s="41">
        <v>0</v>
      </c>
      <c r="AO163" s="41">
        <f t="shared" si="115"/>
        <v>0</v>
      </c>
      <c r="AP163" s="37">
        <v>19180.25</v>
      </c>
      <c r="AQ163" s="41">
        <f>IFERROR(VLOOKUP(G163,'10'!A:B,2,0),0)</f>
        <v>11893.68</v>
      </c>
      <c r="AR163" s="41">
        <f t="shared" si="101"/>
        <v>-7286.57</v>
      </c>
      <c r="AS163" s="41">
        <f t="shared" si="104"/>
        <v>43839.6</v>
      </c>
      <c r="AT163" s="41">
        <f>AN163+AK163+AH163+AE163+AB163+-Y163+V163+S163+P163+AQ163</f>
        <v>16685.78</v>
      </c>
      <c r="AU163" s="41">
        <f t="shared" si="103"/>
        <v>-27153.82</v>
      </c>
      <c r="AV163" s="459">
        <f t="shared" si="119"/>
        <v>0.38060976833730231</v>
      </c>
      <c r="AW163" s="37">
        <v>0</v>
      </c>
      <c r="AX163" s="37">
        <v>0</v>
      </c>
      <c r="AY163" s="41">
        <f t="shared" si="102"/>
        <v>43839.6</v>
      </c>
      <c r="AZ163" s="41">
        <f>VLOOKUP(G163,'2017'!A:B,2,0)</f>
        <v>16685.78</v>
      </c>
      <c r="BA163" s="552">
        <f t="shared" si="120"/>
        <v>-27153.82</v>
      </c>
      <c r="BB163" s="37">
        <v>49178.45</v>
      </c>
      <c r="BC163" s="37">
        <v>58116.2</v>
      </c>
      <c r="BD163" s="37">
        <v>15509.1</v>
      </c>
      <c r="BE163" s="37">
        <v>0</v>
      </c>
      <c r="BF163" s="37">
        <v>0</v>
      </c>
      <c r="BG163" s="37">
        <v>0</v>
      </c>
      <c r="BH163" s="37">
        <v>0</v>
      </c>
      <c r="BI163" s="37">
        <v>166643.35</v>
      </c>
      <c r="BJ163" s="76"/>
      <c r="BK163" s="11"/>
    </row>
    <row r="164" spans="1:64" s="10" customFormat="1" ht="51" x14ac:dyDescent="0.2">
      <c r="A164" s="11" t="s">
        <v>485</v>
      </c>
      <c r="B164" s="11" t="s">
        <v>486</v>
      </c>
      <c r="C164" s="14" t="s">
        <v>610</v>
      </c>
      <c r="D164" s="11">
        <v>1</v>
      </c>
      <c r="E164" s="11" t="s">
        <v>454</v>
      </c>
      <c r="F164" s="11" t="s">
        <v>5</v>
      </c>
      <c r="G164" s="44" t="s">
        <v>534</v>
      </c>
      <c r="H164" s="45">
        <v>153</v>
      </c>
      <c r="I164" s="45" t="s">
        <v>485</v>
      </c>
      <c r="J164" s="46" t="s">
        <v>535</v>
      </c>
      <c r="K164" s="46" t="s">
        <v>536</v>
      </c>
      <c r="L164" s="41">
        <v>0</v>
      </c>
      <c r="M164" s="41">
        <v>0</v>
      </c>
      <c r="N164" s="41">
        <v>1700</v>
      </c>
      <c r="O164" s="41">
        <v>0</v>
      </c>
      <c r="P164" s="41">
        <v>0</v>
      </c>
      <c r="Q164" s="41">
        <f>P164-O164</f>
        <v>0</v>
      </c>
      <c r="R164" s="41">
        <v>0</v>
      </c>
      <c r="S164" s="41">
        <v>0</v>
      </c>
      <c r="T164" s="41">
        <f>S164-R164</f>
        <v>0</v>
      </c>
      <c r="U164" s="41">
        <v>0</v>
      </c>
      <c r="V164" s="41">
        <v>0</v>
      </c>
      <c r="W164" s="41">
        <f>V164-U164</f>
        <v>0</v>
      </c>
      <c r="X164" s="41">
        <v>14383.81</v>
      </c>
      <c r="Y164" s="41">
        <v>1700</v>
      </c>
      <c r="Z164" s="41">
        <f>Y164-X164</f>
        <v>-12683.81</v>
      </c>
      <c r="AA164" s="41">
        <v>0</v>
      </c>
      <c r="AB164" s="41">
        <v>0</v>
      </c>
      <c r="AC164" s="41">
        <f>AB164-AA164</f>
        <v>0</v>
      </c>
      <c r="AD164" s="41">
        <v>0</v>
      </c>
      <c r="AE164" s="41">
        <v>0</v>
      </c>
      <c r="AF164" s="41">
        <f>AE164-AD164</f>
        <v>0</v>
      </c>
      <c r="AG164" s="41">
        <v>5339.21</v>
      </c>
      <c r="AH164" s="41">
        <v>0</v>
      </c>
      <c r="AI164" s="41">
        <f t="shared" si="117"/>
        <v>-5339.21</v>
      </c>
      <c r="AJ164" s="41">
        <v>0</v>
      </c>
      <c r="AK164" s="41">
        <v>0</v>
      </c>
      <c r="AL164" s="41">
        <f t="shared" si="118"/>
        <v>0</v>
      </c>
      <c r="AM164" s="41">
        <v>0</v>
      </c>
      <c r="AN164" s="41">
        <v>0</v>
      </c>
      <c r="AO164" s="41">
        <f t="shared" si="115"/>
        <v>0</v>
      </c>
      <c r="AP164" s="41">
        <v>8008.81</v>
      </c>
      <c r="AQ164" s="41">
        <f>IFERROR(VLOOKUP(G164,'10'!A:B,2,0),0)</f>
        <v>0</v>
      </c>
      <c r="AR164" s="41">
        <f t="shared" si="101"/>
        <v>-8008.81</v>
      </c>
      <c r="AS164" s="41">
        <f t="shared" si="104"/>
        <v>27731.83</v>
      </c>
      <c r="AT164" s="41">
        <f>AN164+AK164+AH164+AE164+AB164+Y164+V164+S164+P164+AQ164</f>
        <v>1700</v>
      </c>
      <c r="AU164" s="41">
        <f t="shared" si="103"/>
        <v>-26031.83</v>
      </c>
      <c r="AV164" s="459">
        <f t="shared" si="119"/>
        <v>6.1301399871555536E-2</v>
      </c>
      <c r="AW164" s="41">
        <v>0</v>
      </c>
      <c r="AX164" s="41">
        <v>0</v>
      </c>
      <c r="AY164" s="41">
        <f t="shared" si="102"/>
        <v>27731.83</v>
      </c>
      <c r="AZ164" s="41">
        <f>VLOOKUP(G164,'2017'!A:B,2,0)</f>
        <v>1700</v>
      </c>
      <c r="BA164" s="552">
        <f t="shared" si="120"/>
        <v>-26031.83</v>
      </c>
      <c r="BB164" s="41">
        <v>6267.66</v>
      </c>
      <c r="BC164" s="41">
        <v>3966.61</v>
      </c>
      <c r="BD164" s="41">
        <v>0</v>
      </c>
      <c r="BE164" s="41">
        <v>0</v>
      </c>
      <c r="BF164" s="41">
        <v>0</v>
      </c>
      <c r="BG164" s="41">
        <v>0</v>
      </c>
      <c r="BH164" s="41">
        <v>0</v>
      </c>
      <c r="BI164" s="41">
        <v>39666.100000000006</v>
      </c>
      <c r="BJ164" s="75"/>
      <c r="BK164" s="11"/>
    </row>
    <row r="165" spans="1:64" s="10" customFormat="1" ht="94.5" x14ac:dyDescent="0.25">
      <c r="A165" s="11" t="s">
        <v>106</v>
      </c>
      <c r="B165" s="11" t="s">
        <v>107</v>
      </c>
      <c r="C165" s="14" t="s">
        <v>108</v>
      </c>
      <c r="D165" s="11">
        <v>1</v>
      </c>
      <c r="E165" s="11" t="s">
        <v>109</v>
      </c>
      <c r="F165" s="11" t="s">
        <v>5</v>
      </c>
      <c r="G165" s="44" t="s">
        <v>117</v>
      </c>
      <c r="H165" s="45">
        <v>154</v>
      </c>
      <c r="I165" s="45" t="s">
        <v>106</v>
      </c>
      <c r="J165" s="46" t="s">
        <v>111</v>
      </c>
      <c r="K165" s="46" t="s">
        <v>118</v>
      </c>
      <c r="L165" s="41">
        <v>0</v>
      </c>
      <c r="M165" s="41">
        <v>0</v>
      </c>
      <c r="N165" s="41">
        <v>0</v>
      </c>
      <c r="O165" s="41">
        <v>0</v>
      </c>
      <c r="P165" s="41">
        <v>0</v>
      </c>
      <c r="Q165" s="41">
        <f>P165-O165</f>
        <v>0</v>
      </c>
      <c r="R165" s="41">
        <v>0</v>
      </c>
      <c r="S165" s="41">
        <v>0</v>
      </c>
      <c r="T165" s="41">
        <f>S165-R165</f>
        <v>0</v>
      </c>
      <c r="U165" s="41">
        <v>0</v>
      </c>
      <c r="V165" s="41">
        <v>0</v>
      </c>
      <c r="W165" s="41">
        <f>V165-U165</f>
        <v>0</v>
      </c>
      <c r="X165" s="41">
        <v>123689.54999999999</v>
      </c>
      <c r="Y165" s="41">
        <v>123689.54999999999</v>
      </c>
      <c r="Z165" s="41">
        <f>Y165-X165</f>
        <v>0</v>
      </c>
      <c r="AA165" s="41">
        <v>0</v>
      </c>
      <c r="AB165" s="41">
        <v>0</v>
      </c>
      <c r="AC165" s="41">
        <f>AB165-AA165</f>
        <v>0</v>
      </c>
      <c r="AD165" s="35">
        <v>404441.56</v>
      </c>
      <c r="AE165" s="41">
        <v>148863.31</v>
      </c>
      <c r="AF165" s="41">
        <f>AE165-AD165</f>
        <v>-255578.25</v>
      </c>
      <c r="AG165" s="41">
        <v>0</v>
      </c>
      <c r="AH165" s="41">
        <v>0</v>
      </c>
      <c r="AI165" s="41">
        <f t="shared" si="117"/>
        <v>0</v>
      </c>
      <c r="AJ165" s="41">
        <v>0</v>
      </c>
      <c r="AK165" s="41">
        <v>0</v>
      </c>
      <c r="AL165" s="41">
        <f t="shared" si="118"/>
        <v>0</v>
      </c>
      <c r="AM165" s="41">
        <v>0</v>
      </c>
      <c r="AN165" s="41">
        <v>230206.23</v>
      </c>
      <c r="AO165" s="41">
        <f t="shared" si="115"/>
        <v>230206.23</v>
      </c>
      <c r="AP165" s="41">
        <v>0</v>
      </c>
      <c r="AQ165" s="41">
        <f>IFERROR(VLOOKUP(G165,'10'!A:B,2,0),0)</f>
        <v>0</v>
      </c>
      <c r="AR165" s="41">
        <f t="shared" si="101"/>
        <v>0</v>
      </c>
      <c r="AS165" s="41">
        <f t="shared" si="104"/>
        <v>528131.11</v>
      </c>
      <c r="AT165" s="41">
        <f>AN165+AK165+AH165+AE165+AB165+Y165+V165+S165+P165+AQ165</f>
        <v>502759.09</v>
      </c>
      <c r="AU165" s="41">
        <f t="shared" si="103"/>
        <v>-25372.01999999999</v>
      </c>
      <c r="AV165" s="459">
        <f t="shared" si="119"/>
        <v>0.95195886112446593</v>
      </c>
      <c r="AW165" s="41">
        <v>0</v>
      </c>
      <c r="AX165" s="35">
        <v>326964.44</v>
      </c>
      <c r="AY165" s="41">
        <f t="shared" si="102"/>
        <v>855095.55</v>
      </c>
      <c r="AZ165" s="41">
        <f>VLOOKUP(G165,'2017'!A:B,2,0)</f>
        <v>760298.77</v>
      </c>
      <c r="BA165" s="552">
        <f t="shared" si="120"/>
        <v>-94796.780000000028</v>
      </c>
      <c r="BB165" s="41">
        <v>292316.93000000005</v>
      </c>
      <c r="BC165" s="41">
        <v>0</v>
      </c>
      <c r="BD165" s="41">
        <v>0</v>
      </c>
      <c r="BE165" s="41">
        <v>0</v>
      </c>
      <c r="BF165" s="41">
        <v>0</v>
      </c>
      <c r="BG165" s="41">
        <v>0</v>
      </c>
      <c r="BH165" s="41">
        <v>0</v>
      </c>
      <c r="BI165" s="41">
        <v>577773.65</v>
      </c>
      <c r="BJ165" s="455" t="s">
        <v>953</v>
      </c>
      <c r="BK165" s="25" t="s">
        <v>2762</v>
      </c>
    </row>
    <row r="166" spans="1:64" s="10" customFormat="1" ht="51" x14ac:dyDescent="0.2">
      <c r="A166" s="11" t="s">
        <v>485</v>
      </c>
      <c r="B166" s="11" t="s">
        <v>486</v>
      </c>
      <c r="C166" s="14" t="s">
        <v>610</v>
      </c>
      <c r="D166" s="11">
        <v>1</v>
      </c>
      <c r="E166" s="11" t="s">
        <v>454</v>
      </c>
      <c r="F166" s="11" t="s">
        <v>5</v>
      </c>
      <c r="G166" s="44" t="s">
        <v>503</v>
      </c>
      <c r="H166" s="45">
        <v>155</v>
      </c>
      <c r="I166" s="45" t="s">
        <v>485</v>
      </c>
      <c r="J166" s="46" t="s">
        <v>468</v>
      </c>
      <c r="K166" s="46" t="s">
        <v>504</v>
      </c>
      <c r="L166" s="41">
        <v>0</v>
      </c>
      <c r="M166" s="41">
        <v>0</v>
      </c>
      <c r="N166" s="41">
        <v>37462.080000000002</v>
      </c>
      <c r="O166" s="41">
        <v>21569.57</v>
      </c>
      <c r="P166" s="41">
        <v>21601.25</v>
      </c>
      <c r="Q166" s="41">
        <f>P166-O166</f>
        <v>31.680000000000291</v>
      </c>
      <c r="R166" s="41">
        <v>0</v>
      </c>
      <c r="S166" s="41">
        <v>0</v>
      </c>
      <c r="T166" s="41">
        <f>S166-R166</f>
        <v>0</v>
      </c>
      <c r="U166" s="41">
        <v>0</v>
      </c>
      <c r="V166" s="41">
        <v>0</v>
      </c>
      <c r="W166" s="41">
        <f>V166-U166</f>
        <v>0</v>
      </c>
      <c r="X166" s="41">
        <v>16267.76</v>
      </c>
      <c r="Y166" s="41">
        <v>12729.74</v>
      </c>
      <c r="Z166" s="41">
        <f>Y166-X166</f>
        <v>-3538.0200000000004</v>
      </c>
      <c r="AA166" s="41">
        <v>0</v>
      </c>
      <c r="AB166" s="41">
        <v>0</v>
      </c>
      <c r="AC166" s="41">
        <f>AB166-AA166</f>
        <v>0</v>
      </c>
      <c r="AD166" s="41">
        <v>0</v>
      </c>
      <c r="AE166" s="41">
        <v>0</v>
      </c>
      <c r="AF166" s="41">
        <f>AE166-AD166</f>
        <v>0</v>
      </c>
      <c r="AG166" s="41">
        <v>24085.88</v>
      </c>
      <c r="AH166" s="41">
        <v>0</v>
      </c>
      <c r="AI166" s="41">
        <f t="shared" si="117"/>
        <v>-24085.88</v>
      </c>
      <c r="AJ166" s="41">
        <v>0</v>
      </c>
      <c r="AK166" s="41">
        <v>14734.71</v>
      </c>
      <c r="AL166" s="41">
        <f t="shared" si="118"/>
        <v>14734.71</v>
      </c>
      <c r="AM166" s="41">
        <v>0</v>
      </c>
      <c r="AN166" s="41">
        <v>0</v>
      </c>
      <c r="AO166" s="41">
        <f t="shared" si="115"/>
        <v>0</v>
      </c>
      <c r="AP166" s="41">
        <v>24085.88</v>
      </c>
      <c r="AQ166" s="41">
        <f>IFERROR(VLOOKUP(G166,'10'!A:B,2,0),0)</f>
        <v>12491.54</v>
      </c>
      <c r="AR166" s="41">
        <f t="shared" si="101"/>
        <v>-11594.34</v>
      </c>
      <c r="AS166" s="41">
        <f t="shared" si="104"/>
        <v>86009.09</v>
      </c>
      <c r="AT166" s="41">
        <f>AN166+AK166+AH166+AE166+AB166+Y166+V166+S166+P166+AQ166</f>
        <v>61557.24</v>
      </c>
      <c r="AU166" s="41">
        <f t="shared" si="103"/>
        <v>-24451.850000000002</v>
      </c>
      <c r="AV166" s="459">
        <f t="shared" si="119"/>
        <v>0.71570621198294271</v>
      </c>
      <c r="AW166" s="41">
        <v>0</v>
      </c>
      <c r="AX166" s="41">
        <v>0</v>
      </c>
      <c r="AY166" s="41">
        <f t="shared" si="102"/>
        <v>86009.09</v>
      </c>
      <c r="AZ166" s="41">
        <f>VLOOKUP(G166,'2017'!A:B,2,0)</f>
        <v>61699.35</v>
      </c>
      <c r="BA166" s="552">
        <f t="shared" si="120"/>
        <v>-24309.739999999998</v>
      </c>
      <c r="BB166" s="41">
        <v>96343.52</v>
      </c>
      <c r="BC166" s="41">
        <v>69121.95</v>
      </c>
      <c r="BD166" s="41">
        <v>0</v>
      </c>
      <c r="BE166" s="41">
        <v>0</v>
      </c>
      <c r="BF166" s="41">
        <v>0</v>
      </c>
      <c r="BG166" s="41">
        <v>0</v>
      </c>
      <c r="BH166" s="41">
        <v>0</v>
      </c>
      <c r="BI166" s="41">
        <v>288936.64</v>
      </c>
      <c r="BJ166" s="75"/>
      <c r="BK166" s="11"/>
    </row>
    <row r="167" spans="1:64" s="10" customFormat="1" x14ac:dyDescent="0.2">
      <c r="A167" s="55" t="s">
        <v>33</v>
      </c>
      <c r="B167" s="55" t="s">
        <v>34</v>
      </c>
      <c r="C167" s="155" t="s">
        <v>566</v>
      </c>
      <c r="D167" s="55">
        <v>1</v>
      </c>
      <c r="E167" s="55" t="s">
        <v>35</v>
      </c>
      <c r="F167" s="55" t="s">
        <v>5</v>
      </c>
      <c r="G167" s="439" t="s">
        <v>2830</v>
      </c>
      <c r="H167" s="45">
        <v>156</v>
      </c>
      <c r="I167" s="45" t="s">
        <v>33</v>
      </c>
      <c r="J167" s="155" t="s">
        <v>616</v>
      </c>
      <c r="K167" s="155" t="s">
        <v>1112</v>
      </c>
      <c r="L167" s="152">
        <v>0</v>
      </c>
      <c r="M167" s="152">
        <v>0</v>
      </c>
      <c r="N167" s="152">
        <v>0</v>
      </c>
      <c r="O167" s="152">
        <f t="shared" ref="O167:AM167" si="121">N167+M167+L167</f>
        <v>0</v>
      </c>
      <c r="P167" s="152">
        <f t="shared" si="121"/>
        <v>0</v>
      </c>
      <c r="Q167" s="152">
        <f t="shared" si="121"/>
        <v>0</v>
      </c>
      <c r="R167" s="152">
        <f t="shared" si="121"/>
        <v>0</v>
      </c>
      <c r="S167" s="152">
        <f t="shared" si="121"/>
        <v>0</v>
      </c>
      <c r="T167" s="152">
        <f t="shared" si="121"/>
        <v>0</v>
      </c>
      <c r="U167" s="152">
        <f t="shared" si="121"/>
        <v>0</v>
      </c>
      <c r="V167" s="152">
        <f t="shared" si="121"/>
        <v>0</v>
      </c>
      <c r="W167" s="152">
        <f t="shared" si="121"/>
        <v>0</v>
      </c>
      <c r="X167" s="152">
        <f t="shared" si="121"/>
        <v>0</v>
      </c>
      <c r="Y167" s="152">
        <f t="shared" si="121"/>
        <v>0</v>
      </c>
      <c r="Z167" s="152">
        <f t="shared" si="121"/>
        <v>0</v>
      </c>
      <c r="AA167" s="152">
        <f t="shared" si="121"/>
        <v>0</v>
      </c>
      <c r="AB167" s="152">
        <f t="shared" si="121"/>
        <v>0</v>
      </c>
      <c r="AC167" s="152">
        <f t="shared" si="121"/>
        <v>0</v>
      </c>
      <c r="AD167" s="152">
        <f t="shared" si="121"/>
        <v>0</v>
      </c>
      <c r="AE167" s="152">
        <f t="shared" si="121"/>
        <v>0</v>
      </c>
      <c r="AF167" s="152">
        <f t="shared" si="121"/>
        <v>0</v>
      </c>
      <c r="AG167" s="152">
        <f t="shared" si="121"/>
        <v>0</v>
      </c>
      <c r="AH167" s="152">
        <f t="shared" si="121"/>
        <v>0</v>
      </c>
      <c r="AI167" s="152">
        <f t="shared" si="121"/>
        <v>0</v>
      </c>
      <c r="AJ167" s="152">
        <f t="shared" si="121"/>
        <v>0</v>
      </c>
      <c r="AK167" s="152">
        <f t="shared" si="121"/>
        <v>0</v>
      </c>
      <c r="AL167" s="152">
        <f t="shared" si="121"/>
        <v>0</v>
      </c>
      <c r="AM167" s="152">
        <f t="shared" si="121"/>
        <v>0</v>
      </c>
      <c r="AN167" s="152">
        <v>0</v>
      </c>
      <c r="AO167" s="152">
        <f>AN167+AM167+AL167</f>
        <v>0</v>
      </c>
      <c r="AP167" s="152">
        <v>23525</v>
      </c>
      <c r="AQ167" s="41">
        <f>IFERROR(VLOOKUP(G167,'10'!A:B,2,0),0)</f>
        <v>0</v>
      </c>
      <c r="AR167" s="41">
        <f t="shared" si="101"/>
        <v>-23525</v>
      </c>
      <c r="AS167" s="41">
        <f t="shared" si="104"/>
        <v>23525</v>
      </c>
      <c r="AT167" s="41">
        <f>AN167+AK167+AH167+AE167+AB167+-Y167+V167+S167+P167+AQ167</f>
        <v>0</v>
      </c>
      <c r="AU167" s="41">
        <f t="shared" si="103"/>
        <v>-23525</v>
      </c>
      <c r="AV167" s="459">
        <f t="shared" si="119"/>
        <v>0</v>
      </c>
      <c r="AW167" s="152">
        <v>0</v>
      </c>
      <c r="AX167" s="152">
        <v>0</v>
      </c>
      <c r="AY167" s="41">
        <f t="shared" si="102"/>
        <v>23525</v>
      </c>
      <c r="AZ167" s="41"/>
      <c r="BA167" s="552">
        <f t="shared" si="120"/>
        <v>-23525</v>
      </c>
      <c r="BB167" s="152">
        <v>867811.92499999993</v>
      </c>
      <c r="BC167" s="152">
        <v>696481.92499999993</v>
      </c>
      <c r="BD167" s="152">
        <v>1109229.94</v>
      </c>
      <c r="BE167" s="152">
        <v>0</v>
      </c>
      <c r="BF167" s="152">
        <v>0</v>
      </c>
      <c r="BG167" s="152">
        <v>0</v>
      </c>
      <c r="BH167" s="152">
        <v>0</v>
      </c>
      <c r="BI167" s="152">
        <v>2697048.79</v>
      </c>
      <c r="BJ167" s="459"/>
      <c r="BK167" s="41"/>
      <c r="BL167" s="432"/>
    </row>
    <row r="168" spans="1:64" s="10" customFormat="1" ht="31.5" x14ac:dyDescent="0.2">
      <c r="A168" s="11" t="s">
        <v>406</v>
      </c>
      <c r="B168" s="11" t="s">
        <v>411</v>
      </c>
      <c r="C168" s="14" t="s">
        <v>606</v>
      </c>
      <c r="D168" s="11">
        <v>1</v>
      </c>
      <c r="E168" s="11" t="s">
        <v>402</v>
      </c>
      <c r="F168" s="11" t="s">
        <v>77</v>
      </c>
      <c r="G168" s="44" t="s">
        <v>439</v>
      </c>
      <c r="H168" s="45">
        <v>157</v>
      </c>
      <c r="I168" s="45" t="s">
        <v>406</v>
      </c>
      <c r="J168" s="46" t="s">
        <v>440</v>
      </c>
      <c r="K168" s="46" t="s">
        <v>441</v>
      </c>
      <c r="L168" s="41"/>
      <c r="M168" s="41"/>
      <c r="N168" s="41"/>
      <c r="O168" s="41"/>
      <c r="P168" s="41">
        <v>0</v>
      </c>
      <c r="Q168" s="41">
        <f>P168-O168</f>
        <v>0</v>
      </c>
      <c r="R168" s="41"/>
      <c r="S168" s="41">
        <v>0</v>
      </c>
      <c r="T168" s="41">
        <f>S168-R168</f>
        <v>0</v>
      </c>
      <c r="U168" s="41"/>
      <c r="V168" s="41">
        <v>0</v>
      </c>
      <c r="W168" s="41">
        <f>V168-U168</f>
        <v>0</v>
      </c>
      <c r="X168" s="41"/>
      <c r="Y168" s="41">
        <v>0</v>
      </c>
      <c r="Z168" s="41">
        <f>Y168-X168</f>
        <v>0</v>
      </c>
      <c r="AA168" s="41">
        <v>18144.96</v>
      </c>
      <c r="AB168" s="41">
        <v>14217.310000000001</v>
      </c>
      <c r="AC168" s="41">
        <f>AB168-AA168</f>
        <v>-3927.6499999999978</v>
      </c>
      <c r="AD168" s="35">
        <v>18144.95</v>
      </c>
      <c r="AE168" s="41">
        <v>0</v>
      </c>
      <c r="AF168" s="41">
        <f>AE168-AD168</f>
        <v>-18144.95</v>
      </c>
      <c r="AG168" s="41">
        <v>0</v>
      </c>
      <c r="AH168" s="41">
        <v>9509.15</v>
      </c>
      <c r="AI168" s="41">
        <f>AH168-AG168</f>
        <v>9509.15</v>
      </c>
      <c r="AJ168" s="41">
        <v>0</v>
      </c>
      <c r="AK168" s="41">
        <v>0</v>
      </c>
      <c r="AL168" s="41">
        <f>AK168-AJ168</f>
        <v>0</v>
      </c>
      <c r="AM168" s="41">
        <v>10744</v>
      </c>
      <c r="AN168" s="41">
        <v>0</v>
      </c>
      <c r="AO168" s="41">
        <f>AN168-AM168</f>
        <v>-10744</v>
      </c>
      <c r="AP168" s="41">
        <v>0</v>
      </c>
      <c r="AQ168" s="41">
        <f>IFERROR(VLOOKUP(G168,'10'!A:B,2,0),0)</f>
        <v>0</v>
      </c>
      <c r="AR168" s="41">
        <f t="shared" si="101"/>
        <v>0</v>
      </c>
      <c r="AS168" s="41">
        <f t="shared" si="104"/>
        <v>47033.91</v>
      </c>
      <c r="AT168" s="41">
        <f>AN168+AK168+AH168+AE168+AB168+-Y168+V168+S168+P168+AQ168</f>
        <v>23726.46</v>
      </c>
      <c r="AU168" s="41">
        <f t="shared" si="103"/>
        <v>-23307.45</v>
      </c>
      <c r="AV168" s="459">
        <f t="shared" si="119"/>
        <v>0.50445433943297502</v>
      </c>
      <c r="AW168" s="41">
        <v>0</v>
      </c>
      <c r="AX168" s="41">
        <v>3230</v>
      </c>
      <c r="AY168" s="41">
        <f t="shared" si="102"/>
        <v>50263.91</v>
      </c>
      <c r="AZ168" s="41">
        <f>VLOOKUP(G168,'2017'!A:B,2,0)</f>
        <v>29591.46</v>
      </c>
      <c r="BA168" s="552">
        <f t="shared" si="120"/>
        <v>-20672.450000000004</v>
      </c>
      <c r="BB168" s="41">
        <v>28390</v>
      </c>
      <c r="BC168" s="41">
        <v>30088.3</v>
      </c>
      <c r="BD168" s="41">
        <v>0</v>
      </c>
      <c r="BE168" s="41">
        <v>0</v>
      </c>
      <c r="BF168" s="41">
        <v>0</v>
      </c>
      <c r="BG168" s="41">
        <v>0</v>
      </c>
      <c r="BH168" s="41">
        <v>0</v>
      </c>
      <c r="BI168" s="41">
        <v>90597.25</v>
      </c>
      <c r="BJ168" s="75"/>
      <c r="BK168" s="11"/>
    </row>
    <row r="169" spans="1:64" s="10" customFormat="1" ht="31.5" x14ac:dyDescent="0.2">
      <c r="A169" s="11" t="s">
        <v>119</v>
      </c>
      <c r="B169" s="11" t="s">
        <v>120</v>
      </c>
      <c r="C169" s="14" t="s">
        <v>574</v>
      </c>
      <c r="D169" s="11">
        <v>1</v>
      </c>
      <c r="E169" s="11" t="s">
        <v>35</v>
      </c>
      <c r="F169" s="11" t="s">
        <v>102</v>
      </c>
      <c r="G169" s="44" t="s">
        <v>689</v>
      </c>
      <c r="H169" s="45">
        <v>158</v>
      </c>
      <c r="I169" s="45" t="s">
        <v>119</v>
      </c>
      <c r="J169" s="46" t="s">
        <v>690</v>
      </c>
      <c r="K169" s="46" t="s">
        <v>691</v>
      </c>
      <c r="L169" s="41"/>
      <c r="M169" s="41"/>
      <c r="N169" s="41"/>
      <c r="O169" s="41"/>
      <c r="P169" s="41">
        <v>0</v>
      </c>
      <c r="Q169" s="41">
        <f>P169-O169</f>
        <v>0</v>
      </c>
      <c r="R169" s="41"/>
      <c r="S169" s="41">
        <v>0</v>
      </c>
      <c r="T169" s="41">
        <f>S169-R169</f>
        <v>0</v>
      </c>
      <c r="U169" s="41"/>
      <c r="V169" s="41">
        <v>0</v>
      </c>
      <c r="W169" s="41">
        <f>V169-U169</f>
        <v>0</v>
      </c>
      <c r="X169" s="41">
        <v>177287.56</v>
      </c>
      <c r="Y169" s="41">
        <v>177287.56</v>
      </c>
      <c r="Z169" s="41">
        <f>Y169-X169</f>
        <v>0</v>
      </c>
      <c r="AA169" s="41"/>
      <c r="AB169" s="41">
        <v>0</v>
      </c>
      <c r="AC169" s="41">
        <f>AB169-AA169</f>
        <v>0</v>
      </c>
      <c r="AD169" s="35">
        <v>29919.26</v>
      </c>
      <c r="AE169" s="41">
        <v>46288.85</v>
      </c>
      <c r="AF169" s="41">
        <f>AE169-AD169</f>
        <v>16369.59</v>
      </c>
      <c r="AG169" s="41"/>
      <c r="AH169" s="41">
        <v>0</v>
      </c>
      <c r="AI169" s="41">
        <f>AH169-AG169</f>
        <v>0</v>
      </c>
      <c r="AJ169" s="35">
        <v>97003.36</v>
      </c>
      <c r="AK169" s="41">
        <v>0</v>
      </c>
      <c r="AL169" s="41">
        <f>AK169-AJ169</f>
        <v>-97003.36</v>
      </c>
      <c r="AM169" s="41">
        <v>97003.36</v>
      </c>
      <c r="AN169" s="41">
        <v>0</v>
      </c>
      <c r="AO169" s="41">
        <f>AN169-AM169</f>
        <v>-97003.36</v>
      </c>
      <c r="AP169" s="35">
        <v>0</v>
      </c>
      <c r="AQ169" s="41">
        <f>IFERROR(VLOOKUP(G169,'10'!A:B,2,0),0)</f>
        <v>154710.29</v>
      </c>
      <c r="AR169" s="41">
        <f t="shared" si="101"/>
        <v>154710.29</v>
      </c>
      <c r="AS169" s="41">
        <f t="shared" si="104"/>
        <v>401213.54000000004</v>
      </c>
      <c r="AT169" s="41">
        <f>AN169+AK169+AH169+AE169+AB169+Y169+V169+S169+P169+AQ169</f>
        <v>378286.7</v>
      </c>
      <c r="AU169" s="41">
        <f t="shared" si="103"/>
        <v>-22926.839999999997</v>
      </c>
      <c r="AV169" s="459">
        <f t="shared" si="119"/>
        <v>0.9428562655188556</v>
      </c>
      <c r="AW169" s="35"/>
      <c r="AX169" s="35">
        <v>134964.26999999999</v>
      </c>
      <c r="AY169" s="41">
        <f t="shared" si="102"/>
        <v>536177.80999999994</v>
      </c>
      <c r="AZ169" s="41">
        <f>VLOOKUP(G169,'2017'!A:B,2,0)</f>
        <v>438928.73</v>
      </c>
      <c r="BA169" s="552">
        <f t="shared" si="120"/>
        <v>-97249.079999999958</v>
      </c>
      <c r="BB169" s="41">
        <v>267742.14999999997</v>
      </c>
      <c r="BC169" s="41">
        <v>2260</v>
      </c>
      <c r="BD169" s="41">
        <v>0</v>
      </c>
      <c r="BE169" s="41">
        <v>0</v>
      </c>
      <c r="BF169" s="41">
        <v>59069.48</v>
      </c>
      <c r="BG169" s="41">
        <v>0</v>
      </c>
      <c r="BH169" s="41">
        <v>0</v>
      </c>
      <c r="BI169" s="41">
        <v>590958.5199999999</v>
      </c>
      <c r="BJ169" s="75"/>
      <c r="BK169" s="11"/>
    </row>
    <row r="170" spans="1:64" s="10" customFormat="1" ht="94.5" x14ac:dyDescent="0.25">
      <c r="A170" s="472" t="s">
        <v>400</v>
      </c>
      <c r="B170" s="472" t="s">
        <v>401</v>
      </c>
      <c r="C170" s="473" t="s">
        <v>604</v>
      </c>
      <c r="D170" s="472" t="s">
        <v>3</v>
      </c>
      <c r="E170" s="472" t="s">
        <v>402</v>
      </c>
      <c r="F170" s="472" t="s">
        <v>77</v>
      </c>
      <c r="G170" s="474" t="s">
        <v>403</v>
      </c>
      <c r="H170" s="45">
        <v>159</v>
      </c>
      <c r="I170" s="45" t="s">
        <v>400</v>
      </c>
      <c r="J170" s="475" t="s">
        <v>404</v>
      </c>
      <c r="K170" s="475" t="s">
        <v>405</v>
      </c>
      <c r="L170" s="41">
        <v>0</v>
      </c>
      <c r="M170" s="41">
        <v>0</v>
      </c>
      <c r="N170" s="41">
        <v>614156.56999999995</v>
      </c>
      <c r="O170" s="41">
        <v>772229.99</v>
      </c>
      <c r="P170" s="41">
        <v>772229.99</v>
      </c>
      <c r="Q170" s="41">
        <f>P170-O170</f>
        <v>0</v>
      </c>
      <c r="R170" s="41">
        <v>0</v>
      </c>
      <c r="S170" s="41">
        <v>0</v>
      </c>
      <c r="T170" s="41">
        <f>S170-R170</f>
        <v>0</v>
      </c>
      <c r="U170" s="41">
        <v>0</v>
      </c>
      <c r="V170" s="41">
        <v>0</v>
      </c>
      <c r="W170" s="41">
        <f>V170-U170</f>
        <v>0</v>
      </c>
      <c r="X170" s="41">
        <v>10505.5</v>
      </c>
      <c r="Y170" s="41">
        <v>10505.5</v>
      </c>
      <c r="Z170" s="41">
        <f>Y170-X170</f>
        <v>0</v>
      </c>
      <c r="AA170" s="41">
        <v>0</v>
      </c>
      <c r="AB170" s="41">
        <v>0</v>
      </c>
      <c r="AC170" s="41">
        <f>AB170-AA170</f>
        <v>0</v>
      </c>
      <c r="AD170" s="41">
        <v>0</v>
      </c>
      <c r="AE170" s="41">
        <v>0</v>
      </c>
      <c r="AF170" s="41">
        <f>AE170-AD170</f>
        <v>0</v>
      </c>
      <c r="AG170" s="41">
        <v>8058</v>
      </c>
      <c r="AH170" s="41">
        <v>10305.1</v>
      </c>
      <c r="AI170" s="41">
        <f>AH170-AG170</f>
        <v>2247.1000000000004</v>
      </c>
      <c r="AJ170" s="41">
        <v>0</v>
      </c>
      <c r="AK170" s="41">
        <v>0</v>
      </c>
      <c r="AL170" s="41">
        <f>AK170-AJ170</f>
        <v>0</v>
      </c>
      <c r="AM170" s="41">
        <v>0</v>
      </c>
      <c r="AN170" s="41">
        <v>0</v>
      </c>
      <c r="AO170" s="41">
        <f>AN170-AM170</f>
        <v>0</v>
      </c>
      <c r="AP170" s="41">
        <v>40553.5</v>
      </c>
      <c r="AQ170" s="41">
        <f>IFERROR(VLOOKUP(G170,'10'!A:B,2,0),0)</f>
        <v>0</v>
      </c>
      <c r="AR170" s="41">
        <f t="shared" si="101"/>
        <v>-40553.5</v>
      </c>
      <c r="AS170" s="41">
        <f t="shared" si="104"/>
        <v>831346.99</v>
      </c>
      <c r="AT170" s="41">
        <f>AN170+AK170+AH170+AE170+AB170+Y170+V170+S170+P170+AQ170</f>
        <v>793040.59</v>
      </c>
      <c r="AU170" s="41">
        <f t="shared" si="103"/>
        <v>-38306.400000000001</v>
      </c>
      <c r="AV170" s="459">
        <f t="shared" si="119"/>
        <v>0.95392248909206967</v>
      </c>
      <c r="AW170" s="41">
        <v>0</v>
      </c>
      <c r="AX170" s="41">
        <v>0</v>
      </c>
      <c r="AY170" s="41">
        <f t="shared" si="102"/>
        <v>831346.99</v>
      </c>
      <c r="AZ170" s="41">
        <f>VLOOKUP(G170,'2017'!A:B,2,0)</f>
        <v>759557.69</v>
      </c>
      <c r="BA170" s="552">
        <f t="shared" si="120"/>
        <v>-71789.300000000047</v>
      </c>
      <c r="BB170" s="41">
        <v>1005354.5</v>
      </c>
      <c r="BC170" s="41">
        <v>1467451.94</v>
      </c>
      <c r="BD170" s="41">
        <v>0</v>
      </c>
      <c r="BE170" s="41">
        <v>0</v>
      </c>
      <c r="BF170" s="41">
        <v>0</v>
      </c>
      <c r="BG170" s="41">
        <v>0</v>
      </c>
      <c r="BH170" s="41">
        <v>0</v>
      </c>
      <c r="BI170" s="41">
        <v>3918310</v>
      </c>
      <c r="BJ170" s="75"/>
      <c r="BK170" s="24"/>
      <c r="BL170" s="8"/>
    </row>
    <row r="171" spans="1:64" s="10" customFormat="1" ht="25.5" x14ac:dyDescent="0.2">
      <c r="A171" s="55" t="s">
        <v>2639</v>
      </c>
      <c r="B171" s="55" t="s">
        <v>2641</v>
      </c>
      <c r="C171" s="155" t="s">
        <v>2640</v>
      </c>
      <c r="D171" s="55" t="s">
        <v>2642</v>
      </c>
      <c r="E171" s="55" t="s">
        <v>402</v>
      </c>
      <c r="F171" s="55" t="s">
        <v>5</v>
      </c>
      <c r="G171" s="55" t="s">
        <v>2843</v>
      </c>
      <c r="H171" s="45">
        <v>160</v>
      </c>
      <c r="I171" s="45" t="s">
        <v>2639</v>
      </c>
      <c r="J171" s="344" t="s">
        <v>2657</v>
      </c>
      <c r="K171" s="344" t="s">
        <v>2658</v>
      </c>
      <c r="L171" s="152">
        <v>0</v>
      </c>
      <c r="M171" s="152">
        <v>0</v>
      </c>
      <c r="N171" s="152">
        <v>0</v>
      </c>
      <c r="O171" s="152">
        <f t="shared" ref="O171:AM171" si="122">N171+M171+L171</f>
        <v>0</v>
      </c>
      <c r="P171" s="152">
        <f t="shared" si="122"/>
        <v>0</v>
      </c>
      <c r="Q171" s="152">
        <f t="shared" si="122"/>
        <v>0</v>
      </c>
      <c r="R171" s="152">
        <f t="shared" si="122"/>
        <v>0</v>
      </c>
      <c r="S171" s="152">
        <f t="shared" si="122"/>
        <v>0</v>
      </c>
      <c r="T171" s="152">
        <f t="shared" si="122"/>
        <v>0</v>
      </c>
      <c r="U171" s="152">
        <f t="shared" si="122"/>
        <v>0</v>
      </c>
      <c r="V171" s="152">
        <f t="shared" si="122"/>
        <v>0</v>
      </c>
      <c r="W171" s="152">
        <f t="shared" si="122"/>
        <v>0</v>
      </c>
      <c r="X171" s="152">
        <f t="shared" si="122"/>
        <v>0</v>
      </c>
      <c r="Y171" s="152">
        <f t="shared" si="122"/>
        <v>0</v>
      </c>
      <c r="Z171" s="152">
        <f t="shared" si="122"/>
        <v>0</v>
      </c>
      <c r="AA171" s="152">
        <f t="shared" si="122"/>
        <v>0</v>
      </c>
      <c r="AB171" s="152">
        <f t="shared" si="122"/>
        <v>0</v>
      </c>
      <c r="AC171" s="152">
        <f t="shared" si="122"/>
        <v>0</v>
      </c>
      <c r="AD171" s="152">
        <f t="shared" si="122"/>
        <v>0</v>
      </c>
      <c r="AE171" s="152">
        <f t="shared" si="122"/>
        <v>0</v>
      </c>
      <c r="AF171" s="152">
        <f t="shared" si="122"/>
        <v>0</v>
      </c>
      <c r="AG171" s="152">
        <f t="shared" si="122"/>
        <v>0</v>
      </c>
      <c r="AH171" s="152">
        <f t="shared" si="122"/>
        <v>0</v>
      </c>
      <c r="AI171" s="152">
        <f t="shared" si="122"/>
        <v>0</v>
      </c>
      <c r="AJ171" s="152">
        <f t="shared" si="122"/>
        <v>0</v>
      </c>
      <c r="AK171" s="152">
        <f t="shared" si="122"/>
        <v>0</v>
      </c>
      <c r="AL171" s="152">
        <f t="shared" si="122"/>
        <v>0</v>
      </c>
      <c r="AM171" s="152">
        <f t="shared" si="122"/>
        <v>0</v>
      </c>
      <c r="AN171" s="152">
        <v>0</v>
      </c>
      <c r="AO171" s="152">
        <f>AN171+AM171+AL171</f>
        <v>0</v>
      </c>
      <c r="AP171" s="152">
        <v>18579.59</v>
      </c>
      <c r="AQ171" s="41">
        <f>IFERROR(VLOOKUP(G171,'10'!A:B,2,0),0)</f>
        <v>0</v>
      </c>
      <c r="AR171" s="41">
        <f t="shared" si="101"/>
        <v>-18579.59</v>
      </c>
      <c r="AS171" s="41">
        <f t="shared" si="104"/>
        <v>18579.59</v>
      </c>
      <c r="AT171" s="41">
        <f>AN171+AK171+AH171+AE171+AB171+-Y171+V171+S171+P171+AQ171</f>
        <v>0</v>
      </c>
      <c r="AU171" s="41">
        <f t="shared" si="103"/>
        <v>-18579.59</v>
      </c>
      <c r="AV171" s="459">
        <f t="shared" si="119"/>
        <v>0</v>
      </c>
      <c r="AW171" s="152">
        <v>0</v>
      </c>
      <c r="AX171" s="152">
        <v>0</v>
      </c>
      <c r="AY171" s="41">
        <f t="shared" si="102"/>
        <v>18579.59</v>
      </c>
      <c r="AZ171" s="41"/>
      <c r="BA171" s="552">
        <f t="shared" si="120"/>
        <v>-18579.59</v>
      </c>
      <c r="BB171" s="152">
        <v>3247000.91</v>
      </c>
      <c r="BC171" s="152">
        <v>3601094.49</v>
      </c>
      <c r="BD171" s="152">
        <v>1495653.9100000001</v>
      </c>
      <c r="BE171" s="152">
        <v>0</v>
      </c>
      <c r="BF171" s="152">
        <v>0</v>
      </c>
      <c r="BG171" s="152">
        <v>0</v>
      </c>
      <c r="BH171" s="152">
        <v>0</v>
      </c>
      <c r="BI171" s="152">
        <v>8362328.9000000004</v>
      </c>
      <c r="BJ171" s="459"/>
      <c r="BK171" s="41"/>
      <c r="BL171" s="432"/>
    </row>
    <row r="172" spans="1:64" s="10" customFormat="1" ht="47.25" x14ac:dyDescent="0.2">
      <c r="A172" s="11" t="s">
        <v>406</v>
      </c>
      <c r="B172" s="11" t="s">
        <v>411</v>
      </c>
      <c r="C172" s="14" t="s">
        <v>606</v>
      </c>
      <c r="D172" s="11">
        <v>1</v>
      </c>
      <c r="E172" s="11" t="s">
        <v>402</v>
      </c>
      <c r="F172" s="11" t="s">
        <v>77</v>
      </c>
      <c r="G172" s="44" t="s">
        <v>721</v>
      </c>
      <c r="H172" s="45">
        <v>161</v>
      </c>
      <c r="I172" s="45" t="s">
        <v>406</v>
      </c>
      <c r="J172" s="46" t="s">
        <v>508</v>
      </c>
      <c r="K172" s="46" t="s">
        <v>722</v>
      </c>
      <c r="L172" s="41"/>
      <c r="M172" s="41"/>
      <c r="N172" s="41"/>
      <c r="O172" s="41"/>
      <c r="P172" s="41">
        <v>0</v>
      </c>
      <c r="Q172" s="41">
        <f>P172-O172</f>
        <v>0</v>
      </c>
      <c r="R172" s="41"/>
      <c r="S172" s="41">
        <v>0</v>
      </c>
      <c r="T172" s="41">
        <f>S172-R172</f>
        <v>0</v>
      </c>
      <c r="U172" s="41"/>
      <c r="V172" s="41">
        <v>0</v>
      </c>
      <c r="W172" s="41">
        <f>V172-U172</f>
        <v>0</v>
      </c>
      <c r="X172" s="41"/>
      <c r="Y172" s="41">
        <v>0</v>
      </c>
      <c r="Z172" s="41">
        <f>Y172-X172</f>
        <v>0</v>
      </c>
      <c r="AA172" s="41">
        <v>5409.24</v>
      </c>
      <c r="AB172" s="41">
        <v>5409.24</v>
      </c>
      <c r="AC172" s="41">
        <f>AB172-AA172</f>
        <v>0</v>
      </c>
      <c r="AD172" s="41">
        <v>56470.6</v>
      </c>
      <c r="AE172" s="41">
        <v>0</v>
      </c>
      <c r="AF172" s="41">
        <f>AE172-AD172</f>
        <v>-56470.6</v>
      </c>
      <c r="AG172" s="41">
        <v>0</v>
      </c>
      <c r="AH172" s="41">
        <v>28330.41</v>
      </c>
      <c r="AI172" s="41">
        <f t="shared" ref="AI172:AI177" si="123">AH172-AG172</f>
        <v>28330.41</v>
      </c>
      <c r="AJ172" s="41">
        <v>14535</v>
      </c>
      <c r="AK172" s="41">
        <v>15137.869999999999</v>
      </c>
      <c r="AL172" s="41">
        <f t="shared" ref="AL172:AL186" si="124">AK172-AJ172</f>
        <v>602.86999999999898</v>
      </c>
      <c r="AM172" s="41"/>
      <c r="AN172" s="41">
        <v>0</v>
      </c>
      <c r="AO172" s="41">
        <f t="shared" ref="AO172:AO186" si="125">AN172-AM172</f>
        <v>0</v>
      </c>
      <c r="AP172" s="41"/>
      <c r="AQ172" s="41">
        <f>IFERROR(VLOOKUP(G172,'10'!A:B,2,0),0)</f>
        <v>9579.3700000000008</v>
      </c>
      <c r="AR172" s="41">
        <f t="shared" si="101"/>
        <v>9579.3700000000008</v>
      </c>
      <c r="AS172" s="41">
        <f t="shared" si="104"/>
        <v>76414.840000000011</v>
      </c>
      <c r="AT172" s="41">
        <f>AN172+AK172+AH172+AE172+AB172+-Y172+V172+S172+P172+AQ172</f>
        <v>58456.89</v>
      </c>
      <c r="AU172" s="41">
        <f t="shared" si="103"/>
        <v>-17957.949999999997</v>
      </c>
      <c r="AV172" s="459">
        <f t="shared" si="119"/>
        <v>0.76499394620207273</v>
      </c>
      <c r="AW172" s="41">
        <v>48115.95</v>
      </c>
      <c r="AX172" s="41"/>
      <c r="AY172" s="41">
        <f t="shared" si="102"/>
        <v>124530.79000000001</v>
      </c>
      <c r="AZ172" s="41">
        <f>VLOOKUP(G172,'2017'!A:B,2,0)</f>
        <v>96467.030000000013</v>
      </c>
      <c r="BA172" s="552">
        <f t="shared" si="120"/>
        <v>-28063.759999999995</v>
      </c>
      <c r="BB172" s="41">
        <v>194709.49999999997</v>
      </c>
      <c r="BC172" s="41">
        <v>180465.2</v>
      </c>
      <c r="BD172" s="41">
        <v>50629.4</v>
      </c>
      <c r="BE172" s="41">
        <v>0</v>
      </c>
      <c r="BF172" s="41">
        <v>0</v>
      </c>
      <c r="BG172" s="41">
        <v>0</v>
      </c>
      <c r="BH172" s="41">
        <v>0</v>
      </c>
      <c r="BI172" s="41">
        <v>488455.05</v>
      </c>
      <c r="BJ172" s="75"/>
      <c r="BK172" s="11"/>
    </row>
    <row r="173" spans="1:64" s="10" customFormat="1" ht="63" x14ac:dyDescent="0.2">
      <c r="A173" s="11" t="s">
        <v>233</v>
      </c>
      <c r="B173" s="11" t="s">
        <v>234</v>
      </c>
      <c r="C173" s="14" t="s">
        <v>583</v>
      </c>
      <c r="D173" s="11">
        <v>1</v>
      </c>
      <c r="E173" s="11" t="s">
        <v>4</v>
      </c>
      <c r="F173" s="11" t="s">
        <v>5</v>
      </c>
      <c r="G173" s="44" t="s">
        <v>253</v>
      </c>
      <c r="H173" s="45">
        <v>162</v>
      </c>
      <c r="I173" s="45" t="s">
        <v>233</v>
      </c>
      <c r="J173" s="32" t="s">
        <v>254</v>
      </c>
      <c r="K173" s="73" t="s">
        <v>763</v>
      </c>
      <c r="L173" s="41">
        <v>0</v>
      </c>
      <c r="M173" s="41">
        <v>0</v>
      </c>
      <c r="N173" s="41">
        <v>0</v>
      </c>
      <c r="O173" s="41">
        <v>0</v>
      </c>
      <c r="P173" s="41">
        <v>0</v>
      </c>
      <c r="Q173" s="41">
        <f>P173-O173</f>
        <v>0</v>
      </c>
      <c r="R173" s="41">
        <v>3055.26</v>
      </c>
      <c r="S173" s="41">
        <v>3055.26</v>
      </c>
      <c r="T173" s="41">
        <f>S173-R173</f>
        <v>0</v>
      </c>
      <c r="U173" s="41">
        <v>4802.1400000000003</v>
      </c>
      <c r="V173" s="41">
        <v>4802.17</v>
      </c>
      <c r="W173" s="41">
        <f>V173-U173</f>
        <v>2.9999999999745341E-2</v>
      </c>
      <c r="X173" s="41">
        <v>0</v>
      </c>
      <c r="Y173" s="41">
        <v>0</v>
      </c>
      <c r="Z173" s="41">
        <f>Y173-X173</f>
        <v>0</v>
      </c>
      <c r="AA173" s="41">
        <v>0</v>
      </c>
      <c r="AB173" s="41">
        <v>0</v>
      </c>
      <c r="AC173" s="41">
        <f>AB173-AA173</f>
        <v>0</v>
      </c>
      <c r="AD173" s="41">
        <v>10252.83</v>
      </c>
      <c r="AE173" s="41">
        <v>5333.16</v>
      </c>
      <c r="AF173" s="41">
        <f>AE173-AD173</f>
        <v>-4919.67</v>
      </c>
      <c r="AG173" s="41">
        <v>0</v>
      </c>
      <c r="AH173" s="41">
        <v>0</v>
      </c>
      <c r="AI173" s="41">
        <f t="shared" si="123"/>
        <v>0</v>
      </c>
      <c r="AJ173" s="41">
        <v>0</v>
      </c>
      <c r="AK173" s="41">
        <v>0</v>
      </c>
      <c r="AL173" s="41">
        <f t="shared" si="124"/>
        <v>0</v>
      </c>
      <c r="AM173" s="41">
        <v>19874.96</v>
      </c>
      <c r="AN173" s="41">
        <v>7684.69</v>
      </c>
      <c r="AO173" s="41">
        <f t="shared" si="125"/>
        <v>-12190.27</v>
      </c>
      <c r="AP173" s="41">
        <v>0</v>
      </c>
      <c r="AQ173" s="41">
        <f>IFERROR(VLOOKUP(G173,'10'!A:B,2,0),0)</f>
        <v>0</v>
      </c>
      <c r="AR173" s="41">
        <f t="shared" si="101"/>
        <v>0</v>
      </c>
      <c r="AS173" s="41">
        <f t="shared" si="104"/>
        <v>37985.19</v>
      </c>
      <c r="AT173" s="41">
        <f>AN173+AK173+AH173+AE173+AB173+-Y173+V173+S173+P173+AQ173</f>
        <v>20875.28</v>
      </c>
      <c r="AU173" s="41">
        <f t="shared" si="103"/>
        <v>-17109.910000000003</v>
      </c>
      <c r="AV173" s="459">
        <f t="shared" si="119"/>
        <v>0.5495636588891617</v>
      </c>
      <c r="AW173" s="41">
        <v>0</v>
      </c>
      <c r="AX173" s="41">
        <v>44792.85</v>
      </c>
      <c r="AY173" s="41">
        <f t="shared" si="102"/>
        <v>82778.039999999994</v>
      </c>
      <c r="AZ173" s="41">
        <f>VLOOKUP(G173,'2017'!A:B,2,0)</f>
        <v>65668.12999999999</v>
      </c>
      <c r="BA173" s="552">
        <f t="shared" si="120"/>
        <v>-17109.910000000003</v>
      </c>
      <c r="BB173" s="41">
        <v>808594.68</v>
      </c>
      <c r="BC173" s="41">
        <v>701453.33000000007</v>
      </c>
      <c r="BD173" s="41">
        <v>0</v>
      </c>
      <c r="BE173" s="41">
        <v>0</v>
      </c>
      <c r="BF173" s="41">
        <v>0</v>
      </c>
      <c r="BG173" s="41">
        <v>0</v>
      </c>
      <c r="BH173" s="41">
        <v>0</v>
      </c>
      <c r="BI173" s="41">
        <v>1592826.0500000003</v>
      </c>
      <c r="BJ173" s="75"/>
      <c r="BK173" s="11"/>
    </row>
    <row r="174" spans="1:64" s="10" customFormat="1" ht="31.5" x14ac:dyDescent="0.2">
      <c r="A174" s="11" t="s">
        <v>406</v>
      </c>
      <c r="B174" s="11" t="s">
        <v>411</v>
      </c>
      <c r="C174" s="14" t="s">
        <v>606</v>
      </c>
      <c r="D174" s="11">
        <v>1</v>
      </c>
      <c r="E174" s="11" t="s">
        <v>402</v>
      </c>
      <c r="F174" s="11" t="s">
        <v>77</v>
      </c>
      <c r="G174" s="44" t="s">
        <v>412</v>
      </c>
      <c r="H174" s="45">
        <v>163</v>
      </c>
      <c r="I174" s="45" t="s">
        <v>406</v>
      </c>
      <c r="J174" s="46" t="s">
        <v>413</v>
      </c>
      <c r="K174" s="46" t="s">
        <v>414</v>
      </c>
      <c r="L174" s="41">
        <v>0</v>
      </c>
      <c r="M174" s="41">
        <v>0</v>
      </c>
      <c r="N174" s="41">
        <v>0</v>
      </c>
      <c r="O174" s="41">
        <v>0</v>
      </c>
      <c r="P174" s="41">
        <v>0</v>
      </c>
      <c r="Q174" s="41">
        <f>P174-O174</f>
        <v>0</v>
      </c>
      <c r="R174" s="41">
        <v>0</v>
      </c>
      <c r="S174" s="41">
        <v>0</v>
      </c>
      <c r="T174" s="41">
        <f>S174-R174</f>
        <v>0</v>
      </c>
      <c r="U174" s="41">
        <v>0</v>
      </c>
      <c r="V174" s="41">
        <v>0</v>
      </c>
      <c r="W174" s="41">
        <f>V174-U174</f>
        <v>0</v>
      </c>
      <c r="X174" s="41">
        <v>22580.13</v>
      </c>
      <c r="Y174" s="41">
        <v>13415.2</v>
      </c>
      <c r="Z174" s="41">
        <f>Y174-X174</f>
        <v>-9164.93</v>
      </c>
      <c r="AA174" s="41">
        <v>8007.76</v>
      </c>
      <c r="AB174" s="41">
        <v>1725.13</v>
      </c>
      <c r="AC174" s="41">
        <f>AB174-AA174</f>
        <v>-6282.63</v>
      </c>
      <c r="AD174" s="41">
        <v>0</v>
      </c>
      <c r="AE174" s="41">
        <v>0</v>
      </c>
      <c r="AF174" s="41">
        <f>AE174-AD174</f>
        <v>0</v>
      </c>
      <c r="AG174" s="41">
        <v>0</v>
      </c>
      <c r="AH174" s="41">
        <v>0</v>
      </c>
      <c r="AI174" s="41">
        <f t="shared" si="123"/>
        <v>0</v>
      </c>
      <c r="AJ174" s="41">
        <v>14572.37</v>
      </c>
      <c r="AK174" s="41">
        <v>13053.33</v>
      </c>
      <c r="AL174" s="41">
        <f t="shared" si="124"/>
        <v>-1519.0400000000009</v>
      </c>
      <c r="AM174" s="41">
        <v>0</v>
      </c>
      <c r="AN174" s="41">
        <v>0</v>
      </c>
      <c r="AO174" s="41">
        <f t="shared" si="125"/>
        <v>0</v>
      </c>
      <c r="AP174" s="41">
        <v>0</v>
      </c>
      <c r="AQ174" s="41">
        <f>IFERROR(VLOOKUP(G174,'10'!A:B,2,0),0)</f>
        <v>0</v>
      </c>
      <c r="AR174" s="41">
        <f t="shared" si="101"/>
        <v>0</v>
      </c>
      <c r="AS174" s="41">
        <f t="shared" si="104"/>
        <v>45160.26</v>
      </c>
      <c r="AT174" s="41">
        <f>AN174+AK174+AH174+AE174+AB174+Y174+V174+S174+P174+AQ174</f>
        <v>28193.66</v>
      </c>
      <c r="AU174" s="41">
        <f t="shared" si="103"/>
        <v>-16966.600000000002</v>
      </c>
      <c r="AV174" s="459">
        <f t="shared" si="119"/>
        <v>0.6243024287282668</v>
      </c>
      <c r="AW174" s="41">
        <v>6998.93</v>
      </c>
      <c r="AX174" s="41">
        <v>0</v>
      </c>
      <c r="AY174" s="41">
        <f t="shared" si="102"/>
        <v>52159.19</v>
      </c>
      <c r="AZ174" s="41">
        <f>VLOOKUP(G174,'2017'!A:B,2,0)</f>
        <v>42994.270000000004</v>
      </c>
      <c r="BA174" s="552">
        <f t="shared" si="120"/>
        <v>-9164.9199999999983</v>
      </c>
      <c r="BB174" s="41">
        <v>33620.25</v>
      </c>
      <c r="BC174" s="41">
        <v>27669.73</v>
      </c>
      <c r="BD174" s="41">
        <v>4477.16</v>
      </c>
      <c r="BE174" s="41">
        <v>0</v>
      </c>
      <c r="BF174" s="41">
        <v>0</v>
      </c>
      <c r="BG174" s="41">
        <v>0</v>
      </c>
      <c r="BH174" s="41">
        <v>0</v>
      </c>
      <c r="BI174" s="41">
        <v>95346.2</v>
      </c>
      <c r="BJ174" s="75"/>
      <c r="BK174" s="11"/>
    </row>
    <row r="175" spans="1:64" s="10" customFormat="1" ht="31.5" x14ac:dyDescent="0.2">
      <c r="A175" s="20" t="s">
        <v>406</v>
      </c>
      <c r="B175" s="20" t="s">
        <v>411</v>
      </c>
      <c r="C175" s="21" t="s">
        <v>606</v>
      </c>
      <c r="D175" s="20">
        <v>1</v>
      </c>
      <c r="E175" s="20" t="s">
        <v>402</v>
      </c>
      <c r="F175" s="20" t="s">
        <v>77</v>
      </c>
      <c r="G175" s="20" t="s">
        <v>878</v>
      </c>
      <c r="H175" s="45">
        <v>164</v>
      </c>
      <c r="I175" s="45" t="s">
        <v>406</v>
      </c>
      <c r="J175" s="34" t="s">
        <v>524</v>
      </c>
      <c r="K175" s="34" t="s">
        <v>879</v>
      </c>
      <c r="L175" s="38">
        <v>0</v>
      </c>
      <c r="M175" s="38">
        <v>0</v>
      </c>
      <c r="N175" s="38">
        <v>0</v>
      </c>
      <c r="O175" s="38">
        <v>0</v>
      </c>
      <c r="P175" s="38">
        <v>0</v>
      </c>
      <c r="Q175" s="38">
        <v>0</v>
      </c>
      <c r="R175" s="38">
        <v>0</v>
      </c>
      <c r="S175" s="38">
        <v>0</v>
      </c>
      <c r="T175" s="38">
        <v>0</v>
      </c>
      <c r="U175" s="38">
        <v>0</v>
      </c>
      <c r="V175" s="38">
        <v>0</v>
      </c>
      <c r="W175" s="38">
        <v>0</v>
      </c>
      <c r="X175" s="38">
        <v>0</v>
      </c>
      <c r="Y175" s="38">
        <v>0</v>
      </c>
      <c r="Z175" s="38">
        <v>0</v>
      </c>
      <c r="AA175" s="38">
        <v>0</v>
      </c>
      <c r="AB175" s="38">
        <v>0</v>
      </c>
      <c r="AC175" s="38">
        <v>0</v>
      </c>
      <c r="AD175" s="38">
        <v>0</v>
      </c>
      <c r="AE175" s="38">
        <v>0</v>
      </c>
      <c r="AF175" s="38">
        <v>0</v>
      </c>
      <c r="AG175" s="38">
        <v>18297.93</v>
      </c>
      <c r="AH175" s="41">
        <v>0</v>
      </c>
      <c r="AI175" s="41">
        <f t="shared" si="123"/>
        <v>-18297.93</v>
      </c>
      <c r="AJ175" s="38">
        <v>3543.68</v>
      </c>
      <c r="AK175" s="41">
        <v>23.72</v>
      </c>
      <c r="AL175" s="41">
        <f t="shared" si="124"/>
        <v>-3519.96</v>
      </c>
      <c r="AM175" s="38">
        <v>0</v>
      </c>
      <c r="AN175" s="41">
        <v>5435.84</v>
      </c>
      <c r="AO175" s="41">
        <f t="shared" si="125"/>
        <v>5435.84</v>
      </c>
      <c r="AP175" s="38">
        <v>0</v>
      </c>
      <c r="AQ175" s="41">
        <f>IFERROR(VLOOKUP(G175,'10'!A:B,2,0),0)</f>
        <v>0</v>
      </c>
      <c r="AR175" s="41">
        <f t="shared" si="101"/>
        <v>0</v>
      </c>
      <c r="AS175" s="41">
        <f t="shared" si="104"/>
        <v>21841.61</v>
      </c>
      <c r="AT175" s="41">
        <f>AN175+AK175+AH175+AE175+AB175+-Y175+V175+S175+P175+AQ175</f>
        <v>5459.56</v>
      </c>
      <c r="AU175" s="41">
        <f t="shared" si="103"/>
        <v>-16382.05</v>
      </c>
      <c r="AV175" s="459">
        <f t="shared" si="119"/>
        <v>0.24996142683620851</v>
      </c>
      <c r="AW175" s="37">
        <v>25790.17</v>
      </c>
      <c r="AX175" s="38">
        <v>0</v>
      </c>
      <c r="AY175" s="41">
        <f t="shared" si="102"/>
        <v>47631.78</v>
      </c>
      <c r="AZ175" s="41">
        <f>VLOOKUP(G175,'2017'!A:B,2,0)</f>
        <v>46652.149999999994</v>
      </c>
      <c r="BA175" s="552">
        <f t="shared" si="120"/>
        <v>-979.63000000000466</v>
      </c>
      <c r="BB175" s="38">
        <v>87198.86</v>
      </c>
      <c r="BC175" s="38">
        <v>80109.78</v>
      </c>
      <c r="BD175" s="38">
        <v>21849.16</v>
      </c>
      <c r="BE175" s="38">
        <v>0</v>
      </c>
      <c r="BF175" s="38">
        <v>0</v>
      </c>
      <c r="BG175" s="38">
        <v>0</v>
      </c>
      <c r="BH175" s="38">
        <v>0</v>
      </c>
      <c r="BI175" s="37">
        <v>218491.65</v>
      </c>
      <c r="BJ175" s="77"/>
      <c r="BK175" s="11"/>
    </row>
    <row r="176" spans="1:64" s="10" customFormat="1" ht="47.25" x14ac:dyDescent="0.2">
      <c r="A176" s="20" t="s">
        <v>406</v>
      </c>
      <c r="B176" s="20" t="s">
        <v>411</v>
      </c>
      <c r="C176" s="21" t="s">
        <v>606</v>
      </c>
      <c r="D176" s="20">
        <v>1</v>
      </c>
      <c r="E176" s="20" t="s">
        <v>402</v>
      </c>
      <c r="F176" s="20" t="s">
        <v>77</v>
      </c>
      <c r="G176" s="20" t="s">
        <v>872</v>
      </c>
      <c r="H176" s="45">
        <v>165</v>
      </c>
      <c r="I176" s="45" t="s">
        <v>406</v>
      </c>
      <c r="J176" s="34" t="s">
        <v>873</v>
      </c>
      <c r="K176" s="34" t="s">
        <v>874</v>
      </c>
      <c r="L176" s="431"/>
      <c r="M176" s="37">
        <v>0</v>
      </c>
      <c r="N176" s="37">
        <v>0</v>
      </c>
      <c r="O176" s="37">
        <v>0</v>
      </c>
      <c r="P176" s="37"/>
      <c r="Q176" s="37"/>
      <c r="R176" s="37">
        <v>0</v>
      </c>
      <c r="S176" s="37"/>
      <c r="T176" s="37"/>
      <c r="U176" s="37">
        <v>0</v>
      </c>
      <c r="V176" s="37"/>
      <c r="W176" s="37"/>
      <c r="X176" s="37">
        <v>0</v>
      </c>
      <c r="Y176" s="37"/>
      <c r="Z176" s="37"/>
      <c r="AA176" s="37">
        <v>0</v>
      </c>
      <c r="AB176" s="37"/>
      <c r="AC176" s="37"/>
      <c r="AD176" s="37">
        <v>0</v>
      </c>
      <c r="AE176" s="37"/>
      <c r="AF176" s="37"/>
      <c r="AG176" s="37">
        <v>1810.5</v>
      </c>
      <c r="AH176" s="41">
        <v>1809.13</v>
      </c>
      <c r="AI176" s="41">
        <f t="shared" si="123"/>
        <v>-1.3699999999998909</v>
      </c>
      <c r="AJ176" s="37">
        <v>0</v>
      </c>
      <c r="AK176" s="41">
        <v>0</v>
      </c>
      <c r="AL176" s="41">
        <f t="shared" si="124"/>
        <v>0</v>
      </c>
      <c r="AM176" s="37">
        <v>0</v>
      </c>
      <c r="AN176" s="41">
        <v>0</v>
      </c>
      <c r="AO176" s="41">
        <f t="shared" si="125"/>
        <v>0</v>
      </c>
      <c r="AP176" s="37">
        <f>1300.5+15941</f>
        <v>17241.5</v>
      </c>
      <c r="AQ176" s="41">
        <f>IFERROR(VLOOKUP(G176,'10'!A:B,2,0),0)</f>
        <v>960.5</v>
      </c>
      <c r="AR176" s="41">
        <f t="shared" si="101"/>
        <v>-16281</v>
      </c>
      <c r="AS176" s="41">
        <f t="shared" si="104"/>
        <v>19052</v>
      </c>
      <c r="AT176" s="41">
        <f>AN176+AK176+AH176+AE176+AB176+-Y176+V176+S176+P176+AQ176</f>
        <v>2769.63</v>
      </c>
      <c r="AU176" s="41">
        <f t="shared" si="103"/>
        <v>-16282.369999999999</v>
      </c>
      <c r="AV176" s="459">
        <f t="shared" si="119"/>
        <v>0.14537213940793617</v>
      </c>
      <c r="AW176" s="37">
        <v>0</v>
      </c>
      <c r="AX176" s="37">
        <v>0</v>
      </c>
      <c r="AY176" s="41">
        <f t="shared" si="102"/>
        <v>19052</v>
      </c>
      <c r="AZ176" s="41">
        <f>VLOOKUP(G176,'2017'!A:B,2,0)</f>
        <v>15579.130000000001</v>
      </c>
      <c r="BA176" s="552">
        <f t="shared" si="120"/>
        <v>-3472.869999999999</v>
      </c>
      <c r="BB176" s="37">
        <v>25374.989999999998</v>
      </c>
      <c r="BC176" s="37">
        <v>19144.489999999998</v>
      </c>
      <c r="BD176" s="37">
        <v>12724.62</v>
      </c>
      <c r="BE176" s="37">
        <v>0</v>
      </c>
      <c r="BF176" s="37">
        <v>0</v>
      </c>
      <c r="BG176" s="37">
        <v>0</v>
      </c>
      <c r="BH176" s="37">
        <v>0</v>
      </c>
      <c r="BI176" s="37">
        <v>60355.1</v>
      </c>
      <c r="BJ176" s="76"/>
      <c r="BK176" s="11"/>
    </row>
    <row r="177" spans="1:64" s="10" customFormat="1" ht="38.25" x14ac:dyDescent="0.2">
      <c r="A177" s="11" t="s">
        <v>57</v>
      </c>
      <c r="B177" s="11" t="s">
        <v>58</v>
      </c>
      <c r="C177" s="14" t="s">
        <v>569</v>
      </c>
      <c r="D177" s="11">
        <v>3</v>
      </c>
      <c r="E177" s="11" t="s">
        <v>35</v>
      </c>
      <c r="F177" s="11" t="s">
        <v>5</v>
      </c>
      <c r="G177" s="44" t="s">
        <v>682</v>
      </c>
      <c r="H177" s="45">
        <v>166</v>
      </c>
      <c r="I177" s="45" t="s">
        <v>57</v>
      </c>
      <c r="J177" s="46" t="s">
        <v>683</v>
      </c>
      <c r="K177" s="46" t="s">
        <v>684</v>
      </c>
      <c r="L177" s="41">
        <v>0</v>
      </c>
      <c r="M177" s="41">
        <v>0</v>
      </c>
      <c r="N177" s="41">
        <v>0</v>
      </c>
      <c r="O177" s="41">
        <v>0</v>
      </c>
      <c r="P177" s="41">
        <v>0</v>
      </c>
      <c r="Q177" s="41">
        <f>P177-O177</f>
        <v>0</v>
      </c>
      <c r="R177" s="41">
        <v>0</v>
      </c>
      <c r="S177" s="41">
        <v>0</v>
      </c>
      <c r="T177" s="41">
        <f>S177-R177</f>
        <v>0</v>
      </c>
      <c r="U177" s="41">
        <v>0</v>
      </c>
      <c r="V177" s="41">
        <v>0</v>
      </c>
      <c r="W177" s="41">
        <f>V177-U177</f>
        <v>0</v>
      </c>
      <c r="X177" s="41">
        <v>0</v>
      </c>
      <c r="Y177" s="41">
        <v>0</v>
      </c>
      <c r="Z177" s="41">
        <f>Y177-X177</f>
        <v>0</v>
      </c>
      <c r="AA177" s="41">
        <v>16043.75</v>
      </c>
      <c r="AB177" s="41">
        <v>0</v>
      </c>
      <c r="AC177" s="41">
        <f>AB177-AA177</f>
        <v>-16043.75</v>
      </c>
      <c r="AD177" s="41">
        <v>0</v>
      </c>
      <c r="AE177" s="41">
        <v>0</v>
      </c>
      <c r="AF177" s="41">
        <f>AE177-AD177</f>
        <v>0</v>
      </c>
      <c r="AG177" s="41">
        <v>0</v>
      </c>
      <c r="AH177" s="41">
        <v>0</v>
      </c>
      <c r="AI177" s="41">
        <f t="shared" si="123"/>
        <v>0</v>
      </c>
      <c r="AJ177" s="41">
        <v>0</v>
      </c>
      <c r="AK177" s="41">
        <v>0</v>
      </c>
      <c r="AL177" s="41">
        <f t="shared" si="124"/>
        <v>0</v>
      </c>
      <c r="AM177" s="41">
        <v>0</v>
      </c>
      <c r="AN177" s="41">
        <v>0</v>
      </c>
      <c r="AO177" s="41">
        <f t="shared" si="125"/>
        <v>0</v>
      </c>
      <c r="AP177" s="41">
        <v>0</v>
      </c>
      <c r="AQ177" s="41">
        <f>IFERROR(VLOOKUP(G177,'10'!A:B,2,0),0)</f>
        <v>0</v>
      </c>
      <c r="AR177" s="41">
        <f t="shared" si="101"/>
        <v>0</v>
      </c>
      <c r="AS177" s="41">
        <f t="shared" si="104"/>
        <v>16043.75</v>
      </c>
      <c r="AT177" s="41">
        <f>AN177+AK177+AH177+AE177+AB177+-Y177+V177+S177+P177+AQ177</f>
        <v>0</v>
      </c>
      <c r="AU177" s="41">
        <f t="shared" si="103"/>
        <v>-16043.75</v>
      </c>
      <c r="AV177" s="459">
        <f t="shared" si="119"/>
        <v>0</v>
      </c>
      <c r="AW177" s="41">
        <v>0</v>
      </c>
      <c r="AX177" s="41">
        <v>0</v>
      </c>
      <c r="AY177" s="41">
        <f t="shared" si="102"/>
        <v>16043.75</v>
      </c>
      <c r="AZ177" s="41">
        <f>VLOOKUP(G177,'2017'!A:B,2,0)</f>
        <v>0</v>
      </c>
      <c r="BA177" s="552">
        <v>0</v>
      </c>
      <c r="BB177" s="41">
        <v>331181.25</v>
      </c>
      <c r="BC177" s="41">
        <v>0</v>
      </c>
      <c r="BD177" s="41">
        <v>0</v>
      </c>
      <c r="BE177" s="41">
        <v>0</v>
      </c>
      <c r="BF177" s="41">
        <v>0</v>
      </c>
      <c r="BG177" s="41">
        <v>0</v>
      </c>
      <c r="BH177" s="41">
        <v>0</v>
      </c>
      <c r="BI177" s="41">
        <v>347225</v>
      </c>
      <c r="BJ177" s="75"/>
      <c r="BK177" s="11"/>
    </row>
    <row r="178" spans="1:64" s="10" customFormat="1" x14ac:dyDescent="0.25">
      <c r="A178" s="31" t="s">
        <v>33</v>
      </c>
      <c r="B178" s="31" t="s">
        <v>34</v>
      </c>
      <c r="C178" s="32" t="s">
        <v>566</v>
      </c>
      <c r="D178" s="72">
        <v>1</v>
      </c>
      <c r="E178" s="72" t="s">
        <v>35</v>
      </c>
      <c r="F178" s="72" t="s">
        <v>5</v>
      </c>
      <c r="G178" s="72" t="s">
        <v>2828</v>
      </c>
      <c r="H178" s="45">
        <v>167</v>
      </c>
      <c r="I178" s="45" t="s">
        <v>33</v>
      </c>
      <c r="J178" s="32" t="s">
        <v>1128</v>
      </c>
      <c r="K178" s="32" t="s">
        <v>1130</v>
      </c>
      <c r="L178" s="35">
        <v>0</v>
      </c>
      <c r="M178" s="35">
        <v>0</v>
      </c>
      <c r="N178" s="35">
        <v>0</v>
      </c>
      <c r="O178" s="35">
        <v>0</v>
      </c>
      <c r="P178" s="35">
        <v>0</v>
      </c>
      <c r="Q178" s="35">
        <v>0</v>
      </c>
      <c r="R178" s="35">
        <v>0</v>
      </c>
      <c r="S178" s="35">
        <v>0</v>
      </c>
      <c r="T178" s="35">
        <v>0</v>
      </c>
      <c r="U178" s="35">
        <v>0</v>
      </c>
      <c r="V178" s="35">
        <v>0</v>
      </c>
      <c r="W178" s="35">
        <v>0</v>
      </c>
      <c r="X178" s="35">
        <v>0</v>
      </c>
      <c r="Y178" s="35">
        <v>0</v>
      </c>
      <c r="Z178" s="35">
        <v>0</v>
      </c>
      <c r="AA178" s="35">
        <v>0</v>
      </c>
      <c r="AB178" s="35">
        <v>0</v>
      </c>
      <c r="AC178" s="35">
        <v>0</v>
      </c>
      <c r="AD178" s="35">
        <v>0</v>
      </c>
      <c r="AE178" s="35">
        <v>0</v>
      </c>
      <c r="AF178" s="35">
        <v>0</v>
      </c>
      <c r="AG178" s="35">
        <v>0</v>
      </c>
      <c r="AH178" s="35">
        <v>0</v>
      </c>
      <c r="AI178" s="35">
        <v>0</v>
      </c>
      <c r="AJ178" s="35">
        <v>16034.4</v>
      </c>
      <c r="AK178" s="41">
        <v>0</v>
      </c>
      <c r="AL178" s="41">
        <f t="shared" si="124"/>
        <v>-16034.4</v>
      </c>
      <c r="AM178" s="35"/>
      <c r="AN178" s="41">
        <v>0</v>
      </c>
      <c r="AO178" s="41">
        <f t="shared" si="125"/>
        <v>0</v>
      </c>
      <c r="AP178" s="35"/>
      <c r="AQ178" s="41">
        <f>IFERROR(VLOOKUP(G178,'10'!A:B,2,0),0)</f>
        <v>0</v>
      </c>
      <c r="AR178" s="41">
        <f t="shared" si="101"/>
        <v>0</v>
      </c>
      <c r="AS178" s="41">
        <f t="shared" si="104"/>
        <v>16034.4</v>
      </c>
      <c r="AT178" s="41">
        <f>AN178+AK178+AH178+AE178+AB178+-Y178+V178+S178+P178+AQ178</f>
        <v>0</v>
      </c>
      <c r="AU178" s="41">
        <f t="shared" si="103"/>
        <v>-16034.4</v>
      </c>
      <c r="AV178" s="459">
        <f t="shared" si="119"/>
        <v>0</v>
      </c>
      <c r="AW178" s="35"/>
      <c r="AX178" s="37"/>
      <c r="AY178" s="41">
        <f t="shared" si="102"/>
        <v>16034.4</v>
      </c>
      <c r="AZ178" s="41"/>
      <c r="BA178" s="557">
        <v>0</v>
      </c>
      <c r="BB178" s="35">
        <v>2540836.0281397174</v>
      </c>
      <c r="BC178" s="35">
        <v>679932.07613971748</v>
      </c>
      <c r="BD178" s="35">
        <v>163197.50063971741</v>
      </c>
      <c r="BE178" s="35"/>
      <c r="BF178" s="35"/>
      <c r="BG178" s="35"/>
      <c r="BH178" s="35"/>
      <c r="BI178" s="35">
        <v>3400000.0049191522</v>
      </c>
      <c r="BJ178" s="425"/>
      <c r="BK178" s="11"/>
    </row>
    <row r="179" spans="1:64" s="10" customFormat="1" ht="63" x14ac:dyDescent="0.2">
      <c r="A179" s="11" t="s">
        <v>458</v>
      </c>
      <c r="B179" s="11" t="s">
        <v>459</v>
      </c>
      <c r="C179" s="14" t="s">
        <v>609</v>
      </c>
      <c r="D179" s="11">
        <v>1</v>
      </c>
      <c r="E179" s="11" t="s">
        <v>454</v>
      </c>
      <c r="F179" s="11" t="s">
        <v>77</v>
      </c>
      <c r="G179" s="44" t="s">
        <v>470</v>
      </c>
      <c r="H179" s="45">
        <v>168</v>
      </c>
      <c r="I179" s="45" t="s">
        <v>458</v>
      </c>
      <c r="J179" s="46" t="s">
        <v>409</v>
      </c>
      <c r="K179" s="46" t="s">
        <v>471</v>
      </c>
      <c r="L179" s="41">
        <v>0</v>
      </c>
      <c r="M179" s="41">
        <v>0</v>
      </c>
      <c r="N179" s="41">
        <v>4401.16</v>
      </c>
      <c r="O179" s="41">
        <v>10239.4</v>
      </c>
      <c r="P179" s="41">
        <v>0</v>
      </c>
      <c r="Q179" s="41">
        <f t="shared" ref="Q179:Q185" si="126">P179-O179</f>
        <v>-10239.4</v>
      </c>
      <c r="R179" s="41">
        <v>0</v>
      </c>
      <c r="S179" s="41">
        <v>10239.4</v>
      </c>
      <c r="T179" s="41">
        <f t="shared" ref="T179:T185" si="127">S179-R179</f>
        <v>10239.4</v>
      </c>
      <c r="U179" s="41">
        <v>0</v>
      </c>
      <c r="V179" s="41">
        <v>0</v>
      </c>
      <c r="W179" s="41">
        <f t="shared" ref="W179:W185" si="128">V179-U179</f>
        <v>0</v>
      </c>
      <c r="X179" s="41">
        <v>9312.6</v>
      </c>
      <c r="Y179" s="41">
        <v>2524.73</v>
      </c>
      <c r="Z179" s="41">
        <f t="shared" ref="Z179:Z185" si="129">Y179-X179</f>
        <v>-6787.8700000000008</v>
      </c>
      <c r="AA179" s="41">
        <v>0</v>
      </c>
      <c r="AB179" s="41">
        <v>0</v>
      </c>
      <c r="AC179" s="41">
        <f t="shared" ref="AC179:AC185" si="130">AB179-AA179</f>
        <v>0</v>
      </c>
      <c r="AD179" s="41">
        <v>0</v>
      </c>
      <c r="AE179" s="41">
        <v>0</v>
      </c>
      <c r="AF179" s="41">
        <f t="shared" ref="AF179:AF185" si="131">AE179-AD179</f>
        <v>0</v>
      </c>
      <c r="AG179" s="41">
        <v>7670.4</v>
      </c>
      <c r="AH179" s="41">
        <v>4443.3100000000004</v>
      </c>
      <c r="AI179" s="41">
        <f t="shared" ref="AI179:AI185" si="132">AH179-AG179</f>
        <v>-3227.0899999999992</v>
      </c>
      <c r="AJ179" s="41">
        <v>0</v>
      </c>
      <c r="AK179" s="41">
        <v>0</v>
      </c>
      <c r="AL179" s="41">
        <f t="shared" si="124"/>
        <v>0</v>
      </c>
      <c r="AM179" s="41">
        <v>0</v>
      </c>
      <c r="AN179" s="41">
        <v>0</v>
      </c>
      <c r="AO179" s="41">
        <f t="shared" si="125"/>
        <v>0</v>
      </c>
      <c r="AP179" s="41">
        <v>8662.35</v>
      </c>
      <c r="AQ179" s="41">
        <f>IFERROR(VLOOKUP(G179,'10'!A:B,2,0),0)</f>
        <v>3074.95</v>
      </c>
      <c r="AR179" s="41">
        <f t="shared" si="101"/>
        <v>-5587.4000000000005</v>
      </c>
      <c r="AS179" s="41">
        <f t="shared" si="104"/>
        <v>35884.75</v>
      </c>
      <c r="AT179" s="41">
        <f>AN179+AK179+AH179+AE179+AB179+Y179+V179+S179+P179+AQ179</f>
        <v>20282.390000000003</v>
      </c>
      <c r="AU179" s="41">
        <f t="shared" si="103"/>
        <v>-15602.36</v>
      </c>
      <c r="AV179" s="459">
        <f t="shared" si="119"/>
        <v>0.56520917660008785</v>
      </c>
      <c r="AW179" s="41">
        <v>0</v>
      </c>
      <c r="AX179" s="41">
        <v>0</v>
      </c>
      <c r="AY179" s="41">
        <f t="shared" si="102"/>
        <v>35884.75</v>
      </c>
      <c r="AZ179" s="41">
        <f>VLOOKUP(G179,'2017'!A:B,2,0)</f>
        <v>20282.39</v>
      </c>
      <c r="BA179" s="552">
        <f t="shared" ref="BA179:BA185" si="133">AZ179-AY179</f>
        <v>-15602.36</v>
      </c>
      <c r="BB179" s="41">
        <v>41431.06</v>
      </c>
      <c r="BC179" s="41">
        <v>12471.23</v>
      </c>
      <c r="BD179" s="41">
        <v>0</v>
      </c>
      <c r="BE179" s="41">
        <v>0</v>
      </c>
      <c r="BF179" s="41">
        <v>0</v>
      </c>
      <c r="BG179" s="41">
        <v>0</v>
      </c>
      <c r="BH179" s="41">
        <v>0</v>
      </c>
      <c r="BI179" s="41">
        <v>94188.2</v>
      </c>
      <c r="BJ179" s="75"/>
      <c r="BK179" s="11"/>
    </row>
    <row r="180" spans="1:64" s="10" customFormat="1" ht="63" x14ac:dyDescent="0.2">
      <c r="A180" s="11" t="s">
        <v>537</v>
      </c>
      <c r="B180" s="11" t="s">
        <v>538</v>
      </c>
      <c r="C180" s="14" t="s">
        <v>611</v>
      </c>
      <c r="D180" s="11">
        <v>1</v>
      </c>
      <c r="E180" s="11" t="s">
        <v>454</v>
      </c>
      <c r="F180" s="11" t="s">
        <v>102</v>
      </c>
      <c r="G180" s="44" t="s">
        <v>543</v>
      </c>
      <c r="H180" s="45">
        <v>169</v>
      </c>
      <c r="I180" s="45" t="s">
        <v>537</v>
      </c>
      <c r="J180" s="46" t="s">
        <v>40</v>
      </c>
      <c r="K180" s="46" t="s">
        <v>544</v>
      </c>
      <c r="L180" s="41">
        <v>0</v>
      </c>
      <c r="M180" s="41">
        <v>0</v>
      </c>
      <c r="N180" s="41">
        <v>21050.79</v>
      </c>
      <c r="O180" s="41">
        <v>11392.69</v>
      </c>
      <c r="P180" s="41">
        <v>0</v>
      </c>
      <c r="Q180" s="41">
        <f t="shared" si="126"/>
        <v>-11392.69</v>
      </c>
      <c r="R180" s="41">
        <v>0</v>
      </c>
      <c r="S180" s="41">
        <v>0</v>
      </c>
      <c r="T180" s="41">
        <f t="shared" si="127"/>
        <v>0</v>
      </c>
      <c r="U180" s="41">
        <v>0</v>
      </c>
      <c r="V180" s="41">
        <v>11184.63</v>
      </c>
      <c r="W180" s="41">
        <f t="shared" si="128"/>
        <v>11184.63</v>
      </c>
      <c r="X180" s="41">
        <v>9007.31</v>
      </c>
      <c r="Y180" s="41">
        <v>6051.93</v>
      </c>
      <c r="Z180" s="41">
        <f t="shared" si="129"/>
        <v>-2955.3799999999992</v>
      </c>
      <c r="AA180" s="41">
        <v>0</v>
      </c>
      <c r="AB180" s="41">
        <v>0</v>
      </c>
      <c r="AC180" s="41">
        <f t="shared" si="130"/>
        <v>0</v>
      </c>
      <c r="AD180" s="41">
        <v>0</v>
      </c>
      <c r="AE180" s="41">
        <v>0</v>
      </c>
      <c r="AF180" s="41">
        <f t="shared" si="131"/>
        <v>0</v>
      </c>
      <c r="AG180" s="41">
        <v>19564.560000000001</v>
      </c>
      <c r="AH180" s="41">
        <v>9131.7800000000007</v>
      </c>
      <c r="AI180" s="41">
        <f t="shared" si="132"/>
        <v>-10432.780000000001</v>
      </c>
      <c r="AJ180" s="41">
        <v>0</v>
      </c>
      <c r="AK180" s="41">
        <v>0</v>
      </c>
      <c r="AL180" s="41">
        <f t="shared" si="124"/>
        <v>0</v>
      </c>
      <c r="AM180" s="41">
        <v>0</v>
      </c>
      <c r="AN180" s="41">
        <v>0</v>
      </c>
      <c r="AO180" s="41">
        <f t="shared" si="125"/>
        <v>0</v>
      </c>
      <c r="AP180" s="41">
        <v>9305.2800000000007</v>
      </c>
      <c r="AQ180" s="41">
        <f>IFERROR(VLOOKUP(G180,'10'!A:B,2,0),0)</f>
        <v>7921.45</v>
      </c>
      <c r="AR180" s="41">
        <f t="shared" si="101"/>
        <v>-1383.8300000000008</v>
      </c>
      <c r="AS180" s="41">
        <f t="shared" si="104"/>
        <v>49269.840000000004</v>
      </c>
      <c r="AT180" s="41">
        <f>AN180+AK180+AH180+AE180+AB180+Y180+V180+S180+P180+AQ180</f>
        <v>34289.79</v>
      </c>
      <c r="AU180" s="41">
        <f t="shared" si="103"/>
        <v>-14980.050000000003</v>
      </c>
      <c r="AV180" s="459">
        <f t="shared" si="119"/>
        <v>0.69595902889069661</v>
      </c>
      <c r="AW180" s="41">
        <v>0</v>
      </c>
      <c r="AX180" s="41">
        <v>0</v>
      </c>
      <c r="AY180" s="41">
        <f t="shared" si="102"/>
        <v>49269.840000000004</v>
      </c>
      <c r="AZ180" s="41">
        <f>VLOOKUP(G180,'2017'!A:B,2,0)</f>
        <v>34289.789999999994</v>
      </c>
      <c r="BA180" s="552">
        <f t="shared" si="133"/>
        <v>-14980.05000000001</v>
      </c>
      <c r="BB180" s="41">
        <v>32515.279999999999</v>
      </c>
      <c r="BC180" s="41">
        <v>7664.09</v>
      </c>
      <c r="BD180" s="41">
        <v>0</v>
      </c>
      <c r="BE180" s="41">
        <v>0</v>
      </c>
      <c r="BF180" s="41">
        <v>0</v>
      </c>
      <c r="BG180" s="41">
        <v>0</v>
      </c>
      <c r="BH180" s="41">
        <v>0</v>
      </c>
      <c r="BI180" s="41">
        <v>110500</v>
      </c>
      <c r="BJ180" s="75"/>
      <c r="BK180" s="11"/>
    </row>
    <row r="181" spans="1:64" s="10" customFormat="1" ht="51" x14ac:dyDescent="0.2">
      <c r="A181" s="11" t="s">
        <v>485</v>
      </c>
      <c r="B181" s="11" t="s">
        <v>486</v>
      </c>
      <c r="C181" s="14" t="s">
        <v>610</v>
      </c>
      <c r="D181" s="11">
        <v>1</v>
      </c>
      <c r="E181" s="11" t="s">
        <v>454</v>
      </c>
      <c r="F181" s="11" t="s">
        <v>5</v>
      </c>
      <c r="G181" s="44" t="s">
        <v>507</v>
      </c>
      <c r="H181" s="45">
        <v>170</v>
      </c>
      <c r="I181" s="45" t="s">
        <v>485</v>
      </c>
      <c r="J181" s="46" t="s">
        <v>508</v>
      </c>
      <c r="K181" s="46" t="s">
        <v>509</v>
      </c>
      <c r="L181" s="41">
        <v>0</v>
      </c>
      <c r="M181" s="41">
        <v>0</v>
      </c>
      <c r="N181" s="41">
        <v>5213.43</v>
      </c>
      <c r="O181" s="41">
        <v>383.56</v>
      </c>
      <c r="P181" s="41">
        <v>383.56</v>
      </c>
      <c r="Q181" s="41">
        <f t="shared" si="126"/>
        <v>0</v>
      </c>
      <c r="R181" s="41">
        <v>0</v>
      </c>
      <c r="S181" s="41">
        <v>0</v>
      </c>
      <c r="T181" s="41">
        <f t="shared" si="127"/>
        <v>0</v>
      </c>
      <c r="U181" s="41">
        <v>0</v>
      </c>
      <c r="V181" s="41">
        <v>0</v>
      </c>
      <c r="W181" s="41">
        <f t="shared" si="128"/>
        <v>0</v>
      </c>
      <c r="X181" s="41">
        <v>0</v>
      </c>
      <c r="Y181" s="41">
        <v>0</v>
      </c>
      <c r="Z181" s="41">
        <f t="shared" si="129"/>
        <v>0</v>
      </c>
      <c r="AA181" s="41">
        <v>0</v>
      </c>
      <c r="AB181" s="41">
        <v>0</v>
      </c>
      <c r="AC181" s="41">
        <f t="shared" si="130"/>
        <v>0</v>
      </c>
      <c r="AD181" s="41">
        <v>0</v>
      </c>
      <c r="AE181" s="41">
        <v>0</v>
      </c>
      <c r="AF181" s="41">
        <f t="shared" si="131"/>
        <v>0</v>
      </c>
      <c r="AG181" s="41">
        <v>993.72</v>
      </c>
      <c r="AH181" s="41">
        <v>0</v>
      </c>
      <c r="AI181" s="41">
        <f t="shared" si="132"/>
        <v>-993.72</v>
      </c>
      <c r="AJ181" s="41">
        <v>0</v>
      </c>
      <c r="AK181" s="41">
        <v>0</v>
      </c>
      <c r="AL181" s="41">
        <f t="shared" si="124"/>
        <v>0</v>
      </c>
      <c r="AM181" s="41">
        <v>5278.69</v>
      </c>
      <c r="AN181" s="41">
        <v>0</v>
      </c>
      <c r="AO181" s="41">
        <f t="shared" si="125"/>
        <v>-5278.69</v>
      </c>
      <c r="AP181" s="41">
        <v>7897.7</v>
      </c>
      <c r="AQ181" s="41">
        <f>IFERROR(VLOOKUP(G181,'10'!A:B,2,0),0)</f>
        <v>0</v>
      </c>
      <c r="AR181" s="41">
        <f t="shared" si="101"/>
        <v>-7897.7</v>
      </c>
      <c r="AS181" s="41">
        <f t="shared" si="104"/>
        <v>14553.67</v>
      </c>
      <c r="AT181" s="41">
        <f>AN181+AK181+AH181+AE181+AB181+-Y181+V181+S181+P181+AQ181</f>
        <v>383.56</v>
      </c>
      <c r="AU181" s="41">
        <f t="shared" si="103"/>
        <v>-14170.11</v>
      </c>
      <c r="AV181" s="459">
        <f t="shared" si="119"/>
        <v>2.6354864443126718E-2</v>
      </c>
      <c r="AW181" s="41">
        <v>0</v>
      </c>
      <c r="AX181" s="41">
        <v>0</v>
      </c>
      <c r="AY181" s="41">
        <f t="shared" si="102"/>
        <v>14553.669999999998</v>
      </c>
      <c r="AZ181" s="41">
        <f>VLOOKUP(G181,'2017'!A:B,2,0)</f>
        <v>383.56</v>
      </c>
      <c r="BA181" s="552">
        <f t="shared" si="133"/>
        <v>-14170.109999999999</v>
      </c>
      <c r="BB181" s="41">
        <v>23830.09</v>
      </c>
      <c r="BC181" s="41">
        <v>3966.61</v>
      </c>
      <c r="BD181" s="41">
        <v>0</v>
      </c>
      <c r="BE181" s="41">
        <v>0</v>
      </c>
      <c r="BF181" s="41">
        <v>0</v>
      </c>
      <c r="BG181" s="41">
        <v>0</v>
      </c>
      <c r="BH181" s="41">
        <v>0</v>
      </c>
      <c r="BI181" s="41">
        <v>47563.8</v>
      </c>
      <c r="BJ181" s="75"/>
      <c r="BK181" s="11"/>
    </row>
    <row r="182" spans="1:64" s="10" customFormat="1" ht="31.5" x14ac:dyDescent="0.2">
      <c r="A182" s="11" t="s">
        <v>119</v>
      </c>
      <c r="B182" s="11" t="s">
        <v>120</v>
      </c>
      <c r="C182" s="14" t="s">
        <v>574</v>
      </c>
      <c r="D182" s="11">
        <v>1</v>
      </c>
      <c r="E182" s="11" t="s">
        <v>35</v>
      </c>
      <c r="F182" s="11" t="s">
        <v>102</v>
      </c>
      <c r="G182" s="44" t="s">
        <v>130</v>
      </c>
      <c r="H182" s="45">
        <v>171</v>
      </c>
      <c r="I182" s="45" t="s">
        <v>119</v>
      </c>
      <c r="J182" s="46" t="s">
        <v>131</v>
      </c>
      <c r="K182" s="46" t="s">
        <v>132</v>
      </c>
      <c r="L182" s="41"/>
      <c r="M182" s="41"/>
      <c r="N182" s="41"/>
      <c r="O182" s="41"/>
      <c r="P182" s="41">
        <v>0</v>
      </c>
      <c r="Q182" s="41">
        <f t="shared" si="126"/>
        <v>0</v>
      </c>
      <c r="R182" s="41"/>
      <c r="S182" s="41">
        <v>0</v>
      </c>
      <c r="T182" s="41">
        <f t="shared" si="127"/>
        <v>0</v>
      </c>
      <c r="U182" s="41"/>
      <c r="V182" s="41">
        <v>0</v>
      </c>
      <c r="W182" s="41">
        <f t="shared" si="128"/>
        <v>0</v>
      </c>
      <c r="X182" s="41">
        <v>33547.199999999997</v>
      </c>
      <c r="Y182" s="41">
        <v>33547.199999999997</v>
      </c>
      <c r="Z182" s="41">
        <f t="shared" si="129"/>
        <v>0</v>
      </c>
      <c r="AA182" s="41">
        <v>0</v>
      </c>
      <c r="AB182" s="41">
        <v>0</v>
      </c>
      <c r="AC182" s="41">
        <f t="shared" si="130"/>
        <v>0</v>
      </c>
      <c r="AD182" s="37">
        <v>26849.55</v>
      </c>
      <c r="AE182" s="41">
        <v>23455.86</v>
      </c>
      <c r="AF182" s="41">
        <f t="shared" si="131"/>
        <v>-3393.6899999999987</v>
      </c>
      <c r="AG182" s="41">
        <v>0</v>
      </c>
      <c r="AH182" s="41">
        <v>0</v>
      </c>
      <c r="AI182" s="41">
        <f t="shared" si="132"/>
        <v>0</v>
      </c>
      <c r="AJ182" s="41">
        <v>0</v>
      </c>
      <c r="AK182" s="41">
        <v>0</v>
      </c>
      <c r="AL182" s="41">
        <f t="shared" si="124"/>
        <v>0</v>
      </c>
      <c r="AM182" s="37">
        <v>62118.6</v>
      </c>
      <c r="AN182" s="41">
        <v>52077.16</v>
      </c>
      <c r="AO182" s="41">
        <f t="shared" si="125"/>
        <v>-10041.439999999995</v>
      </c>
      <c r="AP182" s="41">
        <v>0</v>
      </c>
      <c r="AQ182" s="41">
        <f>IFERROR(VLOOKUP(G182,'10'!A:B,2,0),0)</f>
        <v>0</v>
      </c>
      <c r="AR182" s="41">
        <f t="shared" si="101"/>
        <v>0</v>
      </c>
      <c r="AS182" s="41">
        <f t="shared" si="104"/>
        <v>122515.34999999999</v>
      </c>
      <c r="AT182" s="41">
        <f>AN182+AK182+AH182+AE182+AB182+Y182+V182+S182+P182+AQ182</f>
        <v>109080.22</v>
      </c>
      <c r="AU182" s="41">
        <f t="shared" si="103"/>
        <v>-13435.129999999994</v>
      </c>
      <c r="AV182" s="459">
        <f t="shared" si="119"/>
        <v>0.89033921055606513</v>
      </c>
      <c r="AW182" s="41">
        <v>0</v>
      </c>
      <c r="AX182" s="41">
        <v>0</v>
      </c>
      <c r="AY182" s="41">
        <f t="shared" si="102"/>
        <v>122515.34999999999</v>
      </c>
      <c r="AZ182" s="41">
        <f>VLOOKUP(G182,'2017'!A:B,2,0)</f>
        <v>140596.38</v>
      </c>
      <c r="BA182" s="552">
        <f t="shared" si="133"/>
        <v>18081.030000000013</v>
      </c>
      <c r="BB182" s="41">
        <v>280051.05000000005</v>
      </c>
      <c r="BC182" s="41">
        <v>0</v>
      </c>
      <c r="BD182" s="41">
        <v>0</v>
      </c>
      <c r="BE182" s="41">
        <v>0</v>
      </c>
      <c r="BF182" s="41">
        <v>0</v>
      </c>
      <c r="BG182" s="41">
        <v>0</v>
      </c>
      <c r="BH182" s="41">
        <v>0</v>
      </c>
      <c r="BI182" s="41">
        <v>335472</v>
      </c>
      <c r="BJ182" s="75"/>
      <c r="BK182" s="11"/>
    </row>
    <row r="183" spans="1:64" s="10" customFormat="1" ht="31.5" x14ac:dyDescent="0.2">
      <c r="A183" s="11" t="s">
        <v>406</v>
      </c>
      <c r="B183" s="11" t="s">
        <v>411</v>
      </c>
      <c r="C183" s="14" t="s">
        <v>606</v>
      </c>
      <c r="D183" s="11">
        <v>1</v>
      </c>
      <c r="E183" s="11" t="s">
        <v>402</v>
      </c>
      <c r="F183" s="11" t="s">
        <v>77</v>
      </c>
      <c r="G183" s="44" t="s">
        <v>415</v>
      </c>
      <c r="H183" s="45">
        <v>172</v>
      </c>
      <c r="I183" s="45" t="s">
        <v>406</v>
      </c>
      <c r="J183" s="46" t="s">
        <v>416</v>
      </c>
      <c r="K183" s="46" t="s">
        <v>417</v>
      </c>
      <c r="L183" s="41"/>
      <c r="M183" s="41"/>
      <c r="N183" s="41"/>
      <c r="O183" s="41"/>
      <c r="P183" s="41">
        <v>0</v>
      </c>
      <c r="Q183" s="41">
        <f t="shared" si="126"/>
        <v>0</v>
      </c>
      <c r="R183" s="41"/>
      <c r="S183" s="41">
        <v>0</v>
      </c>
      <c r="T183" s="41">
        <f t="shared" si="127"/>
        <v>0</v>
      </c>
      <c r="U183" s="41"/>
      <c r="V183" s="41">
        <v>0</v>
      </c>
      <c r="W183" s="41">
        <f t="shared" si="128"/>
        <v>0</v>
      </c>
      <c r="X183" s="41">
        <v>5950</v>
      </c>
      <c r="Y183" s="41">
        <v>0</v>
      </c>
      <c r="Z183" s="41">
        <f t="shared" si="129"/>
        <v>-5950</v>
      </c>
      <c r="AA183" s="41"/>
      <c r="AB183" s="41">
        <v>0</v>
      </c>
      <c r="AC183" s="41">
        <f t="shared" si="130"/>
        <v>0</v>
      </c>
      <c r="AD183" s="35">
        <v>5100</v>
      </c>
      <c r="AE183" s="41">
        <v>0</v>
      </c>
      <c r="AF183" s="41">
        <f t="shared" si="131"/>
        <v>-5100</v>
      </c>
      <c r="AG183" s="41">
        <v>0</v>
      </c>
      <c r="AH183" s="41">
        <v>0</v>
      </c>
      <c r="AI183" s="41">
        <f t="shared" si="132"/>
        <v>0</v>
      </c>
      <c r="AJ183" s="41">
        <v>0</v>
      </c>
      <c r="AK183" s="41">
        <v>0</v>
      </c>
      <c r="AL183" s="41">
        <f t="shared" si="124"/>
        <v>0</v>
      </c>
      <c r="AM183" s="41">
        <v>6375</v>
      </c>
      <c r="AN183" s="41">
        <v>4259.34</v>
      </c>
      <c r="AO183" s="41">
        <f t="shared" si="125"/>
        <v>-2115.66</v>
      </c>
      <c r="AP183" s="41">
        <v>0</v>
      </c>
      <c r="AQ183" s="41">
        <f>IFERROR(VLOOKUP(G183,'10'!A:B,2,0),0)</f>
        <v>0</v>
      </c>
      <c r="AR183" s="41">
        <f t="shared" si="101"/>
        <v>0</v>
      </c>
      <c r="AS183" s="41">
        <f t="shared" si="104"/>
        <v>17425</v>
      </c>
      <c r="AT183" s="41">
        <f>AN183+AK183+AH183+AE183+AB183+-Y183+V183+S183+P183+AQ183</f>
        <v>4259.34</v>
      </c>
      <c r="AU183" s="41">
        <f t="shared" si="103"/>
        <v>-13165.66</v>
      </c>
      <c r="AV183" s="459">
        <f t="shared" si="119"/>
        <v>0.2444384505021521</v>
      </c>
      <c r="AW183" s="41">
        <v>0</v>
      </c>
      <c r="AX183" s="41">
        <v>5397.5</v>
      </c>
      <c r="AY183" s="41">
        <f t="shared" si="102"/>
        <v>22822.5</v>
      </c>
      <c r="AZ183" s="41">
        <f>VLOOKUP(G183,'2017'!A:B,2,0)</f>
        <v>10922.5</v>
      </c>
      <c r="BA183" s="552">
        <f t="shared" si="133"/>
        <v>-11900</v>
      </c>
      <c r="BB183" s="41">
        <v>14875</v>
      </c>
      <c r="BC183" s="41">
        <v>14404.1</v>
      </c>
      <c r="BD183" s="35">
        <v>5100</v>
      </c>
      <c r="BE183" s="41">
        <v>0</v>
      </c>
      <c r="BF183" s="41">
        <v>0</v>
      </c>
      <c r="BG183" s="41">
        <v>0</v>
      </c>
      <c r="BH183" s="41">
        <v>0</v>
      </c>
      <c r="BI183" s="35">
        <v>42751.6</v>
      </c>
      <c r="BJ183" s="75"/>
      <c r="BK183" s="11"/>
    </row>
    <row r="184" spans="1:64" s="10" customFormat="1" ht="63" x14ac:dyDescent="0.25">
      <c r="A184" s="472" t="s">
        <v>458</v>
      </c>
      <c r="B184" s="472" t="s">
        <v>459</v>
      </c>
      <c r="C184" s="473" t="s">
        <v>609</v>
      </c>
      <c r="D184" s="472">
        <v>1</v>
      </c>
      <c r="E184" s="472" t="s">
        <v>454</v>
      </c>
      <c r="F184" s="472" t="s">
        <v>77</v>
      </c>
      <c r="G184" s="474" t="s">
        <v>460</v>
      </c>
      <c r="H184" s="45">
        <v>173</v>
      </c>
      <c r="I184" s="45" t="s">
        <v>458</v>
      </c>
      <c r="J184" s="475" t="s">
        <v>461</v>
      </c>
      <c r="K184" s="475" t="s">
        <v>462</v>
      </c>
      <c r="L184" s="41">
        <v>0</v>
      </c>
      <c r="M184" s="41">
        <v>0</v>
      </c>
      <c r="N184" s="41">
        <v>87962.67</v>
      </c>
      <c r="O184" s="41">
        <v>39545.31</v>
      </c>
      <c r="P184" s="41">
        <v>39545.31</v>
      </c>
      <c r="Q184" s="41">
        <f t="shared" si="126"/>
        <v>0</v>
      </c>
      <c r="R184" s="41">
        <v>0</v>
      </c>
      <c r="S184" s="41">
        <v>0</v>
      </c>
      <c r="T184" s="41">
        <f t="shared" si="127"/>
        <v>0</v>
      </c>
      <c r="U184" s="41">
        <v>0</v>
      </c>
      <c r="V184" s="41">
        <v>0</v>
      </c>
      <c r="W184" s="41">
        <f t="shared" si="128"/>
        <v>0</v>
      </c>
      <c r="X184" s="41">
        <v>32172.5</v>
      </c>
      <c r="Y184" s="41">
        <v>28061.55</v>
      </c>
      <c r="Z184" s="41">
        <f t="shared" si="129"/>
        <v>-4110.9500000000007</v>
      </c>
      <c r="AA184" s="41">
        <v>0</v>
      </c>
      <c r="AB184" s="41">
        <v>0</v>
      </c>
      <c r="AC184" s="41">
        <f t="shared" si="130"/>
        <v>0</v>
      </c>
      <c r="AD184" s="41">
        <v>0</v>
      </c>
      <c r="AE184" s="41">
        <v>0</v>
      </c>
      <c r="AF184" s="41">
        <f t="shared" si="131"/>
        <v>0</v>
      </c>
      <c r="AG184" s="41">
        <v>37901.5</v>
      </c>
      <c r="AH184" s="41">
        <v>44489.99</v>
      </c>
      <c r="AI184" s="41">
        <f t="shared" si="132"/>
        <v>6588.489999999998</v>
      </c>
      <c r="AJ184" s="41">
        <v>0</v>
      </c>
      <c r="AK184" s="41">
        <v>0</v>
      </c>
      <c r="AL184" s="41">
        <f t="shared" si="124"/>
        <v>0</v>
      </c>
      <c r="AM184" s="41">
        <v>0</v>
      </c>
      <c r="AN184" s="41">
        <v>0</v>
      </c>
      <c r="AO184" s="41">
        <f t="shared" si="125"/>
        <v>0</v>
      </c>
      <c r="AP184" s="41">
        <v>56423</v>
      </c>
      <c r="AQ184" s="41">
        <f>IFERROR(VLOOKUP(G184,'10'!A:B,2,0),0)</f>
        <v>40846.339999999997</v>
      </c>
      <c r="AR184" s="41">
        <f t="shared" si="101"/>
        <v>-15576.660000000003</v>
      </c>
      <c r="AS184" s="41">
        <f t="shared" si="104"/>
        <v>166042.31</v>
      </c>
      <c r="AT184" s="41">
        <f>AN184+AK184+AH184+AE184+AB184+Y184+V184+S184+P184+AQ184</f>
        <v>152943.19</v>
      </c>
      <c r="AU184" s="41">
        <f t="shared" si="103"/>
        <v>-13099.120000000006</v>
      </c>
      <c r="AV184" s="459">
        <f t="shared" si="119"/>
        <v>0.92110974606412066</v>
      </c>
      <c r="AW184" s="41">
        <v>0</v>
      </c>
      <c r="AX184" s="41">
        <v>0</v>
      </c>
      <c r="AY184" s="41">
        <f t="shared" si="102"/>
        <v>166042.31</v>
      </c>
      <c r="AZ184" s="41">
        <f>VLOOKUP(G184,'2017'!A:B,2,0)</f>
        <v>152943.19</v>
      </c>
      <c r="BA184" s="552">
        <f t="shared" si="133"/>
        <v>-13099.119999999995</v>
      </c>
      <c r="BB184" s="41">
        <v>342296.38</v>
      </c>
      <c r="BC184" s="41">
        <v>104523.64</v>
      </c>
      <c r="BD184" s="41">
        <v>0</v>
      </c>
      <c r="BE184" s="41">
        <v>0</v>
      </c>
      <c r="BF184" s="41">
        <v>0</v>
      </c>
      <c r="BG184" s="41">
        <v>0</v>
      </c>
      <c r="BH184" s="41">
        <v>0</v>
      </c>
      <c r="BI184" s="41">
        <v>700825</v>
      </c>
      <c r="BJ184" s="75"/>
      <c r="BK184" s="24"/>
      <c r="BL184" s="8"/>
    </row>
    <row r="185" spans="1:64" s="10" customFormat="1" ht="47.25" x14ac:dyDescent="0.2">
      <c r="A185" s="11" t="s">
        <v>350</v>
      </c>
      <c r="B185" s="11" t="s">
        <v>360</v>
      </c>
      <c r="C185" s="14" t="s">
        <v>599</v>
      </c>
      <c r="D185" s="11" t="s">
        <v>3</v>
      </c>
      <c r="E185" s="11" t="s">
        <v>210</v>
      </c>
      <c r="F185" s="11" t="s">
        <v>77</v>
      </c>
      <c r="G185" s="44" t="s">
        <v>361</v>
      </c>
      <c r="H185" s="45">
        <v>174</v>
      </c>
      <c r="I185" s="45" t="s">
        <v>350</v>
      </c>
      <c r="J185" s="46" t="s">
        <v>362</v>
      </c>
      <c r="K185" s="46" t="s">
        <v>363</v>
      </c>
      <c r="L185" s="41">
        <v>0</v>
      </c>
      <c r="M185" s="41">
        <v>0</v>
      </c>
      <c r="N185" s="41">
        <v>0</v>
      </c>
      <c r="O185" s="41">
        <v>0</v>
      </c>
      <c r="P185" s="41">
        <v>0</v>
      </c>
      <c r="Q185" s="41">
        <f t="shared" si="126"/>
        <v>0</v>
      </c>
      <c r="R185" s="41">
        <v>0</v>
      </c>
      <c r="S185" s="41">
        <v>0</v>
      </c>
      <c r="T185" s="41">
        <f t="shared" si="127"/>
        <v>0</v>
      </c>
      <c r="U185" s="41">
        <v>0</v>
      </c>
      <c r="V185" s="41">
        <v>0</v>
      </c>
      <c r="W185" s="41">
        <f t="shared" si="128"/>
        <v>0</v>
      </c>
      <c r="X185" s="41">
        <v>6760.28</v>
      </c>
      <c r="Y185" s="41">
        <v>6760.28</v>
      </c>
      <c r="Z185" s="41">
        <f t="shared" si="129"/>
        <v>0</v>
      </c>
      <c r="AA185" s="41">
        <v>0</v>
      </c>
      <c r="AB185" s="41">
        <v>0</v>
      </c>
      <c r="AC185" s="41">
        <f t="shared" si="130"/>
        <v>0</v>
      </c>
      <c r="AD185" s="41">
        <v>0</v>
      </c>
      <c r="AE185" s="41">
        <v>0</v>
      </c>
      <c r="AF185" s="41">
        <f t="shared" si="131"/>
        <v>0</v>
      </c>
      <c r="AG185" s="41">
        <v>23024.799999999999</v>
      </c>
      <c r="AH185" s="41">
        <v>12064.5</v>
      </c>
      <c r="AI185" s="41">
        <f t="shared" si="132"/>
        <v>-10960.3</v>
      </c>
      <c r="AJ185" s="41">
        <v>0</v>
      </c>
      <c r="AK185" s="41">
        <v>0</v>
      </c>
      <c r="AL185" s="41">
        <f t="shared" si="124"/>
        <v>0</v>
      </c>
      <c r="AM185" s="41">
        <v>0</v>
      </c>
      <c r="AN185" s="41">
        <v>0</v>
      </c>
      <c r="AO185" s="41">
        <f t="shared" si="125"/>
        <v>0</v>
      </c>
      <c r="AP185" s="41">
        <v>19264.400000000001</v>
      </c>
      <c r="AQ185" s="41">
        <f>IFERROR(VLOOKUP(G185,'10'!A:B,2,0),0)</f>
        <v>17433.64</v>
      </c>
      <c r="AR185" s="41">
        <f t="shared" si="101"/>
        <v>-1830.760000000002</v>
      </c>
      <c r="AS185" s="41">
        <f t="shared" si="104"/>
        <v>49049.479999999996</v>
      </c>
      <c r="AT185" s="41">
        <f>AN185+AK185+AH185+AE185+AB185+Y185+V185+S185+P185+AQ185</f>
        <v>36258.42</v>
      </c>
      <c r="AU185" s="41">
        <f t="shared" si="103"/>
        <v>-12791.060000000001</v>
      </c>
      <c r="AV185" s="459">
        <f t="shared" si="119"/>
        <v>0.73922129245814638</v>
      </c>
      <c r="AW185" s="41">
        <v>0</v>
      </c>
      <c r="AX185" s="41">
        <v>0</v>
      </c>
      <c r="AY185" s="41">
        <f t="shared" si="102"/>
        <v>49049.479999999996</v>
      </c>
      <c r="AZ185" s="41">
        <f>VLOOKUP(G185,'2017'!A:B,2,0)</f>
        <v>36258.43</v>
      </c>
      <c r="BA185" s="552">
        <f t="shared" si="133"/>
        <v>-12791.049999999996</v>
      </c>
      <c r="BB185" s="41">
        <v>110071.37</v>
      </c>
      <c r="BC185" s="41">
        <v>90474.000000000015</v>
      </c>
      <c r="BD185" s="41">
        <v>20751.150000000001</v>
      </c>
      <c r="BE185" s="41">
        <v>0</v>
      </c>
      <c r="BF185" s="41">
        <v>0</v>
      </c>
      <c r="BG185" s="41">
        <v>0</v>
      </c>
      <c r="BH185" s="41">
        <v>0</v>
      </c>
      <c r="BI185" s="41">
        <v>270346</v>
      </c>
      <c r="BJ185" s="75"/>
      <c r="BK185" s="11"/>
    </row>
    <row r="186" spans="1:64" s="10" customFormat="1" ht="47.25" x14ac:dyDescent="0.25">
      <c r="A186" s="24" t="s">
        <v>89</v>
      </c>
      <c r="B186" s="25" t="s">
        <v>846</v>
      </c>
      <c r="C186" s="24" t="s">
        <v>847</v>
      </c>
      <c r="D186" s="24" t="s">
        <v>3</v>
      </c>
      <c r="E186" s="24" t="s">
        <v>11</v>
      </c>
      <c r="F186" s="24" t="s">
        <v>5</v>
      </c>
      <c r="G186" s="25" t="s">
        <v>1371</v>
      </c>
      <c r="H186" s="45">
        <v>175</v>
      </c>
      <c r="I186" s="45" t="s">
        <v>89</v>
      </c>
      <c r="J186" s="25" t="s">
        <v>1032</v>
      </c>
      <c r="K186" s="25" t="s">
        <v>1372</v>
      </c>
      <c r="L186" s="35">
        <v>0</v>
      </c>
      <c r="M186" s="35">
        <v>0</v>
      </c>
      <c r="N186" s="35">
        <v>0</v>
      </c>
      <c r="O186" s="35">
        <v>0</v>
      </c>
      <c r="P186" s="35">
        <v>0</v>
      </c>
      <c r="Q186" s="35">
        <v>0</v>
      </c>
      <c r="R186" s="35">
        <v>0</v>
      </c>
      <c r="S186" s="35">
        <v>0</v>
      </c>
      <c r="T186" s="35">
        <v>0</v>
      </c>
      <c r="U186" s="35">
        <v>0</v>
      </c>
      <c r="V186" s="35">
        <v>0</v>
      </c>
      <c r="W186" s="35">
        <v>0</v>
      </c>
      <c r="X186" s="35">
        <v>0</v>
      </c>
      <c r="Y186" s="35">
        <v>0</v>
      </c>
      <c r="Z186" s="35">
        <v>0</v>
      </c>
      <c r="AA186" s="35">
        <v>0</v>
      </c>
      <c r="AB186" s="35">
        <v>0</v>
      </c>
      <c r="AC186" s="35">
        <v>0</v>
      </c>
      <c r="AD186" s="35">
        <v>0</v>
      </c>
      <c r="AE186" s="35">
        <v>0</v>
      </c>
      <c r="AF186" s="35">
        <v>0</v>
      </c>
      <c r="AG186" s="35">
        <v>0</v>
      </c>
      <c r="AH186" s="35">
        <v>0</v>
      </c>
      <c r="AI186" s="35">
        <v>0</v>
      </c>
      <c r="AJ186" s="41">
        <v>12635.75</v>
      </c>
      <c r="AK186" s="41">
        <v>0</v>
      </c>
      <c r="AL186" s="41">
        <f t="shared" si="124"/>
        <v>-12635.75</v>
      </c>
      <c r="AM186" s="41"/>
      <c r="AN186" s="41">
        <v>0</v>
      </c>
      <c r="AO186" s="41">
        <f t="shared" si="125"/>
        <v>0</v>
      </c>
      <c r="AP186" s="41">
        <v>0</v>
      </c>
      <c r="AQ186" s="41">
        <f>IFERROR(VLOOKUP(G186,'10'!A:B,2,0),0)</f>
        <v>0</v>
      </c>
      <c r="AR186" s="41">
        <f t="shared" si="101"/>
        <v>0</v>
      </c>
      <c r="AS186" s="41">
        <f t="shared" si="104"/>
        <v>12635.75</v>
      </c>
      <c r="AT186" s="41">
        <f>AN186+AK186+AH186+AE186+AB186+-Y186+V186+S186+P186+AQ186</f>
        <v>0</v>
      </c>
      <c r="AU186" s="41">
        <f t="shared" si="103"/>
        <v>-12635.75</v>
      </c>
      <c r="AV186" s="459">
        <f t="shared" si="119"/>
        <v>0</v>
      </c>
      <c r="AW186" s="41">
        <v>0</v>
      </c>
      <c r="AX186" s="41">
        <v>0</v>
      </c>
      <c r="AY186" s="41">
        <f t="shared" si="102"/>
        <v>12635.75</v>
      </c>
      <c r="AZ186" s="41"/>
      <c r="BA186" s="552">
        <f t="shared" ref="BA186:BA187" si="134">AZ186-AY186</f>
        <v>-12635.75</v>
      </c>
      <c r="BB186" s="41">
        <v>349076.64</v>
      </c>
      <c r="BC186" s="41">
        <v>59887.61</v>
      </c>
      <c r="BD186" s="41">
        <v>0</v>
      </c>
      <c r="BE186" s="41">
        <v>0</v>
      </c>
      <c r="BF186" s="41">
        <v>0</v>
      </c>
      <c r="BG186" s="41">
        <v>0</v>
      </c>
      <c r="BH186" s="41">
        <v>0</v>
      </c>
      <c r="BI186" s="41">
        <v>421600</v>
      </c>
      <c r="BJ186" s="24"/>
      <c r="BK186" s="11"/>
    </row>
    <row r="187" spans="1:64" s="10" customFormat="1" x14ac:dyDescent="0.2">
      <c r="A187" s="55" t="s">
        <v>33</v>
      </c>
      <c r="B187" s="55" t="s">
        <v>34</v>
      </c>
      <c r="C187" s="155" t="s">
        <v>566</v>
      </c>
      <c r="D187" s="55">
        <v>1</v>
      </c>
      <c r="E187" s="55" t="s">
        <v>35</v>
      </c>
      <c r="F187" s="55" t="s">
        <v>5</v>
      </c>
      <c r="G187" s="439" t="s">
        <v>2831</v>
      </c>
      <c r="H187" s="45">
        <v>176</v>
      </c>
      <c r="I187" s="45" t="s">
        <v>33</v>
      </c>
      <c r="J187" s="155" t="s">
        <v>1113</v>
      </c>
      <c r="K187" s="155" t="s">
        <v>1114</v>
      </c>
      <c r="L187" s="152">
        <v>0</v>
      </c>
      <c r="M187" s="152">
        <v>0</v>
      </c>
      <c r="N187" s="152">
        <v>0</v>
      </c>
      <c r="O187" s="152">
        <f t="shared" ref="O187:AM187" si="135">N187+M187+L187</f>
        <v>0</v>
      </c>
      <c r="P187" s="152">
        <f t="shared" si="135"/>
        <v>0</v>
      </c>
      <c r="Q187" s="152">
        <f t="shared" si="135"/>
        <v>0</v>
      </c>
      <c r="R187" s="152">
        <f t="shared" si="135"/>
        <v>0</v>
      </c>
      <c r="S187" s="152">
        <f t="shared" si="135"/>
        <v>0</v>
      </c>
      <c r="T187" s="152">
        <f t="shared" si="135"/>
        <v>0</v>
      </c>
      <c r="U187" s="152">
        <f t="shared" si="135"/>
        <v>0</v>
      </c>
      <c r="V187" s="152">
        <f t="shared" si="135"/>
        <v>0</v>
      </c>
      <c r="W187" s="152">
        <f t="shared" si="135"/>
        <v>0</v>
      </c>
      <c r="X187" s="152">
        <f t="shared" si="135"/>
        <v>0</v>
      </c>
      <c r="Y187" s="152">
        <f t="shared" si="135"/>
        <v>0</v>
      </c>
      <c r="Z187" s="152">
        <f t="shared" si="135"/>
        <v>0</v>
      </c>
      <c r="AA187" s="152">
        <f t="shared" si="135"/>
        <v>0</v>
      </c>
      <c r="AB187" s="152">
        <f t="shared" si="135"/>
        <v>0</v>
      </c>
      <c r="AC187" s="152">
        <f t="shared" si="135"/>
        <v>0</v>
      </c>
      <c r="AD187" s="152">
        <f t="shared" si="135"/>
        <v>0</v>
      </c>
      <c r="AE187" s="152">
        <f t="shared" si="135"/>
        <v>0</v>
      </c>
      <c r="AF187" s="152">
        <f t="shared" si="135"/>
        <v>0</v>
      </c>
      <c r="AG187" s="152">
        <f t="shared" si="135"/>
        <v>0</v>
      </c>
      <c r="AH187" s="152">
        <f t="shared" si="135"/>
        <v>0</v>
      </c>
      <c r="AI187" s="152">
        <f t="shared" si="135"/>
        <v>0</v>
      </c>
      <c r="AJ187" s="152">
        <f t="shared" si="135"/>
        <v>0</v>
      </c>
      <c r="AK187" s="152">
        <f t="shared" si="135"/>
        <v>0</v>
      </c>
      <c r="AL187" s="152">
        <f t="shared" si="135"/>
        <v>0</v>
      </c>
      <c r="AM187" s="152">
        <f t="shared" si="135"/>
        <v>0</v>
      </c>
      <c r="AN187" s="152">
        <v>0</v>
      </c>
      <c r="AO187" s="152">
        <f>AN187+AM187+AL187</f>
        <v>0</v>
      </c>
      <c r="AP187" s="152">
        <v>12455</v>
      </c>
      <c r="AQ187" s="41">
        <f>IFERROR(VLOOKUP(G187,'10'!A:B,2,0),0)</f>
        <v>0</v>
      </c>
      <c r="AR187" s="41">
        <f t="shared" si="101"/>
        <v>-12455</v>
      </c>
      <c r="AS187" s="41">
        <f t="shared" si="104"/>
        <v>12455</v>
      </c>
      <c r="AT187" s="41">
        <f>AN187+AK187+AH187+AE187+AB187+-Y187+V187+S187+P187+AQ187</f>
        <v>0</v>
      </c>
      <c r="AU187" s="41">
        <f t="shared" si="103"/>
        <v>-12455</v>
      </c>
      <c r="AV187" s="459">
        <f t="shared" si="119"/>
        <v>0</v>
      </c>
      <c r="AW187" s="152">
        <v>0</v>
      </c>
      <c r="AX187" s="152">
        <v>0</v>
      </c>
      <c r="AY187" s="41">
        <f t="shared" si="102"/>
        <v>12455</v>
      </c>
      <c r="AZ187" s="41"/>
      <c r="BA187" s="552">
        <f t="shared" si="134"/>
        <v>-12455</v>
      </c>
      <c r="BB187" s="152">
        <v>232819.36219999997</v>
      </c>
      <c r="BC187" s="152">
        <v>270219.36219999997</v>
      </c>
      <c r="BD187" s="152">
        <v>274156.47209999996</v>
      </c>
      <c r="BE187" s="152">
        <v>0</v>
      </c>
      <c r="BF187" s="152">
        <v>0</v>
      </c>
      <c r="BG187" s="152">
        <v>0</v>
      </c>
      <c r="BH187" s="152">
        <v>0</v>
      </c>
      <c r="BI187" s="152">
        <v>789650.19649999985</v>
      </c>
      <c r="BJ187" s="459"/>
      <c r="BK187" s="41"/>
      <c r="BL187" s="432"/>
    </row>
    <row r="188" spans="1:64" s="10" customFormat="1" ht="63" x14ac:dyDescent="0.2">
      <c r="A188" s="11" t="s">
        <v>458</v>
      </c>
      <c r="B188" s="11" t="s">
        <v>459</v>
      </c>
      <c r="C188" s="14" t="s">
        <v>609</v>
      </c>
      <c r="D188" s="11">
        <v>1</v>
      </c>
      <c r="E188" s="11" t="s">
        <v>454</v>
      </c>
      <c r="F188" s="11" t="s">
        <v>77</v>
      </c>
      <c r="G188" s="44" t="s">
        <v>481</v>
      </c>
      <c r="H188" s="45">
        <v>177</v>
      </c>
      <c r="I188" s="45" t="s">
        <v>458</v>
      </c>
      <c r="J188" s="46" t="s">
        <v>98</v>
      </c>
      <c r="K188" s="46" t="s">
        <v>482</v>
      </c>
      <c r="L188" s="41">
        <v>0</v>
      </c>
      <c r="M188" s="41">
        <v>0</v>
      </c>
      <c r="N188" s="41">
        <v>10820.23</v>
      </c>
      <c r="O188" s="41">
        <v>9042.5</v>
      </c>
      <c r="P188" s="41">
        <v>9042.5</v>
      </c>
      <c r="Q188" s="41">
        <f>P188-O188</f>
        <v>0</v>
      </c>
      <c r="R188" s="41">
        <v>0</v>
      </c>
      <c r="S188" s="41">
        <v>0</v>
      </c>
      <c r="T188" s="41">
        <f>S188-R188</f>
        <v>0</v>
      </c>
      <c r="U188" s="41">
        <v>0</v>
      </c>
      <c r="V188" s="41">
        <v>0</v>
      </c>
      <c r="W188" s="41">
        <f>V188-U188</f>
        <v>0</v>
      </c>
      <c r="X188" s="41">
        <v>4384.17</v>
      </c>
      <c r="Y188" s="41">
        <v>4384.17</v>
      </c>
      <c r="Z188" s="41">
        <f>Y188-X188</f>
        <v>0</v>
      </c>
      <c r="AA188" s="41">
        <v>0</v>
      </c>
      <c r="AB188" s="41">
        <v>0</v>
      </c>
      <c r="AC188" s="41">
        <f>AB188-AA188</f>
        <v>0</v>
      </c>
      <c r="AD188" s="41">
        <v>0</v>
      </c>
      <c r="AE188" s="41">
        <v>0</v>
      </c>
      <c r="AF188" s="41">
        <f>AE188-AD188</f>
        <v>0</v>
      </c>
      <c r="AG188" s="41">
        <v>7337.04</v>
      </c>
      <c r="AH188" s="41">
        <v>2673.61</v>
      </c>
      <c r="AI188" s="41">
        <f>AH188-AG188</f>
        <v>-4663.43</v>
      </c>
      <c r="AJ188" s="41">
        <v>0</v>
      </c>
      <c r="AK188" s="41">
        <v>0</v>
      </c>
      <c r="AL188" s="41">
        <f t="shared" ref="AL188:AL214" si="136">AK188-AJ188</f>
        <v>0</v>
      </c>
      <c r="AM188" s="41">
        <v>0</v>
      </c>
      <c r="AN188" s="41">
        <v>0</v>
      </c>
      <c r="AO188" s="41">
        <f t="shared" ref="AO188:AO214" si="137">AN188-AM188</f>
        <v>0</v>
      </c>
      <c r="AP188" s="41">
        <v>7337.04</v>
      </c>
      <c r="AQ188" s="41">
        <f>IFERROR(VLOOKUP(G188,'10'!A:B,2,0),0)</f>
        <v>0</v>
      </c>
      <c r="AR188" s="41">
        <f t="shared" si="101"/>
        <v>-7337.04</v>
      </c>
      <c r="AS188" s="41">
        <f t="shared" si="104"/>
        <v>28100.75</v>
      </c>
      <c r="AT188" s="41">
        <f>AN188+AK188+AH188+AE188+AB188+Y188+V188+S188+P188+AQ188</f>
        <v>16100.28</v>
      </c>
      <c r="AU188" s="41">
        <f t="shared" si="103"/>
        <v>-12000.470000000001</v>
      </c>
      <c r="AV188" s="459">
        <f t="shared" si="119"/>
        <v>0.57294840885029763</v>
      </c>
      <c r="AW188" s="41">
        <v>0</v>
      </c>
      <c r="AX188" s="41">
        <v>0</v>
      </c>
      <c r="AY188" s="41">
        <f t="shared" si="102"/>
        <v>28100.75</v>
      </c>
      <c r="AZ188" s="41">
        <f>VLOOKUP(G188,'2017'!A:B,2,0)</f>
        <v>16100.28</v>
      </c>
      <c r="BA188" s="552">
        <f>AZ188-AY188</f>
        <v>-12000.47</v>
      </c>
      <c r="BB188" s="41">
        <v>29348.16</v>
      </c>
      <c r="BC188" s="41">
        <v>16730.86</v>
      </c>
      <c r="BD188" s="41">
        <v>0</v>
      </c>
      <c r="BE188" s="41">
        <v>0</v>
      </c>
      <c r="BF188" s="41">
        <v>0</v>
      </c>
      <c r="BG188" s="41">
        <v>0</v>
      </c>
      <c r="BH188" s="41">
        <v>0</v>
      </c>
      <c r="BI188" s="41">
        <v>85000</v>
      </c>
      <c r="BJ188" s="75"/>
      <c r="BK188" s="11"/>
    </row>
    <row r="189" spans="1:64" s="10" customFormat="1" ht="51" x14ac:dyDescent="0.2">
      <c r="A189" s="11" t="s">
        <v>485</v>
      </c>
      <c r="B189" s="11" t="s">
        <v>486</v>
      </c>
      <c r="C189" s="14" t="s">
        <v>610</v>
      </c>
      <c r="D189" s="11">
        <v>1</v>
      </c>
      <c r="E189" s="11" t="s">
        <v>454</v>
      </c>
      <c r="F189" s="11" t="s">
        <v>5</v>
      </c>
      <c r="G189" s="44" t="s">
        <v>518</v>
      </c>
      <c r="H189" s="45">
        <v>178</v>
      </c>
      <c r="I189" s="45" t="s">
        <v>485</v>
      </c>
      <c r="J189" s="46" t="s">
        <v>519</v>
      </c>
      <c r="K189" s="46" t="s">
        <v>520</v>
      </c>
      <c r="L189" s="41">
        <v>0</v>
      </c>
      <c r="M189" s="41">
        <v>0</v>
      </c>
      <c r="N189" s="41">
        <v>10944.03</v>
      </c>
      <c r="O189" s="41">
        <v>1888.97</v>
      </c>
      <c r="P189" s="41">
        <v>1888.97</v>
      </c>
      <c r="Q189" s="41">
        <f>P189-O189</f>
        <v>0</v>
      </c>
      <c r="R189" s="41">
        <v>0</v>
      </c>
      <c r="S189" s="41">
        <v>0</v>
      </c>
      <c r="T189" s="41">
        <f>S189-R189</f>
        <v>0</v>
      </c>
      <c r="U189" s="41">
        <v>0</v>
      </c>
      <c r="V189" s="41">
        <v>0</v>
      </c>
      <c r="W189" s="41">
        <f>V189-U189</f>
        <v>0</v>
      </c>
      <c r="X189" s="41">
        <v>3776.9700000000003</v>
      </c>
      <c r="Y189" s="41">
        <v>1753.2</v>
      </c>
      <c r="Z189" s="41">
        <f>Y189-X189</f>
        <v>-2023.7700000000002</v>
      </c>
      <c r="AA189" s="41">
        <v>0</v>
      </c>
      <c r="AB189" s="41">
        <v>0</v>
      </c>
      <c r="AC189" s="41">
        <f>AB189-AA189</f>
        <v>0</v>
      </c>
      <c r="AD189" s="41">
        <v>0</v>
      </c>
      <c r="AE189" s="41">
        <v>0</v>
      </c>
      <c r="AF189" s="41">
        <f>AE189-AD189</f>
        <v>0</v>
      </c>
      <c r="AG189" s="41">
        <v>4007.45</v>
      </c>
      <c r="AH189" s="41">
        <v>1199.77</v>
      </c>
      <c r="AI189" s="41">
        <f>AH189-AG189</f>
        <v>-2807.68</v>
      </c>
      <c r="AJ189" s="41">
        <v>0</v>
      </c>
      <c r="AK189" s="41">
        <v>0</v>
      </c>
      <c r="AL189" s="41">
        <f t="shared" si="136"/>
        <v>0</v>
      </c>
      <c r="AM189" s="41">
        <v>2975</v>
      </c>
      <c r="AN189" s="41">
        <v>0</v>
      </c>
      <c r="AO189" s="41">
        <f t="shared" si="137"/>
        <v>-2975</v>
      </c>
      <c r="AP189" s="41">
        <v>7063.02</v>
      </c>
      <c r="AQ189" s="41">
        <f>IFERROR(VLOOKUP(G189,'10'!A:B,2,0),0)</f>
        <v>3313.84</v>
      </c>
      <c r="AR189" s="41">
        <f t="shared" si="101"/>
        <v>-3749.1800000000003</v>
      </c>
      <c r="AS189" s="41">
        <f t="shared" si="104"/>
        <v>19711.41</v>
      </c>
      <c r="AT189" s="41">
        <f>AN189+AK189+AH189+AE189+AB189+Y189+V189+S189+P189+AQ189</f>
        <v>8155.7800000000007</v>
      </c>
      <c r="AU189" s="41">
        <f t="shared" si="103"/>
        <v>-11555.630000000001</v>
      </c>
      <c r="AV189" s="459">
        <f t="shared" si="119"/>
        <v>0.41375934040233553</v>
      </c>
      <c r="AW189" s="41">
        <v>0</v>
      </c>
      <c r="AX189" s="41">
        <v>1019.83</v>
      </c>
      <c r="AY189" s="41">
        <f t="shared" si="102"/>
        <v>20731.240000000002</v>
      </c>
      <c r="AZ189" s="41">
        <f>VLOOKUP(G189,'2017'!A:B,2,0)</f>
        <v>8155.7800000000007</v>
      </c>
      <c r="BA189" s="552">
        <f>AZ189-AY189</f>
        <v>-12575.460000000001</v>
      </c>
      <c r="BB189" s="41">
        <v>17529.75</v>
      </c>
      <c r="BC189" s="41">
        <v>1850.91</v>
      </c>
      <c r="BD189" s="41">
        <v>0</v>
      </c>
      <c r="BE189" s="41">
        <v>0</v>
      </c>
      <c r="BF189" s="41">
        <v>0</v>
      </c>
      <c r="BG189" s="41">
        <v>0</v>
      </c>
      <c r="BH189" s="41">
        <v>0</v>
      </c>
      <c r="BI189" s="41">
        <v>51055.930000000008</v>
      </c>
      <c r="BJ189" s="75"/>
      <c r="BK189" s="11"/>
    </row>
    <row r="190" spans="1:64" s="10" customFormat="1" ht="47.25" x14ac:dyDescent="0.2">
      <c r="A190" s="20" t="s">
        <v>406</v>
      </c>
      <c r="B190" s="20" t="s">
        <v>411</v>
      </c>
      <c r="C190" s="21" t="s">
        <v>606</v>
      </c>
      <c r="D190" s="20">
        <v>1</v>
      </c>
      <c r="E190" s="20" t="s">
        <v>402</v>
      </c>
      <c r="F190" s="20" t="s">
        <v>77</v>
      </c>
      <c r="G190" s="20" t="s">
        <v>869</v>
      </c>
      <c r="H190" s="45">
        <v>179</v>
      </c>
      <c r="I190" s="45" t="s">
        <v>406</v>
      </c>
      <c r="J190" s="34" t="s">
        <v>870</v>
      </c>
      <c r="K190" s="34" t="s">
        <v>871</v>
      </c>
      <c r="L190" s="431"/>
      <c r="M190" s="429">
        <v>0</v>
      </c>
      <c r="N190" s="429">
        <v>0</v>
      </c>
      <c r="O190" s="37">
        <v>0</v>
      </c>
      <c r="P190" s="37"/>
      <c r="Q190" s="37"/>
      <c r="R190" s="429">
        <v>0</v>
      </c>
      <c r="S190" s="429"/>
      <c r="T190" s="429"/>
      <c r="U190" s="429">
        <v>0</v>
      </c>
      <c r="V190" s="429"/>
      <c r="W190" s="429"/>
      <c r="X190" s="429">
        <v>0</v>
      </c>
      <c r="Y190" s="429"/>
      <c r="Z190" s="429"/>
      <c r="AA190" s="429">
        <v>0</v>
      </c>
      <c r="AB190" s="429"/>
      <c r="AC190" s="429"/>
      <c r="AD190" s="429">
        <v>0</v>
      </c>
      <c r="AE190" s="429"/>
      <c r="AF190" s="429"/>
      <c r="AG190" s="37">
        <v>5522.45</v>
      </c>
      <c r="AH190" s="41">
        <v>2629.48</v>
      </c>
      <c r="AI190" s="41">
        <f>AH190-AG190</f>
        <v>-2892.97</v>
      </c>
      <c r="AJ190" s="37">
        <v>0</v>
      </c>
      <c r="AK190" s="41">
        <v>0</v>
      </c>
      <c r="AL190" s="41">
        <f t="shared" si="136"/>
        <v>0</v>
      </c>
      <c r="AM190" s="37">
        <v>0</v>
      </c>
      <c r="AN190" s="41">
        <v>0</v>
      </c>
      <c r="AO190" s="41">
        <f t="shared" si="137"/>
        <v>0</v>
      </c>
      <c r="AP190" s="37">
        <v>10622.45</v>
      </c>
      <c r="AQ190" s="41">
        <f>IFERROR(VLOOKUP(G190,'10'!A:B,2,0),0)</f>
        <v>2267.21</v>
      </c>
      <c r="AR190" s="41">
        <f t="shared" si="101"/>
        <v>-8355.2400000000016</v>
      </c>
      <c r="AS190" s="41">
        <f t="shared" si="104"/>
        <v>16144.900000000001</v>
      </c>
      <c r="AT190" s="41">
        <f>AN190+AK190+AH190+AE190+AB190+-Y190+V190+S190+P190+AQ190</f>
        <v>4896.6900000000005</v>
      </c>
      <c r="AU190" s="41">
        <f t="shared" si="103"/>
        <v>-11248.210000000001</v>
      </c>
      <c r="AV190" s="459">
        <f t="shared" ref="AV190:AV221" si="138">AT190/AS190</f>
        <v>0.30329639700462685</v>
      </c>
      <c r="AW190" s="37">
        <v>0</v>
      </c>
      <c r="AX190" s="37">
        <v>0</v>
      </c>
      <c r="AY190" s="41">
        <f t="shared" si="102"/>
        <v>16144.900000000001</v>
      </c>
      <c r="AZ190" s="41">
        <f>VLOOKUP(G190,'2017'!A:B,2,0)</f>
        <v>4896.6900000000005</v>
      </c>
      <c r="BA190" s="552">
        <f>AZ190-AY190</f>
        <v>-11248.210000000001</v>
      </c>
      <c r="BB190" s="37">
        <v>21262.75</v>
      </c>
      <c r="BC190" s="37">
        <v>23338.45</v>
      </c>
      <c r="BD190" s="429">
        <v>0</v>
      </c>
      <c r="BE190" s="429">
        <v>0</v>
      </c>
      <c r="BF190" s="429">
        <v>0</v>
      </c>
      <c r="BG190" s="429">
        <v>0</v>
      </c>
      <c r="BH190" s="429">
        <v>0</v>
      </c>
      <c r="BI190" s="37">
        <v>60746.100000000006</v>
      </c>
      <c r="BJ190" s="76"/>
      <c r="BK190" s="11"/>
    </row>
    <row r="191" spans="1:64" s="10" customFormat="1" ht="31.5" x14ac:dyDescent="0.2">
      <c r="A191" s="18" t="s">
        <v>406</v>
      </c>
      <c r="B191" s="18" t="s">
        <v>411</v>
      </c>
      <c r="C191" s="19" t="s">
        <v>606</v>
      </c>
      <c r="D191" s="22">
        <v>1</v>
      </c>
      <c r="E191" s="18" t="s">
        <v>402</v>
      </c>
      <c r="F191" s="18" t="s">
        <v>77</v>
      </c>
      <c r="G191" s="18" t="s">
        <v>768</v>
      </c>
      <c r="H191" s="45">
        <v>180</v>
      </c>
      <c r="I191" s="45" t="s">
        <v>406</v>
      </c>
      <c r="J191" s="32" t="s">
        <v>488</v>
      </c>
      <c r="K191" s="32" t="s">
        <v>769</v>
      </c>
      <c r="L191" s="41">
        <v>0</v>
      </c>
      <c r="M191" s="41">
        <v>0</v>
      </c>
      <c r="N191" s="41">
        <v>0</v>
      </c>
      <c r="O191" s="41">
        <v>0</v>
      </c>
      <c r="P191" s="41">
        <v>0</v>
      </c>
      <c r="Q191" s="41">
        <f>P191-O191</f>
        <v>0</v>
      </c>
      <c r="R191" s="41">
        <v>0</v>
      </c>
      <c r="S191" s="41">
        <v>0</v>
      </c>
      <c r="T191" s="41">
        <f>S191-R191</f>
        <v>0</v>
      </c>
      <c r="U191" s="41">
        <v>0</v>
      </c>
      <c r="V191" s="41">
        <v>0</v>
      </c>
      <c r="W191" s="41">
        <f>V191-U191</f>
        <v>0</v>
      </c>
      <c r="X191" s="41">
        <v>0</v>
      </c>
      <c r="Y191" s="41">
        <v>0</v>
      </c>
      <c r="Z191" s="41">
        <f>Y191-X191</f>
        <v>0</v>
      </c>
      <c r="AA191" s="41">
        <v>0</v>
      </c>
      <c r="AB191" s="41">
        <v>0</v>
      </c>
      <c r="AC191" s="41">
        <f>AB191-AA191</f>
        <v>0</v>
      </c>
      <c r="AD191" s="38">
        <v>16888.34</v>
      </c>
      <c r="AE191" s="41">
        <v>8980.17</v>
      </c>
      <c r="AF191" s="41">
        <f>AE191-AD191</f>
        <v>-7908.17</v>
      </c>
      <c r="AG191" s="38">
        <v>8500</v>
      </c>
      <c r="AH191" s="41">
        <v>5329.56</v>
      </c>
      <c r="AI191" s="41">
        <f>AH191-AG191</f>
        <v>-3170.4399999999996</v>
      </c>
      <c r="AJ191" s="38">
        <v>0</v>
      </c>
      <c r="AK191" s="41">
        <v>0</v>
      </c>
      <c r="AL191" s="41">
        <f t="shared" si="136"/>
        <v>0</v>
      </c>
      <c r="AM191" s="38">
        <v>0</v>
      </c>
      <c r="AN191" s="41">
        <v>17522.03</v>
      </c>
      <c r="AO191" s="41">
        <f t="shared" si="137"/>
        <v>17522.03</v>
      </c>
      <c r="AP191" s="38">
        <v>32300</v>
      </c>
      <c r="AQ191" s="41">
        <f>IFERROR(VLOOKUP(G191,'10'!A:B,2,0),0)</f>
        <v>14642.23</v>
      </c>
      <c r="AR191" s="41">
        <f t="shared" si="101"/>
        <v>-17657.77</v>
      </c>
      <c r="AS191" s="41">
        <f t="shared" si="104"/>
        <v>57688.34</v>
      </c>
      <c r="AT191" s="41">
        <f>AN191+AK191+AH191+AE191+AB191+Y191+V191+S191+P191+AQ191</f>
        <v>46473.990000000005</v>
      </c>
      <c r="AU191" s="41">
        <f t="shared" si="103"/>
        <v>-11214.35</v>
      </c>
      <c r="AV191" s="459">
        <f t="shared" si="138"/>
        <v>0.80560456411122261</v>
      </c>
      <c r="AW191" s="38">
        <v>0</v>
      </c>
      <c r="AX191" s="35">
        <v>0</v>
      </c>
      <c r="AY191" s="41">
        <f t="shared" si="102"/>
        <v>57688.34</v>
      </c>
      <c r="AZ191" s="41">
        <f>VLOOKUP(G191,'2017'!A:B,2,0)</f>
        <v>60916.599999999991</v>
      </c>
      <c r="BA191" s="552">
        <f>AZ191-AY191</f>
        <v>3228.2599999999948</v>
      </c>
      <c r="BB191" s="38">
        <v>61988.799999999996</v>
      </c>
      <c r="BC191" s="38">
        <v>72981</v>
      </c>
      <c r="BD191" s="38">
        <v>38783.800000000003</v>
      </c>
      <c r="BE191" s="38">
        <v>0</v>
      </c>
      <c r="BF191" s="38">
        <v>0</v>
      </c>
      <c r="BG191" s="38">
        <v>0</v>
      </c>
      <c r="BH191" s="35">
        <v>0</v>
      </c>
      <c r="BI191" s="41">
        <v>214553.59999999998</v>
      </c>
      <c r="BJ191" s="75"/>
      <c r="BK191" s="11"/>
    </row>
    <row r="192" spans="1:64" s="10" customFormat="1" ht="31.5" x14ac:dyDescent="0.25">
      <c r="A192" s="52" t="s">
        <v>406</v>
      </c>
      <c r="B192" s="52" t="s">
        <v>411</v>
      </c>
      <c r="C192" s="476" t="s">
        <v>606</v>
      </c>
      <c r="D192" s="22">
        <v>1</v>
      </c>
      <c r="E192" s="52" t="s">
        <v>402</v>
      </c>
      <c r="F192" s="52" t="s">
        <v>77</v>
      </c>
      <c r="G192" s="52" t="s">
        <v>881</v>
      </c>
      <c r="H192" s="45">
        <v>181</v>
      </c>
      <c r="I192" s="45" t="s">
        <v>406</v>
      </c>
      <c r="J192" s="477" t="s">
        <v>882</v>
      </c>
      <c r="K192" s="477" t="s">
        <v>883</v>
      </c>
      <c r="L192" s="431" t="s">
        <v>880</v>
      </c>
      <c r="M192" s="38"/>
      <c r="N192" s="38"/>
      <c r="O192" s="37">
        <v>0</v>
      </c>
      <c r="P192" s="37"/>
      <c r="Q192" s="37"/>
      <c r="R192" s="38"/>
      <c r="S192" s="38"/>
      <c r="T192" s="38"/>
      <c r="U192" s="38"/>
      <c r="V192" s="38"/>
      <c r="W192" s="38"/>
      <c r="X192" s="38"/>
      <c r="Y192" s="38"/>
      <c r="Z192" s="38"/>
      <c r="AA192" s="38"/>
      <c r="AB192" s="38"/>
      <c r="AC192" s="38"/>
      <c r="AD192" s="38"/>
      <c r="AE192" s="38"/>
      <c r="AF192" s="38"/>
      <c r="AG192" s="38">
        <v>13683.3</v>
      </c>
      <c r="AH192" s="41">
        <v>12132.86</v>
      </c>
      <c r="AI192" s="41">
        <f>AH192-AG192</f>
        <v>-1550.4399999999987</v>
      </c>
      <c r="AJ192" s="38">
        <v>0</v>
      </c>
      <c r="AK192" s="41">
        <v>2195.89</v>
      </c>
      <c r="AL192" s="41">
        <f t="shared" si="136"/>
        <v>2195.89</v>
      </c>
      <c r="AM192" s="38">
        <v>0</v>
      </c>
      <c r="AN192" s="41">
        <v>0</v>
      </c>
      <c r="AO192" s="41">
        <f t="shared" si="137"/>
        <v>0</v>
      </c>
      <c r="AP192" s="38">
        <v>13683.3</v>
      </c>
      <c r="AQ192" s="41">
        <f>IFERROR(VLOOKUP(G192,'10'!A:B,2,0),0)</f>
        <v>1959.56</v>
      </c>
      <c r="AR192" s="41">
        <f t="shared" si="101"/>
        <v>-11723.74</v>
      </c>
      <c r="AS192" s="41">
        <f t="shared" si="104"/>
        <v>27366.6</v>
      </c>
      <c r="AT192" s="41">
        <f>AN192+AK192+AH192+AE192+AB192+-Y192+V192+S192+P192+AQ192</f>
        <v>16288.31</v>
      </c>
      <c r="AU192" s="41">
        <f t="shared" si="103"/>
        <v>-11078.289999999999</v>
      </c>
      <c r="AV192" s="459">
        <f t="shared" si="138"/>
        <v>0.59518939144796945</v>
      </c>
      <c r="AW192" s="38">
        <v>0</v>
      </c>
      <c r="AX192" s="38">
        <v>0</v>
      </c>
      <c r="AY192" s="41">
        <f t="shared" si="102"/>
        <v>27366.6</v>
      </c>
      <c r="AZ192" s="41">
        <f>VLOOKUP(G192,'2017'!A:B,2,0)</f>
        <v>16288.310000000001</v>
      </c>
      <c r="BA192" s="552">
        <f t="shared" ref="BA192" si="139">AZ192-AY192</f>
        <v>-11078.289999999997</v>
      </c>
      <c r="BB192" s="38">
        <v>24912.649999999998</v>
      </c>
      <c r="BC192" s="38">
        <v>24159.55</v>
      </c>
      <c r="BD192" s="38">
        <v>6973.4</v>
      </c>
      <c r="BE192" s="38">
        <v>0</v>
      </c>
      <c r="BF192" s="38">
        <v>0</v>
      </c>
      <c r="BG192" s="38">
        <v>0</v>
      </c>
      <c r="BH192" s="38">
        <v>0</v>
      </c>
      <c r="BI192" s="37">
        <v>69728.899999999994</v>
      </c>
      <c r="BJ192" s="77"/>
      <c r="BK192" s="24"/>
      <c r="BL192" s="8"/>
    </row>
    <row r="193" spans="1:64" s="10" customFormat="1" ht="63" x14ac:dyDescent="0.25">
      <c r="A193" s="24" t="s">
        <v>89</v>
      </c>
      <c r="B193" s="25" t="s">
        <v>846</v>
      </c>
      <c r="C193" s="24" t="s">
        <v>847</v>
      </c>
      <c r="D193" s="24" t="s">
        <v>3</v>
      </c>
      <c r="E193" s="24" t="s">
        <v>11</v>
      </c>
      <c r="F193" s="24" t="s">
        <v>5</v>
      </c>
      <c r="G193" s="25" t="s">
        <v>1366</v>
      </c>
      <c r="H193" s="45">
        <v>182</v>
      </c>
      <c r="I193" s="45" t="s">
        <v>89</v>
      </c>
      <c r="J193" s="25" t="s">
        <v>1032</v>
      </c>
      <c r="K193" s="25" t="s">
        <v>1367</v>
      </c>
      <c r="L193" s="35">
        <v>0</v>
      </c>
      <c r="M193" s="35">
        <v>0</v>
      </c>
      <c r="N193" s="35">
        <v>0</v>
      </c>
      <c r="O193" s="35">
        <v>0</v>
      </c>
      <c r="P193" s="35">
        <v>0</v>
      </c>
      <c r="Q193" s="35">
        <v>0</v>
      </c>
      <c r="R193" s="35">
        <v>0</v>
      </c>
      <c r="S193" s="35">
        <v>0</v>
      </c>
      <c r="T193" s="35">
        <v>0</v>
      </c>
      <c r="U193" s="35">
        <v>0</v>
      </c>
      <c r="V193" s="35">
        <v>0</v>
      </c>
      <c r="W193" s="35">
        <v>0</v>
      </c>
      <c r="X193" s="35">
        <v>0</v>
      </c>
      <c r="Y193" s="35">
        <v>0</v>
      </c>
      <c r="Z193" s="35">
        <v>0</v>
      </c>
      <c r="AA193" s="35">
        <v>0</v>
      </c>
      <c r="AB193" s="35">
        <v>0</v>
      </c>
      <c r="AC193" s="35">
        <v>0</v>
      </c>
      <c r="AD193" s="35">
        <v>0</v>
      </c>
      <c r="AE193" s="35">
        <v>0</v>
      </c>
      <c r="AF193" s="35">
        <v>0</v>
      </c>
      <c r="AG193" s="35">
        <v>0</v>
      </c>
      <c r="AH193" s="35">
        <v>0</v>
      </c>
      <c r="AI193" s="35">
        <v>0</v>
      </c>
      <c r="AJ193" s="41">
        <v>10638.78</v>
      </c>
      <c r="AK193" s="41">
        <v>0</v>
      </c>
      <c r="AL193" s="41">
        <f t="shared" si="136"/>
        <v>-10638.78</v>
      </c>
      <c r="AM193" s="41"/>
      <c r="AN193" s="41">
        <v>0</v>
      </c>
      <c r="AO193" s="41">
        <f t="shared" si="137"/>
        <v>0</v>
      </c>
      <c r="AP193" s="41">
        <v>0</v>
      </c>
      <c r="AQ193" s="41">
        <f>IFERROR(VLOOKUP(G193,'10'!A:B,2,0),0)</f>
        <v>0</v>
      </c>
      <c r="AR193" s="41">
        <f t="shared" si="101"/>
        <v>0</v>
      </c>
      <c r="AS193" s="41">
        <f t="shared" si="104"/>
        <v>10638.78</v>
      </c>
      <c r="AT193" s="41">
        <f>AN193+AK193+AH193+AE193+AB193+-Y193+V193+S193+P193+AQ193</f>
        <v>0</v>
      </c>
      <c r="AU193" s="41">
        <f t="shared" si="103"/>
        <v>-10638.78</v>
      </c>
      <c r="AV193" s="459">
        <f t="shared" si="138"/>
        <v>0</v>
      </c>
      <c r="AW193" s="41">
        <v>0</v>
      </c>
      <c r="AX193" s="41">
        <v>0</v>
      </c>
      <c r="AY193" s="41">
        <f t="shared" si="102"/>
        <v>10638.78</v>
      </c>
      <c r="AZ193" s="41"/>
      <c r="BA193" s="552"/>
      <c r="BB193" s="41">
        <v>356561.22</v>
      </c>
      <c r="BC193" s="41">
        <v>0</v>
      </c>
      <c r="BD193" s="41">
        <v>0</v>
      </c>
      <c r="BE193" s="41">
        <v>0</v>
      </c>
      <c r="BF193" s="41">
        <v>0</v>
      </c>
      <c r="BG193" s="41">
        <v>0</v>
      </c>
      <c r="BH193" s="41">
        <v>0</v>
      </c>
      <c r="BI193" s="41">
        <v>367200</v>
      </c>
      <c r="BJ193" s="24"/>
      <c r="BK193" s="11"/>
    </row>
    <row r="194" spans="1:64" s="10" customFormat="1" ht="31.5" x14ac:dyDescent="0.25">
      <c r="A194" s="472" t="s">
        <v>313</v>
      </c>
      <c r="B194" s="472" t="s">
        <v>314</v>
      </c>
      <c r="C194" s="473" t="s">
        <v>591</v>
      </c>
      <c r="D194" s="472" t="s">
        <v>3</v>
      </c>
      <c r="E194" s="472" t="s">
        <v>4</v>
      </c>
      <c r="F194" s="472" t="s">
        <v>77</v>
      </c>
      <c r="G194" s="474" t="s">
        <v>315</v>
      </c>
      <c r="H194" s="45">
        <v>183</v>
      </c>
      <c r="I194" s="45" t="s">
        <v>313</v>
      </c>
      <c r="J194" s="475" t="s">
        <v>7</v>
      </c>
      <c r="K194" s="475" t="s">
        <v>316</v>
      </c>
      <c r="L194" s="41">
        <v>0</v>
      </c>
      <c r="M194" s="41">
        <v>0</v>
      </c>
      <c r="N194" s="41">
        <v>0</v>
      </c>
      <c r="O194" s="41">
        <v>10391.51</v>
      </c>
      <c r="P194" s="41">
        <v>10391.51</v>
      </c>
      <c r="Q194" s="41">
        <f>P194-O194</f>
        <v>0</v>
      </c>
      <c r="R194" s="41">
        <v>0</v>
      </c>
      <c r="S194" s="41">
        <v>0</v>
      </c>
      <c r="T194" s="41">
        <f>S194-R194</f>
        <v>0</v>
      </c>
      <c r="U194" s="41">
        <v>0</v>
      </c>
      <c r="V194" s="41">
        <v>0</v>
      </c>
      <c r="W194" s="41">
        <f>V194-U194</f>
        <v>0</v>
      </c>
      <c r="X194" s="41">
        <v>0</v>
      </c>
      <c r="Y194" s="41">
        <v>0</v>
      </c>
      <c r="Z194" s="41">
        <f>Y194-X194</f>
        <v>0</v>
      </c>
      <c r="AA194" s="41">
        <v>32734</v>
      </c>
      <c r="AB194" s="41">
        <v>32724.28</v>
      </c>
      <c r="AC194" s="41">
        <f>AB194-AA194</f>
        <v>-9.7200000000011642</v>
      </c>
      <c r="AD194" s="41">
        <v>0</v>
      </c>
      <c r="AE194" s="41">
        <v>0</v>
      </c>
      <c r="AF194" s="41">
        <f>AE194-AD194</f>
        <v>0</v>
      </c>
      <c r="AG194" s="41">
        <v>42500</v>
      </c>
      <c r="AH194" s="41">
        <v>47443.07</v>
      </c>
      <c r="AI194" s="41">
        <f>AH194-AG194</f>
        <v>4943.07</v>
      </c>
      <c r="AJ194" s="41">
        <v>0</v>
      </c>
      <c r="AK194" s="41">
        <v>0</v>
      </c>
      <c r="AL194" s="41">
        <f t="shared" si="136"/>
        <v>0</v>
      </c>
      <c r="AM194" s="41">
        <v>0</v>
      </c>
      <c r="AN194" s="41">
        <v>0</v>
      </c>
      <c r="AO194" s="41">
        <f t="shared" si="137"/>
        <v>0</v>
      </c>
      <c r="AP194" s="41">
        <v>68000</v>
      </c>
      <c r="AQ194" s="41">
        <f>IFERROR(VLOOKUP(G194,'10'!A:B,2,0),0)</f>
        <v>52436.43</v>
      </c>
      <c r="AR194" s="41">
        <f t="shared" si="101"/>
        <v>-15563.57</v>
      </c>
      <c r="AS194" s="41">
        <f t="shared" si="104"/>
        <v>153625.51</v>
      </c>
      <c r="AT194" s="41">
        <f>AN194+AK194+AH194+AE194+AB194+-Y194+V194+S194+P194+AQ194</f>
        <v>142995.29</v>
      </c>
      <c r="AU194" s="41">
        <f t="shared" si="103"/>
        <v>-10630.220000000001</v>
      </c>
      <c r="AV194" s="459">
        <f t="shared" si="138"/>
        <v>0.93080433060889434</v>
      </c>
      <c r="AW194" s="41">
        <v>0</v>
      </c>
      <c r="AX194" s="41">
        <v>0</v>
      </c>
      <c r="AY194" s="41">
        <f t="shared" si="102"/>
        <v>153625.51</v>
      </c>
      <c r="AZ194" s="41">
        <f>VLOOKUP(G194,'2017'!A:B,2,0)</f>
        <v>142995.29</v>
      </c>
      <c r="BA194" s="552">
        <f>AZ194-AY194</f>
        <v>-10630.220000000001</v>
      </c>
      <c r="BB194" s="41">
        <v>2031627.5</v>
      </c>
      <c r="BC194" s="41">
        <v>4556510</v>
      </c>
      <c r="BD194" s="41">
        <v>4556510</v>
      </c>
      <c r="BE194" s="41">
        <v>4556510</v>
      </c>
      <c r="BF194" s="41">
        <v>4556510</v>
      </c>
      <c r="BG194" s="41">
        <v>1139107.99</v>
      </c>
      <c r="BH194" s="41">
        <v>0</v>
      </c>
      <c r="BI194" s="41">
        <v>21550400.999999996</v>
      </c>
      <c r="BJ194" s="75"/>
      <c r="BK194" s="24"/>
      <c r="BL194" s="8"/>
    </row>
    <row r="195" spans="1:64" s="10" customFormat="1" ht="47.25" x14ac:dyDescent="0.25">
      <c r="A195" s="18" t="s">
        <v>406</v>
      </c>
      <c r="B195" s="18" t="s">
        <v>411</v>
      </c>
      <c r="C195" s="19" t="s">
        <v>606</v>
      </c>
      <c r="D195" s="18">
        <v>2</v>
      </c>
      <c r="E195" s="18" t="s">
        <v>402</v>
      </c>
      <c r="F195" s="18" t="s">
        <v>77</v>
      </c>
      <c r="G195" s="18" t="s">
        <v>771</v>
      </c>
      <c r="H195" s="45">
        <v>184</v>
      </c>
      <c r="I195" s="45" t="s">
        <v>406</v>
      </c>
      <c r="J195" s="32" t="s">
        <v>703</v>
      </c>
      <c r="K195" s="32" t="s">
        <v>767</v>
      </c>
      <c r="L195" s="41">
        <v>0</v>
      </c>
      <c r="M195" s="41">
        <v>0</v>
      </c>
      <c r="N195" s="41">
        <v>0</v>
      </c>
      <c r="O195" s="41">
        <v>0</v>
      </c>
      <c r="P195" s="41">
        <v>0</v>
      </c>
      <c r="Q195" s="41">
        <f>P195-O195</f>
        <v>0</v>
      </c>
      <c r="R195" s="41">
        <v>0</v>
      </c>
      <c r="S195" s="41">
        <v>0</v>
      </c>
      <c r="T195" s="41">
        <f>S195-R195</f>
        <v>0</v>
      </c>
      <c r="U195" s="41">
        <v>0</v>
      </c>
      <c r="V195" s="41">
        <v>0</v>
      </c>
      <c r="W195" s="41">
        <f>V195-U195</f>
        <v>0</v>
      </c>
      <c r="X195" s="41">
        <v>0</v>
      </c>
      <c r="Y195" s="41">
        <v>0</v>
      </c>
      <c r="Z195" s="41">
        <f>Y195-X195</f>
        <v>0</v>
      </c>
      <c r="AA195" s="41">
        <v>0</v>
      </c>
      <c r="AB195" s="41">
        <v>0</v>
      </c>
      <c r="AC195" s="41">
        <f>AB195-AA195</f>
        <v>0</v>
      </c>
      <c r="AD195" s="35">
        <v>2857.39</v>
      </c>
      <c r="AE195" s="41">
        <v>2857.39</v>
      </c>
      <c r="AF195" s="41">
        <f>AE195-AD195</f>
        <v>0</v>
      </c>
      <c r="AG195" s="35">
        <v>0</v>
      </c>
      <c r="AH195" s="41">
        <v>0</v>
      </c>
      <c r="AI195" s="41">
        <f>AH195-AG195</f>
        <v>0</v>
      </c>
      <c r="AJ195" s="35">
        <v>0</v>
      </c>
      <c r="AK195" s="41">
        <v>0</v>
      </c>
      <c r="AL195" s="41">
        <f t="shared" si="136"/>
        <v>0</v>
      </c>
      <c r="AM195" s="35">
        <v>20490.55</v>
      </c>
      <c r="AN195" s="41">
        <v>10048.77</v>
      </c>
      <c r="AO195" s="41">
        <f t="shared" si="137"/>
        <v>-10441.779999999999</v>
      </c>
      <c r="AP195" s="35">
        <v>0</v>
      </c>
      <c r="AQ195" s="41">
        <f>IFERROR(VLOOKUP(G195,'10'!A:B,2,0),0)</f>
        <v>0</v>
      </c>
      <c r="AR195" s="41">
        <f t="shared" si="101"/>
        <v>0</v>
      </c>
      <c r="AS195" s="41">
        <f t="shared" si="104"/>
        <v>23347.94</v>
      </c>
      <c r="AT195" s="41">
        <f>AN195+AK195+AH195+AE195+AB195+-Y195+V195+S195+P195+AQ195</f>
        <v>12906.16</v>
      </c>
      <c r="AU195" s="41">
        <f t="shared" si="103"/>
        <v>-10441.779999999999</v>
      </c>
      <c r="AV195" s="459">
        <f t="shared" si="138"/>
        <v>0.55277510564101162</v>
      </c>
      <c r="AW195" s="35">
        <v>0</v>
      </c>
      <c r="AX195" s="35">
        <v>5084.25</v>
      </c>
      <c r="AY195" s="41">
        <f t="shared" si="102"/>
        <v>28432.19</v>
      </c>
      <c r="AZ195" s="41">
        <f>VLOOKUP(G195,'2017'!A:B,2,0)</f>
        <v>23109.08</v>
      </c>
      <c r="BA195" s="552">
        <f>AZ195-AY195</f>
        <v>-5323.1099999999969</v>
      </c>
      <c r="BB195" s="35">
        <v>28125.65</v>
      </c>
      <c r="BC195" s="35">
        <v>26911.21</v>
      </c>
      <c r="BD195" s="35">
        <v>1215.29</v>
      </c>
      <c r="BE195" s="35">
        <v>0</v>
      </c>
      <c r="BF195" s="35">
        <v>0</v>
      </c>
      <c r="BG195" s="35">
        <v>0</v>
      </c>
      <c r="BH195" s="35">
        <v>0</v>
      </c>
      <c r="BI195" s="41">
        <v>81826.95</v>
      </c>
      <c r="BJ195" s="75"/>
      <c r="BK195" s="24"/>
    </row>
    <row r="196" spans="1:64" s="10" customFormat="1" ht="47.25" x14ac:dyDescent="0.25">
      <c r="A196" s="24" t="s">
        <v>406</v>
      </c>
      <c r="B196" s="24" t="s">
        <v>411</v>
      </c>
      <c r="C196" s="25" t="s">
        <v>606</v>
      </c>
      <c r="D196" s="24">
        <v>1</v>
      </c>
      <c r="E196" s="24" t="s">
        <v>402</v>
      </c>
      <c r="F196" s="24" t="s">
        <v>77</v>
      </c>
      <c r="G196" s="45" t="s">
        <v>786</v>
      </c>
      <c r="H196" s="45">
        <v>185</v>
      </c>
      <c r="I196" s="45" t="s">
        <v>406</v>
      </c>
      <c r="J196" s="46" t="s">
        <v>671</v>
      </c>
      <c r="K196" s="46" t="s">
        <v>819</v>
      </c>
      <c r="L196" s="41">
        <v>0</v>
      </c>
      <c r="M196" s="41">
        <v>0</v>
      </c>
      <c r="N196" s="41">
        <v>0</v>
      </c>
      <c r="O196" s="40">
        <v>0</v>
      </c>
      <c r="P196" s="40">
        <v>0</v>
      </c>
      <c r="Q196" s="41">
        <f>P196-O196</f>
        <v>0</v>
      </c>
      <c r="R196" s="40">
        <v>0</v>
      </c>
      <c r="S196" s="40">
        <v>0</v>
      </c>
      <c r="T196" s="41">
        <f>S196-R196</f>
        <v>0</v>
      </c>
      <c r="U196" s="40">
        <v>0</v>
      </c>
      <c r="V196" s="40">
        <v>0</v>
      </c>
      <c r="W196" s="41">
        <f>V196-U196</f>
        <v>0</v>
      </c>
      <c r="X196" s="40">
        <v>0</v>
      </c>
      <c r="Y196" s="40">
        <v>0</v>
      </c>
      <c r="Z196" s="41">
        <f>Y196-X196</f>
        <v>0</v>
      </c>
      <c r="AA196" s="40">
        <v>0</v>
      </c>
      <c r="AB196" s="40">
        <v>0</v>
      </c>
      <c r="AC196" s="41">
        <f>AB196-AA196</f>
        <v>0</v>
      </c>
      <c r="AD196" s="41">
        <v>0</v>
      </c>
      <c r="AE196" s="41">
        <v>2142.13</v>
      </c>
      <c r="AF196" s="41">
        <f>AE196-AD196</f>
        <v>2142.13</v>
      </c>
      <c r="AG196" s="41">
        <v>5106.8</v>
      </c>
      <c r="AH196" s="41">
        <v>0</v>
      </c>
      <c r="AI196" s="41">
        <f>AH196-AG196</f>
        <v>-5106.8</v>
      </c>
      <c r="AJ196" s="41">
        <v>0</v>
      </c>
      <c r="AK196" s="41">
        <v>0</v>
      </c>
      <c r="AL196" s="41">
        <f t="shared" si="136"/>
        <v>0</v>
      </c>
      <c r="AM196" s="41">
        <v>0</v>
      </c>
      <c r="AN196" s="41">
        <v>4947.07</v>
      </c>
      <c r="AO196" s="41">
        <f t="shared" si="137"/>
        <v>4947.07</v>
      </c>
      <c r="AP196" s="41">
        <v>11745.58</v>
      </c>
      <c r="AQ196" s="41">
        <f>IFERROR(VLOOKUP(G196,'10'!A:B,2,0),0)</f>
        <v>0</v>
      </c>
      <c r="AR196" s="41">
        <f t="shared" si="101"/>
        <v>-11745.58</v>
      </c>
      <c r="AS196" s="41">
        <f t="shared" si="104"/>
        <v>16852.38</v>
      </c>
      <c r="AT196" s="41">
        <f>AN196+AK196+AH196+AE196+AB196+-Y196+V196+S196+P196+AQ196</f>
        <v>7089.2</v>
      </c>
      <c r="AU196" s="41">
        <f t="shared" si="103"/>
        <v>-9763.18</v>
      </c>
      <c r="AV196" s="459">
        <f t="shared" si="138"/>
        <v>0.42066461829130364</v>
      </c>
      <c r="AW196" s="41">
        <v>0</v>
      </c>
      <c r="AX196" s="41">
        <v>0</v>
      </c>
      <c r="AY196" s="41">
        <f t="shared" si="102"/>
        <v>16852.38</v>
      </c>
      <c r="AZ196" s="41">
        <f>VLOOKUP(G196,'2017'!A:B,2,0)</f>
        <v>18798.36</v>
      </c>
      <c r="BA196" s="552">
        <f>AZ196-AY196</f>
        <v>1945.9799999999996</v>
      </c>
      <c r="BB196" s="41">
        <v>26962.71</v>
      </c>
      <c r="BC196" s="41">
        <v>19193.71</v>
      </c>
      <c r="BD196" s="41">
        <v>3952.5</v>
      </c>
      <c r="BE196" s="41">
        <v>0</v>
      </c>
      <c r="BF196" s="41">
        <v>0</v>
      </c>
      <c r="BG196" s="41">
        <v>0</v>
      </c>
      <c r="BH196" s="41">
        <v>0</v>
      </c>
      <c r="BI196" s="41">
        <v>66961.299999999988</v>
      </c>
      <c r="BJ196" s="75"/>
      <c r="BK196" s="11"/>
      <c r="BL196" s="8"/>
    </row>
    <row r="197" spans="1:64" s="10" customFormat="1" ht="94.5" x14ac:dyDescent="0.2">
      <c r="A197" s="11" t="s">
        <v>537</v>
      </c>
      <c r="B197" s="11" t="s">
        <v>538</v>
      </c>
      <c r="C197" s="14" t="s">
        <v>611</v>
      </c>
      <c r="D197" s="11">
        <v>1</v>
      </c>
      <c r="E197" s="11" t="s">
        <v>454</v>
      </c>
      <c r="F197" s="11" t="s">
        <v>102</v>
      </c>
      <c r="G197" s="44" t="s">
        <v>547</v>
      </c>
      <c r="H197" s="45">
        <v>186</v>
      </c>
      <c r="I197" s="45" t="s">
        <v>537</v>
      </c>
      <c r="J197" s="46" t="s">
        <v>37</v>
      </c>
      <c r="K197" s="46" t="s">
        <v>548</v>
      </c>
      <c r="L197" s="41">
        <v>0</v>
      </c>
      <c r="M197" s="41">
        <v>0</v>
      </c>
      <c r="N197" s="41">
        <v>30084.55</v>
      </c>
      <c r="O197" s="41">
        <v>8618.09</v>
      </c>
      <c r="P197" s="41">
        <v>8618.09</v>
      </c>
      <c r="Q197" s="41">
        <f>P197-O197</f>
        <v>0</v>
      </c>
      <c r="R197" s="41">
        <v>0</v>
      </c>
      <c r="S197" s="41">
        <v>0</v>
      </c>
      <c r="T197" s="41">
        <f>S197-R197</f>
        <v>0</v>
      </c>
      <c r="U197" s="41">
        <v>0</v>
      </c>
      <c r="V197" s="41">
        <v>0</v>
      </c>
      <c r="W197" s="41">
        <f>V197-U197</f>
        <v>0</v>
      </c>
      <c r="X197" s="41">
        <v>9916.74</v>
      </c>
      <c r="Y197" s="41">
        <v>7308.11</v>
      </c>
      <c r="Z197" s="41">
        <f>Y197-X197</f>
        <v>-2608.63</v>
      </c>
      <c r="AA197" s="41">
        <v>0</v>
      </c>
      <c r="AB197" s="41">
        <v>0</v>
      </c>
      <c r="AC197" s="41">
        <f>AB197-AA197</f>
        <v>0</v>
      </c>
      <c r="AD197" s="41">
        <v>0</v>
      </c>
      <c r="AE197" s="41">
        <v>0</v>
      </c>
      <c r="AF197" s="41">
        <f>AE197-AD197</f>
        <v>0</v>
      </c>
      <c r="AG197" s="41">
        <v>9916.74</v>
      </c>
      <c r="AH197" s="41">
        <v>6965.12</v>
      </c>
      <c r="AI197" s="41">
        <f>AH197-AG197</f>
        <v>-2951.62</v>
      </c>
      <c r="AJ197" s="41">
        <v>0</v>
      </c>
      <c r="AK197" s="41">
        <v>0</v>
      </c>
      <c r="AL197" s="41">
        <f t="shared" si="136"/>
        <v>0</v>
      </c>
      <c r="AM197" s="41">
        <v>0</v>
      </c>
      <c r="AN197" s="41">
        <v>0</v>
      </c>
      <c r="AO197" s="41">
        <f t="shared" si="137"/>
        <v>0</v>
      </c>
      <c r="AP197" s="41">
        <v>9916.74</v>
      </c>
      <c r="AQ197" s="41">
        <f>IFERROR(VLOOKUP(G197,'10'!A:B,2,0),0)</f>
        <v>6634.61</v>
      </c>
      <c r="AR197" s="41">
        <f t="shared" si="101"/>
        <v>-3282.13</v>
      </c>
      <c r="AS197" s="41">
        <f t="shared" si="104"/>
        <v>38368.31</v>
      </c>
      <c r="AT197" s="41">
        <f>AN197+AK197+AH197+AE197+AB197+Y197+V197+S197+P197+AQ197</f>
        <v>29525.93</v>
      </c>
      <c r="AU197" s="41">
        <f t="shared" si="103"/>
        <v>-8842.380000000001</v>
      </c>
      <c r="AV197" s="459">
        <f t="shared" si="138"/>
        <v>0.76953949756973927</v>
      </c>
      <c r="AW197" s="41">
        <v>0</v>
      </c>
      <c r="AX197" s="41">
        <v>0</v>
      </c>
      <c r="AY197" s="41">
        <f t="shared" si="102"/>
        <v>38368.31</v>
      </c>
      <c r="AZ197" s="41">
        <f>VLOOKUP(G197,'2017'!A:B,2,0)</f>
        <v>29525.93</v>
      </c>
      <c r="BA197" s="552">
        <f>AZ197-AY197</f>
        <v>-8842.3799999999974</v>
      </c>
      <c r="BB197" s="41">
        <v>40630.42</v>
      </c>
      <c r="BC197" s="41">
        <v>9916.73</v>
      </c>
      <c r="BD197" s="41">
        <v>0</v>
      </c>
      <c r="BE197" s="41">
        <v>0</v>
      </c>
      <c r="BF197" s="41">
        <v>0</v>
      </c>
      <c r="BG197" s="41">
        <v>0</v>
      </c>
      <c r="BH197" s="41">
        <v>0</v>
      </c>
      <c r="BI197" s="41">
        <v>119000.01</v>
      </c>
      <c r="BJ197" s="75"/>
      <c r="BK197" s="11"/>
    </row>
    <row r="198" spans="1:64" s="10" customFormat="1" ht="78.75" x14ac:dyDescent="0.2">
      <c r="A198" s="11" t="s">
        <v>233</v>
      </c>
      <c r="B198" s="11" t="s">
        <v>234</v>
      </c>
      <c r="C198" s="14" t="s">
        <v>583</v>
      </c>
      <c r="D198" s="11">
        <v>1</v>
      </c>
      <c r="E198" s="11" t="s">
        <v>4</v>
      </c>
      <c r="F198" s="11" t="s">
        <v>5</v>
      </c>
      <c r="G198" s="44" t="s">
        <v>261</v>
      </c>
      <c r="H198" s="45">
        <v>187</v>
      </c>
      <c r="I198" s="45" t="s">
        <v>233</v>
      </c>
      <c r="J198" s="46" t="s">
        <v>262</v>
      </c>
      <c r="K198" s="46" t="s">
        <v>263</v>
      </c>
      <c r="L198" s="41">
        <v>0</v>
      </c>
      <c r="M198" s="41">
        <v>0</v>
      </c>
      <c r="N198" s="41">
        <v>0</v>
      </c>
      <c r="O198" s="41">
        <v>0</v>
      </c>
      <c r="P198" s="41">
        <v>0</v>
      </c>
      <c r="Q198" s="41">
        <f>P198-O198</f>
        <v>0</v>
      </c>
      <c r="R198" s="41">
        <v>0</v>
      </c>
      <c r="S198" s="41">
        <v>0</v>
      </c>
      <c r="T198" s="41">
        <f>S198-R198</f>
        <v>0</v>
      </c>
      <c r="U198" s="41">
        <v>0</v>
      </c>
      <c r="V198" s="41">
        <v>0</v>
      </c>
      <c r="W198" s="41">
        <f>V198-U198</f>
        <v>0</v>
      </c>
      <c r="X198" s="41">
        <v>5405.82</v>
      </c>
      <c r="Y198" s="41">
        <v>5405.84</v>
      </c>
      <c r="Z198" s="41">
        <f>Y198-X198</f>
        <v>2.0000000000436557E-2</v>
      </c>
      <c r="AA198" s="41">
        <v>9745.65</v>
      </c>
      <c r="AB198" s="41">
        <v>3906.68</v>
      </c>
      <c r="AC198" s="41">
        <f>AB198-AA198</f>
        <v>-5838.9699999999993</v>
      </c>
      <c r="AD198" s="41">
        <v>0</v>
      </c>
      <c r="AE198" s="41">
        <v>0</v>
      </c>
      <c r="AF198" s="41">
        <f>AE198-AD198</f>
        <v>0</v>
      </c>
      <c r="AG198" s="41">
        <v>0</v>
      </c>
      <c r="AH198" s="41">
        <v>0</v>
      </c>
      <c r="AI198" s="41">
        <f>AH198-AG198</f>
        <v>0</v>
      </c>
      <c r="AJ198" s="41">
        <v>14114.24</v>
      </c>
      <c r="AK198" s="41">
        <v>11394.35</v>
      </c>
      <c r="AL198" s="41">
        <f t="shared" si="136"/>
        <v>-2719.8899999999994</v>
      </c>
      <c r="AM198" s="41">
        <v>0</v>
      </c>
      <c r="AN198" s="41">
        <v>0</v>
      </c>
      <c r="AO198" s="41">
        <f t="shared" si="137"/>
        <v>0</v>
      </c>
      <c r="AP198" s="41">
        <v>0</v>
      </c>
      <c r="AQ198" s="41">
        <f>IFERROR(VLOOKUP(G198,'10'!A:B,2,0),0)</f>
        <v>0</v>
      </c>
      <c r="AR198" s="41">
        <f t="shared" si="101"/>
        <v>0</v>
      </c>
      <c r="AS198" s="41">
        <f t="shared" si="104"/>
        <v>29265.71</v>
      </c>
      <c r="AT198" s="41">
        <f>AN198+AK198+AH198+AE198+AB198+Y198+V198+S198+P198+AQ198</f>
        <v>20706.870000000003</v>
      </c>
      <c r="AU198" s="41">
        <f t="shared" si="103"/>
        <v>-8558.8399999999983</v>
      </c>
      <c r="AV198" s="459">
        <f t="shared" si="138"/>
        <v>0.70754716014065622</v>
      </c>
      <c r="AW198" s="41">
        <v>21558.13</v>
      </c>
      <c r="AX198" s="41">
        <v>0</v>
      </c>
      <c r="AY198" s="41">
        <f t="shared" si="102"/>
        <v>50823.840000000004</v>
      </c>
      <c r="AZ198" s="41">
        <f>VLOOKUP(G198,'2017'!A:B,2,0)</f>
        <v>50823.89</v>
      </c>
      <c r="BA198" s="552">
        <f>AZ198-AY198</f>
        <v>4.9999999995634425E-2</v>
      </c>
      <c r="BB198" s="41">
        <v>1671033.04</v>
      </c>
      <c r="BC198" s="41">
        <v>1642211.35</v>
      </c>
      <c r="BD198" s="41">
        <v>1739160.22</v>
      </c>
      <c r="BE198" s="41">
        <v>14102.2</v>
      </c>
      <c r="BF198" s="41">
        <v>0</v>
      </c>
      <c r="BG198" s="41">
        <v>0</v>
      </c>
      <c r="BH198" s="41">
        <v>0</v>
      </c>
      <c r="BI198" s="41">
        <v>5117330.6500000004</v>
      </c>
      <c r="BJ198" s="75"/>
      <c r="BK198" s="11"/>
    </row>
    <row r="199" spans="1:64" s="10" customFormat="1" ht="47.25" x14ac:dyDescent="0.25">
      <c r="A199" s="24" t="s">
        <v>89</v>
      </c>
      <c r="B199" s="25" t="s">
        <v>846</v>
      </c>
      <c r="C199" s="24" t="s">
        <v>847</v>
      </c>
      <c r="D199" s="24" t="s">
        <v>3</v>
      </c>
      <c r="E199" s="24" t="s">
        <v>11</v>
      </c>
      <c r="F199" s="24" t="s">
        <v>5</v>
      </c>
      <c r="G199" s="25" t="s">
        <v>1369</v>
      </c>
      <c r="H199" s="45">
        <v>188</v>
      </c>
      <c r="I199" s="45" t="s">
        <v>89</v>
      </c>
      <c r="J199" s="25" t="s">
        <v>1032</v>
      </c>
      <c r="K199" s="25" t="s">
        <v>1370</v>
      </c>
      <c r="L199" s="35">
        <v>0</v>
      </c>
      <c r="M199" s="35">
        <v>0</v>
      </c>
      <c r="N199" s="35">
        <v>0</v>
      </c>
      <c r="O199" s="35">
        <v>0</v>
      </c>
      <c r="P199" s="35">
        <v>0</v>
      </c>
      <c r="Q199" s="35">
        <v>0</v>
      </c>
      <c r="R199" s="35">
        <v>0</v>
      </c>
      <c r="S199" s="35">
        <v>0</v>
      </c>
      <c r="T199" s="35">
        <v>0</v>
      </c>
      <c r="U199" s="35">
        <v>0</v>
      </c>
      <c r="V199" s="35">
        <v>0</v>
      </c>
      <c r="W199" s="35">
        <v>0</v>
      </c>
      <c r="X199" s="35">
        <v>0</v>
      </c>
      <c r="Y199" s="35">
        <v>0</v>
      </c>
      <c r="Z199" s="35">
        <v>0</v>
      </c>
      <c r="AA199" s="35">
        <v>0</v>
      </c>
      <c r="AB199" s="35">
        <v>0</v>
      </c>
      <c r="AC199" s="35">
        <v>0</v>
      </c>
      <c r="AD199" s="35">
        <v>0</v>
      </c>
      <c r="AE199" s="35">
        <v>0</v>
      </c>
      <c r="AF199" s="35">
        <v>0</v>
      </c>
      <c r="AG199" s="35">
        <v>0</v>
      </c>
      <c r="AH199" s="35">
        <v>0</v>
      </c>
      <c r="AI199" s="35">
        <v>0</v>
      </c>
      <c r="AJ199" s="41">
        <v>8259.2199999999993</v>
      </c>
      <c r="AK199" s="41">
        <v>0</v>
      </c>
      <c r="AL199" s="41">
        <f t="shared" si="136"/>
        <v>-8259.2199999999993</v>
      </c>
      <c r="AM199" s="41"/>
      <c r="AN199" s="41">
        <v>0</v>
      </c>
      <c r="AO199" s="41">
        <f t="shared" si="137"/>
        <v>0</v>
      </c>
      <c r="AP199" s="41">
        <v>0</v>
      </c>
      <c r="AQ199" s="41">
        <f>IFERROR(VLOOKUP(G199,'10'!A:B,2,0),0)</f>
        <v>0</v>
      </c>
      <c r="AR199" s="41">
        <f t="shared" si="101"/>
        <v>0</v>
      </c>
      <c r="AS199" s="41">
        <f t="shared" si="104"/>
        <v>8259.2199999999993</v>
      </c>
      <c r="AT199" s="41">
        <f>AN199+AK199+AH199+AE199+AB199+-Y199+V199+S199+P199+AQ199</f>
        <v>0</v>
      </c>
      <c r="AU199" s="41">
        <f t="shared" si="103"/>
        <v>-8259.2199999999993</v>
      </c>
      <c r="AV199" s="459">
        <f t="shared" si="138"/>
        <v>0</v>
      </c>
      <c r="AW199" s="41">
        <v>0</v>
      </c>
      <c r="AX199" s="41">
        <v>0</v>
      </c>
      <c r="AY199" s="41">
        <f t="shared" si="102"/>
        <v>8259.2199999999993</v>
      </c>
      <c r="AZ199" s="41"/>
      <c r="BA199" s="552"/>
      <c r="BB199" s="41">
        <v>224640.78</v>
      </c>
      <c r="BC199" s="41">
        <v>0</v>
      </c>
      <c r="BD199" s="41">
        <v>0</v>
      </c>
      <c r="BE199" s="41">
        <v>0</v>
      </c>
      <c r="BF199" s="41">
        <v>0</v>
      </c>
      <c r="BG199" s="41">
        <v>0</v>
      </c>
      <c r="BH199" s="41">
        <v>0</v>
      </c>
      <c r="BI199" s="41">
        <v>232900</v>
      </c>
      <c r="BJ199" s="24"/>
      <c r="BK199" s="11"/>
    </row>
    <row r="200" spans="1:64" s="10" customFormat="1" ht="47.25" x14ac:dyDescent="0.2">
      <c r="A200" s="11" t="s">
        <v>57</v>
      </c>
      <c r="B200" s="11" t="s">
        <v>58</v>
      </c>
      <c r="C200" s="14" t="s">
        <v>569</v>
      </c>
      <c r="D200" s="11">
        <v>3</v>
      </c>
      <c r="E200" s="11" t="s">
        <v>35</v>
      </c>
      <c r="F200" s="11" t="s">
        <v>5</v>
      </c>
      <c r="G200" s="44" t="s">
        <v>678</v>
      </c>
      <c r="H200" s="45">
        <v>189</v>
      </c>
      <c r="I200" s="45" t="s">
        <v>57</v>
      </c>
      <c r="J200" s="46" t="s">
        <v>674</v>
      </c>
      <c r="K200" s="46" t="s">
        <v>679</v>
      </c>
      <c r="L200" s="41">
        <v>0</v>
      </c>
      <c r="M200" s="41">
        <v>0</v>
      </c>
      <c r="N200" s="41">
        <v>0</v>
      </c>
      <c r="O200" s="41">
        <v>0</v>
      </c>
      <c r="P200" s="41">
        <v>0</v>
      </c>
      <c r="Q200" s="41">
        <f t="shared" ref="Q200:Q214" si="140">P200-O200</f>
        <v>0</v>
      </c>
      <c r="R200" s="41">
        <v>0</v>
      </c>
      <c r="S200" s="41">
        <v>0</v>
      </c>
      <c r="T200" s="41">
        <f t="shared" ref="T200:T214" si="141">S200-R200</f>
        <v>0</v>
      </c>
      <c r="U200" s="41">
        <v>0</v>
      </c>
      <c r="V200" s="41">
        <v>0</v>
      </c>
      <c r="W200" s="41">
        <f t="shared" ref="W200:W214" si="142">V200-U200</f>
        <v>0</v>
      </c>
      <c r="X200" s="41">
        <v>0</v>
      </c>
      <c r="Y200" s="41">
        <v>0</v>
      </c>
      <c r="Z200" s="41">
        <f t="shared" ref="Z200:Z214" si="143">Y200-X200</f>
        <v>0</v>
      </c>
      <c r="AA200" s="41">
        <v>7954.51</v>
      </c>
      <c r="AB200" s="41">
        <v>0</v>
      </c>
      <c r="AC200" s="41">
        <f t="shared" ref="AC200:AC214" si="144">AB200-AA200</f>
        <v>-7954.51</v>
      </c>
      <c r="AD200" s="41">
        <v>0</v>
      </c>
      <c r="AE200" s="41">
        <v>0</v>
      </c>
      <c r="AF200" s="41">
        <f t="shared" ref="AF200:AF214" si="145">AE200-AD200</f>
        <v>0</v>
      </c>
      <c r="AG200" s="41">
        <v>0</v>
      </c>
      <c r="AH200" s="41">
        <v>0</v>
      </c>
      <c r="AI200" s="41">
        <f t="shared" ref="AI200:AI214" si="146">AH200-AG200</f>
        <v>0</v>
      </c>
      <c r="AJ200" s="41">
        <v>0</v>
      </c>
      <c r="AK200" s="41">
        <v>0</v>
      </c>
      <c r="AL200" s="41">
        <f t="shared" si="136"/>
        <v>0</v>
      </c>
      <c r="AM200" s="41">
        <v>0</v>
      </c>
      <c r="AN200" s="41">
        <v>0</v>
      </c>
      <c r="AO200" s="41">
        <f t="shared" si="137"/>
        <v>0</v>
      </c>
      <c r="AP200" s="41">
        <v>0</v>
      </c>
      <c r="AQ200" s="41">
        <f>IFERROR(VLOOKUP(G200,'10'!A:B,2,0),0)</f>
        <v>0</v>
      </c>
      <c r="AR200" s="41">
        <f t="shared" si="101"/>
        <v>0</v>
      </c>
      <c r="AS200" s="41">
        <f t="shared" si="104"/>
        <v>7954.51</v>
      </c>
      <c r="AT200" s="41">
        <f>AN200+AK200+AH200+AE200+AB200+-Y200+V200+S200+P200+AQ200</f>
        <v>0</v>
      </c>
      <c r="AU200" s="41">
        <f t="shared" si="103"/>
        <v>-7954.51</v>
      </c>
      <c r="AV200" s="459">
        <f t="shared" si="138"/>
        <v>0</v>
      </c>
      <c r="AW200" s="41">
        <v>0</v>
      </c>
      <c r="AX200" s="41">
        <v>0</v>
      </c>
      <c r="AY200" s="41">
        <f t="shared" si="102"/>
        <v>7954.51</v>
      </c>
      <c r="AZ200" s="41"/>
      <c r="BA200" s="552">
        <v>0</v>
      </c>
      <c r="BB200" s="41">
        <v>505246.37</v>
      </c>
      <c r="BC200" s="41">
        <v>0</v>
      </c>
      <c r="BD200" s="41">
        <v>0</v>
      </c>
      <c r="BE200" s="41">
        <v>0</v>
      </c>
      <c r="BF200" s="41">
        <v>0</v>
      </c>
      <c r="BG200" s="41">
        <v>0</v>
      </c>
      <c r="BH200" s="41">
        <v>0</v>
      </c>
      <c r="BI200" s="41">
        <v>513200.88</v>
      </c>
      <c r="BJ200" s="75"/>
      <c r="BK200" s="11"/>
    </row>
    <row r="201" spans="1:64" s="17" customFormat="1" ht="63" x14ac:dyDescent="0.2">
      <c r="A201" s="11" t="s">
        <v>57</v>
      </c>
      <c r="B201" s="11" t="s">
        <v>58</v>
      </c>
      <c r="C201" s="14" t="s">
        <v>569</v>
      </c>
      <c r="D201" s="11">
        <v>3</v>
      </c>
      <c r="E201" s="11" t="s">
        <v>35</v>
      </c>
      <c r="F201" s="11" t="s">
        <v>5</v>
      </c>
      <c r="G201" s="44" t="s">
        <v>670</v>
      </c>
      <c r="H201" s="45">
        <v>190</v>
      </c>
      <c r="I201" s="45" t="s">
        <v>57</v>
      </c>
      <c r="J201" s="46" t="s">
        <v>671</v>
      </c>
      <c r="K201" s="46" t="s">
        <v>672</v>
      </c>
      <c r="L201" s="41">
        <v>0</v>
      </c>
      <c r="M201" s="41">
        <v>0</v>
      </c>
      <c r="N201" s="41">
        <v>0</v>
      </c>
      <c r="O201" s="41">
        <v>0</v>
      </c>
      <c r="P201" s="41">
        <v>0</v>
      </c>
      <c r="Q201" s="41">
        <f t="shared" si="140"/>
        <v>0</v>
      </c>
      <c r="R201" s="41">
        <v>0</v>
      </c>
      <c r="S201" s="41">
        <v>0</v>
      </c>
      <c r="T201" s="41">
        <f t="shared" si="141"/>
        <v>0</v>
      </c>
      <c r="U201" s="41">
        <v>0</v>
      </c>
      <c r="V201" s="41">
        <v>0</v>
      </c>
      <c r="W201" s="41">
        <f t="shared" si="142"/>
        <v>0</v>
      </c>
      <c r="X201" s="41">
        <v>0</v>
      </c>
      <c r="Y201" s="41">
        <v>0</v>
      </c>
      <c r="Z201" s="41">
        <f t="shared" si="143"/>
        <v>0</v>
      </c>
      <c r="AA201" s="41">
        <v>7935</v>
      </c>
      <c r="AB201" s="41">
        <v>0</v>
      </c>
      <c r="AC201" s="41">
        <f t="shared" si="144"/>
        <v>-7935</v>
      </c>
      <c r="AD201" s="41">
        <v>0</v>
      </c>
      <c r="AE201" s="41">
        <v>0</v>
      </c>
      <c r="AF201" s="41">
        <f t="shared" si="145"/>
        <v>0</v>
      </c>
      <c r="AG201" s="41">
        <v>0</v>
      </c>
      <c r="AH201" s="41">
        <v>0</v>
      </c>
      <c r="AI201" s="41">
        <f t="shared" si="146"/>
        <v>0</v>
      </c>
      <c r="AJ201" s="41">
        <v>0</v>
      </c>
      <c r="AK201" s="41">
        <v>0</v>
      </c>
      <c r="AL201" s="41">
        <f t="shared" si="136"/>
        <v>0</v>
      </c>
      <c r="AM201" s="41">
        <v>0</v>
      </c>
      <c r="AN201" s="41">
        <v>0</v>
      </c>
      <c r="AO201" s="41">
        <f t="shared" si="137"/>
        <v>0</v>
      </c>
      <c r="AP201" s="41">
        <v>0</v>
      </c>
      <c r="AQ201" s="41">
        <f>IFERROR(VLOOKUP(G201,'10'!A:B,2,0),0)</f>
        <v>0</v>
      </c>
      <c r="AR201" s="41">
        <f t="shared" si="101"/>
        <v>0</v>
      </c>
      <c r="AS201" s="41">
        <f t="shared" si="104"/>
        <v>7935</v>
      </c>
      <c r="AT201" s="41">
        <f>AN201+AK201+AH201+AE201+AB201+-Y201+V201+S201+P201+AQ201</f>
        <v>0</v>
      </c>
      <c r="AU201" s="41">
        <f t="shared" si="103"/>
        <v>-7935</v>
      </c>
      <c r="AV201" s="459">
        <f t="shared" si="138"/>
        <v>0</v>
      </c>
      <c r="AW201" s="41">
        <v>0</v>
      </c>
      <c r="AX201" s="41">
        <v>0</v>
      </c>
      <c r="AY201" s="41">
        <f t="shared" si="102"/>
        <v>7935</v>
      </c>
      <c r="AZ201" s="41"/>
      <c r="BA201" s="552">
        <v>0</v>
      </c>
      <c r="BB201" s="41">
        <v>278124</v>
      </c>
      <c r="BC201" s="41">
        <v>0</v>
      </c>
      <c r="BD201" s="41">
        <v>0</v>
      </c>
      <c r="BE201" s="41">
        <v>0</v>
      </c>
      <c r="BF201" s="41">
        <v>0</v>
      </c>
      <c r="BG201" s="41">
        <v>0</v>
      </c>
      <c r="BH201" s="41">
        <v>0</v>
      </c>
      <c r="BI201" s="41">
        <v>286059</v>
      </c>
      <c r="BJ201" s="75"/>
      <c r="BK201" s="11"/>
      <c r="BL201" s="10"/>
    </row>
    <row r="202" spans="1:64" s="10" customFormat="1" ht="38.25" x14ac:dyDescent="0.2">
      <c r="A202" s="11" t="s">
        <v>19</v>
      </c>
      <c r="B202" s="11" t="s">
        <v>20</v>
      </c>
      <c r="C202" s="14" t="s">
        <v>564</v>
      </c>
      <c r="D202" s="11" t="s">
        <v>3</v>
      </c>
      <c r="E202" s="11" t="s">
        <v>11</v>
      </c>
      <c r="F202" s="11" t="s">
        <v>5</v>
      </c>
      <c r="G202" s="44" t="s">
        <v>24</v>
      </c>
      <c r="H202" s="45">
        <v>191</v>
      </c>
      <c r="I202" s="45" t="s">
        <v>19</v>
      </c>
      <c r="J202" s="46" t="s">
        <v>25</v>
      </c>
      <c r="K202" s="46" t="s">
        <v>26</v>
      </c>
      <c r="L202" s="41">
        <v>0</v>
      </c>
      <c r="M202" s="41">
        <v>0</v>
      </c>
      <c r="N202" s="41">
        <v>0</v>
      </c>
      <c r="O202" s="41">
        <v>0</v>
      </c>
      <c r="P202" s="41">
        <v>0</v>
      </c>
      <c r="Q202" s="41">
        <f t="shared" si="140"/>
        <v>0</v>
      </c>
      <c r="R202" s="41">
        <v>14744.15</v>
      </c>
      <c r="S202" s="41">
        <v>14744.15</v>
      </c>
      <c r="T202" s="41">
        <f t="shared" si="141"/>
        <v>0</v>
      </c>
      <c r="U202" s="41">
        <v>0</v>
      </c>
      <c r="V202" s="41">
        <v>0</v>
      </c>
      <c r="W202" s="41">
        <f t="shared" si="142"/>
        <v>0</v>
      </c>
      <c r="X202" s="41">
        <v>0</v>
      </c>
      <c r="Y202" s="41">
        <v>0</v>
      </c>
      <c r="Z202" s="41">
        <f t="shared" si="143"/>
        <v>0</v>
      </c>
      <c r="AA202" s="41">
        <v>9000</v>
      </c>
      <c r="AB202" s="41">
        <v>5803.34</v>
      </c>
      <c r="AC202" s="41">
        <f t="shared" si="144"/>
        <v>-3196.66</v>
      </c>
      <c r="AD202" s="41">
        <v>0</v>
      </c>
      <c r="AE202" s="41">
        <v>0</v>
      </c>
      <c r="AF202" s="41">
        <f t="shared" si="145"/>
        <v>0</v>
      </c>
      <c r="AG202" s="41">
        <v>0</v>
      </c>
      <c r="AH202" s="41">
        <v>0</v>
      </c>
      <c r="AI202" s="41">
        <f t="shared" si="146"/>
        <v>0</v>
      </c>
      <c r="AJ202" s="41">
        <v>11000</v>
      </c>
      <c r="AK202" s="41">
        <v>6418.44</v>
      </c>
      <c r="AL202" s="41">
        <f t="shared" si="136"/>
        <v>-4581.5600000000004</v>
      </c>
      <c r="AM202" s="41">
        <v>0</v>
      </c>
      <c r="AN202" s="41">
        <v>0</v>
      </c>
      <c r="AO202" s="41">
        <f t="shared" si="137"/>
        <v>0</v>
      </c>
      <c r="AP202" s="41">
        <v>0</v>
      </c>
      <c r="AQ202" s="41">
        <f>IFERROR(VLOOKUP(G202,'10'!A:B,2,0),0)</f>
        <v>0</v>
      </c>
      <c r="AR202" s="41">
        <f t="shared" si="101"/>
        <v>0</v>
      </c>
      <c r="AS202" s="41">
        <f t="shared" si="104"/>
        <v>34744.15</v>
      </c>
      <c r="AT202" s="41">
        <f>AN202+AK202+AH202+AE202+AB202+-Y202+V202+S202+P202+AQ202</f>
        <v>26965.93</v>
      </c>
      <c r="AU202" s="41">
        <f t="shared" si="103"/>
        <v>-7778.22</v>
      </c>
      <c r="AV202" s="459">
        <f t="shared" si="138"/>
        <v>0.77612864323922159</v>
      </c>
      <c r="AW202" s="41">
        <v>16000</v>
      </c>
      <c r="AX202" s="41">
        <v>0</v>
      </c>
      <c r="AY202" s="41">
        <f t="shared" si="102"/>
        <v>50744.15</v>
      </c>
      <c r="AZ202" s="41">
        <f>VLOOKUP(G202,'2017'!A:B,2,0)</f>
        <v>46756.709999999992</v>
      </c>
      <c r="BA202" s="552">
        <f t="shared" ref="BA202:BA207" si="147">AZ202-AY202</f>
        <v>-3987.4400000000096</v>
      </c>
      <c r="BB202" s="41">
        <v>725950</v>
      </c>
      <c r="BC202" s="41">
        <v>949129.14</v>
      </c>
      <c r="BD202" s="41">
        <v>1152250</v>
      </c>
      <c r="BE202" s="41">
        <v>21926.71</v>
      </c>
      <c r="BF202" s="41">
        <v>0</v>
      </c>
      <c r="BG202" s="41">
        <v>0</v>
      </c>
      <c r="BH202" s="41">
        <v>0</v>
      </c>
      <c r="BI202" s="41">
        <v>2900000</v>
      </c>
      <c r="BJ202" s="75"/>
      <c r="BK202" s="11"/>
    </row>
    <row r="203" spans="1:64" s="10" customFormat="1" ht="31.5" x14ac:dyDescent="0.2">
      <c r="A203" s="11" t="s">
        <v>406</v>
      </c>
      <c r="B203" s="11" t="s">
        <v>411</v>
      </c>
      <c r="C203" s="14" t="s">
        <v>606</v>
      </c>
      <c r="D203" s="11">
        <v>1</v>
      </c>
      <c r="E203" s="11" t="s">
        <v>402</v>
      </c>
      <c r="F203" s="11" t="s">
        <v>77</v>
      </c>
      <c r="G203" s="44" t="s">
        <v>726</v>
      </c>
      <c r="H203" s="45">
        <v>192</v>
      </c>
      <c r="I203" s="45" t="s">
        <v>406</v>
      </c>
      <c r="J203" s="46" t="s">
        <v>727</v>
      </c>
      <c r="K203" s="46" t="s">
        <v>728</v>
      </c>
      <c r="L203" s="41"/>
      <c r="M203" s="41"/>
      <c r="N203" s="41"/>
      <c r="O203" s="41"/>
      <c r="P203" s="41">
        <v>0</v>
      </c>
      <c r="Q203" s="41">
        <f t="shared" si="140"/>
        <v>0</v>
      </c>
      <c r="R203" s="41"/>
      <c r="S203" s="41">
        <v>0</v>
      </c>
      <c r="T203" s="41">
        <f t="shared" si="141"/>
        <v>0</v>
      </c>
      <c r="U203" s="41"/>
      <c r="V203" s="41">
        <v>0</v>
      </c>
      <c r="W203" s="41">
        <f t="shared" si="142"/>
        <v>0</v>
      </c>
      <c r="X203" s="41"/>
      <c r="Y203" s="41">
        <v>0</v>
      </c>
      <c r="Z203" s="41">
        <f t="shared" si="143"/>
        <v>0</v>
      </c>
      <c r="AA203" s="41">
        <v>4408.75</v>
      </c>
      <c r="AB203" s="41">
        <v>0</v>
      </c>
      <c r="AC203" s="41">
        <f t="shared" si="144"/>
        <v>-4408.75</v>
      </c>
      <c r="AD203" s="41">
        <v>0</v>
      </c>
      <c r="AE203" s="41">
        <v>1974.02</v>
      </c>
      <c r="AF203" s="41">
        <f t="shared" si="145"/>
        <v>1974.02</v>
      </c>
      <c r="AG203" s="41">
        <v>3372.41</v>
      </c>
      <c r="AH203" s="41">
        <v>2351.16</v>
      </c>
      <c r="AI203" s="41">
        <f t="shared" si="146"/>
        <v>-1021.25</v>
      </c>
      <c r="AJ203" s="41">
        <v>0</v>
      </c>
      <c r="AK203" s="41">
        <v>0</v>
      </c>
      <c r="AL203" s="41">
        <f t="shared" si="136"/>
        <v>0</v>
      </c>
      <c r="AM203" s="41">
        <v>0</v>
      </c>
      <c r="AN203" s="41">
        <v>0</v>
      </c>
      <c r="AO203" s="41">
        <f t="shared" si="137"/>
        <v>0</v>
      </c>
      <c r="AP203" s="41">
        <v>4215.29</v>
      </c>
      <c r="AQ203" s="41">
        <f>IFERROR(VLOOKUP(G203,'10'!A:B,2,0),0)</f>
        <v>929</v>
      </c>
      <c r="AR203" s="41">
        <f t="shared" si="101"/>
        <v>-3286.29</v>
      </c>
      <c r="AS203" s="41">
        <f t="shared" si="104"/>
        <v>11996.45</v>
      </c>
      <c r="AT203" s="41">
        <f>AN203+AK203+AH203+AE203+AB203+Y203+V203+S203+P203+AQ203</f>
        <v>5254.18</v>
      </c>
      <c r="AU203" s="41">
        <f t="shared" si="103"/>
        <v>-6742.27</v>
      </c>
      <c r="AV203" s="459">
        <f t="shared" si="138"/>
        <v>0.43797790179594798</v>
      </c>
      <c r="AW203" s="41">
        <v>0</v>
      </c>
      <c r="AX203" s="41">
        <v>0</v>
      </c>
      <c r="AY203" s="41">
        <f t="shared" si="102"/>
        <v>11996.45</v>
      </c>
      <c r="AZ203" s="41">
        <f>VLOOKUP(G203,'2017'!A:B,2,0)</f>
        <v>5254.18</v>
      </c>
      <c r="BA203" s="552">
        <f t="shared" si="147"/>
        <v>-6742.27</v>
      </c>
      <c r="BB203" s="41">
        <v>14722</v>
      </c>
      <c r="BC203" s="41">
        <v>9631.0300000000007</v>
      </c>
      <c r="BD203" s="41">
        <v>0</v>
      </c>
      <c r="BE203" s="41">
        <v>0</v>
      </c>
      <c r="BF203" s="41">
        <v>0</v>
      </c>
      <c r="BG203" s="41">
        <v>0</v>
      </c>
      <c r="BH203" s="41">
        <v>0</v>
      </c>
      <c r="BI203" s="41">
        <v>29034.300000000003</v>
      </c>
      <c r="BJ203" s="75"/>
      <c r="BK203" s="11"/>
    </row>
    <row r="204" spans="1:64" ht="51.75" x14ac:dyDescent="0.25">
      <c r="A204" s="11" t="s">
        <v>485</v>
      </c>
      <c r="B204" s="11" t="s">
        <v>486</v>
      </c>
      <c r="C204" s="14" t="s">
        <v>610</v>
      </c>
      <c r="D204" s="11">
        <v>1</v>
      </c>
      <c r="E204" s="11" t="s">
        <v>454</v>
      </c>
      <c r="F204" s="11" t="s">
        <v>5</v>
      </c>
      <c r="G204" s="44" t="s">
        <v>493</v>
      </c>
      <c r="H204" s="45">
        <v>193</v>
      </c>
      <c r="I204" s="45" t="s">
        <v>485</v>
      </c>
      <c r="J204" s="46" t="s">
        <v>494</v>
      </c>
      <c r="K204" s="46" t="s">
        <v>495</v>
      </c>
      <c r="L204" s="41">
        <v>0</v>
      </c>
      <c r="M204" s="41">
        <v>0</v>
      </c>
      <c r="N204" s="41">
        <v>88328.93</v>
      </c>
      <c r="O204" s="41">
        <v>35989.31</v>
      </c>
      <c r="P204" s="41">
        <v>35989.31</v>
      </c>
      <c r="Q204" s="41">
        <f t="shared" si="140"/>
        <v>0</v>
      </c>
      <c r="R204" s="41">
        <v>0</v>
      </c>
      <c r="S204" s="41">
        <v>0</v>
      </c>
      <c r="T204" s="41">
        <f t="shared" si="141"/>
        <v>0</v>
      </c>
      <c r="U204" s="41">
        <v>0</v>
      </c>
      <c r="V204" s="41">
        <v>0</v>
      </c>
      <c r="W204" s="41">
        <f t="shared" si="142"/>
        <v>0</v>
      </c>
      <c r="X204" s="41">
        <v>34708.050000000003</v>
      </c>
      <c r="Y204" s="41">
        <v>26436.84</v>
      </c>
      <c r="Z204" s="41">
        <f t="shared" si="143"/>
        <v>-8271.2100000000028</v>
      </c>
      <c r="AA204" s="41">
        <v>0</v>
      </c>
      <c r="AB204" s="41">
        <v>0</v>
      </c>
      <c r="AC204" s="41">
        <f t="shared" si="144"/>
        <v>0</v>
      </c>
      <c r="AD204" s="41">
        <v>0</v>
      </c>
      <c r="AE204" s="41">
        <v>0</v>
      </c>
      <c r="AF204" s="41">
        <f t="shared" si="145"/>
        <v>0</v>
      </c>
      <c r="AG204" s="41">
        <v>34708.050000000003</v>
      </c>
      <c r="AH204" s="41">
        <v>37785.75</v>
      </c>
      <c r="AI204" s="41">
        <f t="shared" si="146"/>
        <v>3077.6999999999971</v>
      </c>
      <c r="AJ204" s="41">
        <v>0</v>
      </c>
      <c r="AK204" s="41">
        <v>0</v>
      </c>
      <c r="AL204" s="41">
        <f t="shared" si="136"/>
        <v>0</v>
      </c>
      <c r="AM204" s="41">
        <v>0</v>
      </c>
      <c r="AN204" s="41">
        <v>0</v>
      </c>
      <c r="AO204" s="41">
        <f t="shared" si="137"/>
        <v>0</v>
      </c>
      <c r="AP204" s="41">
        <v>34708.050000000003</v>
      </c>
      <c r="AQ204" s="41">
        <f>IFERROR(VLOOKUP(G204,'10'!A:B,2,0),0)</f>
        <v>33570.67</v>
      </c>
      <c r="AR204" s="41">
        <f t="shared" ref="AR204:AR267" si="148">AQ204-AP204</f>
        <v>-1137.3800000000047</v>
      </c>
      <c r="AS204" s="41">
        <f t="shared" si="104"/>
        <v>140113.46000000002</v>
      </c>
      <c r="AT204" s="41">
        <f>AN204+AK204+AH204+AE204+AB204+Y204+V204+S204+P204+AQ204</f>
        <v>133782.57</v>
      </c>
      <c r="AU204" s="41">
        <f t="shared" si="103"/>
        <v>-6330.8900000000103</v>
      </c>
      <c r="AV204" s="459">
        <f t="shared" si="138"/>
        <v>0.95481597556722952</v>
      </c>
      <c r="AW204" s="41">
        <v>0</v>
      </c>
      <c r="AX204" s="41">
        <v>0</v>
      </c>
      <c r="AY204" s="41">
        <f t="shared" ref="AY204:AY249" si="149">AX204+AW204+AP204+AM204+AJ204+AG204+AA204+X204+U204+R204+O204+AD204</f>
        <v>140113.46000000002</v>
      </c>
      <c r="AZ204" s="41">
        <f>VLOOKUP(G204,'2017'!A:B,2,0)</f>
        <v>133782.57</v>
      </c>
      <c r="BA204" s="552">
        <f t="shared" si="147"/>
        <v>-6330.890000000014</v>
      </c>
      <c r="BB204" s="41">
        <v>138833.05000000002</v>
      </c>
      <c r="BC204" s="41">
        <v>49224.56</v>
      </c>
      <c r="BD204" s="41">
        <v>0</v>
      </c>
      <c r="BE204" s="41">
        <v>0</v>
      </c>
      <c r="BF204" s="41">
        <v>0</v>
      </c>
      <c r="BG204" s="41">
        <v>0</v>
      </c>
      <c r="BH204" s="41">
        <v>0</v>
      </c>
      <c r="BI204" s="41">
        <v>416500.00000000006</v>
      </c>
      <c r="BJ204" s="75"/>
      <c r="BK204" s="11"/>
      <c r="BL204" s="10"/>
    </row>
    <row r="205" spans="1:64" ht="39" x14ac:dyDescent="0.25">
      <c r="A205" s="11" t="s">
        <v>214</v>
      </c>
      <c r="B205" s="11" t="s">
        <v>218</v>
      </c>
      <c r="C205" s="14" t="s">
        <v>220</v>
      </c>
      <c r="D205" s="11" t="s">
        <v>3</v>
      </c>
      <c r="E205" s="11" t="s">
        <v>210</v>
      </c>
      <c r="F205" s="11" t="s">
        <v>77</v>
      </c>
      <c r="G205" s="44" t="s">
        <v>219</v>
      </c>
      <c r="H205" s="45">
        <v>194</v>
      </c>
      <c r="I205" s="45" t="s">
        <v>214</v>
      </c>
      <c r="J205" s="46" t="s">
        <v>212</v>
      </c>
      <c r="K205" s="46" t="s">
        <v>220</v>
      </c>
      <c r="L205" s="41">
        <v>0</v>
      </c>
      <c r="M205" s="41">
        <v>0</v>
      </c>
      <c r="N205" s="41">
        <v>25552.83</v>
      </c>
      <c r="O205" s="41">
        <v>0</v>
      </c>
      <c r="P205" s="41">
        <v>0</v>
      </c>
      <c r="Q205" s="41">
        <f t="shared" si="140"/>
        <v>0</v>
      </c>
      <c r="R205" s="41">
        <v>19777.34</v>
      </c>
      <c r="S205" s="41">
        <v>19777.34</v>
      </c>
      <c r="T205" s="41">
        <f t="shared" si="141"/>
        <v>0</v>
      </c>
      <c r="U205" s="41">
        <v>0</v>
      </c>
      <c r="V205" s="41">
        <v>0</v>
      </c>
      <c r="W205" s="41">
        <f t="shared" si="142"/>
        <v>0</v>
      </c>
      <c r="X205" s="41">
        <v>0</v>
      </c>
      <c r="Y205" s="41">
        <v>0</v>
      </c>
      <c r="Z205" s="41">
        <f t="shared" si="143"/>
        <v>0</v>
      </c>
      <c r="AA205" s="41">
        <v>136878.53</v>
      </c>
      <c r="AB205" s="41">
        <v>136878.53</v>
      </c>
      <c r="AC205" s="41">
        <f t="shared" si="144"/>
        <v>0</v>
      </c>
      <c r="AD205" s="41">
        <v>0</v>
      </c>
      <c r="AE205" s="41">
        <v>0</v>
      </c>
      <c r="AF205" s="41">
        <f t="shared" si="145"/>
        <v>0</v>
      </c>
      <c r="AG205" s="41">
        <v>0</v>
      </c>
      <c r="AH205" s="41">
        <v>0</v>
      </c>
      <c r="AI205" s="41">
        <f t="shared" si="146"/>
        <v>0</v>
      </c>
      <c r="AJ205" s="41">
        <v>35579.300000000003</v>
      </c>
      <c r="AK205" s="41">
        <v>30469.55</v>
      </c>
      <c r="AL205" s="41">
        <f t="shared" si="136"/>
        <v>-5109.7500000000036</v>
      </c>
      <c r="AM205" s="41">
        <v>0</v>
      </c>
      <c r="AN205" s="41">
        <v>0</v>
      </c>
      <c r="AO205" s="41">
        <f t="shared" si="137"/>
        <v>0</v>
      </c>
      <c r="AP205" s="41">
        <v>0</v>
      </c>
      <c r="AQ205" s="41">
        <f>IFERROR(VLOOKUP(G205,'10'!A:B,2,0),0)</f>
        <v>0</v>
      </c>
      <c r="AR205" s="41">
        <f t="shared" si="148"/>
        <v>0</v>
      </c>
      <c r="AS205" s="41">
        <f t="shared" si="104"/>
        <v>192235.17</v>
      </c>
      <c r="AT205" s="41">
        <f>AN205+AK205+AH205+AE205+AB205+-Y205+V205+S205+P205+AQ205</f>
        <v>187125.41999999998</v>
      </c>
      <c r="AU205" s="41">
        <f t="shared" ref="AU205:AU268" si="150">AO205+AL205+AI205+AF205+AC205+Z205+W205+T205+Q205+AR205</f>
        <v>-5109.7500000000036</v>
      </c>
      <c r="AV205" s="459">
        <f t="shared" si="138"/>
        <v>0.97341927598368172</v>
      </c>
      <c r="AW205" s="41">
        <v>60724.94</v>
      </c>
      <c r="AX205" s="41">
        <v>0</v>
      </c>
      <c r="AY205" s="41">
        <f t="shared" si="149"/>
        <v>252960.11000000002</v>
      </c>
      <c r="AZ205" s="41">
        <f>VLOOKUP(G205,'2017'!A:B,2,0)</f>
        <v>222844.12</v>
      </c>
      <c r="BA205" s="552">
        <f t="shared" si="147"/>
        <v>-30115.99000000002</v>
      </c>
      <c r="BB205" s="41">
        <v>659896.75</v>
      </c>
      <c r="BC205" s="41">
        <v>151503.15000000002</v>
      </c>
      <c r="BD205" s="41">
        <v>84974.5</v>
      </c>
      <c r="BE205" s="41">
        <v>78501.75</v>
      </c>
      <c r="BF205" s="41">
        <v>11172.91</v>
      </c>
      <c r="BG205" s="41">
        <v>0</v>
      </c>
      <c r="BH205" s="41">
        <v>0</v>
      </c>
      <c r="BI205" s="41">
        <v>1264561.9999999998</v>
      </c>
      <c r="BJ205" s="75"/>
      <c r="BK205" s="11"/>
      <c r="BL205" s="10"/>
    </row>
    <row r="206" spans="1:64" ht="51.75" x14ac:dyDescent="0.25">
      <c r="A206" s="11" t="s">
        <v>485</v>
      </c>
      <c r="B206" s="11" t="s">
        <v>486</v>
      </c>
      <c r="C206" s="14" t="s">
        <v>610</v>
      </c>
      <c r="D206" s="11">
        <v>1</v>
      </c>
      <c r="E206" s="11" t="s">
        <v>454</v>
      </c>
      <c r="F206" s="11" t="s">
        <v>5</v>
      </c>
      <c r="G206" s="44" t="s">
        <v>523</v>
      </c>
      <c r="H206" s="45">
        <v>195</v>
      </c>
      <c r="I206" s="45" t="s">
        <v>485</v>
      </c>
      <c r="J206" s="46" t="s">
        <v>524</v>
      </c>
      <c r="K206" s="46" t="s">
        <v>525</v>
      </c>
      <c r="L206" s="41">
        <v>0</v>
      </c>
      <c r="M206" s="41">
        <v>0</v>
      </c>
      <c r="N206" s="41">
        <v>5969.5599999999986</v>
      </c>
      <c r="O206" s="41">
        <v>0</v>
      </c>
      <c r="P206" s="41">
        <v>0</v>
      </c>
      <c r="Q206" s="41">
        <f t="shared" si="140"/>
        <v>0</v>
      </c>
      <c r="R206" s="41">
        <v>3648.27</v>
      </c>
      <c r="S206" s="41">
        <v>3648.27</v>
      </c>
      <c r="T206" s="41">
        <f t="shared" si="141"/>
        <v>0</v>
      </c>
      <c r="U206" s="41">
        <v>3705.61</v>
      </c>
      <c r="V206" s="41">
        <v>3705.61</v>
      </c>
      <c r="W206" s="41">
        <f t="shared" si="142"/>
        <v>0</v>
      </c>
      <c r="X206" s="41">
        <v>1880.28</v>
      </c>
      <c r="Y206" s="41">
        <v>1889.03</v>
      </c>
      <c r="Z206" s="41">
        <f t="shared" si="143"/>
        <v>8.75</v>
      </c>
      <c r="AA206" s="41">
        <v>0</v>
      </c>
      <c r="AB206" s="41">
        <v>0</v>
      </c>
      <c r="AC206" s="41">
        <f t="shared" si="144"/>
        <v>0</v>
      </c>
      <c r="AD206" s="41">
        <v>0</v>
      </c>
      <c r="AE206" s="41">
        <v>0</v>
      </c>
      <c r="AF206" s="41">
        <f t="shared" si="145"/>
        <v>0</v>
      </c>
      <c r="AG206" s="41">
        <v>5462.3</v>
      </c>
      <c r="AH206" s="41">
        <v>2430.5300000000002</v>
      </c>
      <c r="AI206" s="41">
        <f t="shared" si="146"/>
        <v>-3031.77</v>
      </c>
      <c r="AJ206" s="41">
        <v>0</v>
      </c>
      <c r="AK206" s="41">
        <v>0</v>
      </c>
      <c r="AL206" s="41">
        <f t="shared" si="136"/>
        <v>0</v>
      </c>
      <c r="AM206" s="41">
        <v>0</v>
      </c>
      <c r="AN206" s="41">
        <v>0</v>
      </c>
      <c r="AO206" s="41">
        <f t="shared" si="137"/>
        <v>0</v>
      </c>
      <c r="AP206" s="41">
        <v>4788.99</v>
      </c>
      <c r="AQ206" s="41">
        <f>IFERROR(VLOOKUP(G206,'10'!A:B,2,0),0)</f>
        <v>2739.59</v>
      </c>
      <c r="AR206" s="41">
        <f t="shared" si="148"/>
        <v>-2049.3999999999996</v>
      </c>
      <c r="AS206" s="41">
        <f t="shared" si="104"/>
        <v>19485.45</v>
      </c>
      <c r="AT206" s="41">
        <f>AN206+AK206+AH206+AE206+AB206+Y206+V206+S206+P206+AQ206</f>
        <v>14413.03</v>
      </c>
      <c r="AU206" s="41">
        <f t="shared" si="150"/>
        <v>-5072.42</v>
      </c>
      <c r="AV206" s="459">
        <f t="shared" si="138"/>
        <v>0.73968165990521129</v>
      </c>
      <c r="AW206" s="41">
        <v>0</v>
      </c>
      <c r="AX206" s="41">
        <v>0</v>
      </c>
      <c r="AY206" s="41">
        <f t="shared" si="149"/>
        <v>19485.45</v>
      </c>
      <c r="AZ206" s="41">
        <f>VLOOKUP(G206,'2017'!A:B,2,0)</f>
        <v>14413.03</v>
      </c>
      <c r="BA206" s="552">
        <f t="shared" si="147"/>
        <v>-5072.42</v>
      </c>
      <c r="BB206" s="41">
        <v>15908.240000000002</v>
      </c>
      <c r="BC206" s="41">
        <v>2571.1999999999998</v>
      </c>
      <c r="BD206" s="41">
        <v>0</v>
      </c>
      <c r="BE206" s="41">
        <v>0</v>
      </c>
      <c r="BF206" s="41">
        <v>0</v>
      </c>
      <c r="BG206" s="41">
        <v>0</v>
      </c>
      <c r="BH206" s="41">
        <v>0</v>
      </c>
      <c r="BI206" s="41">
        <v>43934.45</v>
      </c>
      <c r="BJ206" s="75"/>
      <c r="BK206" s="11"/>
      <c r="BL206" s="10"/>
    </row>
    <row r="207" spans="1:64" ht="47.25" x14ac:dyDescent="0.25">
      <c r="A207" s="20" t="s">
        <v>119</v>
      </c>
      <c r="B207" s="20" t="s">
        <v>120</v>
      </c>
      <c r="C207" s="21" t="s">
        <v>574</v>
      </c>
      <c r="D207" s="20">
        <v>1</v>
      </c>
      <c r="E207" s="20" t="s">
        <v>35</v>
      </c>
      <c r="F207" s="20" t="s">
        <v>102</v>
      </c>
      <c r="G207" s="20" t="s">
        <v>752</v>
      </c>
      <c r="H207" s="45">
        <v>196</v>
      </c>
      <c r="I207" s="45" t="s">
        <v>119</v>
      </c>
      <c r="J207" s="34" t="s">
        <v>753</v>
      </c>
      <c r="K207" s="34" t="s">
        <v>754</v>
      </c>
      <c r="L207" s="41">
        <v>0</v>
      </c>
      <c r="M207" s="41">
        <v>0</v>
      </c>
      <c r="N207" s="41">
        <v>0</v>
      </c>
      <c r="O207" s="41">
        <v>0</v>
      </c>
      <c r="P207" s="41">
        <v>0</v>
      </c>
      <c r="Q207" s="41">
        <f t="shared" si="140"/>
        <v>0</v>
      </c>
      <c r="R207" s="41">
        <v>0</v>
      </c>
      <c r="S207" s="41">
        <v>0</v>
      </c>
      <c r="T207" s="41">
        <f t="shared" si="141"/>
        <v>0</v>
      </c>
      <c r="U207" s="41">
        <v>0</v>
      </c>
      <c r="V207" s="41">
        <v>0</v>
      </c>
      <c r="W207" s="41">
        <f t="shared" si="142"/>
        <v>0</v>
      </c>
      <c r="X207" s="41">
        <v>0</v>
      </c>
      <c r="Y207" s="41">
        <v>0</v>
      </c>
      <c r="Z207" s="41">
        <f t="shared" si="143"/>
        <v>0</v>
      </c>
      <c r="AA207" s="41">
        <v>0</v>
      </c>
      <c r="AB207" s="41">
        <v>0</v>
      </c>
      <c r="AC207" s="41">
        <f t="shared" si="144"/>
        <v>0</v>
      </c>
      <c r="AD207" s="37">
        <v>301476.23</v>
      </c>
      <c r="AE207" s="41">
        <v>301476.23</v>
      </c>
      <c r="AF207" s="41">
        <f t="shared" si="145"/>
        <v>0</v>
      </c>
      <c r="AG207" s="42">
        <v>0</v>
      </c>
      <c r="AH207" s="41">
        <v>0</v>
      </c>
      <c r="AI207" s="41">
        <f t="shared" si="146"/>
        <v>0</v>
      </c>
      <c r="AJ207" s="37">
        <v>3686560.87</v>
      </c>
      <c r="AK207" s="41">
        <v>261404.11000000002</v>
      </c>
      <c r="AL207" s="41">
        <f t="shared" si="136"/>
        <v>-3425156.7600000002</v>
      </c>
      <c r="AM207" s="37">
        <v>0</v>
      </c>
      <c r="AN207" s="41">
        <v>0</v>
      </c>
      <c r="AO207" s="41">
        <f t="shared" si="137"/>
        <v>0</v>
      </c>
      <c r="AP207" s="37">
        <v>0</v>
      </c>
      <c r="AQ207" s="41">
        <f>IFERROR(VLOOKUP(G207,'10'!A:B,2,0),0)</f>
        <v>3420090.24</v>
      </c>
      <c r="AR207" s="41">
        <f t="shared" si="148"/>
        <v>3420090.24</v>
      </c>
      <c r="AS207" s="41">
        <f t="shared" ref="AS207:AS270" si="151">AM207+AJ207+AG207+AD207+AA207+X207+U207+R207+O207+AP207</f>
        <v>3988037.1</v>
      </c>
      <c r="AT207" s="41">
        <f>AN207+AK207+AH207+AE207+AB207+-Y207+V207+S207+P207+AQ207</f>
        <v>3982970.58</v>
      </c>
      <c r="AU207" s="41">
        <f t="shared" si="150"/>
        <v>-5066.5200000000186</v>
      </c>
      <c r="AV207" s="459">
        <f t="shared" si="138"/>
        <v>0.99872957049471778</v>
      </c>
      <c r="AW207" s="37">
        <v>2861647</v>
      </c>
      <c r="AX207" s="37">
        <v>0</v>
      </c>
      <c r="AY207" s="41">
        <f t="shared" si="149"/>
        <v>6849684.0999999996</v>
      </c>
      <c r="AZ207" s="41">
        <f>VLOOKUP(G207,'2017'!A:B,2,0)</f>
        <v>6868869.3599999994</v>
      </c>
      <c r="BA207" s="552">
        <f t="shared" si="147"/>
        <v>19185.259999999776</v>
      </c>
      <c r="BB207" s="37">
        <v>2474760.44</v>
      </c>
      <c r="BC207" s="37">
        <v>3238655.5</v>
      </c>
      <c r="BD207" s="37">
        <v>2143532.5300000003</v>
      </c>
      <c r="BE207" s="37">
        <v>1838620.63</v>
      </c>
      <c r="BF207" s="37">
        <v>0</v>
      </c>
      <c r="BG207" s="37">
        <v>0</v>
      </c>
      <c r="BH207" s="37">
        <v>0</v>
      </c>
      <c r="BI207" s="37">
        <v>12726887</v>
      </c>
      <c r="BJ207" s="75"/>
      <c r="BK207" s="25" t="s">
        <v>2742</v>
      </c>
      <c r="BL207" s="17"/>
    </row>
    <row r="208" spans="1:64" ht="63" x14ac:dyDescent="0.25">
      <c r="A208" s="11" t="s">
        <v>57</v>
      </c>
      <c r="B208" s="11" t="s">
        <v>58</v>
      </c>
      <c r="C208" s="14" t="s">
        <v>569</v>
      </c>
      <c r="D208" s="11">
        <v>3</v>
      </c>
      <c r="E208" s="11" t="s">
        <v>35</v>
      </c>
      <c r="F208" s="11" t="s">
        <v>5</v>
      </c>
      <c r="G208" s="44" t="s">
        <v>685</v>
      </c>
      <c r="H208" s="45">
        <v>197</v>
      </c>
      <c r="I208" s="45" t="s">
        <v>57</v>
      </c>
      <c r="J208" s="46" t="s">
        <v>683</v>
      </c>
      <c r="K208" s="46" t="s">
        <v>686</v>
      </c>
      <c r="L208" s="41">
        <v>0</v>
      </c>
      <c r="M208" s="41">
        <v>0</v>
      </c>
      <c r="N208" s="41">
        <v>0</v>
      </c>
      <c r="O208" s="41">
        <v>0</v>
      </c>
      <c r="P208" s="41">
        <v>0</v>
      </c>
      <c r="Q208" s="41">
        <f t="shared" si="140"/>
        <v>0</v>
      </c>
      <c r="R208" s="41">
        <v>0</v>
      </c>
      <c r="S208" s="41">
        <v>0</v>
      </c>
      <c r="T208" s="41">
        <f t="shared" si="141"/>
        <v>0</v>
      </c>
      <c r="U208" s="41">
        <v>0</v>
      </c>
      <c r="V208" s="41">
        <v>0</v>
      </c>
      <c r="W208" s="41">
        <f t="shared" si="142"/>
        <v>0</v>
      </c>
      <c r="X208" s="41">
        <v>0</v>
      </c>
      <c r="Y208" s="41">
        <v>0</v>
      </c>
      <c r="Z208" s="41">
        <f t="shared" si="143"/>
        <v>0</v>
      </c>
      <c r="AA208" s="41">
        <v>5041.78</v>
      </c>
      <c r="AB208" s="41">
        <v>0</v>
      </c>
      <c r="AC208" s="41">
        <f t="shared" si="144"/>
        <v>-5041.78</v>
      </c>
      <c r="AD208" s="41">
        <v>0</v>
      </c>
      <c r="AE208" s="41">
        <v>0</v>
      </c>
      <c r="AF208" s="41">
        <f t="shared" si="145"/>
        <v>0</v>
      </c>
      <c r="AG208" s="41">
        <v>0</v>
      </c>
      <c r="AH208" s="41">
        <v>0</v>
      </c>
      <c r="AI208" s="41">
        <f t="shared" si="146"/>
        <v>0</v>
      </c>
      <c r="AJ208" s="41">
        <v>0</v>
      </c>
      <c r="AK208" s="41">
        <v>0</v>
      </c>
      <c r="AL208" s="41">
        <f t="shared" si="136"/>
        <v>0</v>
      </c>
      <c r="AM208" s="41">
        <v>0</v>
      </c>
      <c r="AN208" s="41">
        <v>0</v>
      </c>
      <c r="AO208" s="41">
        <f t="shared" si="137"/>
        <v>0</v>
      </c>
      <c r="AP208" s="41">
        <v>0</v>
      </c>
      <c r="AQ208" s="41">
        <f>IFERROR(VLOOKUP(G208,'10'!A:B,2,0),0)</f>
        <v>0</v>
      </c>
      <c r="AR208" s="41">
        <f t="shared" si="148"/>
        <v>0</v>
      </c>
      <c r="AS208" s="41">
        <f t="shared" si="151"/>
        <v>5041.78</v>
      </c>
      <c r="AT208" s="41">
        <f>AN208+AK208+AH208+AE208+AB208+-Y208+V208+S208+P208+AQ208</f>
        <v>0</v>
      </c>
      <c r="AU208" s="41">
        <f t="shared" si="150"/>
        <v>-5041.78</v>
      </c>
      <c r="AV208" s="459">
        <f t="shared" si="138"/>
        <v>0</v>
      </c>
      <c r="AW208" s="41">
        <v>0</v>
      </c>
      <c r="AX208" s="41">
        <v>0</v>
      </c>
      <c r="AY208" s="41">
        <f t="shared" si="149"/>
        <v>5041.78</v>
      </c>
      <c r="AZ208" s="41"/>
      <c r="BA208" s="552">
        <v>0</v>
      </c>
      <c r="BB208" s="41">
        <v>443758.22</v>
      </c>
      <c r="BC208" s="41">
        <v>0</v>
      </c>
      <c r="BD208" s="41">
        <v>0</v>
      </c>
      <c r="BE208" s="41">
        <v>0</v>
      </c>
      <c r="BF208" s="41">
        <v>0</v>
      </c>
      <c r="BG208" s="41">
        <v>0</v>
      </c>
      <c r="BH208" s="41">
        <v>0</v>
      </c>
      <c r="BI208" s="41">
        <v>448800</v>
      </c>
      <c r="BJ208" s="75"/>
      <c r="BK208" s="11"/>
      <c r="BL208" s="10"/>
    </row>
    <row r="209" spans="1:64" ht="47.25" x14ac:dyDescent="0.25">
      <c r="A209" s="472" t="s">
        <v>406</v>
      </c>
      <c r="B209" s="472" t="s">
        <v>411</v>
      </c>
      <c r="C209" s="473" t="s">
        <v>606</v>
      </c>
      <c r="D209" s="472">
        <v>1</v>
      </c>
      <c r="E209" s="472" t="s">
        <v>402</v>
      </c>
      <c r="F209" s="472" t="s">
        <v>77</v>
      </c>
      <c r="G209" s="474" t="s">
        <v>433</v>
      </c>
      <c r="H209" s="45">
        <v>198</v>
      </c>
      <c r="I209" s="45" t="s">
        <v>406</v>
      </c>
      <c r="J209" s="475" t="s">
        <v>434</v>
      </c>
      <c r="K209" s="475" t="s">
        <v>435</v>
      </c>
      <c r="L209" s="41"/>
      <c r="M209" s="41"/>
      <c r="N209" s="41"/>
      <c r="O209" s="41"/>
      <c r="P209" s="41">
        <v>0</v>
      </c>
      <c r="Q209" s="41">
        <f t="shared" si="140"/>
        <v>0</v>
      </c>
      <c r="R209" s="41"/>
      <c r="S209" s="41">
        <v>0</v>
      </c>
      <c r="T209" s="41">
        <f t="shared" si="141"/>
        <v>0</v>
      </c>
      <c r="U209" s="41"/>
      <c r="V209" s="41">
        <v>0</v>
      </c>
      <c r="W209" s="41">
        <f t="shared" si="142"/>
        <v>0</v>
      </c>
      <c r="X209" s="41">
        <v>2388.87</v>
      </c>
      <c r="Y209" s="41">
        <v>2388.87</v>
      </c>
      <c r="Z209" s="41">
        <f t="shared" si="143"/>
        <v>0</v>
      </c>
      <c r="AA209" s="41"/>
      <c r="AB209" s="41">
        <v>0</v>
      </c>
      <c r="AC209" s="41">
        <f t="shared" si="144"/>
        <v>0</v>
      </c>
      <c r="AD209" s="41">
        <v>10837.5</v>
      </c>
      <c r="AE209" s="41">
        <v>9130.7000000000007</v>
      </c>
      <c r="AF209" s="41">
        <f t="shared" si="145"/>
        <v>-1706.7999999999993</v>
      </c>
      <c r="AG209" s="41">
        <v>10837.5</v>
      </c>
      <c r="AH209" s="41">
        <v>18529.16</v>
      </c>
      <c r="AI209" s="41">
        <f t="shared" si="146"/>
        <v>7691.66</v>
      </c>
      <c r="AJ209" s="41">
        <v>0</v>
      </c>
      <c r="AK209" s="41">
        <v>0</v>
      </c>
      <c r="AL209" s="41">
        <f t="shared" si="136"/>
        <v>0</v>
      </c>
      <c r="AM209" s="41">
        <v>0</v>
      </c>
      <c r="AN209" s="41">
        <v>0</v>
      </c>
      <c r="AO209" s="41">
        <f t="shared" si="137"/>
        <v>0</v>
      </c>
      <c r="AP209" s="41">
        <v>10837.5</v>
      </c>
      <c r="AQ209" s="41">
        <f>IFERROR(VLOOKUP(G209,'10'!A:B,2,0),0)</f>
        <v>0</v>
      </c>
      <c r="AR209" s="41">
        <f t="shared" si="148"/>
        <v>-10837.5</v>
      </c>
      <c r="AS209" s="41">
        <f t="shared" si="151"/>
        <v>34901.369999999995</v>
      </c>
      <c r="AT209" s="41">
        <f>AN209+AK209+AH209+AE209+AB209+Y209+V209+S209+P209+AQ209</f>
        <v>30048.73</v>
      </c>
      <c r="AU209" s="41">
        <f t="shared" si="150"/>
        <v>-4852.6399999999994</v>
      </c>
      <c r="AV209" s="459">
        <f t="shared" si="138"/>
        <v>0.86096133189041013</v>
      </c>
      <c r="AW209" s="41">
        <v>0</v>
      </c>
      <c r="AX209" s="35">
        <v>2599.5500000000002</v>
      </c>
      <c r="AY209" s="41">
        <f t="shared" si="149"/>
        <v>37500.92</v>
      </c>
      <c r="AZ209" s="41">
        <f>VLOOKUP(G209,'2017'!A:B,2,0)</f>
        <v>36555.47</v>
      </c>
      <c r="BA209" s="552">
        <f>AZ209-AY209</f>
        <v>-945.44999999999709</v>
      </c>
      <c r="BB209" s="41">
        <v>28216.59</v>
      </c>
      <c r="BC209" s="41">
        <v>28644.370000000003</v>
      </c>
      <c r="BD209" s="41">
        <v>7139.79</v>
      </c>
      <c r="BE209" s="41">
        <v>0</v>
      </c>
      <c r="BF209" s="41">
        <v>0</v>
      </c>
      <c r="BG209" s="41">
        <v>0</v>
      </c>
      <c r="BH209" s="41">
        <v>0</v>
      </c>
      <c r="BI209" s="41">
        <v>85675.749999999985</v>
      </c>
      <c r="BJ209" s="75"/>
      <c r="BK209" s="24"/>
      <c r="BL209" s="2"/>
    </row>
    <row r="210" spans="1:64" ht="47.25" x14ac:dyDescent="0.25">
      <c r="A210" s="11" t="s">
        <v>57</v>
      </c>
      <c r="B210" s="11" t="s">
        <v>58</v>
      </c>
      <c r="C210" s="14" t="s">
        <v>569</v>
      </c>
      <c r="D210" s="11">
        <v>3</v>
      </c>
      <c r="E210" s="11" t="s">
        <v>35</v>
      </c>
      <c r="F210" s="11" t="s">
        <v>5</v>
      </c>
      <c r="G210" s="44" t="s">
        <v>673</v>
      </c>
      <c r="H210" s="45">
        <v>199</v>
      </c>
      <c r="I210" s="45" t="s">
        <v>57</v>
      </c>
      <c r="J210" s="46" t="s">
        <v>674</v>
      </c>
      <c r="K210" s="46" t="s">
        <v>675</v>
      </c>
      <c r="L210" s="41">
        <v>0</v>
      </c>
      <c r="M210" s="41">
        <v>0</v>
      </c>
      <c r="N210" s="41">
        <v>0</v>
      </c>
      <c r="O210" s="41">
        <v>0</v>
      </c>
      <c r="P210" s="41">
        <v>0</v>
      </c>
      <c r="Q210" s="41">
        <f t="shared" si="140"/>
        <v>0</v>
      </c>
      <c r="R210" s="41">
        <v>0</v>
      </c>
      <c r="S210" s="41">
        <v>0</v>
      </c>
      <c r="T210" s="41">
        <f t="shared" si="141"/>
        <v>0</v>
      </c>
      <c r="U210" s="41">
        <v>0</v>
      </c>
      <c r="V210" s="41">
        <v>0</v>
      </c>
      <c r="W210" s="41">
        <f t="shared" si="142"/>
        <v>0</v>
      </c>
      <c r="X210" s="41">
        <v>0</v>
      </c>
      <c r="Y210" s="41">
        <v>0</v>
      </c>
      <c r="Z210" s="41">
        <f t="shared" si="143"/>
        <v>0</v>
      </c>
      <c r="AA210" s="41">
        <v>4738.8</v>
      </c>
      <c r="AB210" s="41">
        <v>0</v>
      </c>
      <c r="AC210" s="41">
        <f t="shared" si="144"/>
        <v>-4738.8</v>
      </c>
      <c r="AD210" s="41">
        <v>0</v>
      </c>
      <c r="AE210" s="41">
        <v>0</v>
      </c>
      <c r="AF210" s="41">
        <f t="shared" si="145"/>
        <v>0</v>
      </c>
      <c r="AG210" s="41">
        <v>0</v>
      </c>
      <c r="AH210" s="41">
        <v>0</v>
      </c>
      <c r="AI210" s="41">
        <f t="shared" si="146"/>
        <v>0</v>
      </c>
      <c r="AJ210" s="41">
        <v>0</v>
      </c>
      <c r="AK210" s="41">
        <v>0</v>
      </c>
      <c r="AL210" s="41">
        <f t="shared" si="136"/>
        <v>0</v>
      </c>
      <c r="AM210" s="41">
        <v>0</v>
      </c>
      <c r="AN210" s="41">
        <v>0</v>
      </c>
      <c r="AO210" s="41">
        <f t="shared" si="137"/>
        <v>0</v>
      </c>
      <c r="AP210" s="41">
        <v>0</v>
      </c>
      <c r="AQ210" s="41">
        <f>IFERROR(VLOOKUP(G210,'10'!A:B,2,0),0)</f>
        <v>0</v>
      </c>
      <c r="AR210" s="41">
        <f t="shared" si="148"/>
        <v>0</v>
      </c>
      <c r="AS210" s="41">
        <f t="shared" si="151"/>
        <v>4738.8</v>
      </c>
      <c r="AT210" s="41">
        <f>AN210+AK210+AH210+AE210+AB210+-Y210+V210+S210+P210+AQ210</f>
        <v>0</v>
      </c>
      <c r="AU210" s="41">
        <f t="shared" si="150"/>
        <v>-4738.8</v>
      </c>
      <c r="AV210" s="459">
        <f t="shared" si="138"/>
        <v>0</v>
      </c>
      <c r="AW210" s="41">
        <v>0</v>
      </c>
      <c r="AX210" s="41">
        <v>0</v>
      </c>
      <c r="AY210" s="41">
        <f t="shared" si="149"/>
        <v>4738.8</v>
      </c>
      <c r="AZ210" s="41"/>
      <c r="BA210" s="552">
        <v>0</v>
      </c>
      <c r="BB210" s="41">
        <v>215836.2</v>
      </c>
      <c r="BC210" s="41">
        <v>0</v>
      </c>
      <c r="BD210" s="41">
        <v>0</v>
      </c>
      <c r="BE210" s="41">
        <v>0</v>
      </c>
      <c r="BF210" s="41">
        <v>0</v>
      </c>
      <c r="BG210" s="41">
        <v>0</v>
      </c>
      <c r="BH210" s="41">
        <v>0</v>
      </c>
      <c r="BI210" s="41">
        <v>220575</v>
      </c>
      <c r="BJ210" s="75"/>
      <c r="BK210" s="11"/>
      <c r="BL210" s="10"/>
    </row>
    <row r="211" spans="1:64" ht="47.25" x14ac:dyDescent="0.25">
      <c r="A211" s="11" t="s">
        <v>458</v>
      </c>
      <c r="B211" s="11" t="s">
        <v>459</v>
      </c>
      <c r="C211" s="14" t="s">
        <v>609</v>
      </c>
      <c r="D211" s="11">
        <v>1</v>
      </c>
      <c r="E211" s="11" t="s">
        <v>454</v>
      </c>
      <c r="F211" s="11" t="s">
        <v>77</v>
      </c>
      <c r="G211" s="44" t="s">
        <v>463</v>
      </c>
      <c r="H211" s="45">
        <v>200</v>
      </c>
      <c r="I211" s="45" t="s">
        <v>458</v>
      </c>
      <c r="J211" s="46" t="s">
        <v>84</v>
      </c>
      <c r="K211" s="46" t="s">
        <v>464</v>
      </c>
      <c r="L211" s="41">
        <v>0</v>
      </c>
      <c r="M211" s="41">
        <v>0</v>
      </c>
      <c r="N211" s="41">
        <v>4254.6000000000004</v>
      </c>
      <c r="O211" s="41">
        <v>3101.69</v>
      </c>
      <c r="P211" s="41">
        <v>3101.69</v>
      </c>
      <c r="Q211" s="41">
        <f t="shared" si="140"/>
        <v>0</v>
      </c>
      <c r="R211" s="41">
        <v>0</v>
      </c>
      <c r="S211" s="41">
        <v>0</v>
      </c>
      <c r="T211" s="41">
        <f t="shared" si="141"/>
        <v>0</v>
      </c>
      <c r="U211" s="41">
        <v>0</v>
      </c>
      <c r="V211" s="41">
        <v>0</v>
      </c>
      <c r="W211" s="41">
        <f t="shared" si="142"/>
        <v>0</v>
      </c>
      <c r="X211" s="41">
        <v>1360</v>
      </c>
      <c r="Y211" s="41">
        <v>770.99</v>
      </c>
      <c r="Z211" s="41">
        <f t="shared" si="143"/>
        <v>-589.01</v>
      </c>
      <c r="AA211" s="41">
        <v>0</v>
      </c>
      <c r="AB211" s="41">
        <v>0</v>
      </c>
      <c r="AC211" s="41">
        <f t="shared" si="144"/>
        <v>0</v>
      </c>
      <c r="AD211" s="41">
        <v>0</v>
      </c>
      <c r="AE211" s="41">
        <v>0</v>
      </c>
      <c r="AF211" s="41">
        <f t="shared" si="145"/>
        <v>0</v>
      </c>
      <c r="AG211" s="41">
        <v>850</v>
      </c>
      <c r="AH211" s="41">
        <v>79.14</v>
      </c>
      <c r="AI211" s="41">
        <f t="shared" si="146"/>
        <v>-770.86</v>
      </c>
      <c r="AJ211" s="41">
        <v>0</v>
      </c>
      <c r="AK211" s="41">
        <v>0</v>
      </c>
      <c r="AL211" s="41">
        <f t="shared" si="136"/>
        <v>0</v>
      </c>
      <c r="AM211" s="41">
        <v>0</v>
      </c>
      <c r="AN211" s="41">
        <v>0</v>
      </c>
      <c r="AO211" s="41">
        <f t="shared" si="137"/>
        <v>0</v>
      </c>
      <c r="AP211" s="41">
        <v>2975</v>
      </c>
      <c r="AQ211" s="41">
        <f>IFERROR(VLOOKUP(G211,'10'!A:B,2,0),0)</f>
        <v>90.18</v>
      </c>
      <c r="AR211" s="41">
        <f t="shared" si="148"/>
        <v>-2884.82</v>
      </c>
      <c r="AS211" s="41">
        <f t="shared" si="151"/>
        <v>8286.69</v>
      </c>
      <c r="AT211" s="41">
        <f>AN211+AK211+AH211+AE211+AB211+Y211+V211+S211+P211+AQ211</f>
        <v>4042</v>
      </c>
      <c r="AU211" s="41">
        <f t="shared" si="150"/>
        <v>-4244.6900000000005</v>
      </c>
      <c r="AV211" s="459">
        <f t="shared" si="138"/>
        <v>0.48777014706716432</v>
      </c>
      <c r="AW211" s="41">
        <v>0</v>
      </c>
      <c r="AX211" s="41">
        <v>0</v>
      </c>
      <c r="AY211" s="41">
        <f t="shared" si="149"/>
        <v>8286.69</v>
      </c>
      <c r="AZ211" s="41">
        <f>VLOOKUP(G211,'2017'!A:B,2,0)</f>
        <v>4042</v>
      </c>
      <c r="BA211" s="552">
        <f>AZ211-AY211</f>
        <v>-4244.6900000000005</v>
      </c>
      <c r="BB211" s="41">
        <v>2248.71</v>
      </c>
      <c r="BC211" s="41">
        <v>6460</v>
      </c>
      <c r="BD211" s="41">
        <v>0</v>
      </c>
      <c r="BE211" s="41">
        <v>0</v>
      </c>
      <c r="BF211" s="41">
        <v>0</v>
      </c>
      <c r="BG211" s="41">
        <v>0</v>
      </c>
      <c r="BH211" s="41">
        <v>0</v>
      </c>
      <c r="BI211" s="41">
        <v>21250</v>
      </c>
      <c r="BJ211" s="75"/>
      <c r="BK211" s="11"/>
      <c r="BL211" s="10"/>
    </row>
    <row r="212" spans="1:64" ht="47.25" x14ac:dyDescent="0.25">
      <c r="A212" s="11" t="s">
        <v>368</v>
      </c>
      <c r="B212" s="11" t="s">
        <v>375</v>
      </c>
      <c r="C212" s="14" t="s">
        <v>603</v>
      </c>
      <c r="D212" s="11" t="s">
        <v>3</v>
      </c>
      <c r="E212" s="11" t="s">
        <v>210</v>
      </c>
      <c r="F212" s="11" t="s">
        <v>77</v>
      </c>
      <c r="G212" s="44" t="s">
        <v>376</v>
      </c>
      <c r="H212" s="45">
        <v>201</v>
      </c>
      <c r="I212" s="45" t="s">
        <v>368</v>
      </c>
      <c r="J212" s="46" t="s">
        <v>377</v>
      </c>
      <c r="K212" s="46" t="s">
        <v>378</v>
      </c>
      <c r="L212" s="41">
        <v>0</v>
      </c>
      <c r="M212" s="41">
        <v>0</v>
      </c>
      <c r="N212" s="41">
        <v>126706.43000000001</v>
      </c>
      <c r="O212" s="41">
        <v>0</v>
      </c>
      <c r="P212" s="41">
        <v>0</v>
      </c>
      <c r="Q212" s="41">
        <f t="shared" si="140"/>
        <v>0</v>
      </c>
      <c r="R212" s="41">
        <v>75960.740000000005</v>
      </c>
      <c r="S212" s="41">
        <v>75599.66</v>
      </c>
      <c r="T212" s="41">
        <f t="shared" si="141"/>
        <v>-361.08000000000175</v>
      </c>
      <c r="U212" s="41">
        <v>0</v>
      </c>
      <c r="V212" s="41">
        <v>0</v>
      </c>
      <c r="W212" s="41">
        <f t="shared" si="142"/>
        <v>0</v>
      </c>
      <c r="X212" s="41">
        <v>0</v>
      </c>
      <c r="Y212" s="41">
        <v>0</v>
      </c>
      <c r="Z212" s="41">
        <f t="shared" si="143"/>
        <v>0</v>
      </c>
      <c r="AA212" s="41">
        <v>81920.45</v>
      </c>
      <c r="AB212" s="41">
        <v>80076.83</v>
      </c>
      <c r="AC212" s="41">
        <f t="shared" si="144"/>
        <v>-1843.6199999999953</v>
      </c>
      <c r="AD212" s="41">
        <v>0</v>
      </c>
      <c r="AE212" s="41">
        <v>0</v>
      </c>
      <c r="AF212" s="41">
        <f t="shared" si="145"/>
        <v>0</v>
      </c>
      <c r="AG212" s="41">
        <v>0</v>
      </c>
      <c r="AH212" s="41">
        <v>0</v>
      </c>
      <c r="AI212" s="41">
        <f t="shared" si="146"/>
        <v>0</v>
      </c>
      <c r="AJ212" s="41">
        <v>133064.95000000001</v>
      </c>
      <c r="AK212" s="41">
        <v>131277.06</v>
      </c>
      <c r="AL212" s="41">
        <f t="shared" si="136"/>
        <v>-1787.890000000014</v>
      </c>
      <c r="AM212" s="41">
        <v>0</v>
      </c>
      <c r="AN212" s="41">
        <v>0</v>
      </c>
      <c r="AO212" s="41">
        <f t="shared" si="137"/>
        <v>0</v>
      </c>
      <c r="AP212" s="41">
        <v>0</v>
      </c>
      <c r="AQ212" s="41">
        <f>IFERROR(VLOOKUP(G212,'10'!A:B,2,0),0)</f>
        <v>0</v>
      </c>
      <c r="AR212" s="41">
        <f t="shared" si="148"/>
        <v>0</v>
      </c>
      <c r="AS212" s="41">
        <f t="shared" si="151"/>
        <v>290946.14</v>
      </c>
      <c r="AT212" s="41">
        <f>AN212+AK212+AH212+AE212+AB212+-Y212+V212+S212+P212+AQ212</f>
        <v>286953.55000000005</v>
      </c>
      <c r="AU212" s="41">
        <f t="shared" si="150"/>
        <v>-3992.5900000000111</v>
      </c>
      <c r="AV212" s="459">
        <f t="shared" si="138"/>
        <v>0.98627721955685688</v>
      </c>
      <c r="AW212" s="41">
        <v>87709.8</v>
      </c>
      <c r="AX212" s="41">
        <v>0</v>
      </c>
      <c r="AY212" s="41">
        <f t="shared" si="149"/>
        <v>378655.94</v>
      </c>
      <c r="AZ212" s="41">
        <f>VLOOKUP(G212,'2017'!A:B,2,0)</f>
        <v>378294.86</v>
      </c>
      <c r="BA212" s="552">
        <f>AZ212-AY212</f>
        <v>-361.0800000000163</v>
      </c>
      <c r="BB212" s="41">
        <v>416662.93000000005</v>
      </c>
      <c r="BC212" s="41">
        <v>420350.97</v>
      </c>
      <c r="BD212" s="41">
        <v>438387.72</v>
      </c>
      <c r="BE212" s="41">
        <v>200798.34</v>
      </c>
      <c r="BF212" s="41">
        <v>0</v>
      </c>
      <c r="BG212" s="41">
        <v>0</v>
      </c>
      <c r="BH212" s="41">
        <v>0</v>
      </c>
      <c r="BI212" s="41">
        <v>1981562.33</v>
      </c>
      <c r="BJ212" s="75"/>
      <c r="BK212" s="11"/>
      <c r="BL212" s="10"/>
    </row>
    <row r="213" spans="1:64" ht="78.75" x14ac:dyDescent="0.25">
      <c r="A213" s="11" t="s">
        <v>485</v>
      </c>
      <c r="B213" s="11" t="s">
        <v>486</v>
      </c>
      <c r="C213" s="14" t="s">
        <v>610</v>
      </c>
      <c r="D213" s="11">
        <v>1</v>
      </c>
      <c r="E213" s="11" t="s">
        <v>454</v>
      </c>
      <c r="F213" s="11" t="s">
        <v>5</v>
      </c>
      <c r="G213" s="44" t="s">
        <v>529</v>
      </c>
      <c r="H213" s="45">
        <v>202</v>
      </c>
      <c r="I213" s="45" t="s">
        <v>485</v>
      </c>
      <c r="J213" s="46" t="s">
        <v>530</v>
      </c>
      <c r="K213" s="46" t="s">
        <v>531</v>
      </c>
      <c r="L213" s="41">
        <v>0</v>
      </c>
      <c r="M213" s="41">
        <v>0</v>
      </c>
      <c r="N213" s="41">
        <v>14304.98</v>
      </c>
      <c r="O213" s="41">
        <v>3715.26</v>
      </c>
      <c r="P213" s="41">
        <v>3715.26</v>
      </c>
      <c r="Q213" s="41">
        <f t="shared" si="140"/>
        <v>0</v>
      </c>
      <c r="R213" s="41">
        <v>0</v>
      </c>
      <c r="S213" s="41">
        <v>0</v>
      </c>
      <c r="T213" s="41">
        <f t="shared" si="141"/>
        <v>0</v>
      </c>
      <c r="U213" s="41">
        <v>0</v>
      </c>
      <c r="V213" s="41">
        <v>0</v>
      </c>
      <c r="W213" s="41">
        <f t="shared" si="142"/>
        <v>0</v>
      </c>
      <c r="X213" s="41">
        <v>1759.5</v>
      </c>
      <c r="Y213" s="41">
        <v>1808.71</v>
      </c>
      <c r="Z213" s="41">
        <f t="shared" si="143"/>
        <v>49.210000000000036</v>
      </c>
      <c r="AA213" s="41">
        <v>0</v>
      </c>
      <c r="AB213" s="41">
        <v>0</v>
      </c>
      <c r="AC213" s="41">
        <f t="shared" si="144"/>
        <v>0</v>
      </c>
      <c r="AD213" s="41">
        <v>0</v>
      </c>
      <c r="AE213" s="41">
        <v>0</v>
      </c>
      <c r="AF213" s="41">
        <f t="shared" si="145"/>
        <v>0</v>
      </c>
      <c r="AG213" s="41">
        <v>9170.51</v>
      </c>
      <c r="AH213" s="41">
        <v>6403.72</v>
      </c>
      <c r="AI213" s="41">
        <f t="shared" si="146"/>
        <v>-2766.79</v>
      </c>
      <c r="AJ213" s="41">
        <v>0</v>
      </c>
      <c r="AK213" s="41">
        <v>0</v>
      </c>
      <c r="AL213" s="41">
        <f t="shared" si="136"/>
        <v>0</v>
      </c>
      <c r="AM213" s="41">
        <v>0</v>
      </c>
      <c r="AN213" s="41">
        <v>0</v>
      </c>
      <c r="AO213" s="41">
        <f t="shared" si="137"/>
        <v>0</v>
      </c>
      <c r="AP213" s="41">
        <v>4592.55</v>
      </c>
      <c r="AQ213" s="41">
        <f>IFERROR(VLOOKUP(G213,'10'!A:B,2,0),0)</f>
        <v>3448.79</v>
      </c>
      <c r="AR213" s="41">
        <f t="shared" si="148"/>
        <v>-1143.7600000000002</v>
      </c>
      <c r="AS213" s="41">
        <f t="shared" si="151"/>
        <v>19237.82</v>
      </c>
      <c r="AT213" s="41">
        <f>AN213+AK213+AH213+AE213+AB213+Y213+V213+S213+P213+AQ213</f>
        <v>15376.48</v>
      </c>
      <c r="AU213" s="41">
        <f t="shared" si="150"/>
        <v>-3861.34</v>
      </c>
      <c r="AV213" s="459">
        <f t="shared" si="138"/>
        <v>0.79928391054703707</v>
      </c>
      <c r="AW213" s="41">
        <v>0</v>
      </c>
      <c r="AX213" s="41">
        <v>0</v>
      </c>
      <c r="AY213" s="41">
        <f t="shared" si="149"/>
        <v>19237.82</v>
      </c>
      <c r="AZ213" s="41">
        <f>VLOOKUP(G213,'2017'!A:B,2,0)</f>
        <v>15376.48</v>
      </c>
      <c r="BA213" s="552">
        <f>AZ213-AY213</f>
        <v>-3861.34</v>
      </c>
      <c r="BB213" s="41">
        <v>9871.9</v>
      </c>
      <c r="BC213" s="41">
        <v>3096.59</v>
      </c>
      <c r="BD213" s="41">
        <v>0</v>
      </c>
      <c r="BE213" s="41">
        <v>0</v>
      </c>
      <c r="BF213" s="41">
        <v>0</v>
      </c>
      <c r="BG213" s="41">
        <v>0</v>
      </c>
      <c r="BH213" s="41">
        <v>0</v>
      </c>
      <c r="BI213" s="41">
        <v>46511.290000000008</v>
      </c>
      <c r="BJ213" s="75"/>
      <c r="BK213" s="11"/>
      <c r="BL213" s="10"/>
    </row>
    <row r="214" spans="1:64" ht="39" x14ac:dyDescent="0.25">
      <c r="A214" s="11" t="s">
        <v>57</v>
      </c>
      <c r="B214" s="11" t="s">
        <v>58</v>
      </c>
      <c r="C214" s="14" t="s">
        <v>569</v>
      </c>
      <c r="D214" s="11">
        <v>3</v>
      </c>
      <c r="E214" s="11" t="s">
        <v>35</v>
      </c>
      <c r="F214" s="11" t="s">
        <v>5</v>
      </c>
      <c r="G214" s="44" t="s">
        <v>687</v>
      </c>
      <c r="H214" s="45">
        <v>203</v>
      </c>
      <c r="I214" s="45" t="s">
        <v>57</v>
      </c>
      <c r="J214" s="46" t="s">
        <v>683</v>
      </c>
      <c r="K214" s="46" t="s">
        <v>688</v>
      </c>
      <c r="L214" s="41">
        <v>0</v>
      </c>
      <c r="M214" s="41">
        <v>0</v>
      </c>
      <c r="N214" s="41">
        <v>0</v>
      </c>
      <c r="O214" s="41">
        <v>0</v>
      </c>
      <c r="P214" s="41">
        <v>0</v>
      </c>
      <c r="Q214" s="41">
        <f t="shared" si="140"/>
        <v>0</v>
      </c>
      <c r="R214" s="41">
        <v>0</v>
      </c>
      <c r="S214" s="41">
        <v>0</v>
      </c>
      <c r="T214" s="41">
        <f t="shared" si="141"/>
        <v>0</v>
      </c>
      <c r="U214" s="41">
        <v>0</v>
      </c>
      <c r="V214" s="41">
        <v>0</v>
      </c>
      <c r="W214" s="41">
        <f t="shared" si="142"/>
        <v>0</v>
      </c>
      <c r="X214" s="41">
        <v>0</v>
      </c>
      <c r="Y214" s="41">
        <v>0</v>
      </c>
      <c r="Z214" s="41">
        <f t="shared" si="143"/>
        <v>0</v>
      </c>
      <c r="AA214" s="41">
        <v>3840.78</v>
      </c>
      <c r="AB214" s="41">
        <v>0</v>
      </c>
      <c r="AC214" s="41">
        <f t="shared" si="144"/>
        <v>-3840.78</v>
      </c>
      <c r="AD214" s="41">
        <v>0</v>
      </c>
      <c r="AE214" s="41">
        <v>0</v>
      </c>
      <c r="AF214" s="41">
        <f t="shared" si="145"/>
        <v>0</v>
      </c>
      <c r="AG214" s="41">
        <v>0</v>
      </c>
      <c r="AH214" s="41">
        <v>0</v>
      </c>
      <c r="AI214" s="41">
        <f t="shared" si="146"/>
        <v>0</v>
      </c>
      <c r="AJ214" s="41">
        <v>0</v>
      </c>
      <c r="AK214" s="41">
        <v>0</v>
      </c>
      <c r="AL214" s="41">
        <f t="shared" si="136"/>
        <v>0</v>
      </c>
      <c r="AM214" s="41">
        <v>0</v>
      </c>
      <c r="AN214" s="41">
        <v>0</v>
      </c>
      <c r="AO214" s="41">
        <f t="shared" si="137"/>
        <v>0</v>
      </c>
      <c r="AP214" s="41">
        <v>0</v>
      </c>
      <c r="AQ214" s="41">
        <f>IFERROR(VLOOKUP(G214,'10'!A:B,2,0),0)</f>
        <v>0</v>
      </c>
      <c r="AR214" s="41">
        <f t="shared" si="148"/>
        <v>0</v>
      </c>
      <c r="AS214" s="41">
        <f t="shared" si="151"/>
        <v>3840.78</v>
      </c>
      <c r="AT214" s="41">
        <f>AN214+AK214+AH214+AE214+AB214+-Y214+V214+S214+P214+AQ214</f>
        <v>0</v>
      </c>
      <c r="AU214" s="41">
        <f t="shared" si="150"/>
        <v>-3840.78</v>
      </c>
      <c r="AV214" s="459">
        <f t="shared" si="138"/>
        <v>0</v>
      </c>
      <c r="AW214" s="41">
        <v>0</v>
      </c>
      <c r="AX214" s="41">
        <v>0</v>
      </c>
      <c r="AY214" s="41">
        <f t="shared" si="149"/>
        <v>3840.78</v>
      </c>
      <c r="AZ214" s="41"/>
      <c r="BA214" s="552">
        <v>0</v>
      </c>
      <c r="BB214" s="41">
        <v>387159.22</v>
      </c>
      <c r="BC214" s="41">
        <v>0</v>
      </c>
      <c r="BD214" s="41">
        <v>0</v>
      </c>
      <c r="BE214" s="41">
        <v>0</v>
      </c>
      <c r="BF214" s="41">
        <v>0</v>
      </c>
      <c r="BG214" s="41">
        <v>0</v>
      </c>
      <c r="BH214" s="41">
        <v>0</v>
      </c>
      <c r="BI214" s="41">
        <v>391000</v>
      </c>
      <c r="BJ214" s="75"/>
      <c r="BK214" s="11"/>
      <c r="BL214" s="10"/>
    </row>
    <row r="215" spans="1:64" ht="25.5" x14ac:dyDescent="0.25">
      <c r="A215" s="55" t="s">
        <v>33</v>
      </c>
      <c r="B215" s="55" t="s">
        <v>34</v>
      </c>
      <c r="C215" s="155" t="s">
        <v>566</v>
      </c>
      <c r="D215" s="55">
        <v>1</v>
      </c>
      <c r="E215" s="55" t="s">
        <v>35</v>
      </c>
      <c r="F215" s="55" t="s">
        <v>5</v>
      </c>
      <c r="G215" s="439" t="s">
        <v>2832</v>
      </c>
      <c r="H215" s="45">
        <v>204</v>
      </c>
      <c r="I215" s="45" t="s">
        <v>33</v>
      </c>
      <c r="J215" s="155" t="s">
        <v>344</v>
      </c>
      <c r="K215" s="155" t="s">
        <v>1115</v>
      </c>
      <c r="L215" s="152">
        <v>0</v>
      </c>
      <c r="M215" s="152">
        <v>0</v>
      </c>
      <c r="N215" s="152">
        <v>0</v>
      </c>
      <c r="O215" s="152">
        <f t="shared" ref="O215:X216" si="152">N215+M215+L215</f>
        <v>0</v>
      </c>
      <c r="P215" s="152">
        <f t="shared" si="152"/>
        <v>0</v>
      </c>
      <c r="Q215" s="152">
        <f t="shared" si="152"/>
        <v>0</v>
      </c>
      <c r="R215" s="152">
        <f t="shared" si="152"/>
        <v>0</v>
      </c>
      <c r="S215" s="152">
        <f t="shared" si="152"/>
        <v>0</v>
      </c>
      <c r="T215" s="152">
        <f t="shared" si="152"/>
        <v>0</v>
      </c>
      <c r="U215" s="152">
        <f t="shared" si="152"/>
        <v>0</v>
      </c>
      <c r="V215" s="152">
        <f t="shared" si="152"/>
        <v>0</v>
      </c>
      <c r="W215" s="152">
        <f t="shared" si="152"/>
        <v>0</v>
      </c>
      <c r="X215" s="152">
        <f t="shared" si="152"/>
        <v>0</v>
      </c>
      <c r="Y215" s="152">
        <f t="shared" ref="Y215:AH216" si="153">X215+W215+V215</f>
        <v>0</v>
      </c>
      <c r="Z215" s="152">
        <f t="shared" si="153"/>
        <v>0</v>
      </c>
      <c r="AA215" s="152">
        <f t="shared" si="153"/>
        <v>0</v>
      </c>
      <c r="AB215" s="152">
        <f t="shared" si="153"/>
        <v>0</v>
      </c>
      <c r="AC215" s="152">
        <f t="shared" si="153"/>
        <v>0</v>
      </c>
      <c r="AD215" s="152">
        <f t="shared" si="153"/>
        <v>0</v>
      </c>
      <c r="AE215" s="152">
        <f t="shared" si="153"/>
        <v>0</v>
      </c>
      <c r="AF215" s="152">
        <f t="shared" si="153"/>
        <v>0</v>
      </c>
      <c r="AG215" s="152">
        <f t="shared" si="153"/>
        <v>0</v>
      </c>
      <c r="AH215" s="152">
        <f t="shared" si="153"/>
        <v>0</v>
      </c>
      <c r="AI215" s="152">
        <f t="shared" ref="AI215:AM216" si="154">AH215+AG215+AF215</f>
        <v>0</v>
      </c>
      <c r="AJ215" s="152">
        <f t="shared" si="154"/>
        <v>0</v>
      </c>
      <c r="AK215" s="152">
        <f t="shared" si="154"/>
        <v>0</v>
      </c>
      <c r="AL215" s="152">
        <f t="shared" si="154"/>
        <v>0</v>
      </c>
      <c r="AM215" s="152">
        <f t="shared" si="154"/>
        <v>0</v>
      </c>
      <c r="AN215" s="152">
        <v>0</v>
      </c>
      <c r="AO215" s="152">
        <f>AN215+AM215+AL215</f>
        <v>0</v>
      </c>
      <c r="AP215" s="152">
        <v>3805</v>
      </c>
      <c r="AQ215" s="41">
        <f>IFERROR(VLOOKUP(G215,'10'!A:B,2,0),0)</f>
        <v>0</v>
      </c>
      <c r="AR215" s="41">
        <f t="shared" si="148"/>
        <v>-3805</v>
      </c>
      <c r="AS215" s="41">
        <f t="shared" si="151"/>
        <v>3805</v>
      </c>
      <c r="AT215" s="41">
        <f>AN215+AK215+AH215+AE215+AB215+-Y215+V215+S215+P215+AQ215</f>
        <v>0</v>
      </c>
      <c r="AU215" s="41">
        <f t="shared" si="150"/>
        <v>-3805</v>
      </c>
      <c r="AV215" s="459">
        <f t="shared" si="138"/>
        <v>0</v>
      </c>
      <c r="AW215" s="152">
        <v>0</v>
      </c>
      <c r="AX215" s="152">
        <v>0</v>
      </c>
      <c r="AY215" s="41">
        <f t="shared" si="149"/>
        <v>3805</v>
      </c>
      <c r="AZ215" s="41"/>
      <c r="BA215" s="552"/>
      <c r="BB215" s="152">
        <v>157351.04374999998</v>
      </c>
      <c r="BC215" s="152">
        <v>242593.31925000003</v>
      </c>
      <c r="BD215" s="152">
        <v>0</v>
      </c>
      <c r="BE215" s="152">
        <v>0</v>
      </c>
      <c r="BF215" s="152">
        <v>0</v>
      </c>
      <c r="BG215" s="152">
        <v>0</v>
      </c>
      <c r="BH215" s="152">
        <v>0</v>
      </c>
      <c r="BI215" s="152">
        <v>403749.36300000001</v>
      </c>
      <c r="BJ215" s="459"/>
      <c r="BK215" s="41"/>
      <c r="BL215" s="432"/>
    </row>
    <row r="216" spans="1:64" ht="25.5" x14ac:dyDescent="0.25">
      <c r="A216" s="55" t="s">
        <v>33</v>
      </c>
      <c r="B216" s="55" t="s">
        <v>34</v>
      </c>
      <c r="C216" s="155" t="s">
        <v>566</v>
      </c>
      <c r="D216" s="55">
        <v>1</v>
      </c>
      <c r="E216" s="55" t="s">
        <v>35</v>
      </c>
      <c r="F216" s="55" t="s">
        <v>5</v>
      </c>
      <c r="G216" s="439" t="s">
        <v>2833</v>
      </c>
      <c r="H216" s="45">
        <v>205</v>
      </c>
      <c r="I216" s="45" t="s">
        <v>33</v>
      </c>
      <c r="J216" s="155" t="s">
        <v>1116</v>
      </c>
      <c r="K216" s="155" t="s">
        <v>1117</v>
      </c>
      <c r="L216" s="152">
        <v>0</v>
      </c>
      <c r="M216" s="152">
        <v>0</v>
      </c>
      <c r="N216" s="152">
        <v>0</v>
      </c>
      <c r="O216" s="152">
        <f t="shared" si="152"/>
        <v>0</v>
      </c>
      <c r="P216" s="152">
        <f t="shared" si="152"/>
        <v>0</v>
      </c>
      <c r="Q216" s="152">
        <f t="shared" si="152"/>
        <v>0</v>
      </c>
      <c r="R216" s="152">
        <f t="shared" si="152"/>
        <v>0</v>
      </c>
      <c r="S216" s="152">
        <f t="shared" si="152"/>
        <v>0</v>
      </c>
      <c r="T216" s="152">
        <f t="shared" si="152"/>
        <v>0</v>
      </c>
      <c r="U216" s="152">
        <f t="shared" si="152"/>
        <v>0</v>
      </c>
      <c r="V216" s="152">
        <f t="shared" si="152"/>
        <v>0</v>
      </c>
      <c r="W216" s="152">
        <f t="shared" si="152"/>
        <v>0</v>
      </c>
      <c r="X216" s="152">
        <f t="shared" si="152"/>
        <v>0</v>
      </c>
      <c r="Y216" s="152">
        <f t="shared" si="153"/>
        <v>0</v>
      </c>
      <c r="Z216" s="152">
        <f t="shared" si="153"/>
        <v>0</v>
      </c>
      <c r="AA216" s="152">
        <f t="shared" si="153"/>
        <v>0</v>
      </c>
      <c r="AB216" s="152">
        <f t="shared" si="153"/>
        <v>0</v>
      </c>
      <c r="AC216" s="152">
        <f t="shared" si="153"/>
        <v>0</v>
      </c>
      <c r="AD216" s="152">
        <f t="shared" si="153"/>
        <v>0</v>
      </c>
      <c r="AE216" s="152">
        <f t="shared" si="153"/>
        <v>0</v>
      </c>
      <c r="AF216" s="152">
        <f t="shared" si="153"/>
        <v>0</v>
      </c>
      <c r="AG216" s="152">
        <f t="shared" si="153"/>
        <v>0</v>
      </c>
      <c r="AH216" s="152">
        <f t="shared" si="153"/>
        <v>0</v>
      </c>
      <c r="AI216" s="152">
        <f t="shared" si="154"/>
        <v>0</v>
      </c>
      <c r="AJ216" s="152">
        <f t="shared" si="154"/>
        <v>0</v>
      </c>
      <c r="AK216" s="152">
        <f t="shared" si="154"/>
        <v>0</v>
      </c>
      <c r="AL216" s="152">
        <f t="shared" si="154"/>
        <v>0</v>
      </c>
      <c r="AM216" s="152">
        <f t="shared" si="154"/>
        <v>0</v>
      </c>
      <c r="AN216" s="152">
        <v>0</v>
      </c>
      <c r="AO216" s="152">
        <f>AN216+AM216+AL216</f>
        <v>0</v>
      </c>
      <c r="AP216" s="152">
        <v>3805</v>
      </c>
      <c r="AQ216" s="41">
        <f>IFERROR(VLOOKUP(G216,'10'!A:B,2,0),0)</f>
        <v>0</v>
      </c>
      <c r="AR216" s="41">
        <f t="shared" si="148"/>
        <v>-3805</v>
      </c>
      <c r="AS216" s="41">
        <f t="shared" si="151"/>
        <v>3805</v>
      </c>
      <c r="AT216" s="41">
        <f>AN216+AK216+AH216+AE216+AB216+-Y216+V216+S216+P216+AQ216</f>
        <v>0</v>
      </c>
      <c r="AU216" s="41">
        <f t="shared" si="150"/>
        <v>-3805</v>
      </c>
      <c r="AV216" s="459">
        <f t="shared" si="138"/>
        <v>0</v>
      </c>
      <c r="AW216" s="152">
        <v>0</v>
      </c>
      <c r="AX216" s="152">
        <v>0</v>
      </c>
      <c r="AY216" s="41">
        <f t="shared" si="149"/>
        <v>3805</v>
      </c>
      <c r="AZ216" s="41"/>
      <c r="BA216" s="552"/>
      <c r="BB216" s="152">
        <v>157071.74225000001</v>
      </c>
      <c r="BC216" s="152">
        <v>198672.62075</v>
      </c>
      <c r="BD216" s="152">
        <v>0</v>
      </c>
      <c r="BE216" s="152">
        <v>0</v>
      </c>
      <c r="BF216" s="152">
        <v>0</v>
      </c>
      <c r="BG216" s="152">
        <v>0</v>
      </c>
      <c r="BH216" s="152">
        <v>0</v>
      </c>
      <c r="BI216" s="152">
        <v>359549.36300000001</v>
      </c>
      <c r="BJ216" s="459"/>
      <c r="BK216" s="41"/>
      <c r="BL216" s="432"/>
    </row>
    <row r="217" spans="1:64" ht="39" x14ac:dyDescent="0.25">
      <c r="A217" s="11" t="s">
        <v>368</v>
      </c>
      <c r="B217" s="11" t="s">
        <v>372</v>
      </c>
      <c r="C217" s="14" t="s">
        <v>602</v>
      </c>
      <c r="D217" s="11" t="s">
        <v>3</v>
      </c>
      <c r="E217" s="11" t="s">
        <v>210</v>
      </c>
      <c r="F217" s="11" t="s">
        <v>77</v>
      </c>
      <c r="G217" s="44" t="s">
        <v>374</v>
      </c>
      <c r="H217" s="45">
        <v>206</v>
      </c>
      <c r="I217" s="45" t="s">
        <v>368</v>
      </c>
      <c r="J217" s="46" t="s">
        <v>40</v>
      </c>
      <c r="K217" s="46" t="s">
        <v>373</v>
      </c>
      <c r="L217" s="41">
        <v>0</v>
      </c>
      <c r="M217" s="41">
        <v>6924.37</v>
      </c>
      <c r="N217" s="41">
        <v>52082.48</v>
      </c>
      <c r="O217" s="41">
        <v>0</v>
      </c>
      <c r="P217" s="41">
        <v>0</v>
      </c>
      <c r="Q217" s="41">
        <f>P217-O217</f>
        <v>0</v>
      </c>
      <c r="R217" s="41">
        <v>0</v>
      </c>
      <c r="S217" s="41">
        <v>0</v>
      </c>
      <c r="T217" s="41">
        <f>S217-R217</f>
        <v>0</v>
      </c>
      <c r="U217" s="41">
        <v>54589.77</v>
      </c>
      <c r="V217" s="41">
        <v>54589.77</v>
      </c>
      <c r="W217" s="41">
        <f>V217-U217</f>
        <v>0</v>
      </c>
      <c r="X217" s="41">
        <v>0</v>
      </c>
      <c r="Y217" s="41">
        <v>0</v>
      </c>
      <c r="Z217" s="41">
        <f>Y217-X217</f>
        <v>0</v>
      </c>
      <c r="AA217" s="41">
        <v>0</v>
      </c>
      <c r="AB217" s="41">
        <v>0</v>
      </c>
      <c r="AC217" s="41">
        <f>AB217-AA217</f>
        <v>0</v>
      </c>
      <c r="AD217" s="41">
        <v>39100</v>
      </c>
      <c r="AE217" s="41">
        <v>24271.08</v>
      </c>
      <c r="AF217" s="41">
        <f>AE217-AD217</f>
        <v>-14828.919999999998</v>
      </c>
      <c r="AG217" s="41">
        <v>0</v>
      </c>
      <c r="AH217" s="41">
        <v>0</v>
      </c>
      <c r="AI217" s="41">
        <f>AH217-AG217</f>
        <v>0</v>
      </c>
      <c r="AJ217" s="41">
        <v>0</v>
      </c>
      <c r="AK217" s="41">
        <v>0</v>
      </c>
      <c r="AL217" s="41">
        <f>AK217-AJ217</f>
        <v>0</v>
      </c>
      <c r="AM217" s="41">
        <v>44656.56</v>
      </c>
      <c r="AN217" s="41">
        <v>56165.26</v>
      </c>
      <c r="AO217" s="41">
        <f t="shared" ref="AO217:AO240" si="155">AN217-AM217</f>
        <v>11508.700000000004</v>
      </c>
      <c r="AP217" s="41">
        <v>0</v>
      </c>
      <c r="AQ217" s="41">
        <f>IFERROR(VLOOKUP(G217,'10'!A:B,2,0),0)</f>
        <v>0</v>
      </c>
      <c r="AR217" s="41">
        <f t="shared" si="148"/>
        <v>0</v>
      </c>
      <c r="AS217" s="41">
        <f t="shared" si="151"/>
        <v>138346.32999999999</v>
      </c>
      <c r="AT217" s="41">
        <f>AN217+AK217+AH217+AE217+AB217+-Y217+V217+S217+P217+AQ217</f>
        <v>135026.10999999999</v>
      </c>
      <c r="AU217" s="41">
        <f t="shared" si="150"/>
        <v>-3320.2199999999939</v>
      </c>
      <c r="AV217" s="459">
        <f t="shared" si="138"/>
        <v>0.97600066441950428</v>
      </c>
      <c r="AW217" s="41">
        <v>0</v>
      </c>
      <c r="AX217" s="41">
        <v>39360.720000000001</v>
      </c>
      <c r="AY217" s="41">
        <f t="shared" si="149"/>
        <v>177707.05</v>
      </c>
      <c r="AZ217" s="41">
        <f>VLOOKUP(G217,'2017'!A:B,2,0)</f>
        <v>189169.58</v>
      </c>
      <c r="BA217" s="552">
        <f>AZ217-AY217</f>
        <v>11462.529999999999</v>
      </c>
      <c r="BB217" s="41">
        <v>288666.86000000004</v>
      </c>
      <c r="BC217" s="41">
        <v>200277.66</v>
      </c>
      <c r="BD217" s="41">
        <v>47254.619999999995</v>
      </c>
      <c r="BE217" s="41">
        <v>45665.81</v>
      </c>
      <c r="BF217" s="41">
        <v>45665.8</v>
      </c>
      <c r="BG217" s="41">
        <v>53721.35</v>
      </c>
      <c r="BH217" s="41">
        <v>0</v>
      </c>
      <c r="BI217" s="41">
        <v>917966.00000000012</v>
      </c>
      <c r="BJ217" s="75"/>
      <c r="BK217" s="11"/>
      <c r="BL217" s="10"/>
    </row>
    <row r="218" spans="1:64" ht="38.25" x14ac:dyDescent="0.25">
      <c r="A218" s="55" t="s">
        <v>233</v>
      </c>
      <c r="B218" s="55" t="s">
        <v>234</v>
      </c>
      <c r="C218" s="155" t="s">
        <v>583</v>
      </c>
      <c r="D218" s="55">
        <v>1</v>
      </c>
      <c r="E218" s="55" t="s">
        <v>4</v>
      </c>
      <c r="F218" s="55" t="s">
        <v>5</v>
      </c>
      <c r="G218" s="55"/>
      <c r="H218" s="45">
        <v>207</v>
      </c>
      <c r="I218" s="45" t="s">
        <v>233</v>
      </c>
      <c r="J218" s="155" t="s">
        <v>2210</v>
      </c>
      <c r="K218" s="155" t="s">
        <v>2210</v>
      </c>
      <c r="L218" s="494"/>
      <c r="M218" s="152">
        <v>0</v>
      </c>
      <c r="N218" s="152">
        <v>0</v>
      </c>
      <c r="O218" s="152">
        <v>0</v>
      </c>
      <c r="P218" s="152"/>
      <c r="Q218" s="152"/>
      <c r="R218" s="152">
        <v>0</v>
      </c>
      <c r="S218" s="152"/>
      <c r="T218" s="152"/>
      <c r="U218" s="152">
        <v>0</v>
      </c>
      <c r="V218" s="152"/>
      <c r="W218" s="152"/>
      <c r="X218" s="152">
        <v>0</v>
      </c>
      <c r="Y218" s="152"/>
      <c r="Z218" s="152">
        <v>0</v>
      </c>
      <c r="AA218" s="152"/>
      <c r="AB218" s="152"/>
      <c r="AC218" s="152">
        <v>0</v>
      </c>
      <c r="AD218" s="152"/>
      <c r="AE218" s="152"/>
      <c r="AF218" s="152">
        <v>0</v>
      </c>
      <c r="AG218" s="152"/>
      <c r="AH218" s="152"/>
      <c r="AI218" s="152">
        <v>0</v>
      </c>
      <c r="AJ218" s="152"/>
      <c r="AK218" s="152"/>
      <c r="AL218" s="152"/>
      <c r="AM218" s="152">
        <v>1658.3</v>
      </c>
      <c r="AN218" s="41">
        <v>0</v>
      </c>
      <c r="AO218" s="41">
        <f t="shared" si="155"/>
        <v>-1658.3</v>
      </c>
      <c r="AP218" s="152">
        <v>1658.3</v>
      </c>
      <c r="AQ218" s="41">
        <f>IFERROR(VLOOKUP(G218,'10'!A:B,2,0),0)</f>
        <v>0</v>
      </c>
      <c r="AR218" s="41">
        <f t="shared" si="148"/>
        <v>-1658.3</v>
      </c>
      <c r="AS218" s="41">
        <f t="shared" si="151"/>
        <v>3316.6</v>
      </c>
      <c r="AT218" s="41">
        <f>AN218+AK218+AH218+AE218+AB218+-Y218+V218+S218+P218+AQ218</f>
        <v>0</v>
      </c>
      <c r="AU218" s="41">
        <f t="shared" si="150"/>
        <v>-3316.6</v>
      </c>
      <c r="AV218" s="459">
        <f t="shared" si="138"/>
        <v>0</v>
      </c>
      <c r="AW218" s="152">
        <v>4286.28</v>
      </c>
      <c r="AX218" s="152">
        <v>4505.4799999999996</v>
      </c>
      <c r="AY218" s="41">
        <f t="shared" si="149"/>
        <v>12108.359999999997</v>
      </c>
      <c r="AZ218" s="41"/>
      <c r="BA218" s="552"/>
      <c r="BB218" s="152">
        <v>2091357.38</v>
      </c>
      <c r="BC218" s="152">
        <v>0</v>
      </c>
      <c r="BD218" s="152">
        <v>0</v>
      </c>
      <c r="BE218" s="152">
        <v>0</v>
      </c>
      <c r="BF218" s="152">
        <v>0</v>
      </c>
      <c r="BG218" s="152">
        <v>0</v>
      </c>
      <c r="BH218" s="152">
        <v>0</v>
      </c>
      <c r="BI218" s="152">
        <v>2103465.7399999998</v>
      </c>
      <c r="BJ218" s="41"/>
      <c r="BK218" s="41"/>
      <c r="BL218" s="10"/>
    </row>
    <row r="219" spans="1:64" ht="64.5" x14ac:dyDescent="0.25">
      <c r="A219" s="472" t="s">
        <v>350</v>
      </c>
      <c r="B219" s="472" t="s">
        <v>356</v>
      </c>
      <c r="C219" s="473" t="s">
        <v>598</v>
      </c>
      <c r="D219" s="472" t="s">
        <v>3</v>
      </c>
      <c r="E219" s="472" t="s">
        <v>210</v>
      </c>
      <c r="F219" s="472" t="s">
        <v>77</v>
      </c>
      <c r="G219" s="474" t="s">
        <v>357</v>
      </c>
      <c r="H219" s="45">
        <v>208</v>
      </c>
      <c r="I219" s="45" t="s">
        <v>350</v>
      </c>
      <c r="J219" s="475" t="s">
        <v>358</v>
      </c>
      <c r="K219" s="475" t="s">
        <v>359</v>
      </c>
      <c r="L219" s="41">
        <v>0</v>
      </c>
      <c r="M219" s="41">
        <v>0</v>
      </c>
      <c r="N219" s="41">
        <v>26833.629999999997</v>
      </c>
      <c r="O219" s="41">
        <v>21623.71</v>
      </c>
      <c r="P219" s="41">
        <v>21639.370000000003</v>
      </c>
      <c r="Q219" s="41">
        <f>P219-O219</f>
        <v>15.660000000003492</v>
      </c>
      <c r="R219" s="41">
        <v>0</v>
      </c>
      <c r="S219" s="41">
        <v>0</v>
      </c>
      <c r="T219" s="41">
        <f>S219-R219</f>
        <v>0</v>
      </c>
      <c r="U219" s="41">
        <v>0</v>
      </c>
      <c r="V219" s="41">
        <v>0</v>
      </c>
      <c r="W219" s="41">
        <f>V219-U219</f>
        <v>0</v>
      </c>
      <c r="X219" s="41">
        <v>18295.400000000001</v>
      </c>
      <c r="Y219" s="41">
        <v>18295.71</v>
      </c>
      <c r="Z219" s="41">
        <f>Y219-X219</f>
        <v>0.30999999999767169</v>
      </c>
      <c r="AA219" s="41">
        <v>0</v>
      </c>
      <c r="AB219" s="41">
        <v>0</v>
      </c>
      <c r="AC219" s="41">
        <f>AB219-AA219</f>
        <v>0</v>
      </c>
      <c r="AD219" s="41">
        <v>0</v>
      </c>
      <c r="AE219" s="41">
        <v>0</v>
      </c>
      <c r="AF219" s="41">
        <f>AE219-AD219</f>
        <v>0</v>
      </c>
      <c r="AG219" s="41">
        <v>24650</v>
      </c>
      <c r="AH219" s="41">
        <v>30887.5</v>
      </c>
      <c r="AI219" s="41">
        <f t="shared" ref="AI219:AI240" si="156">AH219-AG219</f>
        <v>6237.5</v>
      </c>
      <c r="AJ219" s="41">
        <v>0</v>
      </c>
      <c r="AK219" s="41">
        <v>0</v>
      </c>
      <c r="AL219" s="41">
        <f t="shared" ref="AL219:AL240" si="157">AK219-AJ219</f>
        <v>0</v>
      </c>
      <c r="AM219" s="41">
        <v>0</v>
      </c>
      <c r="AN219" s="41">
        <v>0</v>
      </c>
      <c r="AO219" s="41">
        <f t="shared" si="155"/>
        <v>0</v>
      </c>
      <c r="AP219" s="41">
        <v>25330.85</v>
      </c>
      <c r="AQ219" s="41">
        <f>IFERROR(VLOOKUP(G219,'10'!A:B,2,0),0)</f>
        <v>16063.09</v>
      </c>
      <c r="AR219" s="41">
        <f t="shared" si="148"/>
        <v>-9267.7599999999984</v>
      </c>
      <c r="AS219" s="41">
        <f t="shared" si="151"/>
        <v>89899.959999999992</v>
      </c>
      <c r="AT219" s="41">
        <f>AN219+AK219+AH219+AE219+AB219+Y219+V219+S219+P219+AQ219</f>
        <v>86885.67</v>
      </c>
      <c r="AU219" s="41">
        <f t="shared" si="150"/>
        <v>-3014.2899999999972</v>
      </c>
      <c r="AV219" s="459">
        <f t="shared" si="138"/>
        <v>0.96647061911929666</v>
      </c>
      <c r="AW219" s="41">
        <v>0</v>
      </c>
      <c r="AX219" s="41">
        <v>0</v>
      </c>
      <c r="AY219" s="41">
        <f t="shared" si="149"/>
        <v>89899.959999999992</v>
      </c>
      <c r="AZ219" s="41">
        <f>VLOOKUP(G219,'2017'!A:B,2,0)</f>
        <v>95319.19</v>
      </c>
      <c r="BA219" s="552">
        <f t="shared" ref="BA219:BA240" si="158">AZ219-AY219</f>
        <v>5419.2300000000105</v>
      </c>
      <c r="BB219" s="41">
        <v>431562</v>
      </c>
      <c r="BC219" s="41">
        <v>379203.7</v>
      </c>
      <c r="BD219" s="41">
        <v>226687.32</v>
      </c>
      <c r="BE219" s="41">
        <v>0</v>
      </c>
      <c r="BF219" s="41">
        <v>0</v>
      </c>
      <c r="BG219" s="41">
        <v>0</v>
      </c>
      <c r="BH219" s="41">
        <v>0</v>
      </c>
      <c r="BI219" s="41">
        <v>1124764.3400000001</v>
      </c>
      <c r="BJ219" s="75"/>
      <c r="BK219" s="24"/>
    </row>
    <row r="220" spans="1:64" ht="31.5" x14ac:dyDescent="0.25">
      <c r="A220" s="18" t="s">
        <v>33</v>
      </c>
      <c r="B220" s="18" t="s">
        <v>34</v>
      </c>
      <c r="C220" s="19" t="s">
        <v>566</v>
      </c>
      <c r="D220" s="18">
        <v>1</v>
      </c>
      <c r="E220" s="18" t="s">
        <v>35</v>
      </c>
      <c r="F220" s="18" t="s">
        <v>5</v>
      </c>
      <c r="G220" s="18" t="s">
        <v>743</v>
      </c>
      <c r="H220" s="45">
        <v>209</v>
      </c>
      <c r="I220" s="45" t="s">
        <v>33</v>
      </c>
      <c r="J220" s="32" t="s">
        <v>744</v>
      </c>
      <c r="K220" s="32" t="s">
        <v>745</v>
      </c>
      <c r="L220" s="35">
        <v>0</v>
      </c>
      <c r="M220" s="35">
        <v>0</v>
      </c>
      <c r="N220" s="35">
        <v>0</v>
      </c>
      <c r="O220" s="35">
        <v>0</v>
      </c>
      <c r="P220" s="35"/>
      <c r="Q220" s="41">
        <f>P220-O220</f>
        <v>0</v>
      </c>
      <c r="R220" s="35"/>
      <c r="S220" s="35"/>
      <c r="T220" s="41">
        <f>S220-R220</f>
        <v>0</v>
      </c>
      <c r="U220" s="35"/>
      <c r="V220" s="35"/>
      <c r="W220" s="41">
        <f>V220-U220</f>
        <v>0</v>
      </c>
      <c r="X220" s="35"/>
      <c r="Y220" s="35"/>
      <c r="Z220" s="41">
        <f>Y220-X220</f>
        <v>0</v>
      </c>
      <c r="AA220" s="35"/>
      <c r="AB220" s="35"/>
      <c r="AC220" s="41">
        <f>AB220-AA220</f>
        <v>0</v>
      </c>
      <c r="AD220" s="35">
        <v>363507.6</v>
      </c>
      <c r="AE220" s="41">
        <v>362102.65</v>
      </c>
      <c r="AF220" s="41">
        <f>AE220-AD220</f>
        <v>-1404.9499999999534</v>
      </c>
      <c r="AG220" s="35">
        <v>0</v>
      </c>
      <c r="AH220" s="41">
        <v>0</v>
      </c>
      <c r="AI220" s="41">
        <f t="shared" si="156"/>
        <v>0</v>
      </c>
      <c r="AJ220" s="35">
        <v>0</v>
      </c>
      <c r="AK220" s="41">
        <v>0</v>
      </c>
      <c r="AL220" s="41">
        <f t="shared" si="157"/>
        <v>0</v>
      </c>
      <c r="AM220" s="41">
        <v>164169.85</v>
      </c>
      <c r="AN220" s="41">
        <v>0</v>
      </c>
      <c r="AO220" s="41">
        <f t="shared" si="155"/>
        <v>-164169.85</v>
      </c>
      <c r="AP220" s="35">
        <v>0</v>
      </c>
      <c r="AQ220" s="41">
        <f>IFERROR(VLOOKUP(G220,'10'!A:B,2,0),0)</f>
        <v>162761.07999999999</v>
      </c>
      <c r="AR220" s="41">
        <f t="shared" si="148"/>
        <v>162761.07999999999</v>
      </c>
      <c r="AS220" s="41">
        <f t="shared" si="151"/>
        <v>527677.44999999995</v>
      </c>
      <c r="AT220" s="41">
        <f>AN220+AK220+AH220+AE220+AB220+Y220+V220+S220+P220+AQ220</f>
        <v>524863.73</v>
      </c>
      <c r="AU220" s="41">
        <f t="shared" si="150"/>
        <v>-2813.7199999999721</v>
      </c>
      <c r="AV220" s="459">
        <f t="shared" si="138"/>
        <v>0.99466772741567799</v>
      </c>
      <c r="AW220" s="35">
        <v>224053.2</v>
      </c>
      <c r="AX220" s="35">
        <v>0</v>
      </c>
      <c r="AY220" s="41">
        <f t="shared" si="149"/>
        <v>751730.65</v>
      </c>
      <c r="AZ220" s="41">
        <f>VLOOKUP(G220,'2017'!A:B,2,0)</f>
        <v>749778.29</v>
      </c>
      <c r="BA220" s="552">
        <f t="shared" si="158"/>
        <v>-1952.359999999986</v>
      </c>
      <c r="BB220" s="35">
        <v>515465.53</v>
      </c>
      <c r="BC220" s="35">
        <v>432803.82</v>
      </c>
      <c r="BD220" s="35">
        <v>0</v>
      </c>
      <c r="BE220" s="35">
        <v>0</v>
      </c>
      <c r="BF220" s="35">
        <v>0</v>
      </c>
      <c r="BG220" s="35">
        <v>0</v>
      </c>
      <c r="BH220" s="35">
        <v>0</v>
      </c>
      <c r="BI220" s="35">
        <v>1700000</v>
      </c>
      <c r="BJ220" s="75"/>
      <c r="BK220" s="11"/>
      <c r="BL220" s="10"/>
    </row>
    <row r="221" spans="1:64" ht="63" x14ac:dyDescent="0.25">
      <c r="A221" s="11" t="s">
        <v>406</v>
      </c>
      <c r="B221" s="11" t="s">
        <v>411</v>
      </c>
      <c r="C221" s="14" t="s">
        <v>606</v>
      </c>
      <c r="D221" s="11">
        <v>1</v>
      </c>
      <c r="E221" s="11" t="s">
        <v>402</v>
      </c>
      <c r="F221" s="11" t="s">
        <v>77</v>
      </c>
      <c r="G221" s="44" t="s">
        <v>445</v>
      </c>
      <c r="H221" s="45">
        <v>210</v>
      </c>
      <c r="I221" s="45" t="s">
        <v>406</v>
      </c>
      <c r="J221" s="46" t="s">
        <v>446</v>
      </c>
      <c r="K221" s="46" t="s">
        <v>447</v>
      </c>
      <c r="L221" s="41"/>
      <c r="M221" s="41"/>
      <c r="N221" s="41"/>
      <c r="O221" s="41"/>
      <c r="P221" s="41">
        <v>0</v>
      </c>
      <c r="Q221" s="41">
        <f>P221-O221</f>
        <v>0</v>
      </c>
      <c r="R221" s="41"/>
      <c r="S221" s="41">
        <v>0</v>
      </c>
      <c r="T221" s="41">
        <f>S221-R221</f>
        <v>0</v>
      </c>
      <c r="U221" s="41"/>
      <c r="V221" s="41">
        <v>0</v>
      </c>
      <c r="W221" s="41">
        <f>V221-U221</f>
        <v>0</v>
      </c>
      <c r="X221" s="41"/>
      <c r="Y221" s="41">
        <v>0</v>
      </c>
      <c r="Z221" s="41">
        <f>Y221-X221</f>
        <v>0</v>
      </c>
      <c r="AA221" s="41">
        <v>844.3</v>
      </c>
      <c r="AB221" s="41">
        <v>844.31</v>
      </c>
      <c r="AC221" s="41">
        <f>AB221-AA221</f>
        <v>9.9999999999909051E-3</v>
      </c>
      <c r="AD221" s="41">
        <v>0</v>
      </c>
      <c r="AE221" s="41">
        <v>0</v>
      </c>
      <c r="AF221" s="41">
        <f>AE221-AD221</f>
        <v>0</v>
      </c>
      <c r="AG221" s="41">
        <v>2125</v>
      </c>
      <c r="AH221" s="41">
        <v>1107.49</v>
      </c>
      <c r="AI221" s="41">
        <f t="shared" si="156"/>
        <v>-1017.51</v>
      </c>
      <c r="AJ221" s="41">
        <v>0</v>
      </c>
      <c r="AK221" s="41">
        <v>0</v>
      </c>
      <c r="AL221" s="41">
        <f t="shared" si="157"/>
        <v>0</v>
      </c>
      <c r="AM221" s="41">
        <v>0</v>
      </c>
      <c r="AN221" s="41">
        <v>0</v>
      </c>
      <c r="AO221" s="41">
        <f t="shared" si="155"/>
        <v>0</v>
      </c>
      <c r="AP221" s="41">
        <v>3400</v>
      </c>
      <c r="AQ221" s="41">
        <f>IFERROR(VLOOKUP(G221,'10'!A:B,2,0),0)</f>
        <v>1829.88</v>
      </c>
      <c r="AR221" s="41">
        <f t="shared" si="148"/>
        <v>-1570.12</v>
      </c>
      <c r="AS221" s="41">
        <f t="shared" si="151"/>
        <v>6369.3</v>
      </c>
      <c r="AT221" s="41">
        <f>AN221+AK221+AH221+AE221+AB221+-Y221+V221+S221+P221+AQ221</f>
        <v>3781.6800000000003</v>
      </c>
      <c r="AU221" s="41">
        <f t="shared" si="150"/>
        <v>-2587.62</v>
      </c>
      <c r="AV221" s="459">
        <f t="shared" si="138"/>
        <v>0.5937355753379493</v>
      </c>
      <c r="AW221" s="41">
        <v>0</v>
      </c>
      <c r="AX221" s="41">
        <v>0</v>
      </c>
      <c r="AY221" s="41">
        <f t="shared" si="149"/>
        <v>6369.3</v>
      </c>
      <c r="AZ221" s="41">
        <f>VLOOKUP(G221,'2017'!A:B,2,0)</f>
        <v>3781.67</v>
      </c>
      <c r="BA221" s="552">
        <f t="shared" si="158"/>
        <v>-2587.63</v>
      </c>
      <c r="BB221" s="41">
        <v>12070</v>
      </c>
      <c r="BC221" s="41">
        <v>10244</v>
      </c>
      <c r="BD221" s="41">
        <v>2054.2800000000002</v>
      </c>
      <c r="BE221" s="41">
        <v>0</v>
      </c>
      <c r="BF221" s="41">
        <v>0</v>
      </c>
      <c r="BG221" s="41">
        <v>0</v>
      </c>
      <c r="BH221" s="41">
        <v>0</v>
      </c>
      <c r="BI221" s="41">
        <v>20542.8</v>
      </c>
      <c r="BJ221" s="75"/>
      <c r="BK221" s="11"/>
      <c r="BL221" s="10"/>
    </row>
    <row r="222" spans="1:64" ht="47.25" x14ac:dyDescent="0.25">
      <c r="A222" s="11" t="s">
        <v>406</v>
      </c>
      <c r="B222" s="11" t="s">
        <v>411</v>
      </c>
      <c r="C222" s="14" t="s">
        <v>606</v>
      </c>
      <c r="D222" s="11">
        <v>1</v>
      </c>
      <c r="E222" s="11" t="s">
        <v>402</v>
      </c>
      <c r="F222" s="11" t="s">
        <v>77</v>
      </c>
      <c r="G222" s="44" t="s">
        <v>427</v>
      </c>
      <c r="H222" s="45">
        <v>211</v>
      </c>
      <c r="I222" s="45" t="s">
        <v>406</v>
      </c>
      <c r="J222" s="46" t="s">
        <v>428</v>
      </c>
      <c r="K222" s="46" t="s">
        <v>429</v>
      </c>
      <c r="L222" s="41"/>
      <c r="M222" s="41"/>
      <c r="N222" s="41"/>
      <c r="O222" s="41"/>
      <c r="P222" s="41">
        <v>0</v>
      </c>
      <c r="Q222" s="41">
        <f>P222-O222</f>
        <v>0</v>
      </c>
      <c r="R222" s="41"/>
      <c r="S222" s="41">
        <v>0</v>
      </c>
      <c r="T222" s="41">
        <f>S222-R222</f>
        <v>0</v>
      </c>
      <c r="U222" s="41"/>
      <c r="V222" s="41">
        <v>0</v>
      </c>
      <c r="W222" s="41">
        <f>V222-U222</f>
        <v>0</v>
      </c>
      <c r="X222" s="41">
        <v>2473.4699999999998</v>
      </c>
      <c r="Y222" s="41">
        <v>2473.4699999999998</v>
      </c>
      <c r="Z222" s="41">
        <f>Y222-X222</f>
        <v>0</v>
      </c>
      <c r="AA222" s="41">
        <v>3626.4</v>
      </c>
      <c r="AB222" s="41">
        <v>3626.4</v>
      </c>
      <c r="AC222" s="41">
        <f>AB222-AA222</f>
        <v>0</v>
      </c>
      <c r="AD222" s="41">
        <v>7493.28</v>
      </c>
      <c r="AE222" s="41">
        <v>7695.65</v>
      </c>
      <c r="AF222" s="41">
        <f>AE222-AD222</f>
        <v>202.36999999999989</v>
      </c>
      <c r="AG222" s="41">
        <v>0</v>
      </c>
      <c r="AH222" s="41">
        <v>0</v>
      </c>
      <c r="AI222" s="41">
        <f t="shared" si="156"/>
        <v>0</v>
      </c>
      <c r="AJ222" s="41">
        <v>0</v>
      </c>
      <c r="AK222" s="41">
        <v>0</v>
      </c>
      <c r="AL222" s="41">
        <f t="shared" si="157"/>
        <v>0</v>
      </c>
      <c r="AM222" s="41">
        <v>5530.84</v>
      </c>
      <c r="AN222" s="41">
        <v>2827.22</v>
      </c>
      <c r="AO222" s="41">
        <f t="shared" si="155"/>
        <v>-2703.6200000000003</v>
      </c>
      <c r="AP222" s="41">
        <v>0</v>
      </c>
      <c r="AQ222" s="41">
        <f>IFERROR(VLOOKUP(G222,'10'!A:B,2,0),0)</f>
        <v>0</v>
      </c>
      <c r="AR222" s="41">
        <f t="shared" si="148"/>
        <v>0</v>
      </c>
      <c r="AS222" s="41">
        <f t="shared" si="151"/>
        <v>19123.990000000002</v>
      </c>
      <c r="AT222" s="41">
        <f>AN222+AK222+AH222+AE222+AB222+Y222+V222+S222+P222+AQ222</f>
        <v>16622.739999999998</v>
      </c>
      <c r="AU222" s="41">
        <f t="shared" si="150"/>
        <v>-2501.2500000000005</v>
      </c>
      <c r="AV222" s="459">
        <f t="shared" ref="AV222:AV228" si="159">AT222/AS222</f>
        <v>0.86920877913029637</v>
      </c>
      <c r="AW222" s="41">
        <v>0</v>
      </c>
      <c r="AX222" s="41">
        <v>1301.27</v>
      </c>
      <c r="AY222" s="41">
        <f t="shared" si="149"/>
        <v>20425.259999999998</v>
      </c>
      <c r="AZ222" s="41">
        <f>VLOOKUP(G222,'2017'!A:B,2,0)</f>
        <v>20570.710000000003</v>
      </c>
      <c r="BA222" s="552">
        <f t="shared" si="158"/>
        <v>145.45000000000437</v>
      </c>
      <c r="BB222" s="41">
        <v>18152.78</v>
      </c>
      <c r="BC222" s="41">
        <v>17071.86</v>
      </c>
      <c r="BD222" s="41">
        <v>4721.87</v>
      </c>
      <c r="BE222" s="41">
        <v>0</v>
      </c>
      <c r="BF222" s="41">
        <v>0</v>
      </c>
      <c r="BG222" s="41">
        <v>0</v>
      </c>
      <c r="BH222" s="41">
        <v>0</v>
      </c>
      <c r="BI222" s="41">
        <v>52167.9</v>
      </c>
      <c r="BJ222" s="75"/>
      <c r="BK222" s="11"/>
      <c r="BL222" s="10"/>
    </row>
    <row r="223" spans="1:64" ht="51.75" x14ac:dyDescent="0.25">
      <c r="A223" s="11" t="s">
        <v>485</v>
      </c>
      <c r="B223" s="11" t="s">
        <v>486</v>
      </c>
      <c r="C223" s="14" t="s">
        <v>610</v>
      </c>
      <c r="D223" s="11">
        <v>1</v>
      </c>
      <c r="E223" s="11" t="s">
        <v>454</v>
      </c>
      <c r="F223" s="11" t="s">
        <v>5</v>
      </c>
      <c r="G223" s="44" t="s">
        <v>498</v>
      </c>
      <c r="H223" s="45">
        <v>212</v>
      </c>
      <c r="I223" s="45" t="s">
        <v>485</v>
      </c>
      <c r="J223" s="46" t="s">
        <v>499</v>
      </c>
      <c r="K223" s="46" t="s">
        <v>500</v>
      </c>
      <c r="L223" s="41">
        <v>0</v>
      </c>
      <c r="M223" s="41">
        <v>0</v>
      </c>
      <c r="N223" s="41">
        <v>21622.97</v>
      </c>
      <c r="O223" s="41">
        <v>3839.38</v>
      </c>
      <c r="P223" s="41">
        <v>3839.38</v>
      </c>
      <c r="Q223" s="41">
        <f>P223-O223</f>
        <v>0</v>
      </c>
      <c r="R223" s="41">
        <v>0</v>
      </c>
      <c r="S223" s="41">
        <v>0</v>
      </c>
      <c r="T223" s="41">
        <f>S223-R223</f>
        <v>0</v>
      </c>
      <c r="U223" s="41">
        <v>0</v>
      </c>
      <c r="V223" s="41">
        <v>0</v>
      </c>
      <c r="W223" s="41">
        <f>V223-U223</f>
        <v>0</v>
      </c>
      <c r="X223" s="41">
        <v>6414.11</v>
      </c>
      <c r="Y223" s="41">
        <v>4711.9799999999996</v>
      </c>
      <c r="Z223" s="41">
        <f>Y223-X223</f>
        <v>-1702.13</v>
      </c>
      <c r="AA223" s="41">
        <v>0</v>
      </c>
      <c r="AB223" s="41">
        <v>0</v>
      </c>
      <c r="AC223" s="41">
        <f>AB223-AA223</f>
        <v>0</v>
      </c>
      <c r="AD223" s="41">
        <v>0</v>
      </c>
      <c r="AE223" s="41">
        <v>0</v>
      </c>
      <c r="AF223" s="41">
        <f>AE223-AD223</f>
        <v>0</v>
      </c>
      <c r="AG223" s="41">
        <v>4696.93</v>
      </c>
      <c r="AH223" s="41">
        <v>6232.35</v>
      </c>
      <c r="AI223" s="41">
        <f t="shared" si="156"/>
        <v>1535.42</v>
      </c>
      <c r="AJ223" s="41">
        <v>0</v>
      </c>
      <c r="AK223" s="41">
        <v>0</v>
      </c>
      <c r="AL223" s="41">
        <f t="shared" si="157"/>
        <v>0</v>
      </c>
      <c r="AM223" s="41">
        <v>0</v>
      </c>
      <c r="AN223" s="41">
        <v>0</v>
      </c>
      <c r="AO223" s="41">
        <f t="shared" si="155"/>
        <v>0</v>
      </c>
      <c r="AP223" s="41">
        <v>5304.94</v>
      </c>
      <c r="AQ223" s="41">
        <f>IFERROR(VLOOKUP(G223,'10'!A:B,2,0),0)</f>
        <v>3122.7</v>
      </c>
      <c r="AR223" s="41">
        <f t="shared" si="148"/>
        <v>-2182.2399999999998</v>
      </c>
      <c r="AS223" s="41">
        <f t="shared" si="151"/>
        <v>20255.36</v>
      </c>
      <c r="AT223" s="41">
        <f>AN223+AK223+AH223+AE223+AB223+Y223+V223+S223+P223+AQ223</f>
        <v>17906.41</v>
      </c>
      <c r="AU223" s="41">
        <f t="shared" si="150"/>
        <v>-2348.9499999999998</v>
      </c>
      <c r="AV223" s="459">
        <f t="shared" si="159"/>
        <v>0.88403316455496217</v>
      </c>
      <c r="AW223" s="41">
        <v>0</v>
      </c>
      <c r="AX223" s="41">
        <v>0</v>
      </c>
      <c r="AY223" s="41">
        <f t="shared" si="149"/>
        <v>20255.36</v>
      </c>
      <c r="AZ223" s="41">
        <f>VLOOKUP(G223,'2017'!A:B,2,0)</f>
        <v>17906.41</v>
      </c>
      <c r="BA223" s="552">
        <f t="shared" si="158"/>
        <v>-2348.9500000000007</v>
      </c>
      <c r="BB223" s="41">
        <v>5259.6600000000008</v>
      </c>
      <c r="BC223" s="41">
        <v>816.54</v>
      </c>
      <c r="BD223" s="41">
        <v>0</v>
      </c>
      <c r="BE223" s="41">
        <v>0</v>
      </c>
      <c r="BF223" s="41">
        <v>0</v>
      </c>
      <c r="BG223" s="41">
        <v>0</v>
      </c>
      <c r="BH223" s="41">
        <v>0</v>
      </c>
      <c r="BI223" s="41">
        <v>47954.530000000006</v>
      </c>
      <c r="BJ223" s="75"/>
      <c r="BK223" s="11"/>
      <c r="BL223" s="10"/>
    </row>
    <row r="224" spans="1:64" ht="94.5" x14ac:dyDescent="0.25">
      <c r="A224" s="20" t="s">
        <v>485</v>
      </c>
      <c r="B224" s="20" t="s">
        <v>486</v>
      </c>
      <c r="C224" s="21" t="s">
        <v>610</v>
      </c>
      <c r="D224" s="20">
        <v>1</v>
      </c>
      <c r="E224" s="20" t="s">
        <v>454</v>
      </c>
      <c r="F224" s="20" t="s">
        <v>5</v>
      </c>
      <c r="G224" s="20" t="s">
        <v>887</v>
      </c>
      <c r="H224" s="45">
        <v>213</v>
      </c>
      <c r="I224" s="45" t="s">
        <v>485</v>
      </c>
      <c r="J224" s="34" t="s">
        <v>888</v>
      </c>
      <c r="K224" s="34" t="s">
        <v>889</v>
      </c>
      <c r="L224" s="431"/>
      <c r="M224" s="37">
        <v>0</v>
      </c>
      <c r="N224" s="37">
        <v>0</v>
      </c>
      <c r="O224" s="37">
        <v>0</v>
      </c>
      <c r="P224" s="37"/>
      <c r="Q224" s="37"/>
      <c r="R224" s="37">
        <v>0</v>
      </c>
      <c r="S224" s="37"/>
      <c r="T224" s="37"/>
      <c r="U224" s="37">
        <v>0</v>
      </c>
      <c r="V224" s="37"/>
      <c r="W224" s="37"/>
      <c r="X224" s="37">
        <v>0</v>
      </c>
      <c r="Y224" s="37"/>
      <c r="Z224" s="37"/>
      <c r="AA224" s="37">
        <v>0</v>
      </c>
      <c r="AB224" s="37"/>
      <c r="AC224" s="37"/>
      <c r="AD224" s="37">
        <v>0</v>
      </c>
      <c r="AE224" s="37"/>
      <c r="AF224" s="37"/>
      <c r="AG224" s="37">
        <v>4250</v>
      </c>
      <c r="AH224" s="41">
        <v>3635.52</v>
      </c>
      <c r="AI224" s="41">
        <f t="shared" si="156"/>
        <v>-614.48</v>
      </c>
      <c r="AJ224" s="37">
        <v>0</v>
      </c>
      <c r="AK224" s="41">
        <v>0</v>
      </c>
      <c r="AL224" s="41">
        <f t="shared" si="157"/>
        <v>0</v>
      </c>
      <c r="AM224" s="37">
        <v>0</v>
      </c>
      <c r="AN224" s="41">
        <v>0</v>
      </c>
      <c r="AO224" s="41">
        <f t="shared" si="155"/>
        <v>0</v>
      </c>
      <c r="AP224" s="37">
        <v>5525</v>
      </c>
      <c r="AQ224" s="41">
        <f>IFERROR(VLOOKUP(G224,'10'!A:B,2,0),0)</f>
        <v>4894.66</v>
      </c>
      <c r="AR224" s="41">
        <f t="shared" si="148"/>
        <v>-630.34000000000015</v>
      </c>
      <c r="AS224" s="41">
        <f t="shared" si="151"/>
        <v>9775</v>
      </c>
      <c r="AT224" s="41">
        <f>AN224+AK224+AH224+AE224+AB224+-Y224+V224+S224+P224+AQ224</f>
        <v>8530.18</v>
      </c>
      <c r="AU224" s="41">
        <f t="shared" si="150"/>
        <v>-1244.8200000000002</v>
      </c>
      <c r="AV224" s="459">
        <f t="shared" si="159"/>
        <v>0.87265268542199492</v>
      </c>
      <c r="AW224" s="37">
        <v>0</v>
      </c>
      <c r="AX224" s="37">
        <v>0</v>
      </c>
      <c r="AY224" s="41">
        <f t="shared" si="149"/>
        <v>9775</v>
      </c>
      <c r="AZ224" s="41">
        <f>VLOOKUP(G224,'2017'!A:B,2,0)</f>
        <v>8530.18</v>
      </c>
      <c r="BA224" s="552">
        <f t="shared" si="158"/>
        <v>-1244.8199999999997</v>
      </c>
      <c r="BB224" s="37">
        <v>23800</v>
      </c>
      <c r="BC224" s="37">
        <v>6091.1</v>
      </c>
      <c r="BD224" s="37">
        <v>0</v>
      </c>
      <c r="BE224" s="37">
        <v>0</v>
      </c>
      <c r="BF224" s="37">
        <v>0</v>
      </c>
      <c r="BG224" s="37">
        <v>0</v>
      </c>
      <c r="BH224" s="37">
        <v>0</v>
      </c>
      <c r="BI224" s="37">
        <v>39666.1</v>
      </c>
      <c r="BJ224" s="76"/>
      <c r="BK224" s="11"/>
      <c r="BL224" s="10"/>
    </row>
    <row r="225" spans="1:64" ht="63" x14ac:dyDescent="0.25">
      <c r="A225" s="20" t="s">
        <v>406</v>
      </c>
      <c r="B225" s="20" t="s">
        <v>411</v>
      </c>
      <c r="C225" s="21" t="s">
        <v>606</v>
      </c>
      <c r="D225" s="22">
        <v>1</v>
      </c>
      <c r="E225" s="20" t="s">
        <v>402</v>
      </c>
      <c r="F225" s="20" t="s">
        <v>77</v>
      </c>
      <c r="G225" s="20" t="s">
        <v>884</v>
      </c>
      <c r="H225" s="45">
        <v>214</v>
      </c>
      <c r="I225" s="45" t="s">
        <v>406</v>
      </c>
      <c r="J225" s="34" t="s">
        <v>885</v>
      </c>
      <c r="K225" s="34" t="s">
        <v>886</v>
      </c>
      <c r="L225" s="431"/>
      <c r="M225" s="38">
        <v>0</v>
      </c>
      <c r="N225" s="38">
        <v>0</v>
      </c>
      <c r="O225" s="37">
        <v>0</v>
      </c>
      <c r="P225" s="37"/>
      <c r="Q225" s="37"/>
      <c r="R225" s="38">
        <v>0</v>
      </c>
      <c r="S225" s="38"/>
      <c r="T225" s="38"/>
      <c r="U225" s="38">
        <v>0</v>
      </c>
      <c r="V225" s="38"/>
      <c r="W225" s="38"/>
      <c r="X225" s="38">
        <v>0</v>
      </c>
      <c r="Y225" s="38"/>
      <c r="Z225" s="38"/>
      <c r="AA225" s="38">
        <v>0</v>
      </c>
      <c r="AB225" s="38"/>
      <c r="AC225" s="38"/>
      <c r="AD225" s="38">
        <v>0</v>
      </c>
      <c r="AE225" s="38"/>
      <c r="AF225" s="38"/>
      <c r="AG225" s="38">
        <v>9875.14</v>
      </c>
      <c r="AH225" s="41">
        <v>0</v>
      </c>
      <c r="AI225" s="41">
        <f t="shared" si="156"/>
        <v>-9875.14</v>
      </c>
      <c r="AJ225" s="38">
        <v>0</v>
      </c>
      <c r="AK225" s="41">
        <v>3081.18</v>
      </c>
      <c r="AL225" s="41">
        <f t="shared" si="157"/>
        <v>3081.18</v>
      </c>
      <c r="AM225" s="38">
        <v>0</v>
      </c>
      <c r="AN225" s="41">
        <v>0</v>
      </c>
      <c r="AO225" s="41">
        <f t="shared" si="155"/>
        <v>0</v>
      </c>
      <c r="AP225" s="38">
        <v>48346.5</v>
      </c>
      <c r="AQ225" s="41">
        <f>IFERROR(VLOOKUP(G225,'10'!A:B,2,0),0)</f>
        <v>54740.7</v>
      </c>
      <c r="AR225" s="41">
        <f t="shared" si="148"/>
        <v>6394.1999999999971</v>
      </c>
      <c r="AS225" s="41">
        <f t="shared" si="151"/>
        <v>58221.64</v>
      </c>
      <c r="AT225" s="41">
        <f>AN225+AK225+AH225+AE225+AB225+-Y225+V225+S225+P225+AQ225</f>
        <v>57821.88</v>
      </c>
      <c r="AU225" s="41">
        <f t="shared" si="150"/>
        <v>-399.76000000000204</v>
      </c>
      <c r="AV225" s="459">
        <f t="shared" si="159"/>
        <v>0.99313382446801568</v>
      </c>
      <c r="AW225" s="38">
        <v>0</v>
      </c>
      <c r="AX225" s="38">
        <v>0</v>
      </c>
      <c r="AY225" s="41">
        <f t="shared" si="149"/>
        <v>58221.64</v>
      </c>
      <c r="AZ225" s="41">
        <f>VLOOKUP(G225,'2017'!A:B,2,0)</f>
        <v>95043.75</v>
      </c>
      <c r="BA225" s="552">
        <f t="shared" si="158"/>
        <v>36822.11</v>
      </c>
      <c r="BB225" s="38">
        <v>155482.93000000002</v>
      </c>
      <c r="BC225" s="38">
        <v>151588.88</v>
      </c>
      <c r="BD225" s="38">
        <v>0</v>
      </c>
      <c r="BE225" s="38">
        <v>0</v>
      </c>
      <c r="BF225" s="38">
        <v>0</v>
      </c>
      <c r="BG225" s="38">
        <v>0</v>
      </c>
      <c r="BH225" s="38">
        <v>0</v>
      </c>
      <c r="BI225" s="38">
        <v>365293.45</v>
      </c>
      <c r="BJ225" s="76"/>
      <c r="BK225" s="11"/>
      <c r="BL225" s="10"/>
    </row>
    <row r="226" spans="1:64" ht="63" x14ac:dyDescent="0.25">
      <c r="A226" s="11" t="s">
        <v>485</v>
      </c>
      <c r="B226" s="11" t="s">
        <v>486</v>
      </c>
      <c r="C226" s="14" t="s">
        <v>610</v>
      </c>
      <c r="D226" s="11">
        <v>1</v>
      </c>
      <c r="E226" s="11" t="s">
        <v>454</v>
      </c>
      <c r="F226" s="11" t="s">
        <v>5</v>
      </c>
      <c r="G226" s="44" t="s">
        <v>526</v>
      </c>
      <c r="H226" s="45">
        <v>215</v>
      </c>
      <c r="I226" s="45" t="s">
        <v>485</v>
      </c>
      <c r="J226" s="46" t="s">
        <v>527</v>
      </c>
      <c r="K226" s="46" t="s">
        <v>528</v>
      </c>
      <c r="L226" s="41">
        <v>0</v>
      </c>
      <c r="M226" s="41">
        <v>0</v>
      </c>
      <c r="N226" s="41">
        <v>14041.929999999998</v>
      </c>
      <c r="O226" s="41">
        <v>3724.39</v>
      </c>
      <c r="P226" s="41">
        <v>3724.39</v>
      </c>
      <c r="Q226" s="41">
        <f t="shared" ref="Q226:Q240" si="160">P226-O226</f>
        <v>0</v>
      </c>
      <c r="R226" s="41">
        <v>0</v>
      </c>
      <c r="S226" s="41">
        <v>0</v>
      </c>
      <c r="T226" s="41">
        <f t="shared" ref="T226:T240" si="161">S226-R226</f>
        <v>0</v>
      </c>
      <c r="U226" s="41">
        <v>0</v>
      </c>
      <c r="V226" s="41">
        <v>0</v>
      </c>
      <c r="W226" s="41">
        <f t="shared" ref="W226:W240" si="162">V226-U226</f>
        <v>0</v>
      </c>
      <c r="X226" s="41">
        <v>2644.49</v>
      </c>
      <c r="Y226" s="41">
        <v>2644.49</v>
      </c>
      <c r="Z226" s="41">
        <f t="shared" ref="Z226:Z240" si="163">Y226-X226</f>
        <v>0</v>
      </c>
      <c r="AA226" s="41">
        <v>0</v>
      </c>
      <c r="AB226" s="41">
        <v>0</v>
      </c>
      <c r="AC226" s="41">
        <f t="shared" ref="AC226:AC240" si="164">AB226-AA226</f>
        <v>0</v>
      </c>
      <c r="AD226" s="41">
        <v>0</v>
      </c>
      <c r="AE226" s="41">
        <v>0</v>
      </c>
      <c r="AF226" s="41">
        <f t="shared" ref="AF226:AF240" si="165">AE226-AD226</f>
        <v>0</v>
      </c>
      <c r="AG226" s="41">
        <v>2990.01</v>
      </c>
      <c r="AH226" s="41">
        <v>2974.46</v>
      </c>
      <c r="AI226" s="41">
        <f t="shared" si="156"/>
        <v>-15.550000000000182</v>
      </c>
      <c r="AJ226" s="41">
        <v>0</v>
      </c>
      <c r="AK226" s="41">
        <v>0</v>
      </c>
      <c r="AL226" s="41">
        <f t="shared" si="157"/>
        <v>0</v>
      </c>
      <c r="AM226" s="41">
        <v>0</v>
      </c>
      <c r="AN226" s="41">
        <v>0</v>
      </c>
      <c r="AO226" s="41">
        <f t="shared" si="155"/>
        <v>0</v>
      </c>
      <c r="AP226" s="41">
        <v>2990.01</v>
      </c>
      <c r="AQ226" s="41">
        <f>IFERROR(VLOOKUP(G226,'10'!A:B,2,0),0)</f>
        <v>2978.24</v>
      </c>
      <c r="AR226" s="41">
        <f t="shared" si="148"/>
        <v>-11.770000000000437</v>
      </c>
      <c r="AS226" s="41">
        <f t="shared" si="151"/>
        <v>12348.9</v>
      </c>
      <c r="AT226" s="41">
        <f>AN226+AK226+AH226+AE226+AB226+Y226+V226+S226+P226+AQ226</f>
        <v>12321.58</v>
      </c>
      <c r="AU226" s="41">
        <f t="shared" si="150"/>
        <v>-27.320000000000618</v>
      </c>
      <c r="AV226" s="459">
        <f t="shared" si="159"/>
        <v>0.99778765720023643</v>
      </c>
      <c r="AW226" s="41">
        <v>0</v>
      </c>
      <c r="AX226" s="41">
        <v>0</v>
      </c>
      <c r="AY226" s="41">
        <f t="shared" si="149"/>
        <v>12348.9</v>
      </c>
      <c r="AZ226" s="41">
        <f>VLOOKUP(G226,'2017'!A:B,2,0)</f>
        <v>12321.58</v>
      </c>
      <c r="BA226" s="552">
        <f t="shared" si="158"/>
        <v>-27.319999999999709</v>
      </c>
      <c r="BB226" s="41">
        <v>11960.04</v>
      </c>
      <c r="BC226" s="41">
        <v>5648.63</v>
      </c>
      <c r="BD226" s="41">
        <v>0</v>
      </c>
      <c r="BE226" s="41">
        <v>0</v>
      </c>
      <c r="BF226" s="41">
        <v>0</v>
      </c>
      <c r="BG226" s="41">
        <v>0</v>
      </c>
      <c r="BH226" s="41">
        <v>0</v>
      </c>
      <c r="BI226" s="41">
        <v>43999.499999999993</v>
      </c>
      <c r="BJ226" s="75"/>
      <c r="BK226" s="11"/>
      <c r="BL226" s="10"/>
    </row>
    <row r="227" spans="1:64" ht="63" x14ac:dyDescent="0.25">
      <c r="A227" s="11" t="s">
        <v>458</v>
      </c>
      <c r="B227" s="11" t="s">
        <v>459</v>
      </c>
      <c r="C227" s="14" t="s">
        <v>609</v>
      </c>
      <c r="D227" s="11">
        <v>1</v>
      </c>
      <c r="E227" s="11" t="s">
        <v>454</v>
      </c>
      <c r="F227" s="11" t="s">
        <v>77</v>
      </c>
      <c r="G227" s="44" t="s">
        <v>467</v>
      </c>
      <c r="H227" s="45">
        <v>216</v>
      </c>
      <c r="I227" s="45" t="s">
        <v>458</v>
      </c>
      <c r="J227" s="46" t="s">
        <v>468</v>
      </c>
      <c r="K227" s="46" t="s">
        <v>469</v>
      </c>
      <c r="L227" s="41">
        <v>0</v>
      </c>
      <c r="M227" s="41">
        <v>0</v>
      </c>
      <c r="N227" s="41">
        <v>5968.66</v>
      </c>
      <c r="O227" s="41">
        <v>2534.79</v>
      </c>
      <c r="P227" s="41">
        <v>2539.3200000000002</v>
      </c>
      <c r="Q227" s="41">
        <f t="shared" si="160"/>
        <v>4.5300000000002001</v>
      </c>
      <c r="R227" s="41">
        <v>0</v>
      </c>
      <c r="S227" s="41">
        <v>0</v>
      </c>
      <c r="T227" s="41">
        <f t="shared" si="161"/>
        <v>0</v>
      </c>
      <c r="U227" s="41">
        <v>0</v>
      </c>
      <c r="V227" s="41">
        <v>0</v>
      </c>
      <c r="W227" s="41">
        <f t="shared" si="162"/>
        <v>0</v>
      </c>
      <c r="X227" s="41">
        <v>1784.01</v>
      </c>
      <c r="Y227" s="41">
        <v>1784.01</v>
      </c>
      <c r="Z227" s="41">
        <f t="shared" si="163"/>
        <v>0</v>
      </c>
      <c r="AA227" s="41">
        <v>0</v>
      </c>
      <c r="AB227" s="41">
        <v>0</v>
      </c>
      <c r="AC227" s="41">
        <f t="shared" si="164"/>
        <v>0</v>
      </c>
      <c r="AD227" s="41">
        <v>0</v>
      </c>
      <c r="AE227" s="41">
        <v>0</v>
      </c>
      <c r="AF227" s="41">
        <f t="shared" si="165"/>
        <v>0</v>
      </c>
      <c r="AG227" s="41">
        <v>2387.0500000000002</v>
      </c>
      <c r="AH227" s="41">
        <v>2060.36</v>
      </c>
      <c r="AI227" s="41">
        <f t="shared" si="156"/>
        <v>-326.69000000000005</v>
      </c>
      <c r="AJ227" s="41">
        <v>0</v>
      </c>
      <c r="AK227" s="41">
        <v>0</v>
      </c>
      <c r="AL227" s="41">
        <f t="shared" si="157"/>
        <v>0</v>
      </c>
      <c r="AM227" s="41">
        <v>0</v>
      </c>
      <c r="AN227" s="41">
        <v>0</v>
      </c>
      <c r="AO227" s="41">
        <f t="shared" si="155"/>
        <v>0</v>
      </c>
      <c r="AP227" s="41">
        <v>2387.0500000000002</v>
      </c>
      <c r="AQ227" s="41">
        <f>IFERROR(VLOOKUP(G227,'10'!A:B,2,0),0)</f>
        <v>2684.05</v>
      </c>
      <c r="AR227" s="41">
        <f t="shared" si="148"/>
        <v>297</v>
      </c>
      <c r="AS227" s="41">
        <f t="shared" si="151"/>
        <v>9092.9000000000015</v>
      </c>
      <c r="AT227" s="41">
        <f>AN227+AK227+AH227+AE227+AB227+Y227+V227+S227+P227+AQ227</f>
        <v>9067.7400000000016</v>
      </c>
      <c r="AU227" s="41">
        <f t="shared" si="150"/>
        <v>-25.159999999999854</v>
      </c>
      <c r="AV227" s="459">
        <f t="shared" si="159"/>
        <v>0.99723300597169218</v>
      </c>
      <c r="AW227" s="41">
        <v>0</v>
      </c>
      <c r="AX227" s="41">
        <v>0</v>
      </c>
      <c r="AY227" s="41">
        <f t="shared" si="149"/>
        <v>9092.9000000000015</v>
      </c>
      <c r="AZ227" s="41">
        <f>VLOOKUP(G227,'2017'!A:B,2,0)</f>
        <v>9063.2099999999991</v>
      </c>
      <c r="BA227" s="552">
        <f t="shared" si="158"/>
        <v>-29.690000000002328</v>
      </c>
      <c r="BB227" s="41">
        <v>9548.2000000000007</v>
      </c>
      <c r="BC227" s="41">
        <v>4026.19</v>
      </c>
      <c r="BD227" s="41">
        <v>0</v>
      </c>
      <c r="BE227" s="41">
        <v>0</v>
      </c>
      <c r="BF227" s="41">
        <v>0</v>
      </c>
      <c r="BG227" s="41">
        <v>0</v>
      </c>
      <c r="BH227" s="41">
        <v>0</v>
      </c>
      <c r="BI227" s="41">
        <v>28635.95</v>
      </c>
      <c r="BJ227" s="75"/>
      <c r="BK227" s="11"/>
      <c r="BL227" s="10"/>
    </row>
    <row r="228" spans="1:64" ht="63" x14ac:dyDescent="0.25">
      <c r="A228" s="11" t="s">
        <v>172</v>
      </c>
      <c r="B228" s="11" t="s">
        <v>173</v>
      </c>
      <c r="C228" s="14" t="s">
        <v>579</v>
      </c>
      <c r="D228" s="11" t="s">
        <v>3</v>
      </c>
      <c r="E228" s="11" t="s">
        <v>29</v>
      </c>
      <c r="F228" s="11" t="s">
        <v>5</v>
      </c>
      <c r="G228" s="44" t="s">
        <v>184</v>
      </c>
      <c r="H228" s="45">
        <v>217</v>
      </c>
      <c r="I228" s="45" t="s">
        <v>172</v>
      </c>
      <c r="J228" s="46" t="s">
        <v>98</v>
      </c>
      <c r="K228" s="46" t="s">
        <v>185</v>
      </c>
      <c r="L228" s="41">
        <v>0</v>
      </c>
      <c r="M228" s="41">
        <v>0</v>
      </c>
      <c r="N228" s="41">
        <v>9869613.2200000007</v>
      </c>
      <c r="O228" s="41">
        <v>0</v>
      </c>
      <c r="P228" s="41">
        <v>0</v>
      </c>
      <c r="Q228" s="41">
        <f t="shared" si="160"/>
        <v>0</v>
      </c>
      <c r="R228" s="41">
        <v>0</v>
      </c>
      <c r="S228" s="41">
        <v>0</v>
      </c>
      <c r="T228" s="41">
        <f t="shared" si="161"/>
        <v>0</v>
      </c>
      <c r="U228" s="41">
        <v>205473.04</v>
      </c>
      <c r="V228" s="41">
        <v>205473.03</v>
      </c>
      <c r="W228" s="41">
        <f t="shared" si="162"/>
        <v>-1.0000000009313226E-2</v>
      </c>
      <c r="X228" s="41">
        <v>0</v>
      </c>
      <c r="Y228" s="41">
        <v>0</v>
      </c>
      <c r="Z228" s="41">
        <f t="shared" si="163"/>
        <v>0</v>
      </c>
      <c r="AA228" s="41">
        <v>0</v>
      </c>
      <c r="AB228" s="41">
        <v>0</v>
      </c>
      <c r="AC228" s="41">
        <f t="shared" si="164"/>
        <v>0</v>
      </c>
      <c r="AD228" s="41">
        <v>0</v>
      </c>
      <c r="AE228" s="41">
        <v>0</v>
      </c>
      <c r="AF228" s="41">
        <f t="shared" si="165"/>
        <v>0</v>
      </c>
      <c r="AG228" s="41">
        <v>0</v>
      </c>
      <c r="AH228" s="41">
        <v>0</v>
      </c>
      <c r="AI228" s="41">
        <f t="shared" si="156"/>
        <v>0</v>
      </c>
      <c r="AJ228" s="41">
        <v>0</v>
      </c>
      <c r="AK228" s="41">
        <v>0</v>
      </c>
      <c r="AL228" s="41">
        <f t="shared" si="157"/>
        <v>0</v>
      </c>
      <c r="AM228" s="41">
        <v>0</v>
      </c>
      <c r="AN228" s="41">
        <v>0</v>
      </c>
      <c r="AO228" s="41">
        <f t="shared" si="155"/>
        <v>0</v>
      </c>
      <c r="AP228" s="41">
        <v>0</v>
      </c>
      <c r="AQ228" s="41">
        <f>IFERROR(VLOOKUP(G228,'10'!A:B,2,0),0)</f>
        <v>0</v>
      </c>
      <c r="AR228" s="41">
        <f t="shared" si="148"/>
        <v>0</v>
      </c>
      <c r="AS228" s="41">
        <f t="shared" si="151"/>
        <v>205473.04</v>
      </c>
      <c r="AT228" s="41">
        <f t="shared" ref="AT228:AT243" si="166">AN228+AK228+AH228+AE228+AB228+-Y228+V228+S228+P228+AQ228</f>
        <v>205473.03</v>
      </c>
      <c r="AU228" s="41">
        <f t="shared" si="150"/>
        <v>-1.0000000009313226E-2</v>
      </c>
      <c r="AV228" s="459">
        <f t="shared" si="159"/>
        <v>0.99999995133181463</v>
      </c>
      <c r="AW228" s="41">
        <v>0</v>
      </c>
      <c r="AX228" s="41">
        <v>0</v>
      </c>
      <c r="AY228" s="41">
        <f t="shared" si="149"/>
        <v>205473.04</v>
      </c>
      <c r="AZ228" s="41">
        <f>VLOOKUP(G228,'2017'!A:B,2,0)</f>
        <v>205473.04</v>
      </c>
      <c r="BA228" s="552">
        <f t="shared" si="158"/>
        <v>0</v>
      </c>
      <c r="BB228" s="41">
        <v>0</v>
      </c>
      <c r="BC228" s="41">
        <v>0</v>
      </c>
      <c r="BD228" s="41">
        <v>0</v>
      </c>
      <c r="BE228" s="41">
        <v>0</v>
      </c>
      <c r="BF228" s="41">
        <v>0</v>
      </c>
      <c r="BG228" s="41">
        <v>0</v>
      </c>
      <c r="BH228" s="41">
        <v>0</v>
      </c>
      <c r="BI228" s="41">
        <v>10075086.26</v>
      </c>
      <c r="BJ228" s="75"/>
      <c r="BK228" s="11"/>
      <c r="BL228" s="10"/>
    </row>
    <row r="229" spans="1:64" ht="39" x14ac:dyDescent="0.25">
      <c r="A229" s="11" t="s">
        <v>57</v>
      </c>
      <c r="B229" s="11" t="s">
        <v>58</v>
      </c>
      <c r="C229" s="14" t="s">
        <v>569</v>
      </c>
      <c r="D229" s="11">
        <v>2</v>
      </c>
      <c r="E229" s="11" t="s">
        <v>35</v>
      </c>
      <c r="F229" s="11" t="s">
        <v>5</v>
      </c>
      <c r="G229" s="44" t="s">
        <v>71</v>
      </c>
      <c r="H229" s="45">
        <v>218</v>
      </c>
      <c r="I229" s="45" t="s">
        <v>57</v>
      </c>
      <c r="J229" s="46" t="s">
        <v>72</v>
      </c>
      <c r="K229" s="46" t="s">
        <v>73</v>
      </c>
      <c r="L229" s="41">
        <v>0</v>
      </c>
      <c r="M229" s="41">
        <v>0</v>
      </c>
      <c r="N229" s="41">
        <v>951654.78</v>
      </c>
      <c r="O229" s="41">
        <v>0</v>
      </c>
      <c r="P229" s="41">
        <v>0</v>
      </c>
      <c r="Q229" s="41">
        <f t="shared" si="160"/>
        <v>0</v>
      </c>
      <c r="R229" s="41">
        <v>0</v>
      </c>
      <c r="S229" s="41">
        <v>0</v>
      </c>
      <c r="T229" s="41">
        <f t="shared" si="161"/>
        <v>0</v>
      </c>
      <c r="U229" s="41">
        <v>0</v>
      </c>
      <c r="V229" s="41">
        <v>0</v>
      </c>
      <c r="W229" s="41">
        <f t="shared" si="162"/>
        <v>0</v>
      </c>
      <c r="X229" s="41">
        <v>0</v>
      </c>
      <c r="Y229" s="41">
        <v>0</v>
      </c>
      <c r="Z229" s="41">
        <f t="shared" si="163"/>
        <v>0</v>
      </c>
      <c r="AA229" s="41">
        <v>0</v>
      </c>
      <c r="AB229" s="41">
        <v>0</v>
      </c>
      <c r="AC229" s="41">
        <f t="shared" si="164"/>
        <v>0</v>
      </c>
      <c r="AD229" s="41">
        <v>0</v>
      </c>
      <c r="AE229" s="41">
        <v>0</v>
      </c>
      <c r="AF229" s="41">
        <f t="shared" si="165"/>
        <v>0</v>
      </c>
      <c r="AG229" s="41">
        <v>0</v>
      </c>
      <c r="AH229" s="41">
        <v>0</v>
      </c>
      <c r="AI229" s="41">
        <f t="shared" si="156"/>
        <v>0</v>
      </c>
      <c r="AJ229" s="41">
        <v>0</v>
      </c>
      <c r="AK229" s="41">
        <v>0</v>
      </c>
      <c r="AL229" s="41">
        <f t="shared" si="157"/>
        <v>0</v>
      </c>
      <c r="AM229" s="41">
        <v>0</v>
      </c>
      <c r="AN229" s="41">
        <v>0</v>
      </c>
      <c r="AO229" s="41">
        <f t="shared" si="155"/>
        <v>0</v>
      </c>
      <c r="AP229" s="41">
        <v>0</v>
      </c>
      <c r="AQ229" s="41">
        <f>IFERROR(VLOOKUP(G229,'10'!A:B,2,0),0)</f>
        <v>0</v>
      </c>
      <c r="AR229" s="41">
        <f t="shared" si="148"/>
        <v>0</v>
      </c>
      <c r="AS229" s="41">
        <f t="shared" si="151"/>
        <v>0</v>
      </c>
      <c r="AT229" s="41">
        <f t="shared" si="166"/>
        <v>0</v>
      </c>
      <c r="AU229" s="41">
        <f t="shared" si="150"/>
        <v>0</v>
      </c>
      <c r="AV229" s="459">
        <v>0</v>
      </c>
      <c r="AW229" s="41">
        <v>0</v>
      </c>
      <c r="AX229" s="41">
        <v>0</v>
      </c>
      <c r="AY229" s="41">
        <f t="shared" si="149"/>
        <v>0</v>
      </c>
      <c r="AZ229" s="41"/>
      <c r="BA229" s="36">
        <f t="shared" si="158"/>
        <v>0</v>
      </c>
      <c r="BB229" s="41">
        <v>0</v>
      </c>
      <c r="BC229" s="41">
        <v>0</v>
      </c>
      <c r="BD229" s="41">
        <v>0</v>
      </c>
      <c r="BE229" s="41">
        <v>0</v>
      </c>
      <c r="BF229" s="41">
        <v>0</v>
      </c>
      <c r="BG229" s="41">
        <v>0</v>
      </c>
      <c r="BH229" s="41">
        <v>0</v>
      </c>
      <c r="BI229" s="41">
        <v>486414.78</v>
      </c>
      <c r="BJ229" s="75"/>
      <c r="BK229" s="11"/>
      <c r="BL229" s="10"/>
    </row>
    <row r="230" spans="1:64" ht="63" x14ac:dyDescent="0.25">
      <c r="A230" s="11" t="s">
        <v>618</v>
      </c>
      <c r="B230" s="11" t="s">
        <v>619</v>
      </c>
      <c r="C230" s="14" t="s">
        <v>620</v>
      </c>
      <c r="D230" s="11">
        <v>1</v>
      </c>
      <c r="E230" s="11" t="s">
        <v>35</v>
      </c>
      <c r="F230" s="11" t="s">
        <v>5</v>
      </c>
      <c r="G230" s="44" t="s">
        <v>621</v>
      </c>
      <c r="H230" s="45">
        <v>219</v>
      </c>
      <c r="I230" s="45" t="s">
        <v>618</v>
      </c>
      <c r="J230" s="46" t="s">
        <v>69</v>
      </c>
      <c r="K230" s="46" t="s">
        <v>622</v>
      </c>
      <c r="L230" s="41">
        <v>0</v>
      </c>
      <c r="M230" s="41">
        <v>0</v>
      </c>
      <c r="N230" s="41">
        <v>785970.33</v>
      </c>
      <c r="O230" s="41">
        <v>0</v>
      </c>
      <c r="P230" s="41">
        <v>0</v>
      </c>
      <c r="Q230" s="41">
        <f t="shared" si="160"/>
        <v>0</v>
      </c>
      <c r="R230" s="41">
        <v>0</v>
      </c>
      <c r="S230" s="41">
        <v>0</v>
      </c>
      <c r="T230" s="41">
        <f t="shared" si="161"/>
        <v>0</v>
      </c>
      <c r="U230" s="41">
        <v>0</v>
      </c>
      <c r="V230" s="41">
        <v>0</v>
      </c>
      <c r="W230" s="41">
        <f t="shared" si="162"/>
        <v>0</v>
      </c>
      <c r="X230" s="41">
        <v>0</v>
      </c>
      <c r="Y230" s="41">
        <v>0</v>
      </c>
      <c r="Z230" s="41">
        <f t="shared" si="163"/>
        <v>0</v>
      </c>
      <c r="AA230" s="41">
        <v>0</v>
      </c>
      <c r="AB230" s="41">
        <v>0</v>
      </c>
      <c r="AC230" s="41">
        <f t="shared" si="164"/>
        <v>0</v>
      </c>
      <c r="AD230" s="41">
        <v>0</v>
      </c>
      <c r="AE230" s="41">
        <v>0</v>
      </c>
      <c r="AF230" s="41">
        <f t="shared" si="165"/>
        <v>0</v>
      </c>
      <c r="AG230" s="41">
        <v>0</v>
      </c>
      <c r="AH230" s="41">
        <v>0</v>
      </c>
      <c r="AI230" s="41">
        <f t="shared" si="156"/>
        <v>0</v>
      </c>
      <c r="AJ230" s="41">
        <v>0</v>
      </c>
      <c r="AK230" s="41">
        <v>0</v>
      </c>
      <c r="AL230" s="41">
        <f t="shared" si="157"/>
        <v>0</v>
      </c>
      <c r="AM230" s="41">
        <v>0</v>
      </c>
      <c r="AN230" s="41">
        <v>0</v>
      </c>
      <c r="AO230" s="41">
        <f t="shared" si="155"/>
        <v>0</v>
      </c>
      <c r="AP230" s="41">
        <v>0</v>
      </c>
      <c r="AQ230" s="41">
        <f>IFERROR(VLOOKUP(G230,'10'!A:B,2,0),0)</f>
        <v>0</v>
      </c>
      <c r="AR230" s="41">
        <f t="shared" si="148"/>
        <v>0</v>
      </c>
      <c r="AS230" s="41">
        <f t="shared" si="151"/>
        <v>0</v>
      </c>
      <c r="AT230" s="41">
        <f t="shared" si="166"/>
        <v>0</v>
      </c>
      <c r="AU230" s="41">
        <f t="shared" si="150"/>
        <v>0</v>
      </c>
      <c r="AV230" s="459">
        <v>0</v>
      </c>
      <c r="AW230" s="41">
        <v>0</v>
      </c>
      <c r="AX230" s="41">
        <v>0</v>
      </c>
      <c r="AY230" s="41">
        <f t="shared" si="149"/>
        <v>0</v>
      </c>
      <c r="AZ230" s="41"/>
      <c r="BA230" s="36">
        <f t="shared" si="158"/>
        <v>0</v>
      </c>
      <c r="BB230" s="41">
        <v>0</v>
      </c>
      <c r="BC230" s="41">
        <v>0</v>
      </c>
      <c r="BD230" s="41">
        <v>0</v>
      </c>
      <c r="BE230" s="41">
        <v>0</v>
      </c>
      <c r="BF230" s="41">
        <v>0</v>
      </c>
      <c r="BG230" s="41">
        <v>0</v>
      </c>
      <c r="BH230" s="41">
        <v>0</v>
      </c>
      <c r="BI230" s="41">
        <v>785970.33</v>
      </c>
      <c r="BJ230" s="75"/>
      <c r="BK230" s="15"/>
      <c r="BL230" s="10"/>
    </row>
    <row r="231" spans="1:64" ht="47.25" x14ac:dyDescent="0.25">
      <c r="A231" s="15" t="s">
        <v>150</v>
      </c>
      <c r="B231" s="15" t="s">
        <v>151</v>
      </c>
      <c r="C231" s="16" t="s">
        <v>578</v>
      </c>
      <c r="D231" s="15" t="s">
        <v>3</v>
      </c>
      <c r="E231" s="15" t="s">
        <v>29</v>
      </c>
      <c r="F231" s="15" t="s">
        <v>102</v>
      </c>
      <c r="G231" s="47" t="s">
        <v>154</v>
      </c>
      <c r="H231" s="45">
        <v>220</v>
      </c>
      <c r="I231" s="45" t="s">
        <v>150</v>
      </c>
      <c r="J231" s="49" t="s">
        <v>98</v>
      </c>
      <c r="K231" s="49" t="s">
        <v>155</v>
      </c>
      <c r="L231" s="40">
        <v>0</v>
      </c>
      <c r="M231" s="40">
        <v>2929854.4</v>
      </c>
      <c r="N231" s="40">
        <v>8704224.8099999987</v>
      </c>
      <c r="O231" s="40">
        <v>0</v>
      </c>
      <c r="P231" s="40">
        <v>0</v>
      </c>
      <c r="Q231" s="41">
        <f t="shared" si="160"/>
        <v>0</v>
      </c>
      <c r="R231" s="40">
        <v>0</v>
      </c>
      <c r="S231" s="40">
        <v>0</v>
      </c>
      <c r="T231" s="41">
        <f t="shared" si="161"/>
        <v>0</v>
      </c>
      <c r="U231" s="40">
        <v>470789.33</v>
      </c>
      <c r="V231" s="40">
        <v>470789.33</v>
      </c>
      <c r="W231" s="41">
        <f t="shared" si="162"/>
        <v>0</v>
      </c>
      <c r="X231" s="40">
        <v>0</v>
      </c>
      <c r="Y231" s="40">
        <v>0</v>
      </c>
      <c r="Z231" s="41">
        <f t="shared" si="163"/>
        <v>0</v>
      </c>
      <c r="AA231" s="40">
        <v>0</v>
      </c>
      <c r="AB231" s="40">
        <v>0</v>
      </c>
      <c r="AC231" s="41">
        <f t="shared" si="164"/>
        <v>0</v>
      </c>
      <c r="AD231" s="40">
        <v>0</v>
      </c>
      <c r="AE231" s="41">
        <v>0</v>
      </c>
      <c r="AF231" s="41">
        <f t="shared" si="165"/>
        <v>0</v>
      </c>
      <c r="AG231" s="40">
        <v>0</v>
      </c>
      <c r="AH231" s="41">
        <v>0</v>
      </c>
      <c r="AI231" s="41">
        <f t="shared" si="156"/>
        <v>0</v>
      </c>
      <c r="AJ231" s="40">
        <v>0</v>
      </c>
      <c r="AK231" s="41">
        <v>0</v>
      </c>
      <c r="AL231" s="41">
        <f t="shared" si="157"/>
        <v>0</v>
      </c>
      <c r="AM231" s="40">
        <v>0</v>
      </c>
      <c r="AN231" s="41">
        <v>0</v>
      </c>
      <c r="AO231" s="41">
        <f t="shared" si="155"/>
        <v>0</v>
      </c>
      <c r="AP231" s="40">
        <v>0</v>
      </c>
      <c r="AQ231" s="41">
        <f>IFERROR(VLOOKUP(G231,'10'!A:B,2,0),0)</f>
        <v>0</v>
      </c>
      <c r="AR231" s="41">
        <f t="shared" si="148"/>
        <v>0</v>
      </c>
      <c r="AS231" s="41">
        <f t="shared" si="151"/>
        <v>470789.33</v>
      </c>
      <c r="AT231" s="41">
        <f t="shared" si="166"/>
        <v>470789.33</v>
      </c>
      <c r="AU231" s="41">
        <f t="shared" si="150"/>
        <v>0</v>
      </c>
      <c r="AV231" s="459">
        <f>AT231/AS231</f>
        <v>1</v>
      </c>
      <c r="AW231" s="40">
        <v>0</v>
      </c>
      <c r="AX231" s="40">
        <v>0</v>
      </c>
      <c r="AY231" s="41">
        <f t="shared" si="149"/>
        <v>470789.33</v>
      </c>
      <c r="AZ231" s="41">
        <f>VLOOKUP(G231,'2017'!A:B,2,0)</f>
        <v>470789.33</v>
      </c>
      <c r="BA231" s="552">
        <f t="shared" si="158"/>
        <v>0</v>
      </c>
      <c r="BB231" s="40">
        <v>0</v>
      </c>
      <c r="BC231" s="40">
        <v>0</v>
      </c>
      <c r="BD231" s="40">
        <v>0</v>
      </c>
      <c r="BE231" s="40">
        <v>0</v>
      </c>
      <c r="BF231" s="40">
        <v>0</v>
      </c>
      <c r="BG231" s="40">
        <v>0</v>
      </c>
      <c r="BH231" s="40">
        <v>0</v>
      </c>
      <c r="BI231" s="40">
        <v>12954152.619999999</v>
      </c>
      <c r="BJ231" s="75"/>
      <c r="BK231" s="11"/>
      <c r="BL231" s="2"/>
    </row>
    <row r="232" spans="1:64" ht="63" x14ac:dyDescent="0.25">
      <c r="A232" s="11" t="s">
        <v>150</v>
      </c>
      <c r="B232" s="11" t="s">
        <v>151</v>
      </c>
      <c r="C232" s="14" t="s">
        <v>578</v>
      </c>
      <c r="D232" s="11" t="s">
        <v>3</v>
      </c>
      <c r="E232" s="11" t="s">
        <v>29</v>
      </c>
      <c r="F232" s="11" t="s">
        <v>102</v>
      </c>
      <c r="G232" s="44" t="s">
        <v>162</v>
      </c>
      <c r="H232" s="45">
        <v>221</v>
      </c>
      <c r="I232" s="45" t="s">
        <v>150</v>
      </c>
      <c r="J232" s="46" t="s">
        <v>98</v>
      </c>
      <c r="K232" s="46" t="s">
        <v>163</v>
      </c>
      <c r="L232" s="41">
        <v>0</v>
      </c>
      <c r="M232" s="41">
        <v>3623071.21</v>
      </c>
      <c r="N232" s="41">
        <v>7980164.3499999996</v>
      </c>
      <c r="O232" s="41">
        <v>0</v>
      </c>
      <c r="P232" s="41">
        <v>985867.58</v>
      </c>
      <c r="Q232" s="41">
        <f t="shared" si="160"/>
        <v>985867.58</v>
      </c>
      <c r="R232" s="41">
        <v>0</v>
      </c>
      <c r="S232" s="41">
        <v>0</v>
      </c>
      <c r="T232" s="41">
        <f t="shared" si="161"/>
        <v>0</v>
      </c>
      <c r="U232" s="41">
        <v>985867.58</v>
      </c>
      <c r="V232" s="41">
        <v>0</v>
      </c>
      <c r="W232" s="41">
        <f t="shared" si="162"/>
        <v>-985867.58</v>
      </c>
      <c r="X232" s="41">
        <v>0</v>
      </c>
      <c r="Y232" s="41">
        <v>0</v>
      </c>
      <c r="Z232" s="41">
        <f t="shared" si="163"/>
        <v>0</v>
      </c>
      <c r="AA232" s="41">
        <v>0</v>
      </c>
      <c r="AB232" s="41">
        <v>0</v>
      </c>
      <c r="AC232" s="41">
        <f t="shared" si="164"/>
        <v>0</v>
      </c>
      <c r="AD232" s="41">
        <v>0</v>
      </c>
      <c r="AE232" s="41">
        <v>0</v>
      </c>
      <c r="AF232" s="41">
        <f t="shared" si="165"/>
        <v>0</v>
      </c>
      <c r="AG232" s="41">
        <v>0</v>
      </c>
      <c r="AH232" s="41">
        <v>0</v>
      </c>
      <c r="AI232" s="41">
        <f t="shared" si="156"/>
        <v>0</v>
      </c>
      <c r="AJ232" s="41">
        <v>0</v>
      </c>
      <c r="AK232" s="41">
        <v>0</v>
      </c>
      <c r="AL232" s="41">
        <f t="shared" si="157"/>
        <v>0</v>
      </c>
      <c r="AM232" s="41">
        <v>0</v>
      </c>
      <c r="AN232" s="41">
        <v>0</v>
      </c>
      <c r="AO232" s="41">
        <f t="shared" si="155"/>
        <v>0</v>
      </c>
      <c r="AP232" s="41">
        <v>0</v>
      </c>
      <c r="AQ232" s="41">
        <f>IFERROR(VLOOKUP(G232,'10'!A:B,2,0),0)</f>
        <v>0</v>
      </c>
      <c r="AR232" s="41">
        <f t="shared" si="148"/>
        <v>0</v>
      </c>
      <c r="AS232" s="41">
        <f t="shared" si="151"/>
        <v>985867.58</v>
      </c>
      <c r="AT232" s="41">
        <f t="shared" si="166"/>
        <v>985867.58</v>
      </c>
      <c r="AU232" s="41">
        <f t="shared" si="150"/>
        <v>0</v>
      </c>
      <c r="AV232" s="459">
        <f>AT232/AS232</f>
        <v>1</v>
      </c>
      <c r="AW232" s="41">
        <v>0</v>
      </c>
      <c r="AX232" s="41">
        <v>0</v>
      </c>
      <c r="AY232" s="41">
        <f t="shared" si="149"/>
        <v>985867.58</v>
      </c>
      <c r="AZ232" s="41">
        <f>VLOOKUP(G232,'2017'!A:B,2,0)</f>
        <v>985867.58</v>
      </c>
      <c r="BA232" s="552">
        <f t="shared" si="158"/>
        <v>0</v>
      </c>
      <c r="BB232" s="41">
        <v>0</v>
      </c>
      <c r="BC232" s="41">
        <v>0</v>
      </c>
      <c r="BD232" s="41">
        <v>0</v>
      </c>
      <c r="BE232" s="41">
        <v>0</v>
      </c>
      <c r="BF232" s="41">
        <v>0</v>
      </c>
      <c r="BG232" s="41">
        <v>0</v>
      </c>
      <c r="BH232" s="41">
        <v>0</v>
      </c>
      <c r="BI232" s="41">
        <v>12589103.139999999</v>
      </c>
      <c r="BJ232" s="75"/>
      <c r="BK232" s="11"/>
      <c r="BL232" s="2"/>
    </row>
    <row r="233" spans="1:64" ht="47.25" x14ac:dyDescent="0.25">
      <c r="A233" s="11" t="s">
        <v>150</v>
      </c>
      <c r="B233" s="11" t="s">
        <v>151</v>
      </c>
      <c r="C233" s="14" t="s">
        <v>578</v>
      </c>
      <c r="D233" s="11" t="s">
        <v>3</v>
      </c>
      <c r="E233" s="11" t="s">
        <v>29</v>
      </c>
      <c r="F233" s="11" t="s">
        <v>102</v>
      </c>
      <c r="G233" s="44" t="s">
        <v>156</v>
      </c>
      <c r="H233" s="45">
        <v>222</v>
      </c>
      <c r="I233" s="45" t="s">
        <v>150</v>
      </c>
      <c r="J233" s="46" t="s">
        <v>98</v>
      </c>
      <c r="K233" s="46" t="s">
        <v>157</v>
      </c>
      <c r="L233" s="41">
        <v>0</v>
      </c>
      <c r="M233" s="41">
        <v>5541172.3200000003</v>
      </c>
      <c r="N233" s="41">
        <v>3789226.8700000006</v>
      </c>
      <c r="O233" s="41">
        <v>0</v>
      </c>
      <c r="P233" s="41">
        <v>426006.22</v>
      </c>
      <c r="Q233" s="41">
        <f t="shared" si="160"/>
        <v>426006.22</v>
      </c>
      <c r="R233" s="41">
        <v>0</v>
      </c>
      <c r="S233" s="41">
        <v>0</v>
      </c>
      <c r="T233" s="41">
        <f t="shared" si="161"/>
        <v>0</v>
      </c>
      <c r="U233" s="41">
        <v>426006.22</v>
      </c>
      <c r="V233" s="41">
        <v>0</v>
      </c>
      <c r="W233" s="41">
        <f t="shared" si="162"/>
        <v>-426006.22</v>
      </c>
      <c r="X233" s="41">
        <v>0</v>
      </c>
      <c r="Y233" s="41">
        <v>0</v>
      </c>
      <c r="Z233" s="41">
        <f t="shared" si="163"/>
        <v>0</v>
      </c>
      <c r="AA233" s="41">
        <v>0</v>
      </c>
      <c r="AB233" s="41">
        <v>0</v>
      </c>
      <c r="AC233" s="41">
        <f t="shared" si="164"/>
        <v>0</v>
      </c>
      <c r="AD233" s="41">
        <v>0</v>
      </c>
      <c r="AE233" s="41">
        <v>0</v>
      </c>
      <c r="AF233" s="41">
        <f t="shared" si="165"/>
        <v>0</v>
      </c>
      <c r="AG233" s="41">
        <v>0</v>
      </c>
      <c r="AH233" s="41">
        <v>0</v>
      </c>
      <c r="AI233" s="41">
        <f t="shared" si="156"/>
        <v>0</v>
      </c>
      <c r="AJ233" s="41">
        <v>0</v>
      </c>
      <c r="AK233" s="41">
        <v>0</v>
      </c>
      <c r="AL233" s="41">
        <f t="shared" si="157"/>
        <v>0</v>
      </c>
      <c r="AM233" s="41">
        <v>0</v>
      </c>
      <c r="AN233" s="41">
        <v>0</v>
      </c>
      <c r="AO233" s="41">
        <f t="shared" si="155"/>
        <v>0</v>
      </c>
      <c r="AP233" s="41">
        <v>0</v>
      </c>
      <c r="AQ233" s="41">
        <f>IFERROR(VLOOKUP(G233,'10'!A:B,2,0),0)</f>
        <v>0</v>
      </c>
      <c r="AR233" s="41">
        <f t="shared" si="148"/>
        <v>0</v>
      </c>
      <c r="AS233" s="41">
        <f t="shared" si="151"/>
        <v>426006.22</v>
      </c>
      <c r="AT233" s="41">
        <f t="shared" si="166"/>
        <v>426006.22</v>
      </c>
      <c r="AU233" s="41">
        <f t="shared" si="150"/>
        <v>0</v>
      </c>
      <c r="AV233" s="459">
        <f>AT233/AS233</f>
        <v>1</v>
      </c>
      <c r="AW233" s="41">
        <v>0</v>
      </c>
      <c r="AX233" s="41">
        <v>0</v>
      </c>
      <c r="AY233" s="41">
        <f t="shared" si="149"/>
        <v>426006.22</v>
      </c>
      <c r="AZ233" s="41">
        <f>VLOOKUP(G233,'2017'!A:B,2,0)</f>
        <v>426006.22</v>
      </c>
      <c r="BA233" s="552">
        <f t="shared" si="158"/>
        <v>0</v>
      </c>
      <c r="BB233" s="41">
        <v>0</v>
      </c>
      <c r="BC233" s="41">
        <v>0</v>
      </c>
      <c r="BD233" s="41">
        <v>0</v>
      </c>
      <c r="BE233" s="41">
        <v>0</v>
      </c>
      <c r="BF233" s="41">
        <v>0</v>
      </c>
      <c r="BG233" s="41">
        <v>0</v>
      </c>
      <c r="BH233" s="41">
        <v>0</v>
      </c>
      <c r="BI233" s="41">
        <v>9756405.410000002</v>
      </c>
      <c r="BJ233" s="75"/>
      <c r="BK233" s="24"/>
    </row>
    <row r="234" spans="1:64" ht="47.25" x14ac:dyDescent="0.25">
      <c r="A234" s="11" t="s">
        <v>150</v>
      </c>
      <c r="B234" s="11" t="s">
        <v>151</v>
      </c>
      <c r="C234" s="14" t="s">
        <v>578</v>
      </c>
      <c r="D234" s="11" t="s">
        <v>3</v>
      </c>
      <c r="E234" s="11" t="s">
        <v>29</v>
      </c>
      <c r="F234" s="11" t="s">
        <v>102</v>
      </c>
      <c r="G234" s="44" t="s">
        <v>631</v>
      </c>
      <c r="H234" s="45">
        <v>223</v>
      </c>
      <c r="I234" s="45" t="s">
        <v>150</v>
      </c>
      <c r="J234" s="46" t="s">
        <v>98</v>
      </c>
      <c r="K234" s="46" t="s">
        <v>632</v>
      </c>
      <c r="L234" s="41">
        <v>0</v>
      </c>
      <c r="M234" s="41">
        <v>6543514.0700000003</v>
      </c>
      <c r="N234" s="41">
        <v>3097799.33</v>
      </c>
      <c r="O234" s="41">
        <v>0</v>
      </c>
      <c r="P234" s="41">
        <v>0</v>
      </c>
      <c r="Q234" s="41">
        <f t="shared" si="160"/>
        <v>0</v>
      </c>
      <c r="R234" s="41">
        <v>0</v>
      </c>
      <c r="S234" s="41">
        <v>0</v>
      </c>
      <c r="T234" s="41">
        <f t="shared" si="161"/>
        <v>0</v>
      </c>
      <c r="U234" s="41">
        <v>0</v>
      </c>
      <c r="V234" s="41">
        <v>0</v>
      </c>
      <c r="W234" s="41">
        <f t="shared" si="162"/>
        <v>0</v>
      </c>
      <c r="X234" s="41">
        <v>0</v>
      </c>
      <c r="Y234" s="41">
        <v>0</v>
      </c>
      <c r="Z234" s="41">
        <f t="shared" si="163"/>
        <v>0</v>
      </c>
      <c r="AA234" s="41">
        <v>0</v>
      </c>
      <c r="AB234" s="41">
        <v>0</v>
      </c>
      <c r="AC234" s="41">
        <f t="shared" si="164"/>
        <v>0</v>
      </c>
      <c r="AD234" s="41">
        <v>0</v>
      </c>
      <c r="AE234" s="41">
        <v>0</v>
      </c>
      <c r="AF234" s="41">
        <f t="shared" si="165"/>
        <v>0</v>
      </c>
      <c r="AG234" s="41">
        <v>0</v>
      </c>
      <c r="AH234" s="41">
        <v>0</v>
      </c>
      <c r="AI234" s="41">
        <f t="shared" si="156"/>
        <v>0</v>
      </c>
      <c r="AJ234" s="41">
        <v>0</v>
      </c>
      <c r="AK234" s="41">
        <v>0</v>
      </c>
      <c r="AL234" s="41">
        <f t="shared" si="157"/>
        <v>0</v>
      </c>
      <c r="AM234" s="41">
        <v>0</v>
      </c>
      <c r="AN234" s="41">
        <v>0</v>
      </c>
      <c r="AO234" s="41">
        <f t="shared" si="155"/>
        <v>0</v>
      </c>
      <c r="AP234" s="41">
        <v>0</v>
      </c>
      <c r="AQ234" s="41">
        <f>IFERROR(VLOOKUP(G234,'10'!A:B,2,0),0)</f>
        <v>0</v>
      </c>
      <c r="AR234" s="41">
        <f t="shared" si="148"/>
        <v>0</v>
      </c>
      <c r="AS234" s="41">
        <f t="shared" si="151"/>
        <v>0</v>
      </c>
      <c r="AT234" s="41">
        <f t="shared" si="166"/>
        <v>0</v>
      </c>
      <c r="AU234" s="41">
        <f t="shared" si="150"/>
        <v>0</v>
      </c>
      <c r="AV234" s="459">
        <v>0</v>
      </c>
      <c r="AW234" s="41">
        <v>0</v>
      </c>
      <c r="AX234" s="41">
        <v>0</v>
      </c>
      <c r="AY234" s="41">
        <f t="shared" si="149"/>
        <v>0</v>
      </c>
      <c r="AZ234" s="41"/>
      <c r="BA234" s="36">
        <f t="shared" si="158"/>
        <v>0</v>
      </c>
      <c r="BB234" s="41">
        <v>0</v>
      </c>
      <c r="BC234" s="41">
        <v>0</v>
      </c>
      <c r="BD234" s="41">
        <v>0</v>
      </c>
      <c r="BE234" s="41">
        <v>0</v>
      </c>
      <c r="BF234" s="41">
        <v>0</v>
      </c>
      <c r="BG234" s="41">
        <v>0</v>
      </c>
      <c r="BH234" s="41">
        <v>0</v>
      </c>
      <c r="BI234" s="41">
        <v>9641313.4000000004</v>
      </c>
      <c r="BJ234" s="75"/>
      <c r="BK234" s="24"/>
    </row>
    <row r="235" spans="1:64" ht="63" x14ac:dyDescent="0.25">
      <c r="A235" s="11" t="s">
        <v>150</v>
      </c>
      <c r="B235" s="11" t="s">
        <v>151</v>
      </c>
      <c r="C235" s="14" t="s">
        <v>578</v>
      </c>
      <c r="D235" s="11" t="s">
        <v>3</v>
      </c>
      <c r="E235" s="11" t="s">
        <v>29</v>
      </c>
      <c r="F235" s="11" t="s">
        <v>102</v>
      </c>
      <c r="G235" s="44" t="s">
        <v>160</v>
      </c>
      <c r="H235" s="45">
        <v>224</v>
      </c>
      <c r="I235" s="45" t="s">
        <v>150</v>
      </c>
      <c r="J235" s="46" t="s">
        <v>98</v>
      </c>
      <c r="K235" s="46" t="s">
        <v>161</v>
      </c>
      <c r="L235" s="41">
        <v>0</v>
      </c>
      <c r="M235" s="41">
        <v>1914185.88</v>
      </c>
      <c r="N235" s="41">
        <v>2615029.0300000003</v>
      </c>
      <c r="O235" s="41">
        <v>0</v>
      </c>
      <c r="P235" s="41">
        <v>210085.6</v>
      </c>
      <c r="Q235" s="41">
        <f t="shared" si="160"/>
        <v>210085.6</v>
      </c>
      <c r="R235" s="41">
        <v>0</v>
      </c>
      <c r="S235" s="41">
        <v>0</v>
      </c>
      <c r="T235" s="41">
        <f t="shared" si="161"/>
        <v>0</v>
      </c>
      <c r="U235" s="41">
        <v>210085.6</v>
      </c>
      <c r="V235" s="41">
        <v>0</v>
      </c>
      <c r="W235" s="41">
        <f t="shared" si="162"/>
        <v>-210085.6</v>
      </c>
      <c r="X235" s="41">
        <v>0</v>
      </c>
      <c r="Y235" s="41">
        <v>0</v>
      </c>
      <c r="Z235" s="41">
        <f t="shared" si="163"/>
        <v>0</v>
      </c>
      <c r="AA235" s="41">
        <v>0</v>
      </c>
      <c r="AB235" s="41">
        <v>0</v>
      </c>
      <c r="AC235" s="41">
        <f t="shared" si="164"/>
        <v>0</v>
      </c>
      <c r="AD235" s="41">
        <v>0</v>
      </c>
      <c r="AE235" s="41">
        <v>0</v>
      </c>
      <c r="AF235" s="41">
        <f t="shared" si="165"/>
        <v>0</v>
      </c>
      <c r="AG235" s="41">
        <v>0</v>
      </c>
      <c r="AH235" s="41">
        <v>0</v>
      </c>
      <c r="AI235" s="41">
        <f t="shared" si="156"/>
        <v>0</v>
      </c>
      <c r="AJ235" s="41">
        <v>0</v>
      </c>
      <c r="AK235" s="41">
        <v>0</v>
      </c>
      <c r="AL235" s="41">
        <f t="shared" si="157"/>
        <v>0</v>
      </c>
      <c r="AM235" s="41">
        <v>0</v>
      </c>
      <c r="AN235" s="41">
        <v>0</v>
      </c>
      <c r="AO235" s="41">
        <f t="shared" si="155"/>
        <v>0</v>
      </c>
      <c r="AP235" s="41">
        <v>0</v>
      </c>
      <c r="AQ235" s="41">
        <f>IFERROR(VLOOKUP(G235,'10'!A:B,2,0),0)</f>
        <v>0</v>
      </c>
      <c r="AR235" s="41">
        <f t="shared" si="148"/>
        <v>0</v>
      </c>
      <c r="AS235" s="41">
        <f t="shared" si="151"/>
        <v>210085.6</v>
      </c>
      <c r="AT235" s="41">
        <f t="shared" si="166"/>
        <v>210085.6</v>
      </c>
      <c r="AU235" s="41">
        <f t="shared" si="150"/>
        <v>0</v>
      </c>
      <c r="AV235" s="459">
        <f>AT235/AS235</f>
        <v>1</v>
      </c>
      <c r="AW235" s="41">
        <v>0</v>
      </c>
      <c r="AX235" s="41">
        <v>0</v>
      </c>
      <c r="AY235" s="41">
        <f t="shared" si="149"/>
        <v>210085.6</v>
      </c>
      <c r="AZ235" s="41">
        <f>VLOOKUP(G235,'2017'!A:B,2,0)</f>
        <v>210085.6</v>
      </c>
      <c r="BA235" s="552">
        <f t="shared" si="158"/>
        <v>0</v>
      </c>
      <c r="BB235" s="41">
        <v>0</v>
      </c>
      <c r="BC235" s="41">
        <v>0</v>
      </c>
      <c r="BD235" s="41">
        <v>0</v>
      </c>
      <c r="BE235" s="41">
        <v>0</v>
      </c>
      <c r="BF235" s="41">
        <v>0</v>
      </c>
      <c r="BG235" s="41">
        <v>0</v>
      </c>
      <c r="BH235" s="41">
        <v>0</v>
      </c>
      <c r="BI235" s="41">
        <v>4739300.51</v>
      </c>
      <c r="BJ235" s="75"/>
      <c r="BK235" s="24"/>
      <c r="BL235" s="2"/>
    </row>
    <row r="236" spans="1:64" ht="63" x14ac:dyDescent="0.25">
      <c r="A236" s="11" t="s">
        <v>150</v>
      </c>
      <c r="B236" s="11" t="s">
        <v>151</v>
      </c>
      <c r="C236" s="14" t="s">
        <v>578</v>
      </c>
      <c r="D236" s="11" t="s">
        <v>3</v>
      </c>
      <c r="E236" s="11" t="s">
        <v>29</v>
      </c>
      <c r="F236" s="11" t="s">
        <v>102</v>
      </c>
      <c r="G236" s="44" t="s">
        <v>152</v>
      </c>
      <c r="H236" s="45">
        <v>225</v>
      </c>
      <c r="I236" s="45" t="s">
        <v>150</v>
      </c>
      <c r="J236" s="46" t="s">
        <v>98</v>
      </c>
      <c r="K236" s="46" t="s">
        <v>153</v>
      </c>
      <c r="L236" s="41">
        <v>0</v>
      </c>
      <c r="M236" s="41">
        <v>0</v>
      </c>
      <c r="N236" s="41">
        <v>10323791.960000001</v>
      </c>
      <c r="O236" s="41">
        <v>0</v>
      </c>
      <c r="P236" s="41">
        <v>579756.30000000005</v>
      </c>
      <c r="Q236" s="41">
        <f t="shared" si="160"/>
        <v>579756.30000000005</v>
      </c>
      <c r="R236" s="41">
        <v>0</v>
      </c>
      <c r="S236" s="41">
        <v>0</v>
      </c>
      <c r="T236" s="41">
        <f t="shared" si="161"/>
        <v>0</v>
      </c>
      <c r="U236" s="41">
        <v>579756.30000000005</v>
      </c>
      <c r="V236" s="41">
        <v>0</v>
      </c>
      <c r="W236" s="41">
        <f t="shared" si="162"/>
        <v>-579756.30000000005</v>
      </c>
      <c r="X236" s="41">
        <v>0</v>
      </c>
      <c r="Y236" s="41">
        <v>0</v>
      </c>
      <c r="Z236" s="41">
        <f t="shared" si="163"/>
        <v>0</v>
      </c>
      <c r="AA236" s="41">
        <v>0</v>
      </c>
      <c r="AB236" s="41">
        <v>0</v>
      </c>
      <c r="AC236" s="41">
        <f t="shared" si="164"/>
        <v>0</v>
      </c>
      <c r="AD236" s="41">
        <v>0</v>
      </c>
      <c r="AE236" s="41">
        <v>0</v>
      </c>
      <c r="AF236" s="41">
        <f t="shared" si="165"/>
        <v>0</v>
      </c>
      <c r="AG236" s="41">
        <v>0</v>
      </c>
      <c r="AH236" s="41">
        <v>0</v>
      </c>
      <c r="AI236" s="41">
        <f t="shared" si="156"/>
        <v>0</v>
      </c>
      <c r="AJ236" s="41">
        <v>0</v>
      </c>
      <c r="AK236" s="41">
        <v>0</v>
      </c>
      <c r="AL236" s="41">
        <f t="shared" si="157"/>
        <v>0</v>
      </c>
      <c r="AM236" s="41">
        <v>0</v>
      </c>
      <c r="AN236" s="41">
        <v>0</v>
      </c>
      <c r="AO236" s="41">
        <f t="shared" si="155"/>
        <v>0</v>
      </c>
      <c r="AP236" s="41">
        <v>0</v>
      </c>
      <c r="AQ236" s="41">
        <f>IFERROR(VLOOKUP(G236,'10'!A:B,2,0),0)</f>
        <v>0</v>
      </c>
      <c r="AR236" s="41">
        <f t="shared" si="148"/>
        <v>0</v>
      </c>
      <c r="AS236" s="41">
        <f t="shared" si="151"/>
        <v>579756.30000000005</v>
      </c>
      <c r="AT236" s="41">
        <f t="shared" si="166"/>
        <v>579756.30000000005</v>
      </c>
      <c r="AU236" s="41">
        <f t="shared" si="150"/>
        <v>0</v>
      </c>
      <c r="AV236" s="459">
        <f>AT236/AS236</f>
        <v>1</v>
      </c>
      <c r="AW236" s="41">
        <v>0</v>
      </c>
      <c r="AX236" s="41">
        <v>0</v>
      </c>
      <c r="AY236" s="41">
        <f t="shared" si="149"/>
        <v>579756.30000000005</v>
      </c>
      <c r="AZ236" s="41">
        <f>VLOOKUP(G236,'2017'!A:B,2,0)</f>
        <v>579756.30000000005</v>
      </c>
      <c r="BA236" s="552">
        <f t="shared" si="158"/>
        <v>0</v>
      </c>
      <c r="BB236" s="41">
        <v>0</v>
      </c>
      <c r="BC236" s="41">
        <v>0</v>
      </c>
      <c r="BD236" s="41">
        <v>0</v>
      </c>
      <c r="BE236" s="41">
        <v>0</v>
      </c>
      <c r="BF236" s="41">
        <v>0</v>
      </c>
      <c r="BG236" s="41">
        <v>0</v>
      </c>
      <c r="BH236" s="41">
        <v>0</v>
      </c>
      <c r="BI236" s="41">
        <v>10903548.260000002</v>
      </c>
      <c r="BJ236" s="75"/>
      <c r="BK236" s="24"/>
    </row>
    <row r="237" spans="1:64" s="8" customFormat="1" ht="63" x14ac:dyDescent="0.25">
      <c r="A237" s="11" t="s">
        <v>150</v>
      </c>
      <c r="B237" s="11" t="s">
        <v>151</v>
      </c>
      <c r="C237" s="14" t="s">
        <v>578</v>
      </c>
      <c r="D237" s="11" t="s">
        <v>3</v>
      </c>
      <c r="E237" s="11" t="s">
        <v>29</v>
      </c>
      <c r="F237" s="11" t="s">
        <v>102</v>
      </c>
      <c r="G237" s="44" t="s">
        <v>629</v>
      </c>
      <c r="H237" s="45">
        <v>226</v>
      </c>
      <c r="I237" s="45" t="s">
        <v>150</v>
      </c>
      <c r="J237" s="46" t="s">
        <v>98</v>
      </c>
      <c r="K237" s="46" t="s">
        <v>630</v>
      </c>
      <c r="L237" s="41">
        <v>0</v>
      </c>
      <c r="M237" s="41">
        <v>7917754.4800000004</v>
      </c>
      <c r="N237" s="41">
        <v>7060331.9199999999</v>
      </c>
      <c r="O237" s="41">
        <v>0</v>
      </c>
      <c r="P237" s="41">
        <v>0</v>
      </c>
      <c r="Q237" s="41">
        <f t="shared" si="160"/>
        <v>0</v>
      </c>
      <c r="R237" s="41">
        <v>0</v>
      </c>
      <c r="S237" s="41">
        <v>0</v>
      </c>
      <c r="T237" s="41">
        <f t="shared" si="161"/>
        <v>0</v>
      </c>
      <c r="U237" s="41">
        <v>0</v>
      </c>
      <c r="V237" s="41">
        <v>0</v>
      </c>
      <c r="W237" s="41">
        <f t="shared" si="162"/>
        <v>0</v>
      </c>
      <c r="X237" s="41">
        <v>0</v>
      </c>
      <c r="Y237" s="41">
        <v>0</v>
      </c>
      <c r="Z237" s="41">
        <f t="shared" si="163"/>
        <v>0</v>
      </c>
      <c r="AA237" s="41">
        <v>0</v>
      </c>
      <c r="AB237" s="41">
        <v>0</v>
      </c>
      <c r="AC237" s="41">
        <f t="shared" si="164"/>
        <v>0</v>
      </c>
      <c r="AD237" s="41">
        <v>0</v>
      </c>
      <c r="AE237" s="41">
        <v>0</v>
      </c>
      <c r="AF237" s="41">
        <f t="shared" si="165"/>
        <v>0</v>
      </c>
      <c r="AG237" s="41">
        <v>0</v>
      </c>
      <c r="AH237" s="41">
        <v>0</v>
      </c>
      <c r="AI237" s="41">
        <f t="shared" si="156"/>
        <v>0</v>
      </c>
      <c r="AJ237" s="41">
        <v>0</v>
      </c>
      <c r="AK237" s="41">
        <v>0</v>
      </c>
      <c r="AL237" s="41">
        <f t="shared" si="157"/>
        <v>0</v>
      </c>
      <c r="AM237" s="41">
        <v>0</v>
      </c>
      <c r="AN237" s="41">
        <v>0</v>
      </c>
      <c r="AO237" s="41">
        <f t="shared" si="155"/>
        <v>0</v>
      </c>
      <c r="AP237" s="41">
        <v>0</v>
      </c>
      <c r="AQ237" s="41">
        <f>IFERROR(VLOOKUP(G237,'10'!A:B,2,0),0)</f>
        <v>0</v>
      </c>
      <c r="AR237" s="41">
        <f t="shared" si="148"/>
        <v>0</v>
      </c>
      <c r="AS237" s="41">
        <f t="shared" si="151"/>
        <v>0</v>
      </c>
      <c r="AT237" s="41">
        <f t="shared" si="166"/>
        <v>0</v>
      </c>
      <c r="AU237" s="41">
        <f t="shared" si="150"/>
        <v>0</v>
      </c>
      <c r="AV237" s="459">
        <v>0</v>
      </c>
      <c r="AW237" s="41">
        <v>0</v>
      </c>
      <c r="AX237" s="41">
        <v>0</v>
      </c>
      <c r="AY237" s="41">
        <f t="shared" si="149"/>
        <v>0</v>
      </c>
      <c r="AZ237" s="41"/>
      <c r="BA237" s="36">
        <f t="shared" si="158"/>
        <v>0</v>
      </c>
      <c r="BB237" s="41">
        <v>0</v>
      </c>
      <c r="BC237" s="41">
        <v>0</v>
      </c>
      <c r="BD237" s="41">
        <v>0</v>
      </c>
      <c r="BE237" s="41">
        <v>0</v>
      </c>
      <c r="BF237" s="41">
        <v>0</v>
      </c>
      <c r="BG237" s="41">
        <v>0</v>
      </c>
      <c r="BH237" s="41">
        <v>0</v>
      </c>
      <c r="BI237" s="41">
        <v>14978086.4</v>
      </c>
      <c r="BJ237" s="75"/>
      <c r="BK237" s="24"/>
    </row>
    <row r="238" spans="1:64" ht="47.25" x14ac:dyDescent="0.25">
      <c r="A238" s="15" t="s">
        <v>172</v>
      </c>
      <c r="B238" s="15" t="s">
        <v>173</v>
      </c>
      <c r="C238" s="16" t="s">
        <v>579</v>
      </c>
      <c r="D238" s="15" t="s">
        <v>3</v>
      </c>
      <c r="E238" s="15" t="s">
        <v>29</v>
      </c>
      <c r="F238" s="15" t="s">
        <v>5</v>
      </c>
      <c r="G238" s="47" t="s">
        <v>178</v>
      </c>
      <c r="H238" s="45">
        <v>227</v>
      </c>
      <c r="I238" s="45" t="s">
        <v>172</v>
      </c>
      <c r="J238" s="49" t="s">
        <v>98</v>
      </c>
      <c r="K238" s="49" t="s">
        <v>179</v>
      </c>
      <c r="L238" s="40">
        <v>0</v>
      </c>
      <c r="M238" s="40">
        <v>0</v>
      </c>
      <c r="N238" s="40">
        <v>7841593.75</v>
      </c>
      <c r="O238" s="40">
        <v>0</v>
      </c>
      <c r="P238" s="40">
        <v>0</v>
      </c>
      <c r="Q238" s="41">
        <f t="shared" si="160"/>
        <v>0</v>
      </c>
      <c r="R238" s="40">
        <v>0</v>
      </c>
      <c r="S238" s="40">
        <v>0</v>
      </c>
      <c r="T238" s="41">
        <f t="shared" si="161"/>
        <v>0</v>
      </c>
      <c r="U238" s="40">
        <v>0</v>
      </c>
      <c r="V238" s="40">
        <v>0</v>
      </c>
      <c r="W238" s="41">
        <f t="shared" si="162"/>
        <v>0</v>
      </c>
      <c r="X238" s="40">
        <v>0</v>
      </c>
      <c r="Y238" s="40">
        <v>0</v>
      </c>
      <c r="Z238" s="41">
        <f t="shared" si="163"/>
        <v>0</v>
      </c>
      <c r="AA238" s="40">
        <v>0</v>
      </c>
      <c r="AB238" s="40">
        <v>0</v>
      </c>
      <c r="AC238" s="41">
        <f t="shared" si="164"/>
        <v>0</v>
      </c>
      <c r="AD238" s="40">
        <v>0</v>
      </c>
      <c r="AE238" s="41">
        <v>0</v>
      </c>
      <c r="AF238" s="41">
        <f t="shared" si="165"/>
        <v>0</v>
      </c>
      <c r="AG238" s="40">
        <v>0</v>
      </c>
      <c r="AH238" s="41">
        <v>0</v>
      </c>
      <c r="AI238" s="41">
        <f t="shared" si="156"/>
        <v>0</v>
      </c>
      <c r="AJ238" s="40">
        <v>0</v>
      </c>
      <c r="AK238" s="41">
        <v>0</v>
      </c>
      <c r="AL238" s="41">
        <f t="shared" si="157"/>
        <v>0</v>
      </c>
      <c r="AM238" s="40">
        <v>0</v>
      </c>
      <c r="AN238" s="41">
        <v>0</v>
      </c>
      <c r="AO238" s="41">
        <f t="shared" si="155"/>
        <v>0</v>
      </c>
      <c r="AP238" s="40">
        <v>0</v>
      </c>
      <c r="AQ238" s="41">
        <f>IFERROR(VLOOKUP(G238,'10'!A:B,2,0),0)</f>
        <v>0</v>
      </c>
      <c r="AR238" s="41">
        <f t="shared" si="148"/>
        <v>0</v>
      </c>
      <c r="AS238" s="41">
        <f t="shared" si="151"/>
        <v>0</v>
      </c>
      <c r="AT238" s="41">
        <f t="shared" si="166"/>
        <v>0</v>
      </c>
      <c r="AU238" s="41">
        <f t="shared" si="150"/>
        <v>0</v>
      </c>
      <c r="AV238" s="459">
        <v>0</v>
      </c>
      <c r="AW238" s="40">
        <v>0</v>
      </c>
      <c r="AX238" s="40">
        <v>0</v>
      </c>
      <c r="AY238" s="41">
        <f t="shared" si="149"/>
        <v>0</v>
      </c>
      <c r="AZ238" s="41"/>
      <c r="BA238" s="36">
        <f t="shared" si="158"/>
        <v>0</v>
      </c>
      <c r="BB238" s="40">
        <v>0</v>
      </c>
      <c r="BC238" s="40">
        <v>0</v>
      </c>
      <c r="BD238" s="40">
        <v>0</v>
      </c>
      <c r="BE238" s="40">
        <v>0</v>
      </c>
      <c r="BF238" s="40">
        <v>0</v>
      </c>
      <c r="BG238" s="40">
        <v>0</v>
      </c>
      <c r="BH238" s="40">
        <v>0</v>
      </c>
      <c r="BI238" s="40">
        <v>8275897.5099999998</v>
      </c>
      <c r="BJ238" s="75"/>
      <c r="BK238" s="11"/>
      <c r="BL238" s="2"/>
    </row>
    <row r="239" spans="1:64" s="29" customFormat="1" ht="63" x14ac:dyDescent="0.25">
      <c r="A239" s="11" t="s">
        <v>172</v>
      </c>
      <c r="B239" s="11" t="s">
        <v>173</v>
      </c>
      <c r="C239" s="14" t="s">
        <v>579</v>
      </c>
      <c r="D239" s="11" t="s">
        <v>3</v>
      </c>
      <c r="E239" s="11" t="s">
        <v>29</v>
      </c>
      <c r="F239" s="11" t="s">
        <v>5</v>
      </c>
      <c r="G239" s="44" t="s">
        <v>174</v>
      </c>
      <c r="H239" s="45">
        <v>228</v>
      </c>
      <c r="I239" s="45" t="s">
        <v>172</v>
      </c>
      <c r="J239" s="46" t="s">
        <v>98</v>
      </c>
      <c r="K239" s="46" t="s">
        <v>175</v>
      </c>
      <c r="L239" s="41">
        <v>0</v>
      </c>
      <c r="M239" s="41">
        <v>0</v>
      </c>
      <c r="N239" s="41">
        <v>3400304.68</v>
      </c>
      <c r="O239" s="41">
        <v>0</v>
      </c>
      <c r="P239" s="41">
        <v>0</v>
      </c>
      <c r="Q239" s="41">
        <f t="shared" si="160"/>
        <v>0</v>
      </c>
      <c r="R239" s="41">
        <v>0</v>
      </c>
      <c r="S239" s="41">
        <v>0</v>
      </c>
      <c r="T239" s="41">
        <f t="shared" si="161"/>
        <v>0</v>
      </c>
      <c r="U239" s="41">
        <v>9909.7800000000007</v>
      </c>
      <c r="V239" s="41">
        <v>9909.7800000000007</v>
      </c>
      <c r="W239" s="41">
        <f t="shared" si="162"/>
        <v>0</v>
      </c>
      <c r="X239" s="41">
        <v>0</v>
      </c>
      <c r="Y239" s="41">
        <v>0</v>
      </c>
      <c r="Z239" s="41">
        <f t="shared" si="163"/>
        <v>0</v>
      </c>
      <c r="AA239" s="41">
        <v>0</v>
      </c>
      <c r="AB239" s="41">
        <v>0</v>
      </c>
      <c r="AC239" s="41">
        <f t="shared" si="164"/>
        <v>0</v>
      </c>
      <c r="AD239" s="41">
        <v>73450.06</v>
      </c>
      <c r="AE239" s="41">
        <v>73450.06</v>
      </c>
      <c r="AF239" s="41">
        <f t="shared" si="165"/>
        <v>0</v>
      </c>
      <c r="AG239" s="41">
        <v>0</v>
      </c>
      <c r="AH239" s="41">
        <v>0</v>
      </c>
      <c r="AI239" s="41">
        <f t="shared" si="156"/>
        <v>0</v>
      </c>
      <c r="AJ239" s="41">
        <v>0</v>
      </c>
      <c r="AK239" s="41">
        <v>0</v>
      </c>
      <c r="AL239" s="41">
        <f t="shared" si="157"/>
        <v>0</v>
      </c>
      <c r="AM239" s="41">
        <v>0</v>
      </c>
      <c r="AN239" s="41">
        <v>0</v>
      </c>
      <c r="AO239" s="41">
        <f t="shared" si="155"/>
        <v>0</v>
      </c>
      <c r="AP239" s="41">
        <v>0</v>
      </c>
      <c r="AQ239" s="41">
        <f>IFERROR(VLOOKUP(G239,'10'!A:B,2,0),0)</f>
        <v>0</v>
      </c>
      <c r="AR239" s="41">
        <f t="shared" si="148"/>
        <v>0</v>
      </c>
      <c r="AS239" s="41">
        <f t="shared" si="151"/>
        <v>83359.839999999997</v>
      </c>
      <c r="AT239" s="41">
        <f t="shared" si="166"/>
        <v>83359.839999999997</v>
      </c>
      <c r="AU239" s="41">
        <f t="shared" si="150"/>
        <v>0</v>
      </c>
      <c r="AV239" s="459">
        <f>AT239/AS239</f>
        <v>1</v>
      </c>
      <c r="AW239" s="41">
        <v>0</v>
      </c>
      <c r="AX239" s="41">
        <v>74288.28</v>
      </c>
      <c r="AY239" s="41">
        <f t="shared" si="149"/>
        <v>157648.12</v>
      </c>
      <c r="AZ239" s="41">
        <f>VLOOKUP(G239,'2017'!A:B,2,0)</f>
        <v>157648.12</v>
      </c>
      <c r="BA239" s="552">
        <f t="shared" si="158"/>
        <v>0</v>
      </c>
      <c r="BB239" s="41">
        <v>0</v>
      </c>
      <c r="BC239" s="41">
        <v>0</v>
      </c>
      <c r="BD239" s="41">
        <v>0</v>
      </c>
      <c r="BE239" s="41">
        <v>0</v>
      </c>
      <c r="BF239" s="41">
        <v>0</v>
      </c>
      <c r="BG239" s="41">
        <v>0</v>
      </c>
      <c r="BH239" s="41">
        <v>0</v>
      </c>
      <c r="BI239" s="41">
        <v>3557952.8000000003</v>
      </c>
      <c r="BJ239" s="75"/>
      <c r="BK239" s="24"/>
      <c r="BL239" s="8"/>
    </row>
    <row r="240" spans="1:64" ht="63" x14ac:dyDescent="0.25">
      <c r="A240" s="11" t="s">
        <v>172</v>
      </c>
      <c r="B240" s="11" t="s">
        <v>173</v>
      </c>
      <c r="C240" s="14" t="s">
        <v>579</v>
      </c>
      <c r="D240" s="11" t="s">
        <v>3</v>
      </c>
      <c r="E240" s="11" t="s">
        <v>29</v>
      </c>
      <c r="F240" s="11" t="s">
        <v>5</v>
      </c>
      <c r="G240" s="44" t="s">
        <v>633</v>
      </c>
      <c r="H240" s="45">
        <v>229</v>
      </c>
      <c r="I240" s="45" t="s">
        <v>172</v>
      </c>
      <c r="J240" s="46" t="s">
        <v>98</v>
      </c>
      <c r="K240" s="46" t="s">
        <v>634</v>
      </c>
      <c r="L240" s="41">
        <v>0</v>
      </c>
      <c r="M240" s="41">
        <v>0</v>
      </c>
      <c r="N240" s="41">
        <v>874497.26</v>
      </c>
      <c r="O240" s="41">
        <v>0</v>
      </c>
      <c r="P240" s="41">
        <v>0</v>
      </c>
      <c r="Q240" s="41">
        <f t="shared" si="160"/>
        <v>0</v>
      </c>
      <c r="R240" s="41">
        <v>0</v>
      </c>
      <c r="S240" s="41">
        <v>0</v>
      </c>
      <c r="T240" s="41">
        <f t="shared" si="161"/>
        <v>0</v>
      </c>
      <c r="U240" s="41">
        <v>0</v>
      </c>
      <c r="V240" s="41">
        <v>0</v>
      </c>
      <c r="W240" s="41">
        <f t="shared" si="162"/>
        <v>0</v>
      </c>
      <c r="X240" s="41">
        <v>0</v>
      </c>
      <c r="Y240" s="41">
        <v>0</v>
      </c>
      <c r="Z240" s="41">
        <f t="shared" si="163"/>
        <v>0</v>
      </c>
      <c r="AA240" s="41">
        <v>0</v>
      </c>
      <c r="AB240" s="41">
        <v>0</v>
      </c>
      <c r="AC240" s="41">
        <f t="shared" si="164"/>
        <v>0</v>
      </c>
      <c r="AD240" s="41">
        <v>0</v>
      </c>
      <c r="AE240" s="41">
        <v>0</v>
      </c>
      <c r="AF240" s="41">
        <f t="shared" si="165"/>
        <v>0</v>
      </c>
      <c r="AG240" s="41">
        <v>0</v>
      </c>
      <c r="AH240" s="41">
        <v>0</v>
      </c>
      <c r="AI240" s="41">
        <f t="shared" si="156"/>
        <v>0</v>
      </c>
      <c r="AJ240" s="41">
        <v>0</v>
      </c>
      <c r="AK240" s="41">
        <v>0</v>
      </c>
      <c r="AL240" s="41">
        <f t="shared" si="157"/>
        <v>0</v>
      </c>
      <c r="AM240" s="41">
        <v>0</v>
      </c>
      <c r="AN240" s="41">
        <v>0</v>
      </c>
      <c r="AO240" s="41">
        <f t="shared" si="155"/>
        <v>0</v>
      </c>
      <c r="AP240" s="41">
        <v>0</v>
      </c>
      <c r="AQ240" s="41">
        <f>IFERROR(VLOOKUP(G240,'10'!A:B,2,0),0)</f>
        <v>0</v>
      </c>
      <c r="AR240" s="41">
        <f t="shared" si="148"/>
        <v>0</v>
      </c>
      <c r="AS240" s="41">
        <f t="shared" si="151"/>
        <v>0</v>
      </c>
      <c r="AT240" s="41">
        <f t="shared" si="166"/>
        <v>0</v>
      </c>
      <c r="AU240" s="41">
        <f t="shared" si="150"/>
        <v>0</v>
      </c>
      <c r="AV240" s="459">
        <v>0</v>
      </c>
      <c r="AW240" s="41">
        <v>0</v>
      </c>
      <c r="AX240" s="41">
        <v>0</v>
      </c>
      <c r="AY240" s="41">
        <f t="shared" si="149"/>
        <v>0</v>
      </c>
      <c r="AZ240" s="41">
        <f>VLOOKUP(G240,'2017'!A:B,2,0)</f>
        <v>0</v>
      </c>
      <c r="BA240" s="36">
        <f t="shared" si="158"/>
        <v>0</v>
      </c>
      <c r="BB240" s="41">
        <v>697042.5</v>
      </c>
      <c r="BC240" s="41">
        <v>3067650</v>
      </c>
      <c r="BD240" s="41">
        <v>1021338.31</v>
      </c>
      <c r="BE240" s="41">
        <v>0</v>
      </c>
      <c r="BF240" s="41">
        <v>0</v>
      </c>
      <c r="BG240" s="41">
        <v>0</v>
      </c>
      <c r="BH240" s="41">
        <v>0</v>
      </c>
      <c r="BI240" s="41">
        <v>5660528.0700000003</v>
      </c>
      <c r="BJ240" s="75"/>
      <c r="BK240" s="24"/>
    </row>
    <row r="241" spans="1:64" ht="47.25" x14ac:dyDescent="0.25">
      <c r="A241" s="11" t="s">
        <v>406</v>
      </c>
      <c r="B241" s="11" t="s">
        <v>411</v>
      </c>
      <c r="C241" s="14" t="s">
        <v>606</v>
      </c>
      <c r="D241" s="11">
        <v>1</v>
      </c>
      <c r="E241" s="11" t="s">
        <v>402</v>
      </c>
      <c r="F241" s="11" t="s">
        <v>77</v>
      </c>
      <c r="G241" s="44" t="s">
        <v>2342</v>
      </c>
      <c r="H241" s="45">
        <v>230</v>
      </c>
      <c r="I241" s="45" t="s">
        <v>406</v>
      </c>
      <c r="J241" s="46" t="s">
        <v>2777</v>
      </c>
      <c r="K241" s="46" t="s">
        <v>2778</v>
      </c>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v>1190</v>
      </c>
      <c r="AL241" s="41"/>
      <c r="AM241" s="41"/>
      <c r="AN241" s="41">
        <v>0</v>
      </c>
      <c r="AO241" s="41"/>
      <c r="AP241" s="41">
        <v>0</v>
      </c>
      <c r="AQ241" s="41">
        <f>IFERROR(VLOOKUP(G241,'10'!A:B,2,0),0)</f>
        <v>0</v>
      </c>
      <c r="AR241" s="41">
        <f t="shared" si="148"/>
        <v>0</v>
      </c>
      <c r="AS241" s="41">
        <f t="shared" si="151"/>
        <v>0</v>
      </c>
      <c r="AT241" s="41">
        <f t="shared" si="166"/>
        <v>1190</v>
      </c>
      <c r="AU241" s="41">
        <f t="shared" si="150"/>
        <v>0</v>
      </c>
      <c r="AV241" s="459">
        <v>0</v>
      </c>
      <c r="AW241" s="41">
        <v>0</v>
      </c>
      <c r="AX241" s="41">
        <v>0</v>
      </c>
      <c r="AY241" s="41">
        <f t="shared" si="149"/>
        <v>0</v>
      </c>
      <c r="AZ241" s="41"/>
      <c r="BA241" s="36">
        <v>0</v>
      </c>
      <c r="BB241" s="41">
        <v>10240.099999999999</v>
      </c>
      <c r="BC241" s="41">
        <v>5291.95</v>
      </c>
      <c r="BD241" s="41"/>
      <c r="BE241" s="41"/>
      <c r="BF241" s="41"/>
      <c r="BG241" s="41"/>
      <c r="BH241" s="41"/>
      <c r="BI241" s="41">
        <v>15532.05</v>
      </c>
      <c r="BJ241" s="75"/>
      <c r="BK241" s="25"/>
      <c r="BL241" s="2"/>
    </row>
    <row r="242" spans="1:64" ht="63" x14ac:dyDescent="0.25">
      <c r="A242" s="470" t="s">
        <v>172</v>
      </c>
      <c r="B242" s="470" t="s">
        <v>173</v>
      </c>
      <c r="C242" s="471" t="s">
        <v>579</v>
      </c>
      <c r="D242" s="470" t="s">
        <v>3</v>
      </c>
      <c r="E242" s="470" t="s">
        <v>29</v>
      </c>
      <c r="F242" s="470" t="s">
        <v>5</v>
      </c>
      <c r="G242" s="43" t="s">
        <v>188</v>
      </c>
      <c r="H242" s="45">
        <v>231</v>
      </c>
      <c r="I242" s="45" t="s">
        <v>172</v>
      </c>
      <c r="J242" s="475" t="s">
        <v>98</v>
      </c>
      <c r="K242" s="475" t="s">
        <v>189</v>
      </c>
      <c r="L242" s="41">
        <v>0</v>
      </c>
      <c r="M242" s="41">
        <v>0</v>
      </c>
      <c r="N242" s="41">
        <v>7322373.2699999996</v>
      </c>
      <c r="O242" s="41">
        <v>0</v>
      </c>
      <c r="P242" s="41">
        <v>0</v>
      </c>
      <c r="Q242" s="41">
        <f>P242-O242</f>
        <v>0</v>
      </c>
      <c r="R242" s="41">
        <v>0</v>
      </c>
      <c r="S242" s="41">
        <v>0</v>
      </c>
      <c r="T242" s="41">
        <f>S242-R242</f>
        <v>0</v>
      </c>
      <c r="U242" s="41">
        <v>314032.11</v>
      </c>
      <c r="V242" s="41">
        <v>0</v>
      </c>
      <c r="W242" s="41">
        <f>V242-U242</f>
        <v>-314032.11</v>
      </c>
      <c r="X242" s="41">
        <v>0</v>
      </c>
      <c r="Y242" s="41">
        <v>0</v>
      </c>
      <c r="Z242" s="41">
        <f>Y242-X242</f>
        <v>0</v>
      </c>
      <c r="AA242" s="41">
        <v>0</v>
      </c>
      <c r="AB242" s="41">
        <v>314032.11</v>
      </c>
      <c r="AC242" s="41">
        <f>AB242-AA242</f>
        <v>314032.11</v>
      </c>
      <c r="AD242" s="41">
        <v>0</v>
      </c>
      <c r="AE242" s="41">
        <v>0</v>
      </c>
      <c r="AF242" s="41">
        <f>AE242-AD242</f>
        <v>0</v>
      </c>
      <c r="AG242" s="41">
        <v>0</v>
      </c>
      <c r="AH242" s="41">
        <v>0</v>
      </c>
      <c r="AI242" s="41">
        <f>AH242-AG242</f>
        <v>0</v>
      </c>
      <c r="AJ242" s="41">
        <v>0</v>
      </c>
      <c r="AK242" s="41">
        <v>0</v>
      </c>
      <c r="AL242" s="41">
        <f>AK242-AJ242</f>
        <v>0</v>
      </c>
      <c r="AM242" s="41">
        <v>0</v>
      </c>
      <c r="AN242" s="41">
        <v>0</v>
      </c>
      <c r="AO242" s="41">
        <f>AN242-AM242</f>
        <v>0</v>
      </c>
      <c r="AP242" s="41">
        <v>0</v>
      </c>
      <c r="AQ242" s="41">
        <f>IFERROR(VLOOKUP(G242,'10'!A:B,2,0),0)</f>
        <v>0</v>
      </c>
      <c r="AR242" s="41">
        <f t="shared" si="148"/>
        <v>0</v>
      </c>
      <c r="AS242" s="41">
        <f t="shared" si="151"/>
        <v>314032.11</v>
      </c>
      <c r="AT242" s="41">
        <f t="shared" si="166"/>
        <v>314032.11</v>
      </c>
      <c r="AU242" s="41">
        <f t="shared" si="150"/>
        <v>0</v>
      </c>
      <c r="AV242" s="459">
        <f>AT242/AS242</f>
        <v>1</v>
      </c>
      <c r="AW242" s="41">
        <v>0</v>
      </c>
      <c r="AX242" s="41">
        <v>0</v>
      </c>
      <c r="AY242" s="41">
        <f t="shared" si="149"/>
        <v>314032.11</v>
      </c>
      <c r="AZ242" s="41">
        <f>VLOOKUP(G242,'2017'!A:B,2,0)</f>
        <v>314032.11</v>
      </c>
      <c r="BA242" s="552">
        <f>AZ242-AY242</f>
        <v>0</v>
      </c>
      <c r="BB242" s="41">
        <v>0</v>
      </c>
      <c r="BC242" s="41">
        <v>0</v>
      </c>
      <c r="BD242" s="41">
        <v>0</v>
      </c>
      <c r="BE242" s="41">
        <v>0</v>
      </c>
      <c r="BF242" s="41">
        <v>0</v>
      </c>
      <c r="BG242" s="41">
        <v>0</v>
      </c>
      <c r="BH242" s="41">
        <v>0</v>
      </c>
      <c r="BI242" s="41">
        <v>7636405.3799999999</v>
      </c>
      <c r="BJ242" s="423"/>
      <c r="BK242" s="24"/>
      <c r="BL242" s="432"/>
    </row>
    <row r="243" spans="1:64" ht="38.25" x14ac:dyDescent="0.25">
      <c r="A243" s="18" t="s">
        <v>406</v>
      </c>
      <c r="B243" s="18" t="s">
        <v>411</v>
      </c>
      <c r="C243" s="19" t="s">
        <v>606</v>
      </c>
      <c r="D243" s="22">
        <v>1</v>
      </c>
      <c r="E243" s="18" t="s">
        <v>402</v>
      </c>
      <c r="F243" s="18" t="s">
        <v>77</v>
      </c>
      <c r="G243" s="18" t="s">
        <v>2371</v>
      </c>
      <c r="H243" s="45">
        <v>232</v>
      </c>
      <c r="I243" s="45" t="s">
        <v>406</v>
      </c>
      <c r="J243" s="19" t="s">
        <v>1311</v>
      </c>
      <c r="K243" s="19" t="s">
        <v>2372</v>
      </c>
      <c r="L243" s="145">
        <v>0</v>
      </c>
      <c r="M243" s="145">
        <v>0</v>
      </c>
      <c r="N243" s="145">
        <v>0</v>
      </c>
      <c r="O243" s="145">
        <f>N243+M243+L243</f>
        <v>0</v>
      </c>
      <c r="P243" s="145"/>
      <c r="Q243" s="145"/>
      <c r="R243" s="145">
        <v>0</v>
      </c>
      <c r="S243" s="145"/>
      <c r="T243" s="145"/>
      <c r="U243" s="145">
        <v>0</v>
      </c>
      <c r="V243" s="145"/>
      <c r="W243" s="145"/>
      <c r="X243" s="145">
        <v>0</v>
      </c>
      <c r="Y243" s="145"/>
      <c r="Z243" s="145"/>
      <c r="AA243" s="145">
        <v>0</v>
      </c>
      <c r="AB243" s="145"/>
      <c r="AC243" s="145"/>
      <c r="AD243" s="145">
        <v>0</v>
      </c>
      <c r="AE243" s="145"/>
      <c r="AF243" s="145"/>
      <c r="AG243" s="145">
        <v>0</v>
      </c>
      <c r="AH243" s="145"/>
      <c r="AI243" s="145"/>
      <c r="AJ243" s="145">
        <v>0</v>
      </c>
      <c r="AK243" s="145"/>
      <c r="AL243" s="145"/>
      <c r="AM243" s="145">
        <v>0</v>
      </c>
      <c r="AN243" s="145"/>
      <c r="AO243" s="145"/>
      <c r="AP243" s="145">
        <v>0</v>
      </c>
      <c r="AQ243" s="41">
        <f>IFERROR(VLOOKUP(G243,'10'!A:B,2,0),0)</f>
        <v>0</v>
      </c>
      <c r="AR243" s="41">
        <f t="shared" si="148"/>
        <v>0</v>
      </c>
      <c r="AS243" s="41">
        <f t="shared" si="151"/>
        <v>0</v>
      </c>
      <c r="AT243" s="41">
        <f t="shared" si="166"/>
        <v>0</v>
      </c>
      <c r="AU243" s="41">
        <f t="shared" si="150"/>
        <v>0</v>
      </c>
      <c r="AV243" s="459">
        <v>0</v>
      </c>
      <c r="AW243" s="145">
        <v>0</v>
      </c>
      <c r="AX243" s="145">
        <v>0</v>
      </c>
      <c r="AY243" s="41">
        <f t="shared" si="149"/>
        <v>0</v>
      </c>
      <c r="AZ243" s="41"/>
      <c r="BA243" s="145"/>
      <c r="BB243" s="145">
        <f>SUM(R243:AX243)</f>
        <v>0</v>
      </c>
      <c r="BC243" s="145">
        <v>18700</v>
      </c>
      <c r="BD243" s="145">
        <v>9476.65</v>
      </c>
      <c r="BE243" s="145">
        <v>0</v>
      </c>
      <c r="BF243" s="145">
        <v>0</v>
      </c>
      <c r="BG243" s="145">
        <v>0</v>
      </c>
      <c r="BH243" s="145">
        <v>0</v>
      </c>
      <c r="BI243" s="145">
        <v>28176.65</v>
      </c>
      <c r="BJ243" s="144"/>
      <c r="BK243" s="152"/>
      <c r="BL243" s="518"/>
    </row>
    <row r="244" spans="1:64" ht="63" x14ac:dyDescent="0.25">
      <c r="A244" s="11" t="s">
        <v>485</v>
      </c>
      <c r="B244" s="11" t="s">
        <v>486</v>
      </c>
      <c r="C244" s="14" t="s">
        <v>610</v>
      </c>
      <c r="D244" s="11">
        <v>1</v>
      </c>
      <c r="E244" s="11" t="s">
        <v>454</v>
      </c>
      <c r="F244" s="11" t="s">
        <v>5</v>
      </c>
      <c r="G244" s="44" t="s">
        <v>487</v>
      </c>
      <c r="H244" s="45">
        <v>233</v>
      </c>
      <c r="I244" s="45" t="s">
        <v>485</v>
      </c>
      <c r="J244" s="46" t="s">
        <v>488</v>
      </c>
      <c r="K244" s="46" t="s">
        <v>489</v>
      </c>
      <c r="L244" s="41">
        <v>0</v>
      </c>
      <c r="M244" s="41">
        <v>0</v>
      </c>
      <c r="N244" s="41">
        <v>21028.87</v>
      </c>
      <c r="O244" s="41">
        <v>3123.19</v>
      </c>
      <c r="P244" s="41">
        <v>3123.18</v>
      </c>
      <c r="Q244" s="41">
        <f>P244-O244</f>
        <v>-1.0000000000218279E-2</v>
      </c>
      <c r="R244" s="41">
        <v>0</v>
      </c>
      <c r="S244" s="41">
        <v>0</v>
      </c>
      <c r="T244" s="41">
        <f>S244-R244</f>
        <v>0</v>
      </c>
      <c r="U244" s="41">
        <v>0</v>
      </c>
      <c r="V244" s="41">
        <v>0</v>
      </c>
      <c r="W244" s="41">
        <f>V244-U244</f>
        <v>0</v>
      </c>
      <c r="X244" s="41">
        <v>3123.19</v>
      </c>
      <c r="Y244" s="41">
        <v>3123.19</v>
      </c>
      <c r="Z244" s="41">
        <f>Y244-X244</f>
        <v>0</v>
      </c>
      <c r="AA244" s="41">
        <v>0</v>
      </c>
      <c r="AB244" s="41">
        <v>0</v>
      </c>
      <c r="AC244" s="41">
        <f>AB244-AA244</f>
        <v>0</v>
      </c>
      <c r="AD244" s="41">
        <v>0</v>
      </c>
      <c r="AE244" s="41">
        <v>0</v>
      </c>
      <c r="AF244" s="41">
        <f>AE244-AD244</f>
        <v>0</v>
      </c>
      <c r="AG244" s="41">
        <v>3123.19</v>
      </c>
      <c r="AH244" s="41">
        <v>3123.19</v>
      </c>
      <c r="AI244" s="41">
        <f>AH244-AG244</f>
        <v>0</v>
      </c>
      <c r="AJ244" s="41">
        <v>0</v>
      </c>
      <c r="AK244" s="41">
        <v>0</v>
      </c>
      <c r="AL244" s="41">
        <f>AK244-AJ244</f>
        <v>0</v>
      </c>
      <c r="AM244" s="41">
        <v>0</v>
      </c>
      <c r="AN244" s="41">
        <v>0</v>
      </c>
      <c r="AO244" s="41">
        <f t="shared" ref="AO244:AO249" si="167">AN244-AM244</f>
        <v>0</v>
      </c>
      <c r="AP244" s="41">
        <v>3123.19</v>
      </c>
      <c r="AQ244" s="41">
        <f>IFERROR(VLOOKUP(G244,'10'!A:B,2,0),0)</f>
        <v>3129.13</v>
      </c>
      <c r="AR244" s="41">
        <f t="shared" si="148"/>
        <v>5.9400000000000546</v>
      </c>
      <c r="AS244" s="41">
        <f t="shared" si="151"/>
        <v>12492.76</v>
      </c>
      <c r="AT244" s="41">
        <f>AN244+AK244+AH244+AE244+AB244+Y244+V244+S244+P244+AQ244</f>
        <v>12498.689999999999</v>
      </c>
      <c r="AU244" s="41">
        <f t="shared" si="150"/>
        <v>5.9299999999998363</v>
      </c>
      <c r="AV244" s="459">
        <f>AT244/AS244</f>
        <v>1.0004746749317204</v>
      </c>
      <c r="AW244" s="41">
        <v>0</v>
      </c>
      <c r="AX244" s="41">
        <v>0</v>
      </c>
      <c r="AY244" s="41">
        <f t="shared" si="149"/>
        <v>12492.76</v>
      </c>
      <c r="AZ244" s="41">
        <f>VLOOKUP(G244,'2017'!A:B,2,0)</f>
        <v>12498.689999999999</v>
      </c>
      <c r="BA244" s="552">
        <f>AZ244-AY244</f>
        <v>5.929999999998472</v>
      </c>
      <c r="BB244" s="41">
        <v>12492.76</v>
      </c>
      <c r="BC244" s="41">
        <v>5207.21</v>
      </c>
      <c r="BD244" s="41">
        <v>0</v>
      </c>
      <c r="BE244" s="41">
        <v>0</v>
      </c>
      <c r="BF244" s="41">
        <v>0</v>
      </c>
      <c r="BG244" s="41">
        <v>0</v>
      </c>
      <c r="BH244" s="41">
        <v>0</v>
      </c>
      <c r="BI244" s="41">
        <v>51221.599999999999</v>
      </c>
      <c r="BJ244" s="75"/>
      <c r="BK244" s="11"/>
      <c r="BL244" s="17"/>
    </row>
    <row r="245" spans="1:64" ht="47.25" x14ac:dyDescent="0.25">
      <c r="A245" s="11" t="s">
        <v>57</v>
      </c>
      <c r="B245" s="11" t="s">
        <v>58</v>
      </c>
      <c r="C245" s="14" t="s">
        <v>569</v>
      </c>
      <c r="D245" s="11">
        <v>3</v>
      </c>
      <c r="E245" s="11" t="s">
        <v>35</v>
      </c>
      <c r="F245" s="11" t="s">
        <v>5</v>
      </c>
      <c r="G245" s="44" t="s">
        <v>676</v>
      </c>
      <c r="H245" s="45">
        <v>234</v>
      </c>
      <c r="I245" s="45" t="s">
        <v>57</v>
      </c>
      <c r="J245" s="46" t="s">
        <v>674</v>
      </c>
      <c r="K245" s="46" t="s">
        <v>677</v>
      </c>
      <c r="L245" s="41">
        <v>0</v>
      </c>
      <c r="M245" s="41">
        <v>0</v>
      </c>
      <c r="N245" s="41">
        <v>0</v>
      </c>
      <c r="O245" s="41">
        <v>0</v>
      </c>
      <c r="P245" s="41">
        <v>0</v>
      </c>
      <c r="Q245" s="41">
        <f>P245-O245</f>
        <v>0</v>
      </c>
      <c r="R245" s="41">
        <v>0</v>
      </c>
      <c r="S245" s="41">
        <v>0</v>
      </c>
      <c r="T245" s="41">
        <f>S245-R245</f>
        <v>0</v>
      </c>
      <c r="U245" s="41">
        <v>0</v>
      </c>
      <c r="V245" s="41">
        <v>0</v>
      </c>
      <c r="W245" s="41">
        <f>V245-U245</f>
        <v>0</v>
      </c>
      <c r="X245" s="41">
        <v>0</v>
      </c>
      <c r="Y245" s="41">
        <v>0</v>
      </c>
      <c r="Z245" s="41">
        <f>Y245-X245</f>
        <v>0</v>
      </c>
      <c r="AA245" s="41">
        <v>4585.79</v>
      </c>
      <c r="AB245" s="41">
        <v>0</v>
      </c>
      <c r="AC245" s="41">
        <f>AB245-AA245</f>
        <v>-4585.79</v>
      </c>
      <c r="AD245" s="41">
        <v>0</v>
      </c>
      <c r="AE245" s="41">
        <v>0</v>
      </c>
      <c r="AF245" s="41">
        <f>AE245-AD245</f>
        <v>0</v>
      </c>
      <c r="AG245" s="41">
        <v>0</v>
      </c>
      <c r="AH245" s="41">
        <v>0</v>
      </c>
      <c r="AI245" s="41">
        <f>AH245-AG245</f>
        <v>0</v>
      </c>
      <c r="AJ245" s="41">
        <v>0</v>
      </c>
      <c r="AK245" s="41">
        <v>0</v>
      </c>
      <c r="AL245" s="41">
        <f>AK245-AJ245</f>
        <v>0</v>
      </c>
      <c r="AM245" s="41">
        <v>0</v>
      </c>
      <c r="AN245" s="41">
        <v>0</v>
      </c>
      <c r="AO245" s="41">
        <f t="shared" si="167"/>
        <v>0</v>
      </c>
      <c r="AP245" s="41">
        <v>0</v>
      </c>
      <c r="AQ245" s="41">
        <f>IFERROR(VLOOKUP(G245,'10'!A:B,2,0),0)</f>
        <v>4642.53</v>
      </c>
      <c r="AR245" s="41">
        <f t="shared" si="148"/>
        <v>4642.53</v>
      </c>
      <c r="AS245" s="41">
        <f t="shared" si="151"/>
        <v>4585.79</v>
      </c>
      <c r="AT245" s="41">
        <f t="shared" ref="AT245:AT256" si="168">AN245+AK245+AH245+AE245+AB245+-Y245+V245+S245+P245+AQ245</f>
        <v>4642.53</v>
      </c>
      <c r="AU245" s="41">
        <f t="shared" si="150"/>
        <v>56.739999999999782</v>
      </c>
      <c r="AV245" s="459">
        <f>AT245/AS245</f>
        <v>1.0123730044332602</v>
      </c>
      <c r="AW245" s="41">
        <v>0</v>
      </c>
      <c r="AX245" s="41">
        <v>0</v>
      </c>
      <c r="AY245" s="41">
        <f t="shared" si="149"/>
        <v>4585.79</v>
      </c>
      <c r="AZ245" s="41">
        <f>VLOOKUP(G245,'2017'!A:B,2,0)</f>
        <v>4642.54</v>
      </c>
      <c r="BA245" s="552">
        <v>0</v>
      </c>
      <c r="BB245" s="41">
        <v>272089.21000000002</v>
      </c>
      <c r="BC245" s="41">
        <v>0</v>
      </c>
      <c r="BD245" s="41">
        <v>0</v>
      </c>
      <c r="BE245" s="41">
        <v>0</v>
      </c>
      <c r="BF245" s="41">
        <v>0</v>
      </c>
      <c r="BG245" s="41">
        <v>0</v>
      </c>
      <c r="BH245" s="41">
        <v>0</v>
      </c>
      <c r="BI245" s="41">
        <v>276675</v>
      </c>
      <c r="BJ245" s="75"/>
      <c r="BK245" s="11"/>
      <c r="BL245" s="10"/>
    </row>
    <row r="246" spans="1:64" ht="47.25" x14ac:dyDescent="0.25">
      <c r="A246" s="11" t="s">
        <v>406</v>
      </c>
      <c r="B246" s="11" t="s">
        <v>411</v>
      </c>
      <c r="C246" s="14" t="s">
        <v>606</v>
      </c>
      <c r="D246" s="11">
        <v>1</v>
      </c>
      <c r="E246" s="11" t="s">
        <v>402</v>
      </c>
      <c r="F246" s="11" t="s">
        <v>77</v>
      </c>
      <c r="G246" s="44" t="s">
        <v>442</v>
      </c>
      <c r="H246" s="45">
        <v>235</v>
      </c>
      <c r="I246" s="45" t="s">
        <v>406</v>
      </c>
      <c r="J246" s="46" t="s">
        <v>443</v>
      </c>
      <c r="K246" s="46" t="s">
        <v>444</v>
      </c>
      <c r="L246" s="41"/>
      <c r="M246" s="41"/>
      <c r="N246" s="41"/>
      <c r="O246" s="41"/>
      <c r="P246" s="41">
        <v>0</v>
      </c>
      <c r="Q246" s="41">
        <f>P246-O246</f>
        <v>0</v>
      </c>
      <c r="R246" s="41"/>
      <c r="S246" s="41">
        <v>0</v>
      </c>
      <c r="T246" s="41">
        <f>S246-R246</f>
        <v>0</v>
      </c>
      <c r="U246" s="41"/>
      <c r="V246" s="41">
        <v>0</v>
      </c>
      <c r="W246" s="41">
        <f>V246-U246</f>
        <v>0</v>
      </c>
      <c r="X246" s="41">
        <v>1700</v>
      </c>
      <c r="Y246" s="41">
        <v>0</v>
      </c>
      <c r="Z246" s="41">
        <f>Y246-X246</f>
        <v>-1700</v>
      </c>
      <c r="AA246" s="41"/>
      <c r="AB246" s="41">
        <v>2967.09</v>
      </c>
      <c r="AC246" s="41">
        <f>AB246-AA246</f>
        <v>2967.09</v>
      </c>
      <c r="AD246" s="41">
        <v>3221.24</v>
      </c>
      <c r="AE246" s="41">
        <v>0</v>
      </c>
      <c r="AF246" s="41">
        <f>AE246-AD246</f>
        <v>-3221.24</v>
      </c>
      <c r="AG246" s="41">
        <v>0</v>
      </c>
      <c r="AH246" s="41">
        <v>782.85</v>
      </c>
      <c r="AI246" s="41">
        <f>AH246-AG246</f>
        <v>782.85</v>
      </c>
      <c r="AJ246" s="41">
        <v>0</v>
      </c>
      <c r="AK246" s="41">
        <v>0</v>
      </c>
      <c r="AL246" s="41">
        <f>AK246-AJ246</f>
        <v>0</v>
      </c>
      <c r="AM246" s="41">
        <v>12750</v>
      </c>
      <c r="AN246" s="41">
        <v>14470.99</v>
      </c>
      <c r="AO246" s="41">
        <f t="shared" si="167"/>
        <v>1720.9899999999998</v>
      </c>
      <c r="AP246" s="41">
        <v>0</v>
      </c>
      <c r="AQ246" s="41">
        <f>IFERROR(VLOOKUP(G246,'10'!A:B,2,0),0)</f>
        <v>0</v>
      </c>
      <c r="AR246" s="41">
        <f t="shared" si="148"/>
        <v>0</v>
      </c>
      <c r="AS246" s="41">
        <f t="shared" si="151"/>
        <v>17671.239999999998</v>
      </c>
      <c r="AT246" s="41">
        <f t="shared" si="168"/>
        <v>18220.93</v>
      </c>
      <c r="AU246" s="41">
        <f t="shared" si="150"/>
        <v>549.69000000000005</v>
      </c>
      <c r="AV246" s="459">
        <f>AT246/AS246</f>
        <v>1.0311064758330486</v>
      </c>
      <c r="AW246" s="41">
        <v>0</v>
      </c>
      <c r="AX246" s="41">
        <v>11847.38</v>
      </c>
      <c r="AY246" s="41">
        <f t="shared" si="149"/>
        <v>29518.619999999995</v>
      </c>
      <c r="AZ246" s="41">
        <f>VLOOKUP(G246,'2017'!A:B,2,0)</f>
        <v>25105.929999999997</v>
      </c>
      <c r="BA246" s="552">
        <f>AZ246-AY246</f>
        <v>-4412.6899999999987</v>
      </c>
      <c r="BB246" s="35">
        <v>36348.550000000003</v>
      </c>
      <c r="BC246" s="35">
        <v>25287.5</v>
      </c>
      <c r="BD246" s="35">
        <v>1406.08</v>
      </c>
      <c r="BE246" s="35">
        <v>0</v>
      </c>
      <c r="BF246" s="35">
        <v>0</v>
      </c>
      <c r="BG246" s="35">
        <v>0</v>
      </c>
      <c r="BH246" s="35">
        <v>0</v>
      </c>
      <c r="BI246" s="35">
        <v>90860.75</v>
      </c>
      <c r="BJ246" s="75"/>
      <c r="BK246" s="11"/>
    </row>
    <row r="247" spans="1:64" ht="47.25" x14ac:dyDescent="0.25">
      <c r="A247" s="472" t="s">
        <v>406</v>
      </c>
      <c r="B247" s="472" t="s">
        <v>411</v>
      </c>
      <c r="C247" s="473" t="s">
        <v>606</v>
      </c>
      <c r="D247" s="472">
        <v>1</v>
      </c>
      <c r="E247" s="472" t="s">
        <v>402</v>
      </c>
      <c r="F247" s="472" t="s">
        <v>77</v>
      </c>
      <c r="G247" s="474" t="s">
        <v>421</v>
      </c>
      <c r="H247" s="45">
        <v>236</v>
      </c>
      <c r="I247" s="45" t="s">
        <v>406</v>
      </c>
      <c r="J247" s="475" t="s">
        <v>422</v>
      </c>
      <c r="K247" s="475" t="s">
        <v>423</v>
      </c>
      <c r="L247" s="41"/>
      <c r="M247" s="41"/>
      <c r="N247" s="41"/>
      <c r="O247" s="41"/>
      <c r="P247" s="41">
        <v>0</v>
      </c>
      <c r="Q247" s="41">
        <f>P247-O247</f>
        <v>0</v>
      </c>
      <c r="R247" s="41"/>
      <c r="S247" s="41">
        <v>0</v>
      </c>
      <c r="T247" s="41">
        <f>S247-R247</f>
        <v>0</v>
      </c>
      <c r="U247" s="41"/>
      <c r="V247" s="41">
        <v>0</v>
      </c>
      <c r="W247" s="41">
        <f>V247-U247</f>
        <v>0</v>
      </c>
      <c r="X247" s="41"/>
      <c r="Y247" s="41">
        <v>0</v>
      </c>
      <c r="Z247" s="41">
        <f>Y247-X247</f>
        <v>0</v>
      </c>
      <c r="AA247" s="41">
        <v>3009</v>
      </c>
      <c r="AB247" s="41">
        <v>3008.54</v>
      </c>
      <c r="AC247" s="41">
        <f>AB247-AA247</f>
        <v>-0.46000000000003638</v>
      </c>
      <c r="AD247" s="41">
        <v>11385.75</v>
      </c>
      <c r="AE247" s="41">
        <v>4458.38</v>
      </c>
      <c r="AF247" s="41">
        <f>AE247-AD247</f>
        <v>-6927.37</v>
      </c>
      <c r="AG247" s="41">
        <v>0</v>
      </c>
      <c r="AH247" s="41">
        <v>4181.03</v>
      </c>
      <c r="AI247" s="41">
        <f>AH247-AG247</f>
        <v>4181.03</v>
      </c>
      <c r="AJ247" s="41">
        <v>0</v>
      </c>
      <c r="AK247" s="41">
        <v>4006.22</v>
      </c>
      <c r="AL247" s="41">
        <f>AK247-AJ247</f>
        <v>4006.22</v>
      </c>
      <c r="AM247" s="41">
        <v>9092.4500000000007</v>
      </c>
      <c r="AN247" s="41">
        <v>8887.7800000000007</v>
      </c>
      <c r="AO247" s="41">
        <f t="shared" si="167"/>
        <v>-204.67000000000007</v>
      </c>
      <c r="AP247" s="41">
        <v>0</v>
      </c>
      <c r="AQ247" s="41">
        <f>IFERROR(VLOOKUP(G247,'10'!A:B,2,0),0)</f>
        <v>0</v>
      </c>
      <c r="AR247" s="41">
        <f t="shared" si="148"/>
        <v>0</v>
      </c>
      <c r="AS247" s="41">
        <f t="shared" si="151"/>
        <v>23487.200000000001</v>
      </c>
      <c r="AT247" s="41">
        <f t="shared" si="168"/>
        <v>24541.95</v>
      </c>
      <c r="AU247" s="41">
        <f t="shared" si="150"/>
        <v>1054.75</v>
      </c>
      <c r="AV247" s="459">
        <f>AT247/AS247</f>
        <v>1.0449074389454682</v>
      </c>
      <c r="AW247" s="41">
        <v>0</v>
      </c>
      <c r="AX247" s="41">
        <v>11618.65</v>
      </c>
      <c r="AY247" s="41">
        <f t="shared" si="149"/>
        <v>35105.85</v>
      </c>
      <c r="AZ247" s="41">
        <f>VLOOKUP(G247,'2017'!A:B,2,0)</f>
        <v>36160.6</v>
      </c>
      <c r="BA247" s="552">
        <f>AZ247-AY247</f>
        <v>1054.75</v>
      </c>
      <c r="BB247" s="41">
        <v>40871.42</v>
      </c>
      <c r="BC247" s="41">
        <v>38990.240000000005</v>
      </c>
      <c r="BD247" s="41">
        <v>12439.84</v>
      </c>
      <c r="BE247" s="41">
        <v>0</v>
      </c>
      <c r="BF247" s="41">
        <v>0</v>
      </c>
      <c r="BG247" s="41">
        <v>0</v>
      </c>
      <c r="BH247" s="41">
        <v>0</v>
      </c>
      <c r="BI247" s="41">
        <v>124398.34999999999</v>
      </c>
      <c r="BJ247" s="75"/>
      <c r="BK247" s="24"/>
    </row>
    <row r="248" spans="1:64" ht="25.5" x14ac:dyDescent="0.25">
      <c r="A248" s="55" t="s">
        <v>406</v>
      </c>
      <c r="B248" s="55" t="s">
        <v>411</v>
      </c>
      <c r="C248" s="155" t="s">
        <v>606</v>
      </c>
      <c r="D248" s="22">
        <v>1</v>
      </c>
      <c r="E248" s="55" t="s">
        <v>402</v>
      </c>
      <c r="F248" s="55" t="s">
        <v>77</v>
      </c>
      <c r="G248" s="55" t="s">
        <v>2411</v>
      </c>
      <c r="H248" s="45">
        <v>237</v>
      </c>
      <c r="I248" s="45" t="s">
        <v>406</v>
      </c>
      <c r="J248" s="155" t="s">
        <v>2412</v>
      </c>
      <c r="K248" s="155" t="s">
        <v>2413</v>
      </c>
      <c r="L248" s="335"/>
      <c r="M248" s="497">
        <v>0</v>
      </c>
      <c r="N248" s="497">
        <v>0</v>
      </c>
      <c r="O248" s="497">
        <v>0</v>
      </c>
      <c r="P248" s="497"/>
      <c r="Q248" s="497"/>
      <c r="R248" s="497">
        <v>0</v>
      </c>
      <c r="S248" s="497"/>
      <c r="T248" s="497"/>
      <c r="U248" s="497">
        <v>0</v>
      </c>
      <c r="V248" s="497"/>
      <c r="W248" s="497"/>
      <c r="X248" s="497">
        <v>0</v>
      </c>
      <c r="Y248" s="497"/>
      <c r="Z248" s="497"/>
      <c r="AA248" s="497">
        <v>0</v>
      </c>
      <c r="AB248" s="497"/>
      <c r="AC248" s="497"/>
      <c r="AD248" s="497">
        <v>0</v>
      </c>
      <c r="AE248" s="497"/>
      <c r="AF248" s="497"/>
      <c r="AG248" s="497">
        <v>0</v>
      </c>
      <c r="AH248" s="497"/>
      <c r="AI248" s="497"/>
      <c r="AJ248" s="497">
        <v>0</v>
      </c>
      <c r="AK248" s="497"/>
      <c r="AL248" s="497"/>
      <c r="AM248" s="497">
        <v>0</v>
      </c>
      <c r="AN248" s="41">
        <v>1267.6500000000001</v>
      </c>
      <c r="AO248" s="41">
        <f t="shared" si="167"/>
        <v>1267.6500000000001</v>
      </c>
      <c r="AP248" s="497">
        <v>0</v>
      </c>
      <c r="AQ248" s="41">
        <f>IFERROR(VLOOKUP(G248,'10'!A:B,2,0),0)</f>
        <v>0</v>
      </c>
      <c r="AR248" s="41">
        <f t="shared" si="148"/>
        <v>0</v>
      </c>
      <c r="AS248" s="41">
        <f t="shared" si="151"/>
        <v>0</v>
      </c>
      <c r="AT248" s="41">
        <f t="shared" si="168"/>
        <v>1267.6500000000001</v>
      </c>
      <c r="AU248" s="41">
        <f t="shared" si="150"/>
        <v>1267.6500000000001</v>
      </c>
      <c r="AV248" s="459">
        <v>0</v>
      </c>
      <c r="AW248" s="497">
        <v>0</v>
      </c>
      <c r="AX248" s="497">
        <v>0</v>
      </c>
      <c r="AY248" s="41">
        <f t="shared" si="149"/>
        <v>0</v>
      </c>
      <c r="AZ248" s="41"/>
      <c r="BA248" s="152"/>
      <c r="BB248" s="497">
        <v>12002</v>
      </c>
      <c r="BC248" s="497">
        <v>6001</v>
      </c>
      <c r="BD248" s="497">
        <v>0</v>
      </c>
      <c r="BE248" s="497">
        <v>0</v>
      </c>
      <c r="BF248" s="497">
        <v>0</v>
      </c>
      <c r="BG248" s="497">
        <v>0</v>
      </c>
      <c r="BH248" s="497">
        <v>0</v>
      </c>
      <c r="BI248" s="497">
        <v>17917.150000000001</v>
      </c>
      <c r="BJ248" s="145"/>
      <c r="BK248" s="145"/>
    </row>
    <row r="249" spans="1:64" ht="25.5" x14ac:dyDescent="0.25">
      <c r="A249" s="55" t="s">
        <v>406</v>
      </c>
      <c r="B249" s="55" t="s">
        <v>411</v>
      </c>
      <c r="C249" s="155" t="s">
        <v>606</v>
      </c>
      <c r="D249" s="55">
        <v>1</v>
      </c>
      <c r="E249" s="55" t="s">
        <v>402</v>
      </c>
      <c r="F249" s="55" t="s">
        <v>77</v>
      </c>
      <c r="G249" s="55" t="s">
        <v>2408</v>
      </c>
      <c r="H249" s="45">
        <v>238</v>
      </c>
      <c r="I249" s="45" t="s">
        <v>406</v>
      </c>
      <c r="J249" s="155" t="s">
        <v>2409</v>
      </c>
      <c r="K249" s="155" t="s">
        <v>2410</v>
      </c>
      <c r="L249" s="335"/>
      <c r="M249" s="497">
        <v>0</v>
      </c>
      <c r="N249" s="497">
        <v>0</v>
      </c>
      <c r="O249" s="497">
        <v>0</v>
      </c>
      <c r="P249" s="497"/>
      <c r="Q249" s="497"/>
      <c r="R249" s="497">
        <v>0</v>
      </c>
      <c r="S249" s="497"/>
      <c r="T249" s="497"/>
      <c r="U249" s="497">
        <v>0</v>
      </c>
      <c r="V249" s="497"/>
      <c r="W249" s="497"/>
      <c r="X249" s="497">
        <v>0</v>
      </c>
      <c r="Y249" s="497"/>
      <c r="Z249" s="497"/>
      <c r="AA249" s="497">
        <v>0</v>
      </c>
      <c r="AB249" s="497"/>
      <c r="AC249" s="497"/>
      <c r="AD249" s="497">
        <v>0</v>
      </c>
      <c r="AE249" s="497"/>
      <c r="AF249" s="497"/>
      <c r="AG249" s="497">
        <v>0</v>
      </c>
      <c r="AH249" s="497"/>
      <c r="AI249" s="497"/>
      <c r="AJ249" s="497">
        <v>0</v>
      </c>
      <c r="AK249" s="497"/>
      <c r="AL249" s="497"/>
      <c r="AM249" s="497">
        <v>0</v>
      </c>
      <c r="AN249" s="41">
        <v>1275</v>
      </c>
      <c r="AO249" s="41">
        <f t="shared" si="167"/>
        <v>1275</v>
      </c>
      <c r="AP249" s="497">
        <v>0</v>
      </c>
      <c r="AQ249" s="41">
        <f>IFERROR(VLOOKUP(G249,'10'!A:B,2,0),0)</f>
        <v>0</v>
      </c>
      <c r="AR249" s="41">
        <f t="shared" si="148"/>
        <v>0</v>
      </c>
      <c r="AS249" s="41">
        <f t="shared" si="151"/>
        <v>0</v>
      </c>
      <c r="AT249" s="41">
        <f t="shared" si="168"/>
        <v>1275</v>
      </c>
      <c r="AU249" s="41">
        <f t="shared" si="150"/>
        <v>1275</v>
      </c>
      <c r="AV249" s="459">
        <v>0</v>
      </c>
      <c r="AW249" s="497">
        <v>0</v>
      </c>
      <c r="AX249" s="497">
        <v>0</v>
      </c>
      <c r="AY249" s="41">
        <f t="shared" si="149"/>
        <v>0</v>
      </c>
      <c r="AZ249" s="41"/>
      <c r="BA249" s="152"/>
      <c r="BB249" s="497">
        <v>44977.919999999998</v>
      </c>
      <c r="BC249" s="497">
        <v>11244.48</v>
      </c>
      <c r="BD249" s="497">
        <v>0</v>
      </c>
      <c r="BE249" s="497">
        <v>0</v>
      </c>
      <c r="BF249" s="497">
        <v>0</v>
      </c>
      <c r="BG249" s="497">
        <v>0</v>
      </c>
      <c r="BH249" s="497">
        <v>0</v>
      </c>
      <c r="BI249" s="497">
        <v>56222.399999999994</v>
      </c>
      <c r="BJ249" s="145"/>
      <c r="BK249" s="145"/>
    </row>
    <row r="250" spans="1:64" ht="25.5" x14ac:dyDescent="0.25">
      <c r="A250" s="18" t="s">
        <v>406</v>
      </c>
      <c r="B250" s="18" t="s">
        <v>411</v>
      </c>
      <c r="C250" s="19" t="s">
        <v>606</v>
      </c>
      <c r="D250" s="22">
        <v>1</v>
      </c>
      <c r="E250" s="18" t="s">
        <v>402</v>
      </c>
      <c r="F250" s="18" t="s">
        <v>77</v>
      </c>
      <c r="G250" s="18" t="s">
        <v>2361</v>
      </c>
      <c r="H250" s="45">
        <v>239</v>
      </c>
      <c r="I250" s="45" t="s">
        <v>406</v>
      </c>
      <c r="J250" s="19" t="s">
        <v>2362</v>
      </c>
      <c r="K250" s="19" t="s">
        <v>2363</v>
      </c>
      <c r="L250" s="145">
        <v>0</v>
      </c>
      <c r="M250" s="145">
        <v>0</v>
      </c>
      <c r="N250" s="145">
        <v>0</v>
      </c>
      <c r="O250" s="145">
        <v>0</v>
      </c>
      <c r="P250" s="145"/>
      <c r="Q250" s="145"/>
      <c r="R250" s="145">
        <v>0</v>
      </c>
      <c r="S250" s="145"/>
      <c r="T250" s="145"/>
      <c r="U250" s="145">
        <v>0</v>
      </c>
      <c r="V250" s="145"/>
      <c r="W250" s="145"/>
      <c r="X250" s="145">
        <v>0</v>
      </c>
      <c r="Y250" s="145"/>
      <c r="Z250" s="145"/>
      <c r="AA250" s="145">
        <v>0</v>
      </c>
      <c r="AB250" s="145"/>
      <c r="AC250" s="145"/>
      <c r="AD250" s="145">
        <v>0</v>
      </c>
      <c r="AE250" s="145"/>
      <c r="AF250" s="145"/>
      <c r="AG250" s="145">
        <v>0</v>
      </c>
      <c r="AH250" s="145"/>
      <c r="AI250" s="145"/>
      <c r="AJ250" s="145">
        <v>0</v>
      </c>
      <c r="AK250" s="145"/>
      <c r="AL250" s="145"/>
      <c r="AM250" s="145">
        <v>0</v>
      </c>
      <c r="AN250" s="145"/>
      <c r="AO250" s="145"/>
      <c r="AP250" s="145">
        <v>0</v>
      </c>
      <c r="AQ250" s="41">
        <f>IFERROR(VLOOKUP(G250,'10'!A:B,2,0),0)</f>
        <v>1594.06</v>
      </c>
      <c r="AR250" s="41">
        <f t="shared" si="148"/>
        <v>1594.06</v>
      </c>
      <c r="AS250" s="41">
        <f t="shared" si="151"/>
        <v>0</v>
      </c>
      <c r="AT250" s="41">
        <f t="shared" si="168"/>
        <v>1594.06</v>
      </c>
      <c r="AU250" s="41">
        <f t="shared" si="150"/>
        <v>1594.06</v>
      </c>
      <c r="AV250" s="459">
        <v>0</v>
      </c>
      <c r="AW250" s="145">
        <v>0</v>
      </c>
      <c r="AX250" s="145">
        <v>0</v>
      </c>
      <c r="AY250" s="145">
        <v>0</v>
      </c>
      <c r="AZ250" s="145"/>
      <c r="BA250" s="145"/>
      <c r="BB250" s="145">
        <v>22546</v>
      </c>
      <c r="BC250" s="145">
        <v>11273.8</v>
      </c>
      <c r="BD250" s="145">
        <v>0</v>
      </c>
      <c r="BE250" s="145">
        <v>0</v>
      </c>
      <c r="BF250" s="145">
        <v>0</v>
      </c>
      <c r="BG250" s="145">
        <v>0</v>
      </c>
      <c r="BH250" s="145">
        <v>0</v>
      </c>
      <c r="BI250" s="144">
        <v>33819.800000000003</v>
      </c>
      <c r="BJ250" s="152"/>
      <c r="BK250" s="152"/>
      <c r="BL250" s="518"/>
    </row>
    <row r="251" spans="1:64" ht="25.5" x14ac:dyDescent="0.25">
      <c r="A251" s="18" t="s">
        <v>406</v>
      </c>
      <c r="B251" s="18" t="s">
        <v>411</v>
      </c>
      <c r="C251" s="19" t="s">
        <v>606</v>
      </c>
      <c r="D251" s="18">
        <v>1</v>
      </c>
      <c r="E251" s="18" t="s">
        <v>402</v>
      </c>
      <c r="F251" s="18" t="s">
        <v>77</v>
      </c>
      <c r="G251" s="18" t="s">
        <v>2346</v>
      </c>
      <c r="H251" s="45">
        <v>240</v>
      </c>
      <c r="I251" s="45" t="s">
        <v>406</v>
      </c>
      <c r="J251" s="19" t="s">
        <v>2347</v>
      </c>
      <c r="K251" s="19" t="s">
        <v>2348</v>
      </c>
      <c r="L251" s="145">
        <v>0</v>
      </c>
      <c r="M251" s="145">
        <v>0</v>
      </c>
      <c r="N251" s="145">
        <v>0</v>
      </c>
      <c r="O251" s="145">
        <f>N251+M251+L251</f>
        <v>0</v>
      </c>
      <c r="P251" s="145"/>
      <c r="Q251" s="145"/>
      <c r="R251" s="145">
        <v>0</v>
      </c>
      <c r="S251" s="145"/>
      <c r="T251" s="145"/>
      <c r="U251" s="145">
        <v>0</v>
      </c>
      <c r="V251" s="145"/>
      <c r="W251" s="145"/>
      <c r="X251" s="145">
        <v>0</v>
      </c>
      <c r="Y251" s="145"/>
      <c r="Z251" s="145"/>
      <c r="AA251" s="145">
        <v>0</v>
      </c>
      <c r="AB251" s="145"/>
      <c r="AC251" s="145"/>
      <c r="AD251" s="145">
        <v>0</v>
      </c>
      <c r="AE251" s="145"/>
      <c r="AF251" s="145"/>
      <c r="AG251" s="145">
        <v>0</v>
      </c>
      <c r="AH251" s="145"/>
      <c r="AI251" s="145"/>
      <c r="AJ251" s="145">
        <v>0</v>
      </c>
      <c r="AK251" s="145"/>
      <c r="AL251" s="145"/>
      <c r="AM251" s="145">
        <v>0</v>
      </c>
      <c r="AN251" s="145"/>
      <c r="AO251" s="145"/>
      <c r="AP251" s="145">
        <v>0</v>
      </c>
      <c r="AQ251" s="41">
        <f>IFERROR(VLOOKUP(G251,'10'!A:B,2,0),0)</f>
        <v>1633.96</v>
      </c>
      <c r="AR251" s="41">
        <f t="shared" si="148"/>
        <v>1633.96</v>
      </c>
      <c r="AS251" s="41">
        <f t="shared" si="151"/>
        <v>0</v>
      </c>
      <c r="AT251" s="41">
        <f t="shared" si="168"/>
        <v>1633.96</v>
      </c>
      <c r="AU251" s="41">
        <f t="shared" si="150"/>
        <v>1633.96</v>
      </c>
      <c r="AV251" s="459">
        <v>0</v>
      </c>
      <c r="AW251" s="145">
        <v>0</v>
      </c>
      <c r="AX251" s="145">
        <v>0</v>
      </c>
      <c r="AY251" s="41">
        <f t="shared" ref="AY251:AY266" si="169">AX251+AW251+AP251+AM251+AJ251+AG251+AA251+X251+U251+R251+O251+AD251</f>
        <v>0</v>
      </c>
      <c r="AZ251" s="41"/>
      <c r="BA251" s="145"/>
      <c r="BB251" s="145">
        <f>SUM(R251:AX251)</f>
        <v>6535.84</v>
      </c>
      <c r="BC251" s="145">
        <v>8995.2000000000007</v>
      </c>
      <c r="BD251" s="145">
        <v>3855.09</v>
      </c>
      <c r="BE251" s="145">
        <v>0</v>
      </c>
      <c r="BF251" s="145">
        <v>0</v>
      </c>
      <c r="BG251" s="145">
        <v>0</v>
      </c>
      <c r="BH251" s="145">
        <v>0</v>
      </c>
      <c r="BI251" s="145">
        <v>12850.3</v>
      </c>
      <c r="BJ251" s="144"/>
      <c r="BK251" s="152"/>
      <c r="BL251" s="518"/>
    </row>
    <row r="252" spans="1:64" ht="38.25" x14ac:dyDescent="0.25">
      <c r="A252" s="18" t="s">
        <v>233</v>
      </c>
      <c r="B252" s="18" t="s">
        <v>234</v>
      </c>
      <c r="C252" s="19" t="s">
        <v>583</v>
      </c>
      <c r="D252" s="18">
        <v>2</v>
      </c>
      <c r="E252" s="18" t="s">
        <v>4</v>
      </c>
      <c r="F252" s="18" t="s">
        <v>5</v>
      </c>
      <c r="G252" s="18" t="s">
        <v>2222</v>
      </c>
      <c r="H252" s="45">
        <v>241</v>
      </c>
      <c r="I252" s="45" t="s">
        <v>233</v>
      </c>
      <c r="J252" s="19" t="s">
        <v>2223</v>
      </c>
      <c r="K252" s="19" t="s">
        <v>2224</v>
      </c>
      <c r="L252" s="145">
        <v>0</v>
      </c>
      <c r="M252" s="145">
        <v>0</v>
      </c>
      <c r="N252" s="145">
        <v>0</v>
      </c>
      <c r="O252" s="145">
        <f>N252+M252+L252</f>
        <v>0</v>
      </c>
      <c r="P252" s="145"/>
      <c r="Q252" s="145"/>
      <c r="R252" s="145">
        <v>0</v>
      </c>
      <c r="S252" s="145"/>
      <c r="T252" s="145"/>
      <c r="U252" s="145">
        <v>0</v>
      </c>
      <c r="V252" s="145"/>
      <c r="W252" s="145"/>
      <c r="X252" s="145">
        <v>0</v>
      </c>
      <c r="Y252" s="145"/>
      <c r="Z252" s="145"/>
      <c r="AA252" s="145">
        <v>0</v>
      </c>
      <c r="AB252" s="145"/>
      <c r="AC252" s="145"/>
      <c r="AD252" s="145">
        <v>0</v>
      </c>
      <c r="AE252" s="145"/>
      <c r="AF252" s="145"/>
      <c r="AG252" s="145">
        <v>0</v>
      </c>
      <c r="AH252" s="145"/>
      <c r="AI252" s="145"/>
      <c r="AJ252" s="145">
        <v>0</v>
      </c>
      <c r="AK252" s="145"/>
      <c r="AL252" s="145"/>
      <c r="AM252" s="145">
        <v>0</v>
      </c>
      <c r="AN252" s="145"/>
      <c r="AO252" s="145"/>
      <c r="AP252" s="145">
        <v>0</v>
      </c>
      <c r="AQ252" s="41">
        <f>IFERROR(VLOOKUP(G252,'10'!A:B,2,0),0)</f>
        <v>2027.82</v>
      </c>
      <c r="AR252" s="41">
        <f t="shared" si="148"/>
        <v>2027.82</v>
      </c>
      <c r="AS252" s="41">
        <f t="shared" si="151"/>
        <v>0</v>
      </c>
      <c r="AT252" s="41">
        <f t="shared" si="168"/>
        <v>2027.82</v>
      </c>
      <c r="AU252" s="41">
        <f t="shared" si="150"/>
        <v>2027.82</v>
      </c>
      <c r="AV252" s="459">
        <v>0</v>
      </c>
      <c r="AW252" s="145">
        <v>0</v>
      </c>
      <c r="AX252" s="145">
        <v>0</v>
      </c>
      <c r="AY252" s="41">
        <f t="shared" si="169"/>
        <v>0</v>
      </c>
      <c r="AZ252" s="41"/>
      <c r="BA252" s="145"/>
      <c r="BB252" s="145">
        <f>SUM(R252:AX252)</f>
        <v>8111.28</v>
      </c>
      <c r="BC252" s="145">
        <v>730564.16</v>
      </c>
      <c r="BD252" s="145">
        <v>243521.39</v>
      </c>
      <c r="BE252" s="145">
        <v>0</v>
      </c>
      <c r="BF252" s="145">
        <v>0</v>
      </c>
      <c r="BG252" s="145">
        <v>0</v>
      </c>
      <c r="BH252" s="145">
        <v>0</v>
      </c>
      <c r="BI252" s="145">
        <v>974085.55</v>
      </c>
      <c r="BJ252" s="144"/>
      <c r="BK252" s="152"/>
      <c r="BL252" s="518"/>
    </row>
    <row r="253" spans="1:64" ht="51" x14ac:dyDescent="0.25">
      <c r="A253" s="55" t="s">
        <v>2233</v>
      </c>
      <c r="B253" s="55" t="s">
        <v>2235</v>
      </c>
      <c r="C253" s="155" t="s">
        <v>2234</v>
      </c>
      <c r="D253" s="55" t="s">
        <v>3</v>
      </c>
      <c r="E253" s="55" t="s">
        <v>4</v>
      </c>
      <c r="F253" s="55" t="s">
        <v>5</v>
      </c>
      <c r="G253" s="55" t="s">
        <v>2248</v>
      </c>
      <c r="H253" s="45">
        <v>242</v>
      </c>
      <c r="I253" s="45" t="s">
        <v>2233</v>
      </c>
      <c r="J253" s="155" t="s">
        <v>1388</v>
      </c>
      <c r="K253" s="496" t="s">
        <v>2249</v>
      </c>
      <c r="L253" s="493"/>
      <c r="M253" s="152">
        <v>0</v>
      </c>
      <c r="N253" s="152">
        <v>0</v>
      </c>
      <c r="O253" s="152">
        <v>0</v>
      </c>
      <c r="P253" s="152"/>
      <c r="Q253" s="152"/>
      <c r="R253" s="152">
        <v>0</v>
      </c>
      <c r="S253" s="152"/>
      <c r="T253" s="152"/>
      <c r="U253" s="152">
        <v>0</v>
      </c>
      <c r="V253" s="152"/>
      <c r="W253" s="152"/>
      <c r="X253" s="152">
        <v>0</v>
      </c>
      <c r="Y253" s="152"/>
      <c r="Z253" s="152"/>
      <c r="AA253" s="152">
        <v>0</v>
      </c>
      <c r="AB253" s="152"/>
      <c r="AC253" s="152"/>
      <c r="AD253" s="152">
        <v>0</v>
      </c>
      <c r="AE253" s="152"/>
      <c r="AF253" s="152"/>
      <c r="AG253" s="152">
        <v>0</v>
      </c>
      <c r="AH253" s="152"/>
      <c r="AI253" s="152"/>
      <c r="AJ253" s="152">
        <v>0</v>
      </c>
      <c r="AK253" s="152"/>
      <c r="AL253" s="152"/>
      <c r="AM253" s="152">
        <v>0</v>
      </c>
      <c r="AN253" s="41">
        <v>2040</v>
      </c>
      <c r="AO253" s="41">
        <f>AN253-AM253</f>
        <v>2040</v>
      </c>
      <c r="AP253" s="152">
        <v>0</v>
      </c>
      <c r="AQ253" s="41">
        <f>IFERROR(VLOOKUP(G253,'10'!A:B,2,0),0)</f>
        <v>0</v>
      </c>
      <c r="AR253" s="41">
        <f t="shared" si="148"/>
        <v>0</v>
      </c>
      <c r="AS253" s="41">
        <f t="shared" si="151"/>
        <v>0</v>
      </c>
      <c r="AT253" s="41">
        <f t="shared" si="168"/>
        <v>2040</v>
      </c>
      <c r="AU253" s="41">
        <f t="shared" si="150"/>
        <v>2040</v>
      </c>
      <c r="AV253" s="459">
        <v>0</v>
      </c>
      <c r="AW253" s="152">
        <v>0</v>
      </c>
      <c r="AX253" s="152">
        <v>0</v>
      </c>
      <c r="AY253" s="41">
        <f t="shared" si="169"/>
        <v>0</v>
      </c>
      <c r="AZ253" s="41"/>
      <c r="BA253" s="152"/>
      <c r="BB253" s="152">
        <v>434699.35</v>
      </c>
      <c r="BC253" s="152">
        <v>0</v>
      </c>
      <c r="BD253" s="152">
        <v>0</v>
      </c>
      <c r="BE253" s="152">
        <v>0</v>
      </c>
      <c r="BF253" s="152">
        <v>0</v>
      </c>
      <c r="BG253" s="152">
        <v>0</v>
      </c>
      <c r="BH253" s="152">
        <v>0</v>
      </c>
      <c r="BI253" s="152">
        <v>434699.35</v>
      </c>
      <c r="BJ253" s="145"/>
      <c r="BK253" s="145"/>
      <c r="BL253" s="2"/>
    </row>
    <row r="254" spans="1:64" ht="25.5" x14ac:dyDescent="0.25">
      <c r="A254" s="55" t="s">
        <v>406</v>
      </c>
      <c r="B254" s="55" t="s">
        <v>411</v>
      </c>
      <c r="C254" s="155" t="s">
        <v>606</v>
      </c>
      <c r="D254" s="55">
        <v>1</v>
      </c>
      <c r="E254" s="55" t="s">
        <v>402</v>
      </c>
      <c r="F254" s="55" t="s">
        <v>77</v>
      </c>
      <c r="G254" s="55" t="s">
        <v>2415</v>
      </c>
      <c r="H254" s="45">
        <v>243</v>
      </c>
      <c r="I254" s="45" t="s">
        <v>406</v>
      </c>
      <c r="J254" s="155" t="s">
        <v>683</v>
      </c>
      <c r="K254" s="155" t="s">
        <v>2416</v>
      </c>
      <c r="L254" s="335"/>
      <c r="M254" s="497">
        <v>0</v>
      </c>
      <c r="N254" s="497">
        <v>0</v>
      </c>
      <c r="O254" s="497">
        <v>0</v>
      </c>
      <c r="P254" s="497"/>
      <c r="Q254" s="497"/>
      <c r="R254" s="497">
        <v>0</v>
      </c>
      <c r="S254" s="497"/>
      <c r="T254" s="497"/>
      <c r="U254" s="497">
        <v>0</v>
      </c>
      <c r="V254" s="497"/>
      <c r="W254" s="497"/>
      <c r="X254" s="497">
        <v>0</v>
      </c>
      <c r="Y254" s="497"/>
      <c r="Z254" s="497"/>
      <c r="AA254" s="497">
        <v>0</v>
      </c>
      <c r="AB254" s="497"/>
      <c r="AC254" s="497"/>
      <c r="AD254" s="497">
        <v>0</v>
      </c>
      <c r="AE254" s="497"/>
      <c r="AF254" s="497"/>
      <c r="AG254" s="497">
        <v>0</v>
      </c>
      <c r="AH254" s="497"/>
      <c r="AI254" s="497"/>
      <c r="AJ254" s="497">
        <v>0</v>
      </c>
      <c r="AK254" s="497"/>
      <c r="AL254" s="497"/>
      <c r="AM254" s="497">
        <v>0</v>
      </c>
      <c r="AN254" s="41">
        <v>2125</v>
      </c>
      <c r="AO254" s="41">
        <f>AN254-AM254</f>
        <v>2125</v>
      </c>
      <c r="AP254" s="497">
        <v>0</v>
      </c>
      <c r="AQ254" s="41">
        <f>IFERROR(VLOOKUP(G254,'10'!A:B,2,0),0)</f>
        <v>0</v>
      </c>
      <c r="AR254" s="41">
        <f t="shared" si="148"/>
        <v>0</v>
      </c>
      <c r="AS254" s="41">
        <f t="shared" si="151"/>
        <v>0</v>
      </c>
      <c r="AT254" s="41">
        <f t="shared" si="168"/>
        <v>2125</v>
      </c>
      <c r="AU254" s="41">
        <f t="shared" si="150"/>
        <v>2125</v>
      </c>
      <c r="AV254" s="459">
        <v>0</v>
      </c>
      <c r="AW254" s="497">
        <v>0</v>
      </c>
      <c r="AX254" s="497">
        <v>0</v>
      </c>
      <c r="AY254" s="41">
        <f t="shared" si="169"/>
        <v>0</v>
      </c>
      <c r="AZ254" s="41"/>
      <c r="BA254" s="152"/>
      <c r="BB254" s="497">
        <v>23233.050000000003</v>
      </c>
      <c r="BC254" s="497">
        <v>11118</v>
      </c>
      <c r="BD254" s="497">
        <v>0</v>
      </c>
      <c r="BE254" s="497">
        <v>0</v>
      </c>
      <c r="BF254" s="497">
        <v>0</v>
      </c>
      <c r="BG254" s="497">
        <v>0</v>
      </c>
      <c r="BH254" s="497">
        <v>0</v>
      </c>
      <c r="BI254" s="497">
        <v>34351.050000000003</v>
      </c>
      <c r="BJ254" s="145"/>
      <c r="BK254" s="145"/>
    </row>
    <row r="255" spans="1:64" ht="25.5" x14ac:dyDescent="0.25">
      <c r="A255" s="18" t="s">
        <v>406</v>
      </c>
      <c r="B255" s="18" t="s">
        <v>411</v>
      </c>
      <c r="C255" s="19" t="s">
        <v>606</v>
      </c>
      <c r="D255" s="22">
        <v>1</v>
      </c>
      <c r="E255" s="18" t="s">
        <v>402</v>
      </c>
      <c r="F255" s="18" t="s">
        <v>77</v>
      </c>
      <c r="G255" s="18" t="s">
        <v>2365</v>
      </c>
      <c r="H255" s="45">
        <v>244</v>
      </c>
      <c r="I255" s="45" t="s">
        <v>406</v>
      </c>
      <c r="J255" s="19" t="s">
        <v>2366</v>
      </c>
      <c r="K255" s="19" t="s">
        <v>2367</v>
      </c>
      <c r="L255" s="145">
        <v>0</v>
      </c>
      <c r="M255" s="145">
        <v>0</v>
      </c>
      <c r="N255" s="145">
        <v>0</v>
      </c>
      <c r="O255" s="145">
        <f>N255+M255+L255</f>
        <v>0</v>
      </c>
      <c r="P255" s="145"/>
      <c r="Q255" s="145"/>
      <c r="R255" s="145">
        <v>0</v>
      </c>
      <c r="S255" s="145"/>
      <c r="T255" s="145"/>
      <c r="U255" s="145">
        <v>0</v>
      </c>
      <c r="V255" s="145"/>
      <c r="W255" s="145"/>
      <c r="X255" s="145">
        <v>0</v>
      </c>
      <c r="Y255" s="145"/>
      <c r="Z255" s="145"/>
      <c r="AA255" s="145">
        <v>0</v>
      </c>
      <c r="AB255" s="145"/>
      <c r="AC255" s="145"/>
      <c r="AD255" s="145">
        <v>0</v>
      </c>
      <c r="AE255" s="145"/>
      <c r="AF255" s="145"/>
      <c r="AG255" s="145">
        <v>0</v>
      </c>
      <c r="AH255" s="145"/>
      <c r="AI255" s="145"/>
      <c r="AJ255" s="145">
        <v>0</v>
      </c>
      <c r="AK255" s="145"/>
      <c r="AL255" s="145"/>
      <c r="AM255" s="145">
        <v>0</v>
      </c>
      <c r="AN255" s="145"/>
      <c r="AO255" s="145"/>
      <c r="AP255" s="145">
        <v>0</v>
      </c>
      <c r="AQ255" s="41">
        <f>IFERROR(VLOOKUP(G255,'10'!A:B,2,0),0)</f>
        <v>2530.36</v>
      </c>
      <c r="AR255" s="41">
        <f t="shared" si="148"/>
        <v>2530.36</v>
      </c>
      <c r="AS255" s="41">
        <f t="shared" si="151"/>
        <v>0</v>
      </c>
      <c r="AT255" s="41">
        <f t="shared" si="168"/>
        <v>2530.36</v>
      </c>
      <c r="AU255" s="41">
        <f t="shared" si="150"/>
        <v>2530.36</v>
      </c>
      <c r="AV255" s="459">
        <v>0</v>
      </c>
      <c r="AW255" s="145">
        <v>0</v>
      </c>
      <c r="AX255" s="145">
        <v>0</v>
      </c>
      <c r="AY255" s="41">
        <f t="shared" si="169"/>
        <v>0</v>
      </c>
      <c r="AZ255" s="41"/>
      <c r="BA255" s="145"/>
      <c r="BB255" s="145">
        <f>SUM(R255:AX255)</f>
        <v>10121.44</v>
      </c>
      <c r="BC255" s="145">
        <v>37791</v>
      </c>
      <c r="BD255" s="145">
        <v>15637.45</v>
      </c>
      <c r="BE255" s="145">
        <v>0</v>
      </c>
      <c r="BF255" s="145">
        <v>0</v>
      </c>
      <c r="BG255" s="145">
        <v>0</v>
      </c>
      <c r="BH255" s="145">
        <v>0</v>
      </c>
      <c r="BI255" s="145">
        <v>53428.45</v>
      </c>
      <c r="BJ255" s="144"/>
      <c r="BK255" s="152"/>
      <c r="BL255" s="518"/>
    </row>
    <row r="256" spans="1:64" ht="47.25" x14ac:dyDescent="0.25">
      <c r="A256" s="55" t="s">
        <v>406</v>
      </c>
      <c r="B256" s="55" t="s">
        <v>411</v>
      </c>
      <c r="C256" s="155" t="s">
        <v>606</v>
      </c>
      <c r="D256" s="22">
        <v>1</v>
      </c>
      <c r="E256" s="55" t="s">
        <v>402</v>
      </c>
      <c r="F256" s="55" t="s">
        <v>77</v>
      </c>
      <c r="G256" s="55" t="s">
        <v>764</v>
      </c>
      <c r="H256" s="45">
        <v>245</v>
      </c>
      <c r="I256" s="45" t="s">
        <v>406</v>
      </c>
      <c r="J256" s="479" t="s">
        <v>765</v>
      </c>
      <c r="K256" s="479" t="s">
        <v>766</v>
      </c>
      <c r="L256" s="41">
        <v>0</v>
      </c>
      <c r="M256" s="41">
        <v>0</v>
      </c>
      <c r="N256" s="41">
        <v>0</v>
      </c>
      <c r="O256" s="41">
        <v>0</v>
      </c>
      <c r="P256" s="41">
        <v>0</v>
      </c>
      <c r="Q256" s="41">
        <f>P256-O256</f>
        <v>0</v>
      </c>
      <c r="R256" s="41">
        <v>0</v>
      </c>
      <c r="S256" s="41">
        <v>0</v>
      </c>
      <c r="T256" s="41">
        <f>S256-R256</f>
        <v>0</v>
      </c>
      <c r="U256" s="41">
        <v>0</v>
      </c>
      <c r="V256" s="41">
        <v>0</v>
      </c>
      <c r="W256" s="41">
        <f>V256-U256</f>
        <v>0</v>
      </c>
      <c r="X256" s="41">
        <v>0</v>
      </c>
      <c r="Y256" s="41">
        <v>0</v>
      </c>
      <c r="Z256" s="41">
        <f>Y256-X256</f>
        <v>0</v>
      </c>
      <c r="AA256" s="41">
        <v>0</v>
      </c>
      <c r="AB256" s="41">
        <v>0</v>
      </c>
      <c r="AC256" s="41">
        <f>AB256-AA256</f>
        <v>0</v>
      </c>
      <c r="AD256" s="35">
        <v>1700</v>
      </c>
      <c r="AE256" s="41">
        <v>3528.72</v>
      </c>
      <c r="AF256" s="41">
        <f>AE256-AD256</f>
        <v>1828.7199999999998</v>
      </c>
      <c r="AG256" s="35">
        <v>0</v>
      </c>
      <c r="AH256" s="41">
        <v>0</v>
      </c>
      <c r="AI256" s="41">
        <f>AH256-AG256</f>
        <v>0</v>
      </c>
      <c r="AJ256" s="35">
        <v>0</v>
      </c>
      <c r="AK256" s="41">
        <v>0</v>
      </c>
      <c r="AL256" s="41">
        <f>AK256-AJ256</f>
        <v>0</v>
      </c>
      <c r="AM256" s="35">
        <v>2626.5</v>
      </c>
      <c r="AN256" s="41">
        <v>3349.19</v>
      </c>
      <c r="AO256" s="41">
        <f t="shared" ref="AO256:AO262" si="170">AN256-AM256</f>
        <v>722.69</v>
      </c>
      <c r="AP256" s="35">
        <v>0</v>
      </c>
      <c r="AQ256" s="41">
        <f>IFERROR(VLOOKUP(G256,'10'!A:B,2,0),0)</f>
        <v>0</v>
      </c>
      <c r="AR256" s="41">
        <f t="shared" si="148"/>
        <v>0</v>
      </c>
      <c r="AS256" s="41">
        <f t="shared" si="151"/>
        <v>4326.5</v>
      </c>
      <c r="AT256" s="41">
        <f t="shared" si="168"/>
        <v>6877.91</v>
      </c>
      <c r="AU256" s="41">
        <f t="shared" si="150"/>
        <v>2551.41</v>
      </c>
      <c r="AV256" s="459">
        <f>AT256/AS256</f>
        <v>1.5897168612042065</v>
      </c>
      <c r="AW256" s="35">
        <v>0</v>
      </c>
      <c r="AX256" s="35">
        <v>2538.1</v>
      </c>
      <c r="AY256" s="41">
        <f t="shared" si="169"/>
        <v>6864.6</v>
      </c>
      <c r="AZ256" s="41">
        <f>VLOOKUP(G256,'2017'!A:B,2,0)</f>
        <v>11073.68</v>
      </c>
      <c r="BA256" s="552">
        <f>AZ256-AY256</f>
        <v>4209.08</v>
      </c>
      <c r="BB256" s="35">
        <v>17399.82</v>
      </c>
      <c r="BC256" s="35">
        <v>15351</v>
      </c>
      <c r="BD256" s="35">
        <v>2472.33</v>
      </c>
      <c r="BE256" s="35">
        <v>0</v>
      </c>
      <c r="BF256" s="35">
        <v>0</v>
      </c>
      <c r="BG256" s="35">
        <v>0</v>
      </c>
      <c r="BH256" s="35">
        <v>0</v>
      </c>
      <c r="BI256" s="41">
        <v>40387.75</v>
      </c>
      <c r="BJ256" s="75"/>
      <c r="BK256" s="24"/>
      <c r="BL256" s="2"/>
    </row>
    <row r="257" spans="1:64" ht="47.25" x14ac:dyDescent="0.25">
      <c r="A257" s="481" t="s">
        <v>406</v>
      </c>
      <c r="B257" s="470" t="s">
        <v>411</v>
      </c>
      <c r="C257" s="471" t="s">
        <v>606</v>
      </c>
      <c r="D257" s="470">
        <v>1</v>
      </c>
      <c r="E257" s="470" t="s">
        <v>402</v>
      </c>
      <c r="F257" s="470" t="s">
        <v>77</v>
      </c>
      <c r="G257" s="470" t="s">
        <v>937</v>
      </c>
      <c r="H257" s="45">
        <v>246</v>
      </c>
      <c r="I257" s="45" t="s">
        <v>406</v>
      </c>
      <c r="J257" s="471" t="s">
        <v>938</v>
      </c>
      <c r="K257" s="471" t="s">
        <v>939</v>
      </c>
      <c r="L257" s="43">
        <v>0</v>
      </c>
      <c r="M257" s="43">
        <v>0</v>
      </c>
      <c r="N257" s="43">
        <v>0</v>
      </c>
      <c r="O257" s="43">
        <v>0</v>
      </c>
      <c r="P257" s="43"/>
      <c r="Q257" s="43"/>
      <c r="R257" s="43">
        <v>0</v>
      </c>
      <c r="S257" s="43"/>
      <c r="T257" s="43"/>
      <c r="U257" s="43">
        <v>0</v>
      </c>
      <c r="V257" s="43"/>
      <c r="W257" s="43"/>
      <c r="X257" s="43">
        <v>0</v>
      </c>
      <c r="Y257" s="43"/>
      <c r="Z257" s="43"/>
      <c r="AA257" s="43">
        <v>0</v>
      </c>
      <c r="AB257" s="43"/>
      <c r="AC257" s="43"/>
      <c r="AD257" s="43">
        <v>0</v>
      </c>
      <c r="AE257" s="43"/>
      <c r="AF257" s="43"/>
      <c r="AG257" s="43">
        <v>0</v>
      </c>
      <c r="AH257" s="41">
        <v>0</v>
      </c>
      <c r="AI257" s="41">
        <f>AH257-AG257</f>
        <v>0</v>
      </c>
      <c r="AJ257" s="41">
        <v>0</v>
      </c>
      <c r="AK257" s="41">
        <v>0</v>
      </c>
      <c r="AL257" s="41">
        <f>AK257-AJ257</f>
        <v>0</v>
      </c>
      <c r="AM257" s="41">
        <v>0</v>
      </c>
      <c r="AN257" s="41">
        <v>0</v>
      </c>
      <c r="AO257" s="41">
        <f t="shared" si="170"/>
        <v>0</v>
      </c>
      <c r="AP257" s="41">
        <v>0</v>
      </c>
      <c r="AQ257" s="41">
        <f>IFERROR(VLOOKUP(G257,'10'!A:B,2,0),0)</f>
        <v>2622.71</v>
      </c>
      <c r="AR257" s="41">
        <f t="shared" si="148"/>
        <v>2622.71</v>
      </c>
      <c r="AS257" s="41">
        <f t="shared" si="151"/>
        <v>0</v>
      </c>
      <c r="AT257" s="41">
        <f>AN257+AK257+AH257+AE257+AB257+Y257+V257+S257+P257+AQ257</f>
        <v>2622.71</v>
      </c>
      <c r="AU257" s="41">
        <f t="shared" si="150"/>
        <v>2622.71</v>
      </c>
      <c r="AV257" s="459">
        <v>0</v>
      </c>
      <c r="AW257" s="41">
        <v>0</v>
      </c>
      <c r="AX257" s="41">
        <v>0</v>
      </c>
      <c r="AY257" s="41">
        <f t="shared" si="169"/>
        <v>0</v>
      </c>
      <c r="AZ257" s="41"/>
      <c r="BA257" s="36">
        <f>AZ257-AY257</f>
        <v>0</v>
      </c>
      <c r="BB257" s="41">
        <v>41654.76</v>
      </c>
      <c r="BC257" s="41">
        <v>17852.04</v>
      </c>
      <c r="BD257" s="41">
        <v>0</v>
      </c>
      <c r="BE257" s="41">
        <v>0</v>
      </c>
      <c r="BF257" s="41">
        <v>0</v>
      </c>
      <c r="BG257" s="41">
        <v>0</v>
      </c>
      <c r="BH257" s="41">
        <v>0</v>
      </c>
      <c r="BI257" s="41">
        <v>59506.8</v>
      </c>
      <c r="BJ257" s="78"/>
      <c r="BK257" s="24"/>
    </row>
    <row r="258" spans="1:64" ht="25.5" x14ac:dyDescent="0.25">
      <c r="A258" s="483" t="s">
        <v>406</v>
      </c>
      <c r="B258" s="55" t="s">
        <v>411</v>
      </c>
      <c r="C258" s="155" t="s">
        <v>606</v>
      </c>
      <c r="D258" s="55">
        <v>1</v>
      </c>
      <c r="E258" s="55" t="s">
        <v>402</v>
      </c>
      <c r="F258" s="55" t="s">
        <v>77</v>
      </c>
      <c r="G258" s="55" t="s">
        <v>2335</v>
      </c>
      <c r="H258" s="45">
        <v>247</v>
      </c>
      <c r="I258" s="45" t="s">
        <v>406</v>
      </c>
      <c r="J258" s="155" t="s">
        <v>2336</v>
      </c>
      <c r="K258" s="155" t="s">
        <v>2337</v>
      </c>
      <c r="L258" s="152"/>
      <c r="M258" s="152">
        <v>0</v>
      </c>
      <c r="N258" s="152">
        <v>0</v>
      </c>
      <c r="O258" s="152">
        <v>0</v>
      </c>
      <c r="P258" s="152"/>
      <c r="Q258" s="152"/>
      <c r="R258" s="152">
        <v>0</v>
      </c>
      <c r="S258" s="152"/>
      <c r="T258" s="152"/>
      <c r="U258" s="152">
        <v>0</v>
      </c>
      <c r="V258" s="152"/>
      <c r="W258" s="152"/>
      <c r="X258" s="152">
        <v>0</v>
      </c>
      <c r="Y258" s="152"/>
      <c r="Z258" s="152"/>
      <c r="AA258" s="152">
        <v>0</v>
      </c>
      <c r="AB258" s="152"/>
      <c r="AC258" s="152"/>
      <c r="AD258" s="152">
        <v>0</v>
      </c>
      <c r="AE258" s="152"/>
      <c r="AF258" s="152"/>
      <c r="AG258" s="152">
        <v>0</v>
      </c>
      <c r="AH258" s="152"/>
      <c r="AI258" s="152"/>
      <c r="AJ258" s="152">
        <v>0</v>
      </c>
      <c r="AK258" s="152"/>
      <c r="AL258" s="152"/>
      <c r="AM258" s="152">
        <v>0</v>
      </c>
      <c r="AN258" s="41">
        <v>2956.3</v>
      </c>
      <c r="AO258" s="41">
        <f t="shared" si="170"/>
        <v>2956.3</v>
      </c>
      <c r="AP258" s="152">
        <v>0</v>
      </c>
      <c r="AQ258" s="41">
        <f>IFERROR(VLOOKUP(G258,'10'!A:B,2,0),0)</f>
        <v>0</v>
      </c>
      <c r="AR258" s="41">
        <f t="shared" si="148"/>
        <v>0</v>
      </c>
      <c r="AS258" s="41">
        <f t="shared" si="151"/>
        <v>0</v>
      </c>
      <c r="AT258" s="41">
        <f>AN258+AK258+AH258+AE258+AB258+-Y258+V258+S258+P258+AQ258</f>
        <v>2956.3</v>
      </c>
      <c r="AU258" s="41">
        <f t="shared" si="150"/>
        <v>2956.3</v>
      </c>
      <c r="AV258" s="459">
        <v>0</v>
      </c>
      <c r="AW258" s="152">
        <v>0</v>
      </c>
      <c r="AX258" s="152">
        <v>0</v>
      </c>
      <c r="AY258" s="41">
        <f t="shared" si="169"/>
        <v>0</v>
      </c>
      <c r="AZ258" s="41"/>
      <c r="BA258" s="152"/>
      <c r="BB258" s="152">
        <v>23694.690000000002</v>
      </c>
      <c r="BC258" s="152">
        <v>10569.66</v>
      </c>
      <c r="BD258" s="152">
        <v>0</v>
      </c>
      <c r="BE258" s="152">
        <v>0</v>
      </c>
      <c r="BF258" s="152">
        <v>0</v>
      </c>
      <c r="BG258" s="152">
        <v>0</v>
      </c>
      <c r="BH258" s="152">
        <v>0</v>
      </c>
      <c r="BI258" s="152">
        <v>34264.350000000006</v>
      </c>
      <c r="BJ258" s="145"/>
      <c r="BK258" s="145"/>
      <c r="BL258" s="2"/>
    </row>
    <row r="259" spans="1:64" ht="47.25" x14ac:dyDescent="0.25">
      <c r="A259" s="481" t="s">
        <v>406</v>
      </c>
      <c r="B259" s="470" t="s">
        <v>411</v>
      </c>
      <c r="C259" s="471" t="s">
        <v>606</v>
      </c>
      <c r="D259" s="470">
        <v>1</v>
      </c>
      <c r="E259" s="470" t="s">
        <v>402</v>
      </c>
      <c r="F259" s="470" t="s">
        <v>77</v>
      </c>
      <c r="G259" s="43" t="s">
        <v>791</v>
      </c>
      <c r="H259" s="45">
        <v>248</v>
      </c>
      <c r="I259" s="45" t="s">
        <v>406</v>
      </c>
      <c r="J259" s="475" t="s">
        <v>825</v>
      </c>
      <c r="K259" s="475" t="s">
        <v>826</v>
      </c>
      <c r="L259" s="41">
        <v>0</v>
      </c>
      <c r="M259" s="41">
        <v>0</v>
      </c>
      <c r="N259" s="41">
        <v>0</v>
      </c>
      <c r="O259" s="40">
        <v>0</v>
      </c>
      <c r="P259" s="40">
        <v>0</v>
      </c>
      <c r="Q259" s="41">
        <f>P259-O259</f>
        <v>0</v>
      </c>
      <c r="R259" s="40">
        <v>0</v>
      </c>
      <c r="S259" s="40">
        <v>0</v>
      </c>
      <c r="T259" s="41">
        <f>S259-R259</f>
        <v>0</v>
      </c>
      <c r="U259" s="40">
        <v>0</v>
      </c>
      <c r="V259" s="40">
        <v>0</v>
      </c>
      <c r="W259" s="41">
        <f>V259-U259</f>
        <v>0</v>
      </c>
      <c r="X259" s="40">
        <v>0</v>
      </c>
      <c r="Y259" s="40">
        <v>0</v>
      </c>
      <c r="Z259" s="41">
        <f>Y259-X259</f>
        <v>0</v>
      </c>
      <c r="AA259" s="40">
        <v>0</v>
      </c>
      <c r="AB259" s="40">
        <v>0</v>
      </c>
      <c r="AC259" s="41">
        <f>AB259-AA259</f>
        <v>0</v>
      </c>
      <c r="AD259" s="41">
        <v>0</v>
      </c>
      <c r="AE259" s="41">
        <v>594</v>
      </c>
      <c r="AF259" s="41">
        <f>AE259-AD259</f>
        <v>594</v>
      </c>
      <c r="AG259" s="41">
        <v>0</v>
      </c>
      <c r="AH259" s="41">
        <v>0</v>
      </c>
      <c r="AI259" s="41">
        <f>AH259-AG259</f>
        <v>0</v>
      </c>
      <c r="AJ259" s="41">
        <v>0</v>
      </c>
      <c r="AK259" s="41">
        <v>628.96</v>
      </c>
      <c r="AL259" s="41">
        <f>AK259-AJ259</f>
        <v>628.96</v>
      </c>
      <c r="AM259" s="41">
        <v>0</v>
      </c>
      <c r="AN259" s="41">
        <v>543.13</v>
      </c>
      <c r="AO259" s="41">
        <f t="shared" si="170"/>
        <v>543.13</v>
      </c>
      <c r="AP259" s="41">
        <v>0</v>
      </c>
      <c r="AQ259" s="41">
        <f>IFERROR(VLOOKUP(G259,'10'!A:B,2,0),0)</f>
        <v>876.41</v>
      </c>
      <c r="AR259" s="41">
        <f t="shared" si="148"/>
        <v>876.41</v>
      </c>
      <c r="AS259" s="41">
        <f t="shared" si="151"/>
        <v>0</v>
      </c>
      <c r="AT259" s="41">
        <f>AN259+AK259+AH259+AE259+AB259+-Y259+V259+S259+P259+AQ259</f>
        <v>2642.5</v>
      </c>
      <c r="AU259" s="41">
        <f t="shared" si="150"/>
        <v>2642.5</v>
      </c>
      <c r="AV259" s="459">
        <v>0</v>
      </c>
      <c r="AW259" s="41">
        <v>0</v>
      </c>
      <c r="AX259" s="41">
        <v>0</v>
      </c>
      <c r="AY259" s="41">
        <f t="shared" si="169"/>
        <v>0</v>
      </c>
      <c r="AZ259" s="41"/>
      <c r="BA259" s="36">
        <f>AZ259-AY259</f>
        <v>0</v>
      </c>
      <c r="BB259" s="41">
        <v>23554.07</v>
      </c>
      <c r="BC259" s="41">
        <v>11628.28</v>
      </c>
      <c r="BD259" s="41">
        <v>0</v>
      </c>
      <c r="BE259" s="41">
        <v>0</v>
      </c>
      <c r="BF259" s="41">
        <v>0</v>
      </c>
      <c r="BG259" s="41">
        <v>0</v>
      </c>
      <c r="BH259" s="41">
        <v>0</v>
      </c>
      <c r="BI259" s="41">
        <v>35182.35</v>
      </c>
      <c r="BJ259" s="75"/>
      <c r="BK259" s="24"/>
      <c r="BL259" s="2"/>
    </row>
    <row r="260" spans="1:64" ht="31.5" x14ac:dyDescent="0.25">
      <c r="A260" s="482" t="s">
        <v>379</v>
      </c>
      <c r="B260" s="472" t="s">
        <v>380</v>
      </c>
      <c r="C260" s="473" t="s">
        <v>381</v>
      </c>
      <c r="D260" s="472">
        <v>1</v>
      </c>
      <c r="E260" s="472" t="s">
        <v>210</v>
      </c>
      <c r="F260" s="472" t="s">
        <v>77</v>
      </c>
      <c r="G260" s="474" t="s">
        <v>391</v>
      </c>
      <c r="H260" s="45">
        <v>249</v>
      </c>
      <c r="I260" s="45" t="s">
        <v>379</v>
      </c>
      <c r="J260" s="475" t="s">
        <v>392</v>
      </c>
      <c r="K260" s="475" t="s">
        <v>393</v>
      </c>
      <c r="L260" s="41">
        <v>0</v>
      </c>
      <c r="M260" s="41">
        <v>0</v>
      </c>
      <c r="N260" s="41">
        <v>104876.21</v>
      </c>
      <c r="O260" s="41">
        <v>0</v>
      </c>
      <c r="P260" s="41">
        <v>0</v>
      </c>
      <c r="Q260" s="41">
        <f>P260-O260</f>
        <v>0</v>
      </c>
      <c r="R260" s="41">
        <v>0</v>
      </c>
      <c r="S260" s="41">
        <v>0</v>
      </c>
      <c r="T260" s="41">
        <f>S260-R260</f>
        <v>0</v>
      </c>
      <c r="U260" s="41">
        <v>54019.07</v>
      </c>
      <c r="V260" s="41">
        <v>54017.18</v>
      </c>
      <c r="W260" s="41">
        <f>V260-U260</f>
        <v>-1.8899999999994179</v>
      </c>
      <c r="X260" s="41">
        <v>0</v>
      </c>
      <c r="Y260" s="41">
        <v>0</v>
      </c>
      <c r="Z260" s="41">
        <f>Y260-X260</f>
        <v>0</v>
      </c>
      <c r="AA260" s="41">
        <v>0</v>
      </c>
      <c r="AB260" s="41">
        <v>0</v>
      </c>
      <c r="AC260" s="41">
        <f>AB260-AA260</f>
        <v>0</v>
      </c>
      <c r="AD260" s="41">
        <v>75650</v>
      </c>
      <c r="AE260" s="41">
        <v>109316</v>
      </c>
      <c r="AF260" s="41">
        <f>AE260-AD260</f>
        <v>33666</v>
      </c>
      <c r="AG260" s="41">
        <v>0</v>
      </c>
      <c r="AH260" s="41">
        <v>0</v>
      </c>
      <c r="AI260" s="41">
        <f>AH260-AG260</f>
        <v>0</v>
      </c>
      <c r="AJ260" s="41">
        <v>0</v>
      </c>
      <c r="AK260" s="41">
        <v>0</v>
      </c>
      <c r="AL260" s="41">
        <f>AK260-AJ260</f>
        <v>0</v>
      </c>
      <c r="AM260" s="41">
        <v>103295.4</v>
      </c>
      <c r="AN260" s="41">
        <v>72902.78</v>
      </c>
      <c r="AO260" s="41">
        <f t="shared" si="170"/>
        <v>-30392.619999999995</v>
      </c>
      <c r="AP260" s="41">
        <v>0</v>
      </c>
      <c r="AQ260" s="41">
        <f>IFERROR(VLOOKUP(G260,'10'!A:B,2,0),0)</f>
        <v>0</v>
      </c>
      <c r="AR260" s="41">
        <f t="shared" si="148"/>
        <v>0</v>
      </c>
      <c r="AS260" s="41">
        <f t="shared" si="151"/>
        <v>232964.47</v>
      </c>
      <c r="AT260" s="41">
        <f>AN260+AK260+AH260+AE260+AB260+Y260+V260+S260+P260+AQ260</f>
        <v>236235.96</v>
      </c>
      <c r="AU260" s="41">
        <f t="shared" si="150"/>
        <v>3271.4900000000052</v>
      </c>
      <c r="AV260" s="459">
        <f>AT260/AS260</f>
        <v>1.0140428710008869</v>
      </c>
      <c r="AW260" s="41">
        <v>0</v>
      </c>
      <c r="AX260" s="41">
        <v>61722.75</v>
      </c>
      <c r="AY260" s="41">
        <f t="shared" si="169"/>
        <v>294687.21999999997</v>
      </c>
      <c r="AZ260" s="41">
        <f>VLOOKUP(G260,'2017'!A:B,2,0)</f>
        <v>320187.21999999997</v>
      </c>
      <c r="BA260" s="552">
        <f>AZ260-AY260</f>
        <v>25500</v>
      </c>
      <c r="BB260" s="41">
        <v>647333.65</v>
      </c>
      <c r="BC260" s="41">
        <v>1010724.8</v>
      </c>
      <c r="BD260" s="41">
        <v>1010724.8</v>
      </c>
      <c r="BE260" s="41">
        <v>1010724.8</v>
      </c>
      <c r="BF260" s="41">
        <v>1010724.8</v>
      </c>
      <c r="BG260" s="41">
        <v>252692.57</v>
      </c>
      <c r="BH260" s="41">
        <v>0</v>
      </c>
      <c r="BI260" s="41">
        <v>5342488.8500000006</v>
      </c>
      <c r="BJ260" s="75"/>
      <c r="BK260" s="24"/>
      <c r="BL260" s="2"/>
    </row>
    <row r="261" spans="1:64" ht="47.25" x14ac:dyDescent="0.25">
      <c r="A261" s="482" t="s">
        <v>458</v>
      </c>
      <c r="B261" s="472" t="s">
        <v>459</v>
      </c>
      <c r="C261" s="473" t="s">
        <v>609</v>
      </c>
      <c r="D261" s="472">
        <v>1</v>
      </c>
      <c r="E261" s="472" t="s">
        <v>454</v>
      </c>
      <c r="F261" s="472" t="s">
        <v>77</v>
      </c>
      <c r="G261" s="474" t="s">
        <v>474</v>
      </c>
      <c r="H261" s="45">
        <v>250</v>
      </c>
      <c r="I261" s="45" t="s">
        <v>458</v>
      </c>
      <c r="J261" s="475" t="s">
        <v>13</v>
      </c>
      <c r="K261" s="475" t="s">
        <v>475</v>
      </c>
      <c r="L261" s="41">
        <v>0</v>
      </c>
      <c r="M261" s="41">
        <v>0</v>
      </c>
      <c r="N261" s="41">
        <v>24363.08</v>
      </c>
      <c r="O261" s="41">
        <v>0</v>
      </c>
      <c r="P261" s="41">
        <v>0</v>
      </c>
      <c r="Q261" s="41">
        <f>P261-O261</f>
        <v>0</v>
      </c>
      <c r="R261" s="41">
        <v>10941.4</v>
      </c>
      <c r="S261" s="41">
        <v>10941.4</v>
      </c>
      <c r="T261" s="41">
        <f>S261-R261</f>
        <v>0</v>
      </c>
      <c r="U261" s="41">
        <v>0</v>
      </c>
      <c r="V261" s="41">
        <v>0</v>
      </c>
      <c r="W261" s="41">
        <f>V261-U261</f>
        <v>0</v>
      </c>
      <c r="X261" s="41">
        <v>0</v>
      </c>
      <c r="Y261" s="41">
        <v>0</v>
      </c>
      <c r="Z261" s="41">
        <f>Y261-X261</f>
        <v>0</v>
      </c>
      <c r="AA261" s="41">
        <v>8245</v>
      </c>
      <c r="AB261" s="41">
        <v>7894.93</v>
      </c>
      <c r="AC261" s="41">
        <f>AB261-AA261</f>
        <v>-350.06999999999971</v>
      </c>
      <c r="AD261" s="41">
        <v>0</v>
      </c>
      <c r="AE261" s="41">
        <v>0</v>
      </c>
      <c r="AF261" s="41">
        <f>AE261-AD261</f>
        <v>0</v>
      </c>
      <c r="AG261" s="41">
        <v>0</v>
      </c>
      <c r="AH261" s="41">
        <v>12530.55</v>
      </c>
      <c r="AI261" s="41">
        <f>AH261-AG261</f>
        <v>12530.55</v>
      </c>
      <c r="AJ261" s="41">
        <v>8160</v>
      </c>
      <c r="AK261" s="41">
        <v>0</v>
      </c>
      <c r="AL261" s="41">
        <f>AK261-AJ261</f>
        <v>-8160</v>
      </c>
      <c r="AM261" s="41">
        <v>0</v>
      </c>
      <c r="AN261" s="41">
        <v>0</v>
      </c>
      <c r="AO261" s="41">
        <f t="shared" si="170"/>
        <v>0</v>
      </c>
      <c r="AP261" s="41">
        <v>0</v>
      </c>
      <c r="AQ261" s="41">
        <f>IFERROR(VLOOKUP(G261,'10'!A:B,2,0),0)</f>
        <v>0</v>
      </c>
      <c r="AR261" s="41">
        <f t="shared" si="148"/>
        <v>0</v>
      </c>
      <c r="AS261" s="41">
        <f t="shared" si="151"/>
        <v>27346.400000000001</v>
      </c>
      <c r="AT261" s="41">
        <f>AN261+AK261+AH261+AE261+AB261+-Y261+V261+S261+P261+AQ261</f>
        <v>31366.879999999997</v>
      </c>
      <c r="AU261" s="41">
        <f t="shared" si="150"/>
        <v>4020.4799999999996</v>
      </c>
      <c r="AV261" s="459">
        <f>AT261/AS261</f>
        <v>1.14702044876108</v>
      </c>
      <c r="AW261" s="41">
        <v>8500</v>
      </c>
      <c r="AX261" s="41">
        <v>0</v>
      </c>
      <c r="AY261" s="41">
        <f t="shared" si="169"/>
        <v>35846.400000000001</v>
      </c>
      <c r="AZ261" s="41">
        <f>VLOOKUP(G261,'2017'!A:B,2,0)</f>
        <v>43610.95</v>
      </c>
      <c r="BA261" s="552">
        <f>AZ261-AY261</f>
        <v>7764.5499999999956</v>
      </c>
      <c r="BB261" s="41">
        <v>28301.599999999999</v>
      </c>
      <c r="BC261" s="41">
        <v>11182.87</v>
      </c>
      <c r="BD261" s="41">
        <v>0</v>
      </c>
      <c r="BE261" s="41">
        <v>0</v>
      </c>
      <c r="BF261" s="41">
        <v>0</v>
      </c>
      <c r="BG261" s="41">
        <v>0</v>
      </c>
      <c r="BH261" s="41">
        <v>0</v>
      </c>
      <c r="BI261" s="41">
        <v>99693.95</v>
      </c>
      <c r="BJ261" s="75"/>
      <c r="BK261" s="24"/>
      <c r="BL261" s="2"/>
    </row>
    <row r="262" spans="1:64" ht="47.25" x14ac:dyDescent="0.25">
      <c r="A262" s="517" t="s">
        <v>406</v>
      </c>
      <c r="B262" s="439" t="s">
        <v>411</v>
      </c>
      <c r="C262" s="440" t="s">
        <v>606</v>
      </c>
      <c r="D262" s="438">
        <v>1</v>
      </c>
      <c r="E262" s="439" t="s">
        <v>402</v>
      </c>
      <c r="F262" s="439" t="s">
        <v>77</v>
      </c>
      <c r="G262" s="439" t="s">
        <v>2398</v>
      </c>
      <c r="H262" s="45">
        <v>251</v>
      </c>
      <c r="I262" s="45" t="s">
        <v>406</v>
      </c>
      <c r="J262" s="440" t="s">
        <v>2399</v>
      </c>
      <c r="K262" s="440" t="s">
        <v>2400</v>
      </c>
      <c r="L262" s="441">
        <v>0</v>
      </c>
      <c r="M262" s="441">
        <v>0</v>
      </c>
      <c r="N262" s="441">
        <v>0</v>
      </c>
      <c r="O262" s="441">
        <f>N262+M262+L262</f>
        <v>0</v>
      </c>
      <c r="P262" s="441"/>
      <c r="Q262" s="441"/>
      <c r="R262" s="441">
        <v>0</v>
      </c>
      <c r="S262" s="441"/>
      <c r="T262" s="441"/>
      <c r="U262" s="441">
        <v>0</v>
      </c>
      <c r="V262" s="441"/>
      <c r="W262" s="441"/>
      <c r="X262" s="441">
        <v>0</v>
      </c>
      <c r="Y262" s="441"/>
      <c r="Z262" s="441"/>
      <c r="AA262" s="441">
        <v>0</v>
      </c>
      <c r="AB262" s="441"/>
      <c r="AC262" s="441"/>
      <c r="AD262" s="441">
        <v>0</v>
      </c>
      <c r="AE262" s="441"/>
      <c r="AF262" s="441"/>
      <c r="AG262" s="441">
        <v>0</v>
      </c>
      <c r="AH262" s="441"/>
      <c r="AI262" s="441"/>
      <c r="AJ262" s="441">
        <v>0</v>
      </c>
      <c r="AK262" s="41">
        <v>1700</v>
      </c>
      <c r="AL262" s="41">
        <f>AK262-AJ262</f>
        <v>1700</v>
      </c>
      <c r="AM262" s="441">
        <v>0</v>
      </c>
      <c r="AN262" s="41">
        <v>2502.77</v>
      </c>
      <c r="AO262" s="41">
        <f t="shared" si="170"/>
        <v>2502.77</v>
      </c>
      <c r="AP262" s="441">
        <v>0</v>
      </c>
      <c r="AQ262" s="41">
        <f>IFERROR(VLOOKUP(G262,'10'!A:B,2,0),0)</f>
        <v>0</v>
      </c>
      <c r="AR262" s="41">
        <f t="shared" si="148"/>
        <v>0</v>
      </c>
      <c r="AS262" s="41">
        <f t="shared" si="151"/>
        <v>0</v>
      </c>
      <c r="AT262" s="41">
        <f>AN262+AK262+AH262+AE262+AB262+-Y262+V262+S262+P262+AQ262</f>
        <v>4202.7700000000004</v>
      </c>
      <c r="AU262" s="41">
        <f t="shared" si="150"/>
        <v>4202.7700000000004</v>
      </c>
      <c r="AV262" s="459">
        <v>0</v>
      </c>
      <c r="AW262" s="441">
        <v>0</v>
      </c>
      <c r="AX262" s="441">
        <v>0</v>
      </c>
      <c r="AY262" s="41">
        <f t="shared" si="169"/>
        <v>0</v>
      </c>
      <c r="AZ262" s="41"/>
      <c r="BA262" s="40">
        <f>AZ262-AY262</f>
        <v>0</v>
      </c>
      <c r="BB262" s="441">
        <v>22683.05</v>
      </c>
      <c r="BC262" s="441">
        <v>10440.59</v>
      </c>
      <c r="BD262" s="441">
        <v>0</v>
      </c>
      <c r="BE262" s="441">
        <v>0</v>
      </c>
      <c r="BF262" s="441">
        <v>0</v>
      </c>
      <c r="BG262" s="441">
        <v>0</v>
      </c>
      <c r="BH262" s="441">
        <v>0</v>
      </c>
      <c r="BI262" s="441">
        <v>33123.65</v>
      </c>
      <c r="BJ262" s="144"/>
      <c r="BK262" s="24"/>
      <c r="BL262" s="2"/>
    </row>
    <row r="263" spans="1:64" s="29" customFormat="1" ht="38.25" x14ac:dyDescent="0.25">
      <c r="A263" s="527" t="s">
        <v>406</v>
      </c>
      <c r="B263" s="18" t="s">
        <v>411</v>
      </c>
      <c r="C263" s="19" t="s">
        <v>606</v>
      </c>
      <c r="D263" s="22">
        <v>1</v>
      </c>
      <c r="E263" s="18" t="s">
        <v>402</v>
      </c>
      <c r="F263" s="18" t="s">
        <v>77</v>
      </c>
      <c r="G263" s="18" t="s">
        <v>2380</v>
      </c>
      <c r="H263" s="45">
        <v>252</v>
      </c>
      <c r="I263" s="45" t="s">
        <v>406</v>
      </c>
      <c r="J263" s="19" t="s">
        <v>2381</v>
      </c>
      <c r="K263" s="19" t="s">
        <v>2382</v>
      </c>
      <c r="L263" s="145">
        <v>0</v>
      </c>
      <c r="M263" s="145">
        <v>0</v>
      </c>
      <c r="N263" s="145">
        <v>0</v>
      </c>
      <c r="O263" s="145">
        <f>N263+M263+L263</f>
        <v>0</v>
      </c>
      <c r="P263" s="145"/>
      <c r="Q263" s="145"/>
      <c r="R263" s="145">
        <v>0</v>
      </c>
      <c r="S263" s="145"/>
      <c r="T263" s="145"/>
      <c r="U263" s="145">
        <v>0</v>
      </c>
      <c r="V263" s="145"/>
      <c r="W263" s="145"/>
      <c r="X263" s="145">
        <v>0</v>
      </c>
      <c r="Y263" s="145"/>
      <c r="Z263" s="145"/>
      <c r="AA263" s="145">
        <v>0</v>
      </c>
      <c r="AB263" s="145"/>
      <c r="AC263" s="145"/>
      <c r="AD263" s="145">
        <v>0</v>
      </c>
      <c r="AE263" s="145"/>
      <c r="AF263" s="145"/>
      <c r="AG263" s="145">
        <v>0</v>
      </c>
      <c r="AH263" s="145"/>
      <c r="AI263" s="145"/>
      <c r="AJ263" s="145">
        <v>0</v>
      </c>
      <c r="AK263" s="145"/>
      <c r="AL263" s="145"/>
      <c r="AM263" s="145">
        <v>0</v>
      </c>
      <c r="AN263" s="145"/>
      <c r="AO263" s="145"/>
      <c r="AP263" s="145">
        <v>0</v>
      </c>
      <c r="AQ263" s="41">
        <f>IFERROR(VLOOKUP(G263,'10'!A:B,2,0),0)</f>
        <v>4474.5200000000004</v>
      </c>
      <c r="AR263" s="41">
        <f t="shared" si="148"/>
        <v>4474.5200000000004</v>
      </c>
      <c r="AS263" s="41">
        <f t="shared" si="151"/>
        <v>0</v>
      </c>
      <c r="AT263" s="41">
        <f>AN263+AK263+AH263+AE263+AB263+-Y263+V263+S263+P263+AQ263</f>
        <v>4474.5200000000004</v>
      </c>
      <c r="AU263" s="41">
        <f t="shared" si="150"/>
        <v>4474.5200000000004</v>
      </c>
      <c r="AV263" s="459">
        <v>0</v>
      </c>
      <c r="AW263" s="145">
        <v>0</v>
      </c>
      <c r="AX263" s="145">
        <v>0</v>
      </c>
      <c r="AY263" s="41">
        <f t="shared" si="169"/>
        <v>0</v>
      </c>
      <c r="AZ263" s="41"/>
      <c r="BA263" s="145"/>
      <c r="BB263" s="145">
        <f>SUM(R263:AX263)</f>
        <v>17898.080000000002</v>
      </c>
      <c r="BC263" s="145">
        <v>30978.25</v>
      </c>
      <c r="BD263" s="145">
        <v>8681.9</v>
      </c>
      <c r="BE263" s="145">
        <v>0</v>
      </c>
      <c r="BF263" s="145">
        <v>0</v>
      </c>
      <c r="BG263" s="145">
        <v>0</v>
      </c>
      <c r="BH263" s="145">
        <v>0</v>
      </c>
      <c r="BI263" s="145">
        <v>39660.15</v>
      </c>
      <c r="BJ263" s="144"/>
      <c r="BK263" s="152"/>
      <c r="BL263" s="518"/>
    </row>
    <row r="264" spans="1:64" s="29" customFormat="1" ht="31.5" x14ac:dyDescent="0.25">
      <c r="A264" s="54" t="s">
        <v>406</v>
      </c>
      <c r="B264" s="11" t="s">
        <v>411</v>
      </c>
      <c r="C264" s="14" t="s">
        <v>606</v>
      </c>
      <c r="D264" s="11">
        <v>1</v>
      </c>
      <c r="E264" s="11" t="s">
        <v>402</v>
      </c>
      <c r="F264" s="11" t="s">
        <v>77</v>
      </c>
      <c r="G264" s="44" t="s">
        <v>430</v>
      </c>
      <c r="H264" s="45">
        <v>253</v>
      </c>
      <c r="I264" s="45" t="s">
        <v>406</v>
      </c>
      <c r="J264" s="46" t="s">
        <v>431</v>
      </c>
      <c r="K264" s="46" t="s">
        <v>432</v>
      </c>
      <c r="L264" s="41"/>
      <c r="M264" s="41"/>
      <c r="N264" s="41"/>
      <c r="O264" s="41"/>
      <c r="P264" s="41">
        <v>0</v>
      </c>
      <c r="Q264" s="41">
        <f>P264-O264</f>
        <v>0</v>
      </c>
      <c r="R264" s="41"/>
      <c r="S264" s="41">
        <v>0</v>
      </c>
      <c r="T264" s="41">
        <f>S264-R264</f>
        <v>0</v>
      </c>
      <c r="U264" s="41"/>
      <c r="V264" s="41">
        <v>0</v>
      </c>
      <c r="W264" s="41">
        <f>V264-U264</f>
        <v>0</v>
      </c>
      <c r="X264" s="41"/>
      <c r="Y264" s="41">
        <v>0</v>
      </c>
      <c r="Z264" s="41">
        <f>Y264-X264</f>
        <v>0</v>
      </c>
      <c r="AA264" s="41">
        <v>1394</v>
      </c>
      <c r="AB264" s="41">
        <v>1394</v>
      </c>
      <c r="AC264" s="41">
        <f>AB264-AA264</f>
        <v>0</v>
      </c>
      <c r="AD264" s="41">
        <v>0</v>
      </c>
      <c r="AE264" s="41">
        <v>0</v>
      </c>
      <c r="AF264" s="41">
        <f>AE264-AD264</f>
        <v>0</v>
      </c>
      <c r="AG264" s="41">
        <v>12192</v>
      </c>
      <c r="AH264" s="41">
        <v>1068.3499999999999</v>
      </c>
      <c r="AI264" s="41">
        <f>AH264-AG264</f>
        <v>-11123.65</v>
      </c>
      <c r="AJ264" s="41">
        <v>0</v>
      </c>
      <c r="AK264" s="41">
        <v>0</v>
      </c>
      <c r="AL264" s="41">
        <f>AK264-AJ264</f>
        <v>0</v>
      </c>
      <c r="AM264" s="41">
        <v>0</v>
      </c>
      <c r="AN264" s="41">
        <v>15589.78</v>
      </c>
      <c r="AO264" s="41">
        <f>AN264-AM264</f>
        <v>15589.78</v>
      </c>
      <c r="AP264" s="41">
        <v>3269.85</v>
      </c>
      <c r="AQ264" s="41">
        <f>IFERROR(VLOOKUP(G264,'10'!A:B,2,0),0)</f>
        <v>3556.8</v>
      </c>
      <c r="AR264" s="41">
        <f t="shared" si="148"/>
        <v>286.95000000000027</v>
      </c>
      <c r="AS264" s="41">
        <f t="shared" si="151"/>
        <v>16855.849999999999</v>
      </c>
      <c r="AT264" s="41">
        <f>AN264+AK264+AH264+AE264+AB264+Y264+V264+S264+P264+AQ264</f>
        <v>21608.93</v>
      </c>
      <c r="AU264" s="41">
        <f t="shared" si="150"/>
        <v>4753.0800000000017</v>
      </c>
      <c r="AV264" s="459">
        <f>AT264/AS264</f>
        <v>1.28198399962031</v>
      </c>
      <c r="AW264" s="41">
        <v>0</v>
      </c>
      <c r="AX264" s="41">
        <v>0</v>
      </c>
      <c r="AY264" s="41">
        <f t="shared" si="169"/>
        <v>16855.849999999999</v>
      </c>
      <c r="AZ264" s="41">
        <f>VLOOKUP(G264,'2017'!A:B,2,0)</f>
        <v>22376.39</v>
      </c>
      <c r="BA264" s="552">
        <f>AZ264-AY264</f>
        <v>5520.5400000000009</v>
      </c>
      <c r="BB264" s="41">
        <v>27232.49</v>
      </c>
      <c r="BC264" s="41">
        <v>19231.439999999999</v>
      </c>
      <c r="BD264" s="41">
        <v>3199.97</v>
      </c>
      <c r="BE264" s="41">
        <v>0</v>
      </c>
      <c r="BF264" s="41">
        <v>0</v>
      </c>
      <c r="BG264" s="41">
        <v>0</v>
      </c>
      <c r="BH264" s="41">
        <v>0</v>
      </c>
      <c r="BI264" s="41">
        <v>58307.45</v>
      </c>
      <c r="BJ264" s="75"/>
      <c r="BK264" s="11"/>
      <c r="BL264" s="8"/>
    </row>
    <row r="265" spans="1:64" s="29" customFormat="1" ht="31.5" x14ac:dyDescent="0.25">
      <c r="A265" s="482" t="s">
        <v>214</v>
      </c>
      <c r="B265" s="472" t="s">
        <v>215</v>
      </c>
      <c r="C265" s="473" t="s">
        <v>217</v>
      </c>
      <c r="D265" s="472" t="s">
        <v>3</v>
      </c>
      <c r="E265" s="472" t="s">
        <v>210</v>
      </c>
      <c r="F265" s="472" t="s">
        <v>77</v>
      </c>
      <c r="G265" s="474" t="s">
        <v>216</v>
      </c>
      <c r="H265" s="45">
        <v>254</v>
      </c>
      <c r="I265" s="45" t="s">
        <v>214</v>
      </c>
      <c r="J265" s="475" t="s">
        <v>212</v>
      </c>
      <c r="K265" s="475" t="s">
        <v>217</v>
      </c>
      <c r="L265" s="41">
        <v>0</v>
      </c>
      <c r="M265" s="41">
        <v>20111.060000000001</v>
      </c>
      <c r="N265" s="41">
        <v>77156.800000000003</v>
      </c>
      <c r="O265" s="41">
        <v>270.81</v>
      </c>
      <c r="P265" s="41">
        <v>0</v>
      </c>
      <c r="Q265" s="41">
        <f>P265-O265</f>
        <v>-270.81</v>
      </c>
      <c r="R265" s="41">
        <v>20302.349999999999</v>
      </c>
      <c r="S265" s="41">
        <v>20302.349999999999</v>
      </c>
      <c r="T265" s="41">
        <f>S265-R265</f>
        <v>0</v>
      </c>
      <c r="U265" s="41">
        <v>0</v>
      </c>
      <c r="V265" s="41">
        <v>0</v>
      </c>
      <c r="W265" s="41">
        <f>V265-U265</f>
        <v>0</v>
      </c>
      <c r="X265" s="41">
        <v>0</v>
      </c>
      <c r="Y265" s="41">
        <v>0</v>
      </c>
      <c r="Z265" s="41">
        <f>Y265-X265</f>
        <v>0</v>
      </c>
      <c r="AA265" s="41">
        <v>19823.27</v>
      </c>
      <c r="AB265" s="41">
        <v>30514.04</v>
      </c>
      <c r="AC265" s="41">
        <f>AB265-AA265</f>
        <v>10690.77</v>
      </c>
      <c r="AD265" s="41">
        <v>0</v>
      </c>
      <c r="AE265" s="41">
        <v>0</v>
      </c>
      <c r="AF265" s="41">
        <f>AE265-AD265</f>
        <v>0</v>
      </c>
      <c r="AG265" s="41">
        <v>0</v>
      </c>
      <c r="AH265" s="41">
        <v>0</v>
      </c>
      <c r="AI265" s="41">
        <f>AH265-AG265</f>
        <v>0</v>
      </c>
      <c r="AJ265" s="41">
        <v>18119.68</v>
      </c>
      <c r="AK265" s="41">
        <v>12512.71</v>
      </c>
      <c r="AL265" s="41">
        <f>AK265-AJ265</f>
        <v>-5606.9700000000012</v>
      </c>
      <c r="AM265" s="41">
        <v>0</v>
      </c>
      <c r="AN265" s="41">
        <v>0</v>
      </c>
      <c r="AO265" s="41">
        <f>AN265-AM265</f>
        <v>0</v>
      </c>
      <c r="AP265" s="41">
        <v>0</v>
      </c>
      <c r="AQ265" s="41">
        <f>IFERROR(VLOOKUP(G265,'10'!A:B,2,0),0)</f>
        <v>0</v>
      </c>
      <c r="AR265" s="41">
        <f t="shared" si="148"/>
        <v>0</v>
      </c>
      <c r="AS265" s="41">
        <f t="shared" si="151"/>
        <v>58516.109999999993</v>
      </c>
      <c r="AT265" s="41">
        <f t="shared" ref="AT265:AT282" si="171">AN265+AK265+AH265+AE265+AB265+-Y265+V265+S265+P265+AQ265</f>
        <v>63329.1</v>
      </c>
      <c r="AU265" s="41">
        <f t="shared" si="150"/>
        <v>4812.9899999999989</v>
      </c>
      <c r="AV265" s="459">
        <f>AT265/AS265</f>
        <v>1.0822506827606964</v>
      </c>
      <c r="AW265" s="41">
        <v>21573.279999999999</v>
      </c>
      <c r="AX265" s="41">
        <v>0</v>
      </c>
      <c r="AY265" s="41">
        <f t="shared" si="169"/>
        <v>80089.389999999985</v>
      </c>
      <c r="AZ265" s="41">
        <f>VLOOKUP(G265,'2017'!A:B,2,0)</f>
        <v>85563.83</v>
      </c>
      <c r="BA265" s="552">
        <f>AZ265-AY265</f>
        <v>5474.4400000000169</v>
      </c>
      <c r="BB265" s="41">
        <v>72309</v>
      </c>
      <c r="BC265" s="41">
        <v>69831.75</v>
      </c>
      <c r="BD265" s="41">
        <v>88068.5</v>
      </c>
      <c r="BE265" s="41">
        <v>21088.5</v>
      </c>
      <c r="BF265" s="41">
        <v>0</v>
      </c>
      <c r="BG265" s="41">
        <v>0</v>
      </c>
      <c r="BH265" s="41">
        <v>0</v>
      </c>
      <c r="BI265" s="41">
        <v>428655</v>
      </c>
      <c r="BJ265" s="75"/>
      <c r="BK265" s="24"/>
    </row>
    <row r="266" spans="1:64" s="29" customFormat="1" ht="47.25" x14ac:dyDescent="0.25">
      <c r="A266" s="448" t="s">
        <v>406</v>
      </c>
      <c r="B266" s="439" t="s">
        <v>411</v>
      </c>
      <c r="C266" s="440" t="s">
        <v>606</v>
      </c>
      <c r="D266" s="439">
        <v>1</v>
      </c>
      <c r="E266" s="439" t="s">
        <v>402</v>
      </c>
      <c r="F266" s="439" t="s">
        <v>77</v>
      </c>
      <c r="G266" s="439" t="s">
        <v>2417</v>
      </c>
      <c r="H266" s="45">
        <v>255</v>
      </c>
      <c r="I266" s="45" t="s">
        <v>406</v>
      </c>
      <c r="J266" s="440" t="s">
        <v>2418</v>
      </c>
      <c r="K266" s="440" t="s">
        <v>2419</v>
      </c>
      <c r="L266" s="441">
        <v>0</v>
      </c>
      <c r="M266" s="441">
        <v>0</v>
      </c>
      <c r="N266" s="441">
        <v>0</v>
      </c>
      <c r="O266" s="441">
        <f>N266+M266+L266</f>
        <v>0</v>
      </c>
      <c r="P266" s="441"/>
      <c r="Q266" s="441"/>
      <c r="R266" s="441">
        <v>0</v>
      </c>
      <c r="S266" s="441"/>
      <c r="T266" s="441"/>
      <c r="U266" s="441">
        <v>0</v>
      </c>
      <c r="V266" s="441"/>
      <c r="W266" s="441"/>
      <c r="X266" s="441">
        <v>0</v>
      </c>
      <c r="Y266" s="441"/>
      <c r="Z266" s="441"/>
      <c r="AA266" s="441">
        <v>0</v>
      </c>
      <c r="AB266" s="441"/>
      <c r="AC266" s="441"/>
      <c r="AD266" s="441">
        <v>0</v>
      </c>
      <c r="AE266" s="441"/>
      <c r="AF266" s="441"/>
      <c r="AG266" s="441">
        <v>0</v>
      </c>
      <c r="AH266" s="441"/>
      <c r="AI266" s="441"/>
      <c r="AJ266" s="441">
        <v>0</v>
      </c>
      <c r="AK266" s="41">
        <v>2897.14</v>
      </c>
      <c r="AL266" s="41">
        <f>AK266-AJ266</f>
        <v>2897.14</v>
      </c>
      <c r="AM266" s="441">
        <v>0</v>
      </c>
      <c r="AN266" s="41">
        <v>0</v>
      </c>
      <c r="AO266" s="41">
        <f>AN266-AM266</f>
        <v>0</v>
      </c>
      <c r="AP266" s="441">
        <v>0</v>
      </c>
      <c r="AQ266" s="41">
        <f>IFERROR(VLOOKUP(G266,'10'!A:B,2,0),0)</f>
        <v>2607.4299999999998</v>
      </c>
      <c r="AR266" s="41">
        <f t="shared" si="148"/>
        <v>2607.4299999999998</v>
      </c>
      <c r="AS266" s="41">
        <f t="shared" si="151"/>
        <v>0</v>
      </c>
      <c r="AT266" s="41">
        <f t="shared" si="171"/>
        <v>5504.57</v>
      </c>
      <c r="AU266" s="41">
        <f t="shared" si="150"/>
        <v>5504.57</v>
      </c>
      <c r="AV266" s="459">
        <v>0</v>
      </c>
      <c r="AW266" s="441">
        <v>0</v>
      </c>
      <c r="AX266" s="441">
        <v>0</v>
      </c>
      <c r="AY266" s="41">
        <f t="shared" si="169"/>
        <v>0</v>
      </c>
      <c r="AZ266" s="41"/>
      <c r="BA266" s="40">
        <f>AZ266-AY266</f>
        <v>0</v>
      </c>
      <c r="BB266" s="441">
        <v>18242.099999999999</v>
      </c>
      <c r="BC266" s="441">
        <v>7818.05</v>
      </c>
      <c r="BD266" s="441">
        <v>0</v>
      </c>
      <c r="BE266" s="441">
        <v>0</v>
      </c>
      <c r="BF266" s="441">
        <v>0</v>
      </c>
      <c r="BG266" s="441">
        <v>0</v>
      </c>
      <c r="BH266" s="441">
        <v>0</v>
      </c>
      <c r="BI266" s="441">
        <v>26060.149999999998</v>
      </c>
      <c r="BJ266" s="144"/>
      <c r="BK266" s="24"/>
      <c r="BL266" s="8"/>
    </row>
    <row r="267" spans="1:64" s="29" customFormat="1" ht="25.5" x14ac:dyDescent="0.25">
      <c r="A267" s="527" t="s">
        <v>406</v>
      </c>
      <c r="B267" s="18" t="s">
        <v>411</v>
      </c>
      <c r="C267" s="19" t="s">
        <v>606</v>
      </c>
      <c r="D267" s="22">
        <v>1</v>
      </c>
      <c r="E267" s="18" t="s">
        <v>402</v>
      </c>
      <c r="F267" s="18" t="s">
        <v>77</v>
      </c>
      <c r="G267" s="18" t="s">
        <v>2420</v>
      </c>
      <c r="H267" s="45">
        <v>256</v>
      </c>
      <c r="I267" s="45" t="s">
        <v>406</v>
      </c>
      <c r="J267" s="19" t="s">
        <v>2421</v>
      </c>
      <c r="K267" s="19" t="s">
        <v>2422</v>
      </c>
      <c r="L267" s="145">
        <v>0</v>
      </c>
      <c r="M267" s="145">
        <v>0</v>
      </c>
      <c r="N267" s="145">
        <v>0</v>
      </c>
      <c r="O267" s="145">
        <v>0</v>
      </c>
      <c r="P267" s="145"/>
      <c r="Q267" s="145"/>
      <c r="R267" s="145">
        <v>0</v>
      </c>
      <c r="S267" s="145"/>
      <c r="T267" s="145"/>
      <c r="U267" s="145">
        <v>0</v>
      </c>
      <c r="V267" s="145"/>
      <c r="W267" s="145"/>
      <c r="X267" s="145">
        <v>0</v>
      </c>
      <c r="Y267" s="145"/>
      <c r="Z267" s="145"/>
      <c r="AA267" s="145">
        <v>0</v>
      </c>
      <c r="AB267" s="145"/>
      <c r="AC267" s="145"/>
      <c r="AD267" s="145">
        <v>0</v>
      </c>
      <c r="AE267" s="145"/>
      <c r="AF267" s="145"/>
      <c r="AG267" s="145">
        <v>0</v>
      </c>
      <c r="AH267" s="145"/>
      <c r="AI267" s="145"/>
      <c r="AJ267" s="145">
        <v>0</v>
      </c>
      <c r="AK267" s="145"/>
      <c r="AL267" s="145"/>
      <c r="AM267" s="145">
        <v>0</v>
      </c>
      <c r="AN267" s="145"/>
      <c r="AO267" s="145"/>
      <c r="AP267" s="145">
        <v>0</v>
      </c>
      <c r="AQ267" s="41">
        <f>IFERROR(VLOOKUP(G267,'10'!A:B,2,0),0)</f>
        <v>5787.19</v>
      </c>
      <c r="AR267" s="41">
        <f t="shared" si="148"/>
        <v>5787.19</v>
      </c>
      <c r="AS267" s="41">
        <f t="shared" si="151"/>
        <v>0</v>
      </c>
      <c r="AT267" s="41">
        <f t="shared" si="171"/>
        <v>5787.19</v>
      </c>
      <c r="AU267" s="41">
        <f t="shared" si="150"/>
        <v>5787.19</v>
      </c>
      <c r="AV267" s="459">
        <v>0</v>
      </c>
      <c r="AW267" s="145">
        <v>0</v>
      </c>
      <c r="AX267" s="145">
        <v>0</v>
      </c>
      <c r="AY267" s="145">
        <v>0</v>
      </c>
      <c r="AZ267" s="145"/>
      <c r="BA267" s="145"/>
      <c r="BB267" s="145">
        <v>62607.91</v>
      </c>
      <c r="BC267" s="145">
        <v>36769.839999999997</v>
      </c>
      <c r="BD267" s="145">
        <v>0</v>
      </c>
      <c r="BE267" s="145">
        <v>0</v>
      </c>
      <c r="BF267" s="145">
        <v>0</v>
      </c>
      <c r="BG267" s="145">
        <v>0</v>
      </c>
      <c r="BH267" s="145">
        <v>0</v>
      </c>
      <c r="BI267" s="144">
        <v>99377.75</v>
      </c>
      <c r="BJ267" s="152"/>
      <c r="BK267" s="152"/>
      <c r="BL267" s="518"/>
    </row>
    <row r="268" spans="1:64" s="29" customFormat="1" ht="38.25" x14ac:dyDescent="0.25">
      <c r="A268" s="483" t="s">
        <v>2233</v>
      </c>
      <c r="B268" s="55" t="s">
        <v>2235</v>
      </c>
      <c r="C268" s="155" t="s">
        <v>2234</v>
      </c>
      <c r="D268" s="55" t="s">
        <v>3</v>
      </c>
      <c r="E268" s="55" t="s">
        <v>4</v>
      </c>
      <c r="F268" s="55" t="s">
        <v>5</v>
      </c>
      <c r="G268" s="55" t="s">
        <v>2237</v>
      </c>
      <c r="H268" s="45">
        <v>257</v>
      </c>
      <c r="I268" s="45" t="s">
        <v>2233</v>
      </c>
      <c r="J268" s="155" t="s">
        <v>2238</v>
      </c>
      <c r="K268" s="155" t="s">
        <v>2239</v>
      </c>
      <c r="L268" s="152"/>
      <c r="M268" s="152">
        <v>0</v>
      </c>
      <c r="N268" s="152">
        <v>0</v>
      </c>
      <c r="O268" s="152">
        <v>0</v>
      </c>
      <c r="P268" s="152"/>
      <c r="Q268" s="152"/>
      <c r="R268" s="152">
        <v>0</v>
      </c>
      <c r="S268" s="152"/>
      <c r="T268" s="152"/>
      <c r="U268" s="152">
        <v>0</v>
      </c>
      <c r="V268" s="152"/>
      <c r="W268" s="152"/>
      <c r="X268" s="152">
        <v>0</v>
      </c>
      <c r="Y268" s="152"/>
      <c r="Z268" s="152"/>
      <c r="AA268" s="152">
        <v>0</v>
      </c>
      <c r="AB268" s="152"/>
      <c r="AC268" s="152"/>
      <c r="AD268" s="152">
        <v>0</v>
      </c>
      <c r="AE268" s="152"/>
      <c r="AF268" s="152"/>
      <c r="AG268" s="152">
        <v>0</v>
      </c>
      <c r="AH268" s="152"/>
      <c r="AI268" s="152"/>
      <c r="AJ268" s="152">
        <v>0</v>
      </c>
      <c r="AK268" s="152"/>
      <c r="AL268" s="152"/>
      <c r="AM268" s="152">
        <v>0</v>
      </c>
      <c r="AN268" s="41">
        <v>6503.04</v>
      </c>
      <c r="AO268" s="41">
        <f>AN268-AM268</f>
        <v>6503.04</v>
      </c>
      <c r="AP268" s="152">
        <v>0</v>
      </c>
      <c r="AQ268" s="41">
        <f>IFERROR(VLOOKUP(G268,'10'!A:B,2,0),0)</f>
        <v>0</v>
      </c>
      <c r="AR268" s="41">
        <f t="shared" ref="AR268:AR331" si="172">AQ268-AP268</f>
        <v>0</v>
      </c>
      <c r="AS268" s="41">
        <f t="shared" si="151"/>
        <v>0</v>
      </c>
      <c r="AT268" s="41">
        <f t="shared" si="171"/>
        <v>6503.04</v>
      </c>
      <c r="AU268" s="41">
        <f t="shared" si="150"/>
        <v>6503.04</v>
      </c>
      <c r="AV268" s="459">
        <v>0</v>
      </c>
      <c r="AW268" s="152">
        <v>0</v>
      </c>
      <c r="AX268" s="152">
        <v>0</v>
      </c>
      <c r="AY268" s="41">
        <f t="shared" ref="AY268:AY277" si="173">AX268+AW268+AP268+AM268+AJ268+AG268+AA268+X268+U268+R268+O268+AD268</f>
        <v>0</v>
      </c>
      <c r="AZ268" s="41"/>
      <c r="BA268" s="152"/>
      <c r="BB268" s="152">
        <v>3740000</v>
      </c>
      <c r="BC268" s="152">
        <v>1020000</v>
      </c>
      <c r="BD268" s="152">
        <v>827077.2</v>
      </c>
      <c r="BE268" s="152">
        <v>0</v>
      </c>
      <c r="BF268" s="152">
        <v>0</v>
      </c>
      <c r="BG268" s="152">
        <v>0</v>
      </c>
      <c r="BH268" s="152">
        <v>0</v>
      </c>
      <c r="BI268" s="152">
        <v>5587077.2000000002</v>
      </c>
      <c r="BJ268" s="145"/>
      <c r="BK268" s="145"/>
      <c r="BL268" s="8"/>
    </row>
    <row r="269" spans="1:64" s="29" customFormat="1" ht="47.25" x14ac:dyDescent="0.25">
      <c r="A269" s="448" t="s">
        <v>406</v>
      </c>
      <c r="B269" s="439" t="s">
        <v>411</v>
      </c>
      <c r="C269" s="440" t="s">
        <v>606</v>
      </c>
      <c r="D269" s="439">
        <v>1</v>
      </c>
      <c r="E269" s="439" t="s">
        <v>402</v>
      </c>
      <c r="F269" s="439" t="s">
        <v>77</v>
      </c>
      <c r="G269" s="439" t="s">
        <v>2423</v>
      </c>
      <c r="H269" s="45">
        <v>258</v>
      </c>
      <c r="I269" s="45" t="s">
        <v>406</v>
      </c>
      <c r="J269" s="440" t="s">
        <v>2424</v>
      </c>
      <c r="K269" s="440" t="s">
        <v>2425</v>
      </c>
      <c r="L269" s="441">
        <v>0</v>
      </c>
      <c r="M269" s="441">
        <v>0</v>
      </c>
      <c r="N269" s="441">
        <v>0</v>
      </c>
      <c r="O269" s="441">
        <f t="shared" ref="O269:O275" si="174">N269+M269+L269</f>
        <v>0</v>
      </c>
      <c r="P269" s="441"/>
      <c r="Q269" s="441"/>
      <c r="R269" s="441">
        <v>0</v>
      </c>
      <c r="S269" s="441"/>
      <c r="T269" s="441"/>
      <c r="U269" s="441">
        <v>0</v>
      </c>
      <c r="V269" s="441"/>
      <c r="W269" s="441"/>
      <c r="X269" s="441">
        <v>0</v>
      </c>
      <c r="Y269" s="441"/>
      <c r="Z269" s="441"/>
      <c r="AA269" s="441">
        <v>0</v>
      </c>
      <c r="AB269" s="441"/>
      <c r="AC269" s="441"/>
      <c r="AD269" s="441">
        <v>0</v>
      </c>
      <c r="AE269" s="441"/>
      <c r="AF269" s="441"/>
      <c r="AG269" s="441">
        <v>0</v>
      </c>
      <c r="AH269" s="441"/>
      <c r="AI269" s="441"/>
      <c r="AJ269" s="441">
        <v>0</v>
      </c>
      <c r="AK269" s="41">
        <v>3085.5</v>
      </c>
      <c r="AL269" s="41">
        <f>AK269-AJ269</f>
        <v>3085.5</v>
      </c>
      <c r="AM269" s="441">
        <v>0</v>
      </c>
      <c r="AN269" s="41">
        <v>714</v>
      </c>
      <c r="AO269" s="41">
        <f>AN269-AM269</f>
        <v>714</v>
      </c>
      <c r="AP269" s="441">
        <v>0</v>
      </c>
      <c r="AQ269" s="41">
        <f>IFERROR(VLOOKUP(G269,'10'!A:B,2,0),0)</f>
        <v>3238.5</v>
      </c>
      <c r="AR269" s="41">
        <f t="shared" si="172"/>
        <v>3238.5</v>
      </c>
      <c r="AS269" s="41">
        <f t="shared" si="151"/>
        <v>0</v>
      </c>
      <c r="AT269" s="41">
        <f t="shared" si="171"/>
        <v>7038</v>
      </c>
      <c r="AU269" s="41">
        <f t="shared" ref="AU269:AU332" si="175">AO269+AL269+AI269+AF269+AC269+Z269+W269+T269+Q269+AR269</f>
        <v>7038</v>
      </c>
      <c r="AV269" s="459">
        <v>0</v>
      </c>
      <c r="AW269" s="441">
        <v>0</v>
      </c>
      <c r="AX269" s="441">
        <v>0</v>
      </c>
      <c r="AY269" s="41">
        <f t="shared" si="173"/>
        <v>0</v>
      </c>
      <c r="AZ269" s="41"/>
      <c r="BA269" s="40">
        <f>AZ269-AY269</f>
        <v>0</v>
      </c>
      <c r="BB269" s="441">
        <v>23247.5</v>
      </c>
      <c r="BC269" s="441">
        <v>10188.1</v>
      </c>
      <c r="BD269" s="441">
        <v>0</v>
      </c>
      <c r="BE269" s="441">
        <v>0</v>
      </c>
      <c r="BF269" s="441">
        <v>0</v>
      </c>
      <c r="BG269" s="441">
        <v>0</v>
      </c>
      <c r="BH269" s="441">
        <v>0</v>
      </c>
      <c r="BI269" s="441">
        <v>33435.599999999999</v>
      </c>
      <c r="BJ269" s="144"/>
      <c r="BK269" s="24"/>
      <c r="BL269" s="8"/>
    </row>
    <row r="270" spans="1:64" s="29" customFormat="1" ht="25.5" x14ac:dyDescent="0.25">
      <c r="A270" s="527" t="s">
        <v>406</v>
      </c>
      <c r="B270" s="18" t="s">
        <v>411</v>
      </c>
      <c r="C270" s="19" t="s">
        <v>606</v>
      </c>
      <c r="D270" s="22">
        <v>1</v>
      </c>
      <c r="E270" s="18" t="s">
        <v>402</v>
      </c>
      <c r="F270" s="18" t="s">
        <v>77</v>
      </c>
      <c r="G270" s="18" t="s">
        <v>2451</v>
      </c>
      <c r="H270" s="45">
        <v>259</v>
      </c>
      <c r="I270" s="45" t="s">
        <v>406</v>
      </c>
      <c r="J270" s="19" t="s">
        <v>1559</v>
      </c>
      <c r="K270" s="19" t="s">
        <v>2452</v>
      </c>
      <c r="L270" s="145">
        <v>0</v>
      </c>
      <c r="M270" s="145">
        <v>0</v>
      </c>
      <c r="N270" s="145">
        <v>0</v>
      </c>
      <c r="O270" s="145">
        <f t="shared" si="174"/>
        <v>0</v>
      </c>
      <c r="P270" s="145"/>
      <c r="Q270" s="145"/>
      <c r="R270" s="145">
        <v>0</v>
      </c>
      <c r="S270" s="145"/>
      <c r="T270" s="145"/>
      <c r="U270" s="145">
        <v>0</v>
      </c>
      <c r="V270" s="145"/>
      <c r="W270" s="145"/>
      <c r="X270" s="145">
        <v>0</v>
      </c>
      <c r="Y270" s="145"/>
      <c r="Z270" s="145"/>
      <c r="AA270" s="145">
        <v>0</v>
      </c>
      <c r="AB270" s="145"/>
      <c r="AC270" s="145"/>
      <c r="AD270" s="145">
        <v>0</v>
      </c>
      <c r="AE270" s="145"/>
      <c r="AF270" s="145"/>
      <c r="AG270" s="145">
        <v>0</v>
      </c>
      <c r="AH270" s="145"/>
      <c r="AI270" s="145"/>
      <c r="AJ270" s="145">
        <v>0</v>
      </c>
      <c r="AK270" s="145"/>
      <c r="AL270" s="145"/>
      <c r="AM270" s="145">
        <v>0</v>
      </c>
      <c r="AN270" s="145"/>
      <c r="AO270" s="145"/>
      <c r="AP270" s="145">
        <v>0</v>
      </c>
      <c r="AQ270" s="41">
        <f>IFERROR(VLOOKUP(G270,'10'!A:B,2,0),0)</f>
        <v>7224.24</v>
      </c>
      <c r="AR270" s="41">
        <f t="shared" si="172"/>
        <v>7224.24</v>
      </c>
      <c r="AS270" s="41">
        <f t="shared" si="151"/>
        <v>0</v>
      </c>
      <c r="AT270" s="41">
        <f t="shared" si="171"/>
        <v>7224.24</v>
      </c>
      <c r="AU270" s="41">
        <f t="shared" si="175"/>
        <v>7224.24</v>
      </c>
      <c r="AV270" s="459">
        <v>0</v>
      </c>
      <c r="AW270" s="145">
        <v>0</v>
      </c>
      <c r="AX270" s="145">
        <v>0</v>
      </c>
      <c r="AY270" s="41">
        <f t="shared" si="173"/>
        <v>0</v>
      </c>
      <c r="AZ270" s="41"/>
      <c r="BA270" s="145"/>
      <c r="BB270" s="145">
        <f>SUM(R270:AX270)</f>
        <v>28896.959999999999</v>
      </c>
      <c r="BC270" s="145">
        <v>35574.74</v>
      </c>
      <c r="BD270" s="145">
        <v>17787.41</v>
      </c>
      <c r="BE270" s="145">
        <v>0</v>
      </c>
      <c r="BF270" s="145">
        <v>0</v>
      </c>
      <c r="BG270" s="145">
        <v>0</v>
      </c>
      <c r="BH270" s="145">
        <v>0</v>
      </c>
      <c r="BI270" s="145">
        <v>53362.15</v>
      </c>
      <c r="BJ270" s="144"/>
      <c r="BK270" s="152"/>
      <c r="BL270" s="518"/>
    </row>
    <row r="271" spans="1:64" s="29" customFormat="1" ht="38.25" x14ac:dyDescent="0.25">
      <c r="A271" s="483" t="s">
        <v>0</v>
      </c>
      <c r="B271" s="55" t="s">
        <v>1027</v>
      </c>
      <c r="C271" s="155" t="s">
        <v>1028</v>
      </c>
      <c r="D271" s="55" t="s">
        <v>3</v>
      </c>
      <c r="E271" s="55" t="s">
        <v>4</v>
      </c>
      <c r="F271" s="55" t="s">
        <v>5</v>
      </c>
      <c r="G271" s="55" t="s">
        <v>2845</v>
      </c>
      <c r="H271" s="45">
        <v>260</v>
      </c>
      <c r="I271" s="45" t="s">
        <v>0</v>
      </c>
      <c r="J271" s="155" t="s">
        <v>1057</v>
      </c>
      <c r="K271" s="155" t="s">
        <v>1058</v>
      </c>
      <c r="L271" s="152">
        <v>0</v>
      </c>
      <c r="M271" s="152">
        <v>0</v>
      </c>
      <c r="N271" s="152">
        <v>0</v>
      </c>
      <c r="O271" s="152">
        <f t="shared" si="174"/>
        <v>0</v>
      </c>
      <c r="P271" s="152">
        <f t="shared" ref="P271:AM271" si="176">O271+N271+M271</f>
        <v>0</v>
      </c>
      <c r="Q271" s="152">
        <f t="shared" si="176"/>
        <v>0</v>
      </c>
      <c r="R271" s="152">
        <f t="shared" si="176"/>
        <v>0</v>
      </c>
      <c r="S271" s="152">
        <f t="shared" si="176"/>
        <v>0</v>
      </c>
      <c r="T271" s="152">
        <f t="shared" si="176"/>
        <v>0</v>
      </c>
      <c r="U271" s="152">
        <f t="shared" si="176"/>
        <v>0</v>
      </c>
      <c r="V271" s="152">
        <f t="shared" si="176"/>
        <v>0</v>
      </c>
      <c r="W271" s="152">
        <f t="shared" si="176"/>
        <v>0</v>
      </c>
      <c r="X271" s="152">
        <f t="shared" si="176"/>
        <v>0</v>
      </c>
      <c r="Y271" s="152">
        <f t="shared" si="176"/>
        <v>0</v>
      </c>
      <c r="Z271" s="152">
        <f t="shared" si="176"/>
        <v>0</v>
      </c>
      <c r="AA271" s="152">
        <f t="shared" si="176"/>
        <v>0</v>
      </c>
      <c r="AB271" s="152">
        <f t="shared" si="176"/>
        <v>0</v>
      </c>
      <c r="AC271" s="152">
        <f t="shared" si="176"/>
        <v>0</v>
      </c>
      <c r="AD271" s="152">
        <f t="shared" si="176"/>
        <v>0</v>
      </c>
      <c r="AE271" s="152">
        <f t="shared" si="176"/>
        <v>0</v>
      </c>
      <c r="AF271" s="152">
        <f t="shared" si="176"/>
        <v>0</v>
      </c>
      <c r="AG271" s="152">
        <f t="shared" si="176"/>
        <v>0</v>
      </c>
      <c r="AH271" s="152">
        <f t="shared" si="176"/>
        <v>0</v>
      </c>
      <c r="AI271" s="152">
        <f t="shared" si="176"/>
        <v>0</v>
      </c>
      <c r="AJ271" s="152">
        <f t="shared" si="176"/>
        <v>0</v>
      </c>
      <c r="AK271" s="152">
        <f t="shared" si="176"/>
        <v>0</v>
      </c>
      <c r="AL271" s="152">
        <f t="shared" si="176"/>
        <v>0</v>
      </c>
      <c r="AM271" s="152">
        <f t="shared" si="176"/>
        <v>0</v>
      </c>
      <c r="AN271" s="152">
        <v>0</v>
      </c>
      <c r="AO271" s="152">
        <f>AN271+AM271+AL271</f>
        <v>0</v>
      </c>
      <c r="AP271" s="152">
        <v>137395.20000000001</v>
      </c>
      <c r="AQ271" s="41">
        <f>IFERROR(VLOOKUP(G271,'10'!A:B,2,0),0)</f>
        <v>144639.31</v>
      </c>
      <c r="AR271" s="41">
        <f t="shared" si="172"/>
        <v>7244.109999999986</v>
      </c>
      <c r="AS271" s="41">
        <f t="shared" ref="AS271:AS334" si="177">AM271+AJ271+AG271+AD271+AA271+X271+U271+R271+O271+AP271</f>
        <v>137395.20000000001</v>
      </c>
      <c r="AT271" s="41">
        <f t="shared" si="171"/>
        <v>144639.31</v>
      </c>
      <c r="AU271" s="41">
        <f t="shared" si="175"/>
        <v>7244.109999999986</v>
      </c>
      <c r="AV271" s="459">
        <f>AT271/AS271</f>
        <v>1.0527246221119806</v>
      </c>
      <c r="AW271" s="152">
        <v>0</v>
      </c>
      <c r="AX271" s="152">
        <v>0</v>
      </c>
      <c r="AY271" s="41">
        <f t="shared" si="173"/>
        <v>137395.20000000001</v>
      </c>
      <c r="AZ271" s="41">
        <f>VLOOKUP(G271,'2017'!A:B,2,0)</f>
        <v>180676.82</v>
      </c>
      <c r="BA271" s="552">
        <f>AZ271-AY271</f>
        <v>43281.619999999995</v>
      </c>
      <c r="BB271" s="152">
        <v>274790.2</v>
      </c>
      <c r="BC271" s="152">
        <v>22899.200000000001</v>
      </c>
      <c r="BD271" s="152">
        <v>22899.200000000001</v>
      </c>
      <c r="BE271" s="152">
        <v>0</v>
      </c>
      <c r="BF271" s="152">
        <v>0</v>
      </c>
      <c r="BG271" s="152">
        <v>0</v>
      </c>
      <c r="BH271" s="152">
        <v>0</v>
      </c>
      <c r="BI271" s="152">
        <v>457983.80000000005</v>
      </c>
      <c r="BJ271" s="459"/>
      <c r="BK271" s="41"/>
      <c r="BL271" s="432"/>
    </row>
    <row r="272" spans="1:64" s="29" customFormat="1" ht="38.25" x14ac:dyDescent="0.25">
      <c r="A272" s="527" t="s">
        <v>406</v>
      </c>
      <c r="B272" s="18" t="s">
        <v>411</v>
      </c>
      <c r="C272" s="19" t="s">
        <v>606</v>
      </c>
      <c r="D272" s="18">
        <v>1</v>
      </c>
      <c r="E272" s="18" t="s">
        <v>402</v>
      </c>
      <c r="F272" s="18" t="s">
        <v>77</v>
      </c>
      <c r="G272" s="18" t="s">
        <v>2474</v>
      </c>
      <c r="H272" s="45">
        <v>261</v>
      </c>
      <c r="I272" s="45" t="s">
        <v>406</v>
      </c>
      <c r="J272" s="19" t="s">
        <v>2475</v>
      </c>
      <c r="K272" s="19" t="s">
        <v>2476</v>
      </c>
      <c r="L272" s="145">
        <v>0</v>
      </c>
      <c r="M272" s="145">
        <v>0</v>
      </c>
      <c r="N272" s="145">
        <v>0</v>
      </c>
      <c r="O272" s="145">
        <f t="shared" si="174"/>
        <v>0</v>
      </c>
      <c r="P272" s="145"/>
      <c r="Q272" s="145"/>
      <c r="R272" s="145">
        <v>0</v>
      </c>
      <c r="S272" s="145"/>
      <c r="T272" s="145"/>
      <c r="U272" s="145">
        <v>0</v>
      </c>
      <c r="V272" s="145"/>
      <c r="W272" s="145"/>
      <c r="X272" s="145">
        <v>0</v>
      </c>
      <c r="Y272" s="145"/>
      <c r="Z272" s="145"/>
      <c r="AA272" s="145">
        <v>0</v>
      </c>
      <c r="AB272" s="145"/>
      <c r="AC272" s="145"/>
      <c r="AD272" s="145">
        <v>0</v>
      </c>
      <c r="AE272" s="145"/>
      <c r="AF272" s="145"/>
      <c r="AG272" s="145">
        <v>0</v>
      </c>
      <c r="AH272" s="145"/>
      <c r="AI272" s="145"/>
      <c r="AJ272" s="145">
        <v>0</v>
      </c>
      <c r="AK272" s="145"/>
      <c r="AL272" s="145"/>
      <c r="AM272" s="145">
        <v>0</v>
      </c>
      <c r="AN272" s="145"/>
      <c r="AO272" s="145"/>
      <c r="AP272" s="145">
        <v>0</v>
      </c>
      <c r="AQ272" s="41">
        <f>IFERROR(VLOOKUP(G272,'10'!A:B,2,0),0)</f>
        <v>7444.49</v>
      </c>
      <c r="AR272" s="41">
        <f t="shared" si="172"/>
        <v>7444.49</v>
      </c>
      <c r="AS272" s="41">
        <f t="shared" si="177"/>
        <v>0</v>
      </c>
      <c r="AT272" s="41">
        <f t="shared" si="171"/>
        <v>7444.49</v>
      </c>
      <c r="AU272" s="41">
        <f t="shared" si="175"/>
        <v>7444.49</v>
      </c>
      <c r="AV272" s="459">
        <v>0</v>
      </c>
      <c r="AW272" s="145">
        <v>0</v>
      </c>
      <c r="AX272" s="145">
        <v>0</v>
      </c>
      <c r="AY272" s="41">
        <f t="shared" si="173"/>
        <v>0</v>
      </c>
      <c r="AZ272" s="41"/>
      <c r="BA272" s="145"/>
      <c r="BB272" s="145">
        <f>SUM(R272:AX272)</f>
        <v>29777.96</v>
      </c>
      <c r="BC272" s="145">
        <v>39299.480000000003</v>
      </c>
      <c r="BD272" s="145">
        <v>19649.72</v>
      </c>
      <c r="BE272" s="145">
        <v>0</v>
      </c>
      <c r="BF272" s="145">
        <v>0</v>
      </c>
      <c r="BG272" s="145">
        <v>0</v>
      </c>
      <c r="BH272" s="145">
        <v>0</v>
      </c>
      <c r="BI272" s="145">
        <v>58949.2</v>
      </c>
      <c r="BJ272" s="144"/>
      <c r="BK272" s="152"/>
      <c r="BL272" s="518"/>
    </row>
    <row r="273" spans="1:64" s="29" customFormat="1" ht="47.25" x14ac:dyDescent="0.25">
      <c r="A273" s="448" t="s">
        <v>406</v>
      </c>
      <c r="B273" s="439" t="s">
        <v>411</v>
      </c>
      <c r="C273" s="440" t="s">
        <v>606</v>
      </c>
      <c r="D273" s="438">
        <v>1</v>
      </c>
      <c r="E273" s="439" t="s">
        <v>402</v>
      </c>
      <c r="F273" s="439" t="s">
        <v>77</v>
      </c>
      <c r="G273" s="439" t="s">
        <v>2331</v>
      </c>
      <c r="H273" s="45">
        <v>262</v>
      </c>
      <c r="I273" s="45" t="s">
        <v>406</v>
      </c>
      <c r="J273" s="440" t="s">
        <v>2332</v>
      </c>
      <c r="K273" s="440" t="s">
        <v>2333</v>
      </c>
      <c r="L273" s="441">
        <v>0</v>
      </c>
      <c r="M273" s="441">
        <v>0</v>
      </c>
      <c r="N273" s="441">
        <v>0</v>
      </c>
      <c r="O273" s="441">
        <f t="shared" si="174"/>
        <v>0</v>
      </c>
      <c r="P273" s="441"/>
      <c r="Q273" s="441"/>
      <c r="R273" s="441">
        <v>0</v>
      </c>
      <c r="S273" s="441"/>
      <c r="T273" s="441"/>
      <c r="U273" s="441">
        <v>0</v>
      </c>
      <c r="V273" s="441"/>
      <c r="W273" s="441"/>
      <c r="X273" s="441">
        <v>0</v>
      </c>
      <c r="Y273" s="441"/>
      <c r="Z273" s="441"/>
      <c r="AA273" s="441">
        <v>0</v>
      </c>
      <c r="AB273" s="441"/>
      <c r="AC273" s="441"/>
      <c r="AD273" s="441">
        <v>0</v>
      </c>
      <c r="AE273" s="441"/>
      <c r="AF273" s="441"/>
      <c r="AG273" s="441">
        <v>0</v>
      </c>
      <c r="AH273" s="441"/>
      <c r="AI273" s="441"/>
      <c r="AJ273" s="441">
        <v>0</v>
      </c>
      <c r="AK273" s="41">
        <v>5078.5599999999995</v>
      </c>
      <c r="AL273" s="41">
        <f>AK273-AJ273</f>
        <v>5078.5599999999995</v>
      </c>
      <c r="AM273" s="441">
        <v>0</v>
      </c>
      <c r="AN273" s="41">
        <v>1147.5</v>
      </c>
      <c r="AO273" s="41">
        <f>AN273-AM273</f>
        <v>1147.5</v>
      </c>
      <c r="AP273" s="441">
        <v>0</v>
      </c>
      <c r="AQ273" s="41">
        <f>IFERROR(VLOOKUP(G273,'10'!A:B,2,0),0)</f>
        <v>1241</v>
      </c>
      <c r="AR273" s="41">
        <f t="shared" si="172"/>
        <v>1241</v>
      </c>
      <c r="AS273" s="41">
        <f t="shared" si="177"/>
        <v>0</v>
      </c>
      <c r="AT273" s="41">
        <f t="shared" si="171"/>
        <v>7467.0599999999995</v>
      </c>
      <c r="AU273" s="41">
        <f t="shared" si="175"/>
        <v>7467.0599999999995</v>
      </c>
      <c r="AV273" s="459">
        <v>0</v>
      </c>
      <c r="AW273" s="441">
        <v>0</v>
      </c>
      <c r="AX273" s="441">
        <v>0</v>
      </c>
      <c r="AY273" s="41">
        <f t="shared" si="173"/>
        <v>0</v>
      </c>
      <c r="AZ273" s="41"/>
      <c r="BA273" s="40">
        <f>AZ273-AY273</f>
        <v>0</v>
      </c>
      <c r="BB273" s="441">
        <v>27600</v>
      </c>
      <c r="BC273" s="441">
        <v>13694.7</v>
      </c>
      <c r="BD273" s="441">
        <v>0</v>
      </c>
      <c r="BE273" s="441">
        <v>0</v>
      </c>
      <c r="BF273" s="441">
        <v>0</v>
      </c>
      <c r="BG273" s="441">
        <v>0</v>
      </c>
      <c r="BH273" s="441">
        <v>0</v>
      </c>
      <c r="BI273" s="441">
        <v>41294.699999999997</v>
      </c>
      <c r="BJ273" s="144"/>
      <c r="BK273" s="24"/>
      <c r="BL273" s="8"/>
    </row>
    <row r="274" spans="1:64" s="29" customFormat="1" ht="47.25" x14ac:dyDescent="0.25">
      <c r="A274" s="448" t="s">
        <v>406</v>
      </c>
      <c r="B274" s="439" t="s">
        <v>411</v>
      </c>
      <c r="C274" s="440" t="s">
        <v>606</v>
      </c>
      <c r="D274" s="439">
        <v>1</v>
      </c>
      <c r="E274" s="439" t="s">
        <v>402</v>
      </c>
      <c r="F274" s="439" t="s">
        <v>77</v>
      </c>
      <c r="G274" s="439" t="s">
        <v>2396</v>
      </c>
      <c r="H274" s="45">
        <v>263</v>
      </c>
      <c r="I274" s="45" t="s">
        <v>406</v>
      </c>
      <c r="J274" s="440" t="s">
        <v>1304</v>
      </c>
      <c r="K274" s="440" t="s">
        <v>2397</v>
      </c>
      <c r="L274" s="441">
        <v>0</v>
      </c>
      <c r="M274" s="441">
        <v>0</v>
      </c>
      <c r="N274" s="441">
        <v>0</v>
      </c>
      <c r="O274" s="441">
        <f t="shared" si="174"/>
        <v>0</v>
      </c>
      <c r="P274" s="441"/>
      <c r="Q274" s="441"/>
      <c r="R274" s="441">
        <v>0</v>
      </c>
      <c r="S274" s="441"/>
      <c r="T274" s="441"/>
      <c r="U274" s="441">
        <v>0</v>
      </c>
      <c r="V274" s="441"/>
      <c r="W274" s="441"/>
      <c r="X274" s="441">
        <v>0</v>
      </c>
      <c r="Y274" s="441"/>
      <c r="Z274" s="441"/>
      <c r="AA274" s="441">
        <v>0</v>
      </c>
      <c r="AB274" s="441"/>
      <c r="AC274" s="441"/>
      <c r="AD274" s="441">
        <v>0</v>
      </c>
      <c r="AE274" s="441"/>
      <c r="AF274" s="441"/>
      <c r="AG274" s="441">
        <v>0</v>
      </c>
      <c r="AH274" s="441"/>
      <c r="AI274" s="441"/>
      <c r="AJ274" s="441">
        <v>0</v>
      </c>
      <c r="AK274" s="41">
        <v>6983.1</v>
      </c>
      <c r="AL274" s="41">
        <f>AK274-AJ274</f>
        <v>6983.1</v>
      </c>
      <c r="AM274" s="441">
        <v>0</v>
      </c>
      <c r="AN274" s="41">
        <v>1202.55</v>
      </c>
      <c r="AO274" s="41">
        <f>AN274-AM274</f>
        <v>1202.55</v>
      </c>
      <c r="AP274" s="441">
        <v>0</v>
      </c>
      <c r="AQ274" s="41">
        <f>IFERROR(VLOOKUP(G274,'10'!A:B,2,0),0)</f>
        <v>0</v>
      </c>
      <c r="AR274" s="41">
        <f t="shared" si="172"/>
        <v>0</v>
      </c>
      <c r="AS274" s="41">
        <f t="shared" si="177"/>
        <v>0</v>
      </c>
      <c r="AT274" s="41">
        <f t="shared" si="171"/>
        <v>8185.6500000000005</v>
      </c>
      <c r="AU274" s="41">
        <f t="shared" si="175"/>
        <v>8185.6500000000005</v>
      </c>
      <c r="AV274" s="459">
        <v>0</v>
      </c>
      <c r="AW274" s="441">
        <v>0</v>
      </c>
      <c r="AX274" s="441">
        <v>40185.599999999999</v>
      </c>
      <c r="AY274" s="41">
        <f t="shared" si="173"/>
        <v>40185.599999999999</v>
      </c>
      <c r="AZ274" s="41">
        <f>VLOOKUP(G274,'2017'!A:B,2,0)</f>
        <v>29074.6</v>
      </c>
      <c r="BA274" s="552">
        <f>AZ274-AY274</f>
        <v>-11111</v>
      </c>
      <c r="BB274" s="441">
        <v>33723.89</v>
      </c>
      <c r="BC274" s="441">
        <v>28881.01</v>
      </c>
      <c r="BD274" s="441">
        <v>0</v>
      </c>
      <c r="BE274" s="441">
        <v>0</v>
      </c>
      <c r="BF274" s="441">
        <v>0</v>
      </c>
      <c r="BG274" s="441">
        <v>0</v>
      </c>
      <c r="BH274" s="441">
        <v>0</v>
      </c>
      <c r="BI274" s="441">
        <v>102790.5</v>
      </c>
      <c r="BJ274" s="144"/>
      <c r="BK274" s="24"/>
      <c r="BL274" s="8"/>
    </row>
    <row r="275" spans="1:64" ht="47.25" x14ac:dyDescent="0.25">
      <c r="A275" s="439" t="s">
        <v>406</v>
      </c>
      <c r="B275" s="439" t="s">
        <v>411</v>
      </c>
      <c r="C275" s="440" t="s">
        <v>606</v>
      </c>
      <c r="D275" s="439">
        <v>1</v>
      </c>
      <c r="E275" s="439" t="s">
        <v>402</v>
      </c>
      <c r="F275" s="439" t="s">
        <v>77</v>
      </c>
      <c r="G275" s="439" t="s">
        <v>2373</v>
      </c>
      <c r="H275" s="45">
        <v>264</v>
      </c>
      <c r="I275" s="45" t="s">
        <v>406</v>
      </c>
      <c r="J275" s="440" t="s">
        <v>1503</v>
      </c>
      <c r="K275" s="440" t="s">
        <v>2374</v>
      </c>
      <c r="L275" s="441">
        <v>0</v>
      </c>
      <c r="M275" s="441">
        <v>0</v>
      </c>
      <c r="N275" s="441">
        <v>0</v>
      </c>
      <c r="O275" s="441">
        <f t="shared" si="174"/>
        <v>0</v>
      </c>
      <c r="P275" s="441"/>
      <c r="Q275" s="441"/>
      <c r="R275" s="441">
        <v>0</v>
      </c>
      <c r="S275" s="441"/>
      <c r="T275" s="441"/>
      <c r="U275" s="441">
        <v>0</v>
      </c>
      <c r="V275" s="441"/>
      <c r="W275" s="441"/>
      <c r="X275" s="441">
        <v>0</v>
      </c>
      <c r="Y275" s="441"/>
      <c r="Z275" s="441"/>
      <c r="AA275" s="441">
        <v>0</v>
      </c>
      <c r="AB275" s="441"/>
      <c r="AC275" s="441"/>
      <c r="AD275" s="441">
        <v>0</v>
      </c>
      <c r="AE275" s="441"/>
      <c r="AF275" s="441"/>
      <c r="AG275" s="441">
        <v>0</v>
      </c>
      <c r="AH275" s="441"/>
      <c r="AI275" s="441"/>
      <c r="AJ275" s="441">
        <v>0</v>
      </c>
      <c r="AK275" s="41">
        <v>3400</v>
      </c>
      <c r="AL275" s="41">
        <f>AK275-AJ275</f>
        <v>3400</v>
      </c>
      <c r="AM275" s="441">
        <v>0</v>
      </c>
      <c r="AN275" s="41">
        <v>0</v>
      </c>
      <c r="AO275" s="41">
        <f>AN275-AM275</f>
        <v>0</v>
      </c>
      <c r="AP275" s="441">
        <v>0</v>
      </c>
      <c r="AQ275" s="41">
        <f>IFERROR(VLOOKUP(G275,'10'!A:B,2,0),0)</f>
        <v>2592.5</v>
      </c>
      <c r="AR275" s="41">
        <f t="shared" si="172"/>
        <v>2592.5</v>
      </c>
      <c r="AS275" s="41">
        <f t="shared" si="177"/>
        <v>0</v>
      </c>
      <c r="AT275" s="41">
        <f t="shared" si="171"/>
        <v>5992.5</v>
      </c>
      <c r="AU275" s="41">
        <f t="shared" si="175"/>
        <v>5992.5</v>
      </c>
      <c r="AV275" s="459">
        <v>0</v>
      </c>
      <c r="AW275" s="441">
        <v>0</v>
      </c>
      <c r="AX275" s="441">
        <v>0</v>
      </c>
      <c r="AY275" s="41">
        <f t="shared" si="173"/>
        <v>0</v>
      </c>
      <c r="AZ275" s="41"/>
      <c r="BA275" s="40">
        <f>AZ275-AY275</f>
        <v>0</v>
      </c>
      <c r="BB275" s="441">
        <v>28556</v>
      </c>
      <c r="BC275" s="441">
        <v>9613</v>
      </c>
      <c r="BD275" s="441">
        <v>0</v>
      </c>
      <c r="BE275" s="441">
        <v>0</v>
      </c>
      <c r="BF275" s="441">
        <v>0</v>
      </c>
      <c r="BG275" s="441">
        <v>0</v>
      </c>
      <c r="BH275" s="441">
        <v>0</v>
      </c>
      <c r="BI275" s="441">
        <v>38169</v>
      </c>
      <c r="BJ275" s="144"/>
      <c r="BK275" s="24"/>
      <c r="BL275" s="2"/>
    </row>
    <row r="276" spans="1:64" ht="38.25" x14ac:dyDescent="0.25">
      <c r="A276" s="55" t="s">
        <v>406</v>
      </c>
      <c r="B276" s="55" t="s">
        <v>411</v>
      </c>
      <c r="C276" s="155" t="s">
        <v>606</v>
      </c>
      <c r="D276" s="22">
        <v>1</v>
      </c>
      <c r="E276" s="55" t="s">
        <v>402</v>
      </c>
      <c r="F276" s="55" t="s">
        <v>77</v>
      </c>
      <c r="G276" s="55" t="s">
        <v>2470</v>
      </c>
      <c r="H276" s="45">
        <v>265</v>
      </c>
      <c r="I276" s="45" t="s">
        <v>406</v>
      </c>
      <c r="J276" s="155" t="s">
        <v>2471</v>
      </c>
      <c r="K276" s="155" t="s">
        <v>2472</v>
      </c>
      <c r="L276" s="335"/>
      <c r="M276" s="152">
        <v>0</v>
      </c>
      <c r="N276" s="152">
        <v>0</v>
      </c>
      <c r="O276" s="152">
        <v>0</v>
      </c>
      <c r="P276" s="152"/>
      <c r="Q276" s="152"/>
      <c r="R276" s="152">
        <v>0</v>
      </c>
      <c r="S276" s="152"/>
      <c r="T276" s="152"/>
      <c r="U276" s="152">
        <v>0</v>
      </c>
      <c r="V276" s="152"/>
      <c r="W276" s="152"/>
      <c r="X276" s="152">
        <v>0</v>
      </c>
      <c r="Y276" s="152"/>
      <c r="Z276" s="152"/>
      <c r="AA276" s="152">
        <v>0</v>
      </c>
      <c r="AB276" s="152"/>
      <c r="AC276" s="152"/>
      <c r="AD276" s="152">
        <v>0</v>
      </c>
      <c r="AE276" s="152"/>
      <c r="AF276" s="152"/>
      <c r="AG276" s="152">
        <v>0</v>
      </c>
      <c r="AH276" s="152"/>
      <c r="AI276" s="152"/>
      <c r="AJ276" s="152">
        <v>0</v>
      </c>
      <c r="AK276" s="152"/>
      <c r="AL276" s="152"/>
      <c r="AM276" s="152">
        <v>0</v>
      </c>
      <c r="AN276" s="41">
        <v>8505.89</v>
      </c>
      <c r="AO276" s="41">
        <f>AN276-AM276</f>
        <v>8505.89</v>
      </c>
      <c r="AP276" s="152">
        <v>0</v>
      </c>
      <c r="AQ276" s="41">
        <f>IFERROR(VLOOKUP(G276,'10'!A:B,2,0),0)</f>
        <v>0</v>
      </c>
      <c r="AR276" s="41">
        <f t="shared" si="172"/>
        <v>0</v>
      </c>
      <c r="AS276" s="41">
        <f t="shared" si="177"/>
        <v>0</v>
      </c>
      <c r="AT276" s="41">
        <f t="shared" si="171"/>
        <v>8505.89</v>
      </c>
      <c r="AU276" s="41">
        <f t="shared" si="175"/>
        <v>8505.89</v>
      </c>
      <c r="AV276" s="459">
        <v>0</v>
      </c>
      <c r="AW276" s="152">
        <v>0</v>
      </c>
      <c r="AX276" s="152">
        <v>0</v>
      </c>
      <c r="AY276" s="41">
        <f t="shared" si="173"/>
        <v>0</v>
      </c>
      <c r="AZ276" s="41"/>
      <c r="BA276" s="152"/>
      <c r="BB276" s="152">
        <v>114764.16</v>
      </c>
      <c r="BC276" s="152">
        <v>57382.09</v>
      </c>
      <c r="BD276" s="152">
        <v>0</v>
      </c>
      <c r="BE276" s="152">
        <v>0</v>
      </c>
      <c r="BF276" s="152">
        <v>0</v>
      </c>
      <c r="BG276" s="152">
        <v>0</v>
      </c>
      <c r="BH276" s="152">
        <v>0</v>
      </c>
      <c r="BI276" s="152">
        <v>172146.25</v>
      </c>
      <c r="BJ276" s="145"/>
      <c r="BK276" s="145"/>
      <c r="BL276" s="2"/>
    </row>
    <row r="277" spans="1:64" ht="25.5" x14ac:dyDescent="0.25">
      <c r="A277" s="18" t="s">
        <v>406</v>
      </c>
      <c r="B277" s="18" t="s">
        <v>411</v>
      </c>
      <c r="C277" s="19" t="s">
        <v>606</v>
      </c>
      <c r="D277" s="22">
        <v>1</v>
      </c>
      <c r="E277" s="18" t="s">
        <v>402</v>
      </c>
      <c r="F277" s="18" t="s">
        <v>77</v>
      </c>
      <c r="G277" s="18" t="s">
        <v>2439</v>
      </c>
      <c r="H277" s="45">
        <v>266</v>
      </c>
      <c r="I277" s="45" t="s">
        <v>406</v>
      </c>
      <c r="J277" s="19" t="s">
        <v>2440</v>
      </c>
      <c r="K277" s="19" t="s">
        <v>2441</v>
      </c>
      <c r="L277" s="145">
        <v>0</v>
      </c>
      <c r="M277" s="145">
        <v>0</v>
      </c>
      <c r="N277" s="145">
        <v>0</v>
      </c>
      <c r="O277" s="145">
        <f>N277+M277+L277</f>
        <v>0</v>
      </c>
      <c r="P277" s="145"/>
      <c r="Q277" s="145"/>
      <c r="R277" s="145">
        <v>0</v>
      </c>
      <c r="S277" s="145"/>
      <c r="T277" s="145"/>
      <c r="U277" s="145">
        <v>0</v>
      </c>
      <c r="V277" s="145"/>
      <c r="W277" s="145"/>
      <c r="X277" s="145">
        <v>0</v>
      </c>
      <c r="Y277" s="145"/>
      <c r="Z277" s="145"/>
      <c r="AA277" s="145">
        <v>0</v>
      </c>
      <c r="AB277" s="145"/>
      <c r="AC277" s="145"/>
      <c r="AD277" s="145">
        <v>0</v>
      </c>
      <c r="AE277" s="145"/>
      <c r="AF277" s="145"/>
      <c r="AG277" s="145">
        <v>0</v>
      </c>
      <c r="AH277" s="145"/>
      <c r="AI277" s="145"/>
      <c r="AJ277" s="145">
        <v>0</v>
      </c>
      <c r="AK277" s="145"/>
      <c r="AL277" s="145"/>
      <c r="AM277" s="145">
        <v>0</v>
      </c>
      <c r="AN277" s="145"/>
      <c r="AO277" s="145"/>
      <c r="AP277" s="145">
        <v>0</v>
      </c>
      <c r="AQ277" s="41">
        <f>IFERROR(VLOOKUP(G277,'10'!A:B,2,0),0)</f>
        <v>8574.7999999999993</v>
      </c>
      <c r="AR277" s="41">
        <f t="shared" si="172"/>
        <v>8574.7999999999993</v>
      </c>
      <c r="AS277" s="41">
        <f t="shared" si="177"/>
        <v>0</v>
      </c>
      <c r="AT277" s="41">
        <f t="shared" si="171"/>
        <v>8574.7999999999993</v>
      </c>
      <c r="AU277" s="41">
        <f t="shared" si="175"/>
        <v>8574.7999999999993</v>
      </c>
      <c r="AV277" s="459">
        <v>0</v>
      </c>
      <c r="AW277" s="145">
        <v>0</v>
      </c>
      <c r="AX277" s="145">
        <v>0</v>
      </c>
      <c r="AY277" s="41">
        <f t="shared" si="173"/>
        <v>0</v>
      </c>
      <c r="AZ277" s="41"/>
      <c r="BA277" s="145"/>
      <c r="BB277" s="145">
        <f>SUM(R277:AX277)</f>
        <v>34299.199999999997</v>
      </c>
      <c r="BC277" s="145">
        <v>35623.5</v>
      </c>
      <c r="BD277" s="145">
        <v>17811.75</v>
      </c>
      <c r="BE277" s="145">
        <v>0</v>
      </c>
      <c r="BF277" s="145">
        <v>0</v>
      </c>
      <c r="BG277" s="145">
        <v>0</v>
      </c>
      <c r="BH277" s="145">
        <v>0</v>
      </c>
      <c r="BI277" s="145">
        <v>53435.25</v>
      </c>
      <c r="BJ277" s="144"/>
      <c r="BK277" s="152"/>
      <c r="BL277" s="518"/>
    </row>
    <row r="278" spans="1:64" ht="38.25" x14ac:dyDescent="0.25">
      <c r="A278" s="18" t="s">
        <v>406</v>
      </c>
      <c r="B278" s="18" t="s">
        <v>411</v>
      </c>
      <c r="C278" s="19" t="s">
        <v>606</v>
      </c>
      <c r="D278" s="22">
        <v>1</v>
      </c>
      <c r="E278" s="18" t="s">
        <v>402</v>
      </c>
      <c r="F278" s="18" t="s">
        <v>77</v>
      </c>
      <c r="G278" s="18" t="s">
        <v>2324</v>
      </c>
      <c r="H278" s="45">
        <v>267</v>
      </c>
      <c r="I278" s="45" t="s">
        <v>406</v>
      </c>
      <c r="J278" s="19" t="s">
        <v>2325</v>
      </c>
      <c r="K278" s="19" t="s">
        <v>2326</v>
      </c>
      <c r="L278" s="145">
        <v>0</v>
      </c>
      <c r="M278" s="145">
        <v>0</v>
      </c>
      <c r="N278" s="145">
        <v>0</v>
      </c>
      <c r="O278" s="145">
        <v>0</v>
      </c>
      <c r="P278" s="145"/>
      <c r="Q278" s="145"/>
      <c r="R278" s="145">
        <v>0</v>
      </c>
      <c r="S278" s="145"/>
      <c r="T278" s="145"/>
      <c r="U278" s="145">
        <v>0</v>
      </c>
      <c r="V278" s="145"/>
      <c r="W278" s="145"/>
      <c r="X278" s="145">
        <v>0</v>
      </c>
      <c r="Y278" s="145"/>
      <c r="Z278" s="145"/>
      <c r="AA278" s="145">
        <v>0</v>
      </c>
      <c r="AB278" s="145"/>
      <c r="AC278" s="145"/>
      <c r="AD278" s="145">
        <v>0</v>
      </c>
      <c r="AE278" s="145"/>
      <c r="AF278" s="145"/>
      <c r="AG278" s="145">
        <v>0</v>
      </c>
      <c r="AH278" s="145"/>
      <c r="AI278" s="145"/>
      <c r="AJ278" s="145">
        <v>0</v>
      </c>
      <c r="AK278" s="145"/>
      <c r="AL278" s="145"/>
      <c r="AM278" s="145">
        <v>0</v>
      </c>
      <c r="AN278" s="145"/>
      <c r="AO278" s="145"/>
      <c r="AP278" s="145">
        <v>0</v>
      </c>
      <c r="AQ278" s="41">
        <f>IFERROR(VLOOKUP(G278,'10'!A:B,2,0),0)</f>
        <v>9422.33</v>
      </c>
      <c r="AR278" s="41">
        <f t="shared" si="172"/>
        <v>9422.33</v>
      </c>
      <c r="AS278" s="41">
        <f t="shared" si="177"/>
        <v>0</v>
      </c>
      <c r="AT278" s="41">
        <f t="shared" si="171"/>
        <v>9422.33</v>
      </c>
      <c r="AU278" s="41">
        <f t="shared" si="175"/>
        <v>9422.33</v>
      </c>
      <c r="AV278" s="459">
        <v>0</v>
      </c>
      <c r="AW278" s="145">
        <v>0</v>
      </c>
      <c r="AX278" s="145">
        <v>0</v>
      </c>
      <c r="AY278" s="145">
        <v>0</v>
      </c>
      <c r="AZ278" s="145"/>
      <c r="BA278" s="145"/>
      <c r="BB278" s="145">
        <v>38656</v>
      </c>
      <c r="BC278" s="145">
        <v>14935</v>
      </c>
      <c r="BD278" s="145">
        <v>0</v>
      </c>
      <c r="BE278" s="145">
        <v>0</v>
      </c>
      <c r="BF278" s="145">
        <v>0</v>
      </c>
      <c r="BG278" s="145">
        <v>0</v>
      </c>
      <c r="BH278" s="145">
        <v>0</v>
      </c>
      <c r="BI278" s="144">
        <v>53591</v>
      </c>
      <c r="BJ278" s="152"/>
      <c r="BK278" s="152"/>
      <c r="BL278" s="518"/>
    </row>
    <row r="279" spans="1:64" ht="25.5" x14ac:dyDescent="0.25">
      <c r="A279" s="55" t="s">
        <v>406</v>
      </c>
      <c r="B279" s="55" t="s">
        <v>411</v>
      </c>
      <c r="C279" s="155" t="s">
        <v>606</v>
      </c>
      <c r="D279" s="55">
        <v>1</v>
      </c>
      <c r="E279" s="55" t="s">
        <v>402</v>
      </c>
      <c r="F279" s="55" t="s">
        <v>77</v>
      </c>
      <c r="G279" s="55" t="s">
        <v>2401</v>
      </c>
      <c r="H279" s="45">
        <v>268</v>
      </c>
      <c r="I279" s="45" t="s">
        <v>406</v>
      </c>
      <c r="J279" s="155" t="s">
        <v>2402</v>
      </c>
      <c r="K279" s="155" t="s">
        <v>2403</v>
      </c>
      <c r="L279" s="335"/>
      <c r="M279" s="152">
        <v>0</v>
      </c>
      <c r="N279" s="152">
        <v>0</v>
      </c>
      <c r="O279" s="152">
        <v>0</v>
      </c>
      <c r="P279" s="152"/>
      <c r="Q279" s="152"/>
      <c r="R279" s="152">
        <v>0</v>
      </c>
      <c r="S279" s="152"/>
      <c r="T279" s="152"/>
      <c r="U279" s="152">
        <v>0</v>
      </c>
      <c r="V279" s="152"/>
      <c r="W279" s="152"/>
      <c r="X279" s="152">
        <v>0</v>
      </c>
      <c r="Y279" s="152"/>
      <c r="Z279" s="152"/>
      <c r="AA279" s="152">
        <v>0</v>
      </c>
      <c r="AB279" s="152"/>
      <c r="AC279" s="152"/>
      <c r="AD279" s="152">
        <v>0</v>
      </c>
      <c r="AE279" s="152"/>
      <c r="AF279" s="152"/>
      <c r="AG279" s="152">
        <v>0</v>
      </c>
      <c r="AH279" s="152"/>
      <c r="AI279" s="152"/>
      <c r="AJ279" s="152">
        <v>0</v>
      </c>
      <c r="AK279" s="152"/>
      <c r="AL279" s="152"/>
      <c r="AM279" s="152">
        <v>0</v>
      </c>
      <c r="AN279" s="41">
        <v>6412.74</v>
      </c>
      <c r="AO279" s="41">
        <f t="shared" ref="AO279:AO285" si="178">AN279-AM279</f>
        <v>6412.74</v>
      </c>
      <c r="AP279" s="152">
        <v>0</v>
      </c>
      <c r="AQ279" s="41">
        <f>IFERROR(VLOOKUP(G279,'10'!A:B,2,0),0)</f>
        <v>3724.7</v>
      </c>
      <c r="AR279" s="41">
        <f t="shared" si="172"/>
        <v>3724.7</v>
      </c>
      <c r="AS279" s="41">
        <f t="shared" si="177"/>
        <v>0</v>
      </c>
      <c r="AT279" s="41">
        <f t="shared" si="171"/>
        <v>10137.439999999999</v>
      </c>
      <c r="AU279" s="41">
        <f t="shared" si="175"/>
        <v>10137.439999999999</v>
      </c>
      <c r="AV279" s="459">
        <v>0</v>
      </c>
      <c r="AW279" s="152">
        <v>0</v>
      </c>
      <c r="AX279" s="152">
        <v>0</v>
      </c>
      <c r="AY279" s="41">
        <f t="shared" ref="AY279:AY325" si="179">AX279+AW279+AP279+AM279+AJ279+AG279+AA279+X279+U279+R279+O279+AD279</f>
        <v>0</v>
      </c>
      <c r="AZ279" s="41"/>
      <c r="BA279" s="152"/>
      <c r="BB279" s="152">
        <v>44927.32</v>
      </c>
      <c r="BC279" s="152">
        <v>21348.03</v>
      </c>
      <c r="BD279" s="152">
        <v>0</v>
      </c>
      <c r="BE279" s="152">
        <v>0</v>
      </c>
      <c r="BF279" s="152">
        <v>0</v>
      </c>
      <c r="BG279" s="152">
        <v>0</v>
      </c>
      <c r="BH279" s="152">
        <v>0</v>
      </c>
      <c r="BI279" s="152">
        <v>66275.350000000006</v>
      </c>
      <c r="BJ279" s="145"/>
      <c r="BK279" s="145"/>
      <c r="BL279" s="2"/>
    </row>
    <row r="280" spans="1:64" ht="47.25" x14ac:dyDescent="0.25">
      <c r="A280" s="470" t="s">
        <v>406</v>
      </c>
      <c r="B280" s="470" t="s">
        <v>411</v>
      </c>
      <c r="C280" s="471" t="s">
        <v>606</v>
      </c>
      <c r="D280" s="470">
        <v>1</v>
      </c>
      <c r="E280" s="470" t="s">
        <v>402</v>
      </c>
      <c r="F280" s="470" t="s">
        <v>77</v>
      </c>
      <c r="G280" s="43" t="s">
        <v>796</v>
      </c>
      <c r="H280" s="45">
        <v>269</v>
      </c>
      <c r="I280" s="45" t="s">
        <v>406</v>
      </c>
      <c r="J280" s="475" t="s">
        <v>835</v>
      </c>
      <c r="K280" s="475" t="s">
        <v>836</v>
      </c>
      <c r="L280" s="41">
        <v>0</v>
      </c>
      <c r="M280" s="41">
        <v>0</v>
      </c>
      <c r="N280" s="41">
        <v>0</v>
      </c>
      <c r="O280" s="40">
        <v>0</v>
      </c>
      <c r="P280" s="40">
        <v>0</v>
      </c>
      <c r="Q280" s="41">
        <f>P280-O280</f>
        <v>0</v>
      </c>
      <c r="R280" s="40">
        <v>0</v>
      </c>
      <c r="S280" s="40">
        <v>0</v>
      </c>
      <c r="T280" s="41">
        <f>S280-R280</f>
        <v>0</v>
      </c>
      <c r="U280" s="40">
        <v>0</v>
      </c>
      <c r="V280" s="40">
        <v>0</v>
      </c>
      <c r="W280" s="41">
        <f>V280-U280</f>
        <v>0</v>
      </c>
      <c r="X280" s="40">
        <v>0</v>
      </c>
      <c r="Y280" s="40">
        <v>0</v>
      </c>
      <c r="Z280" s="41">
        <f>Y280-X280</f>
        <v>0</v>
      </c>
      <c r="AA280" s="40">
        <v>0</v>
      </c>
      <c r="AB280" s="40">
        <v>0</v>
      </c>
      <c r="AC280" s="41">
        <f>AB280-AA280</f>
        <v>0</v>
      </c>
      <c r="AD280" s="41">
        <v>0</v>
      </c>
      <c r="AE280" s="41">
        <v>5113.1400000000003</v>
      </c>
      <c r="AF280" s="41">
        <f>AE280-AD280</f>
        <v>5113.1400000000003</v>
      </c>
      <c r="AG280" s="41">
        <v>0</v>
      </c>
      <c r="AH280" s="41">
        <v>0</v>
      </c>
      <c r="AI280" s="41">
        <f>AH280-AG280</f>
        <v>0</v>
      </c>
      <c r="AJ280" s="41">
        <v>0</v>
      </c>
      <c r="AK280" s="41">
        <v>5034.34</v>
      </c>
      <c r="AL280" s="41">
        <f>AK280-AJ280</f>
        <v>5034.34</v>
      </c>
      <c r="AM280" s="41">
        <v>0</v>
      </c>
      <c r="AN280" s="41">
        <v>0</v>
      </c>
      <c r="AO280" s="41">
        <f t="shared" si="178"/>
        <v>0</v>
      </c>
      <c r="AP280" s="41">
        <v>0</v>
      </c>
      <c r="AQ280" s="41">
        <f>IFERROR(VLOOKUP(G280,'10'!A:B,2,0),0)</f>
        <v>0</v>
      </c>
      <c r="AR280" s="41">
        <f t="shared" si="172"/>
        <v>0</v>
      </c>
      <c r="AS280" s="41">
        <f t="shared" si="177"/>
        <v>0</v>
      </c>
      <c r="AT280" s="41">
        <f t="shared" si="171"/>
        <v>10147.48</v>
      </c>
      <c r="AU280" s="41">
        <f t="shared" si="175"/>
        <v>10147.48</v>
      </c>
      <c r="AV280" s="459">
        <v>0</v>
      </c>
      <c r="AW280" s="41">
        <v>0</v>
      </c>
      <c r="AX280" s="41">
        <v>0</v>
      </c>
      <c r="AY280" s="41">
        <f t="shared" si="179"/>
        <v>0</v>
      </c>
      <c r="AZ280" s="41"/>
      <c r="BA280" s="36">
        <f>AZ280-AY280</f>
        <v>0</v>
      </c>
      <c r="BB280" s="41">
        <v>18551.419999999998</v>
      </c>
      <c r="BC280" s="41">
        <v>7551.23</v>
      </c>
      <c r="BD280" s="41">
        <v>0</v>
      </c>
      <c r="BE280" s="41">
        <v>0</v>
      </c>
      <c r="BF280" s="41">
        <v>0</v>
      </c>
      <c r="BG280" s="41">
        <v>0</v>
      </c>
      <c r="BH280" s="41">
        <v>0</v>
      </c>
      <c r="BI280" s="41">
        <v>26102.649999999998</v>
      </c>
      <c r="BJ280" s="75"/>
      <c r="BK280" s="24"/>
      <c r="BL280" s="2"/>
    </row>
    <row r="281" spans="1:64" ht="47.25" x14ac:dyDescent="0.25">
      <c r="A281" s="470" t="s">
        <v>406</v>
      </c>
      <c r="B281" s="470" t="s">
        <v>411</v>
      </c>
      <c r="C281" s="471" t="s">
        <v>606</v>
      </c>
      <c r="D281" s="470">
        <v>1</v>
      </c>
      <c r="E281" s="470" t="s">
        <v>402</v>
      </c>
      <c r="F281" s="470" t="s">
        <v>77</v>
      </c>
      <c r="G281" s="470" t="s">
        <v>934</v>
      </c>
      <c r="H281" s="45">
        <v>270</v>
      </c>
      <c r="I281" s="45" t="s">
        <v>406</v>
      </c>
      <c r="J281" s="471" t="s">
        <v>935</v>
      </c>
      <c r="K281" s="471" t="s">
        <v>936</v>
      </c>
      <c r="L281" s="43">
        <v>0</v>
      </c>
      <c r="M281" s="43">
        <v>0</v>
      </c>
      <c r="N281" s="43">
        <v>0</v>
      </c>
      <c r="O281" s="43">
        <v>0</v>
      </c>
      <c r="P281" s="43"/>
      <c r="Q281" s="43"/>
      <c r="R281" s="43">
        <v>0</v>
      </c>
      <c r="S281" s="43"/>
      <c r="T281" s="43"/>
      <c r="U281" s="43">
        <v>0</v>
      </c>
      <c r="V281" s="43"/>
      <c r="W281" s="43"/>
      <c r="X281" s="43">
        <v>0</v>
      </c>
      <c r="Y281" s="43"/>
      <c r="Z281" s="43"/>
      <c r="AA281" s="43">
        <v>0</v>
      </c>
      <c r="AB281" s="43"/>
      <c r="AC281" s="43"/>
      <c r="AD281" s="43">
        <v>0</v>
      </c>
      <c r="AE281" s="43"/>
      <c r="AF281" s="43"/>
      <c r="AG281" s="43">
        <v>0</v>
      </c>
      <c r="AH281" s="41">
        <v>2543.5700000000002</v>
      </c>
      <c r="AI281" s="41">
        <f>AH281-AG281</f>
        <v>2543.5700000000002</v>
      </c>
      <c r="AJ281" s="41">
        <v>0</v>
      </c>
      <c r="AK281" s="41">
        <v>2431</v>
      </c>
      <c r="AL281" s="41">
        <f>AK281-AJ281</f>
        <v>2431</v>
      </c>
      <c r="AM281" s="41">
        <v>0</v>
      </c>
      <c r="AN281" s="41">
        <v>5743.25</v>
      </c>
      <c r="AO281" s="41">
        <f t="shared" si="178"/>
        <v>5743.25</v>
      </c>
      <c r="AP281" s="41">
        <v>0</v>
      </c>
      <c r="AQ281" s="41">
        <f>IFERROR(VLOOKUP(G281,'10'!A:B,2,0),0)</f>
        <v>0</v>
      </c>
      <c r="AR281" s="41">
        <f t="shared" si="172"/>
        <v>0</v>
      </c>
      <c r="AS281" s="41">
        <f t="shared" si="177"/>
        <v>0</v>
      </c>
      <c r="AT281" s="41">
        <f t="shared" si="171"/>
        <v>10717.82</v>
      </c>
      <c r="AU281" s="41">
        <f t="shared" si="175"/>
        <v>10717.82</v>
      </c>
      <c r="AV281" s="459">
        <v>0</v>
      </c>
      <c r="AW281" s="41">
        <v>0</v>
      </c>
      <c r="AX281" s="41">
        <v>0</v>
      </c>
      <c r="AY281" s="41">
        <f t="shared" si="179"/>
        <v>0</v>
      </c>
      <c r="AZ281" s="41"/>
      <c r="BA281" s="36">
        <f>AZ281-AY281</f>
        <v>0</v>
      </c>
      <c r="BB281" s="41">
        <v>63243.96</v>
      </c>
      <c r="BC281" s="41">
        <v>31621.99</v>
      </c>
      <c r="BD281" s="41">
        <v>0</v>
      </c>
      <c r="BE281" s="41">
        <v>0</v>
      </c>
      <c r="BF281" s="41">
        <v>0</v>
      </c>
      <c r="BG281" s="41">
        <v>0</v>
      </c>
      <c r="BH281" s="41">
        <v>0</v>
      </c>
      <c r="BI281" s="41">
        <v>94865.95</v>
      </c>
      <c r="BJ281" s="78"/>
      <c r="BK281" s="24"/>
    </row>
    <row r="282" spans="1:64" ht="25.5" x14ac:dyDescent="0.25">
      <c r="A282" s="55" t="s">
        <v>406</v>
      </c>
      <c r="B282" s="55" t="s">
        <v>411</v>
      </c>
      <c r="C282" s="155" t="s">
        <v>606</v>
      </c>
      <c r="D282" s="55">
        <v>1</v>
      </c>
      <c r="E282" s="55" t="s">
        <v>402</v>
      </c>
      <c r="F282" s="55" t="s">
        <v>77</v>
      </c>
      <c r="G282" s="55" t="s">
        <v>2338</v>
      </c>
      <c r="H282" s="45">
        <v>271</v>
      </c>
      <c r="I282" s="45" t="s">
        <v>406</v>
      </c>
      <c r="J282" s="155" t="s">
        <v>2339</v>
      </c>
      <c r="K282" s="155" t="s">
        <v>2340</v>
      </c>
      <c r="L282" s="335"/>
      <c r="M282" s="497">
        <v>0</v>
      </c>
      <c r="N282" s="497">
        <v>0</v>
      </c>
      <c r="O282" s="497">
        <v>0</v>
      </c>
      <c r="P282" s="497"/>
      <c r="Q282" s="497"/>
      <c r="R282" s="497">
        <v>0</v>
      </c>
      <c r="S282" s="497"/>
      <c r="T282" s="497"/>
      <c r="U282" s="497">
        <v>0</v>
      </c>
      <c r="V282" s="497"/>
      <c r="W282" s="497"/>
      <c r="X282" s="497">
        <v>0</v>
      </c>
      <c r="Y282" s="497"/>
      <c r="Z282" s="497"/>
      <c r="AA282" s="497">
        <v>0</v>
      </c>
      <c r="AB282" s="497"/>
      <c r="AC282" s="497"/>
      <c r="AD282" s="497">
        <v>0</v>
      </c>
      <c r="AE282" s="497"/>
      <c r="AF282" s="497"/>
      <c r="AG282" s="497">
        <v>0</v>
      </c>
      <c r="AH282" s="497"/>
      <c r="AI282" s="497"/>
      <c r="AJ282" s="497">
        <v>0</v>
      </c>
      <c r="AK282" s="497"/>
      <c r="AL282" s="497"/>
      <c r="AM282" s="497">
        <v>0</v>
      </c>
      <c r="AN282" s="41">
        <v>8022.74</v>
      </c>
      <c r="AO282" s="41">
        <f t="shared" si="178"/>
        <v>8022.74</v>
      </c>
      <c r="AP282" s="497">
        <v>0</v>
      </c>
      <c r="AQ282" s="41">
        <f>IFERROR(VLOOKUP(G282,'10'!A:B,2,0),0)</f>
        <v>2833.33</v>
      </c>
      <c r="AR282" s="41">
        <f t="shared" si="172"/>
        <v>2833.33</v>
      </c>
      <c r="AS282" s="41">
        <f t="shared" si="177"/>
        <v>0</v>
      </c>
      <c r="AT282" s="41">
        <f t="shared" si="171"/>
        <v>10856.07</v>
      </c>
      <c r="AU282" s="41">
        <f t="shared" si="175"/>
        <v>10856.07</v>
      </c>
      <c r="AV282" s="459">
        <v>0</v>
      </c>
      <c r="AW282" s="497">
        <v>0</v>
      </c>
      <c r="AX282" s="497">
        <v>0</v>
      </c>
      <c r="AY282" s="41">
        <f t="shared" si="179"/>
        <v>0</v>
      </c>
      <c r="AZ282" s="41"/>
      <c r="BA282" s="152"/>
      <c r="BB282" s="497">
        <v>39387.22</v>
      </c>
      <c r="BC282" s="497">
        <v>16881</v>
      </c>
      <c r="BD282" s="497">
        <v>0</v>
      </c>
      <c r="BE282" s="497">
        <v>0</v>
      </c>
      <c r="BF282" s="497">
        <v>0</v>
      </c>
      <c r="BG282" s="497">
        <v>0</v>
      </c>
      <c r="BH282" s="497">
        <v>0</v>
      </c>
      <c r="BI282" s="497">
        <v>56268.22</v>
      </c>
      <c r="BJ282" s="145"/>
      <c r="BK282" s="145"/>
    </row>
    <row r="283" spans="1:64" ht="31.5" x14ac:dyDescent="0.25">
      <c r="A283" s="55" t="s">
        <v>406</v>
      </c>
      <c r="B283" s="55" t="s">
        <v>411</v>
      </c>
      <c r="C283" s="155" t="s">
        <v>606</v>
      </c>
      <c r="D283" s="55">
        <v>1</v>
      </c>
      <c r="E283" s="55" t="s">
        <v>402</v>
      </c>
      <c r="F283" s="55" t="s">
        <v>77</v>
      </c>
      <c r="G283" s="55" t="s">
        <v>925</v>
      </c>
      <c r="H283" s="45">
        <v>272</v>
      </c>
      <c r="I283" s="45" t="s">
        <v>406</v>
      </c>
      <c r="J283" s="479" t="s">
        <v>926</v>
      </c>
      <c r="K283" s="479" t="s">
        <v>927</v>
      </c>
      <c r="L283" s="35">
        <v>0</v>
      </c>
      <c r="M283" s="35">
        <v>0</v>
      </c>
      <c r="N283" s="35">
        <v>0</v>
      </c>
      <c r="O283" s="35">
        <f>N283+M283+L283</f>
        <v>0</v>
      </c>
      <c r="P283" s="35"/>
      <c r="Q283" s="35"/>
      <c r="R283" s="35">
        <v>0</v>
      </c>
      <c r="S283" s="35"/>
      <c r="T283" s="35"/>
      <c r="U283" s="35">
        <v>0</v>
      </c>
      <c r="V283" s="35"/>
      <c r="W283" s="35"/>
      <c r="X283" s="35">
        <v>0</v>
      </c>
      <c r="Y283" s="35"/>
      <c r="Z283" s="35"/>
      <c r="AA283" s="35">
        <v>0</v>
      </c>
      <c r="AB283" s="35"/>
      <c r="AC283" s="35"/>
      <c r="AD283" s="35">
        <v>0</v>
      </c>
      <c r="AE283" s="35"/>
      <c r="AF283" s="35"/>
      <c r="AG283" s="35">
        <v>0</v>
      </c>
      <c r="AH283" s="41">
        <v>2525.96</v>
      </c>
      <c r="AI283" s="41">
        <f>AH283-AG283</f>
        <v>2525.96</v>
      </c>
      <c r="AJ283" s="35">
        <v>0</v>
      </c>
      <c r="AK283" s="41">
        <v>6458.95</v>
      </c>
      <c r="AL283" s="41">
        <f>AK283-AJ283</f>
        <v>6458.95</v>
      </c>
      <c r="AM283" s="35">
        <v>0</v>
      </c>
      <c r="AN283" s="41">
        <v>2063.56</v>
      </c>
      <c r="AO283" s="41">
        <f t="shared" si="178"/>
        <v>2063.56</v>
      </c>
      <c r="AP283" s="35">
        <v>0</v>
      </c>
      <c r="AQ283" s="41">
        <f>IFERROR(VLOOKUP(G283,'10'!A:B,2,0),0)</f>
        <v>0</v>
      </c>
      <c r="AR283" s="41">
        <f t="shared" si="172"/>
        <v>0</v>
      </c>
      <c r="AS283" s="41">
        <f t="shared" si="177"/>
        <v>0</v>
      </c>
      <c r="AT283" s="41">
        <f>AN283+AK283+AH283+AE283+AB283+Y283+V283+S283+P283+AQ283</f>
        <v>11048.470000000001</v>
      </c>
      <c r="AU283" s="41">
        <f t="shared" si="175"/>
        <v>11048.470000000001</v>
      </c>
      <c r="AV283" s="459">
        <v>0</v>
      </c>
      <c r="AW283" s="35">
        <v>0</v>
      </c>
      <c r="AX283" s="35">
        <v>0</v>
      </c>
      <c r="AY283" s="41">
        <f t="shared" si="179"/>
        <v>0</v>
      </c>
      <c r="AZ283" s="41"/>
      <c r="BA283" s="36">
        <f>AZ283-AY283</f>
        <v>0</v>
      </c>
      <c r="BB283" s="35">
        <v>18895.5</v>
      </c>
      <c r="BC283" s="35">
        <v>8100.5</v>
      </c>
      <c r="BD283" s="35">
        <v>0</v>
      </c>
      <c r="BE283" s="35">
        <v>0</v>
      </c>
      <c r="BF283" s="35">
        <v>0</v>
      </c>
      <c r="BG283" s="35">
        <v>0</v>
      </c>
      <c r="BH283" s="35">
        <v>0</v>
      </c>
      <c r="BI283" s="35">
        <v>26996</v>
      </c>
      <c r="BJ283" s="78"/>
      <c r="BK283" s="24"/>
    </row>
    <row r="284" spans="1:64" ht="38.25" x14ac:dyDescent="0.25">
      <c r="A284" s="55" t="s">
        <v>406</v>
      </c>
      <c r="B284" s="55" t="s">
        <v>411</v>
      </c>
      <c r="C284" s="155" t="s">
        <v>606</v>
      </c>
      <c r="D284" s="55">
        <v>1</v>
      </c>
      <c r="E284" s="55" t="s">
        <v>402</v>
      </c>
      <c r="F284" s="55" t="s">
        <v>77</v>
      </c>
      <c r="G284" s="55" t="s">
        <v>2387</v>
      </c>
      <c r="H284" s="45">
        <v>273</v>
      </c>
      <c r="I284" s="45" t="s">
        <v>406</v>
      </c>
      <c r="J284" s="155" t="s">
        <v>1300</v>
      </c>
      <c r="K284" s="155" t="s">
        <v>2388</v>
      </c>
      <c r="L284" s="335"/>
      <c r="M284" s="497">
        <v>0</v>
      </c>
      <c r="N284" s="497">
        <v>0</v>
      </c>
      <c r="O284" s="497">
        <v>0</v>
      </c>
      <c r="P284" s="497"/>
      <c r="Q284" s="497"/>
      <c r="R284" s="497">
        <v>0</v>
      </c>
      <c r="S284" s="497"/>
      <c r="T284" s="497"/>
      <c r="U284" s="497">
        <v>0</v>
      </c>
      <c r="V284" s="497"/>
      <c r="W284" s="497"/>
      <c r="X284" s="497">
        <v>0</v>
      </c>
      <c r="Y284" s="497"/>
      <c r="Z284" s="497"/>
      <c r="AA284" s="497">
        <v>0</v>
      </c>
      <c r="AB284" s="497"/>
      <c r="AC284" s="497"/>
      <c r="AD284" s="497">
        <v>0</v>
      </c>
      <c r="AE284" s="497"/>
      <c r="AF284" s="497"/>
      <c r="AG284" s="497">
        <v>0</v>
      </c>
      <c r="AH284" s="497"/>
      <c r="AI284" s="497"/>
      <c r="AJ284" s="497">
        <v>0</v>
      </c>
      <c r="AK284" s="497"/>
      <c r="AL284" s="497"/>
      <c r="AM284" s="497">
        <v>0</v>
      </c>
      <c r="AN284" s="41">
        <v>11050</v>
      </c>
      <c r="AO284" s="41">
        <f t="shared" si="178"/>
        <v>11050</v>
      </c>
      <c r="AP284" s="497">
        <v>0</v>
      </c>
      <c r="AQ284" s="41">
        <f>IFERROR(VLOOKUP(G284,'10'!A:B,2,0),0)</f>
        <v>0</v>
      </c>
      <c r="AR284" s="41">
        <f t="shared" si="172"/>
        <v>0</v>
      </c>
      <c r="AS284" s="41">
        <f t="shared" si="177"/>
        <v>0</v>
      </c>
      <c r="AT284" s="41">
        <f t="shared" ref="AT284:AT293" si="180">AN284+AK284+AH284+AE284+AB284+-Y284+V284+S284+P284+AQ284</f>
        <v>11050</v>
      </c>
      <c r="AU284" s="41">
        <f t="shared" si="175"/>
        <v>11050</v>
      </c>
      <c r="AV284" s="459">
        <v>0</v>
      </c>
      <c r="AW284" s="497">
        <v>0</v>
      </c>
      <c r="AX284" s="497">
        <v>0</v>
      </c>
      <c r="AY284" s="41">
        <f t="shared" si="179"/>
        <v>0</v>
      </c>
      <c r="AZ284" s="41"/>
      <c r="BA284" s="152"/>
      <c r="BB284" s="497">
        <v>127581.6</v>
      </c>
      <c r="BC284" s="497">
        <v>59328.3</v>
      </c>
      <c r="BD284" s="497">
        <v>0</v>
      </c>
      <c r="BE284" s="497">
        <v>0</v>
      </c>
      <c r="BF284" s="497">
        <v>0</v>
      </c>
      <c r="BG284" s="497">
        <v>0</v>
      </c>
      <c r="BH284" s="497">
        <v>0</v>
      </c>
      <c r="BI284" s="497">
        <v>186909.90000000002</v>
      </c>
      <c r="BJ284" s="145"/>
      <c r="BK284" s="145"/>
    </row>
    <row r="285" spans="1:64" ht="47.25" x14ac:dyDescent="0.25">
      <c r="A285" s="470" t="s">
        <v>406</v>
      </c>
      <c r="B285" s="470" t="s">
        <v>411</v>
      </c>
      <c r="C285" s="471" t="s">
        <v>606</v>
      </c>
      <c r="D285" s="470">
        <v>1</v>
      </c>
      <c r="E285" s="470" t="s">
        <v>402</v>
      </c>
      <c r="F285" s="470" t="s">
        <v>77</v>
      </c>
      <c r="G285" s="43" t="s">
        <v>798</v>
      </c>
      <c r="H285" s="45">
        <v>274</v>
      </c>
      <c r="I285" s="45" t="s">
        <v>406</v>
      </c>
      <c r="J285" s="475" t="s">
        <v>838</v>
      </c>
      <c r="K285" s="475" t="s">
        <v>839</v>
      </c>
      <c r="L285" s="41">
        <v>0</v>
      </c>
      <c r="M285" s="41">
        <v>0</v>
      </c>
      <c r="N285" s="41">
        <v>0</v>
      </c>
      <c r="O285" s="40">
        <v>0</v>
      </c>
      <c r="P285" s="40">
        <v>0</v>
      </c>
      <c r="Q285" s="41">
        <f>P285-O285</f>
        <v>0</v>
      </c>
      <c r="R285" s="40">
        <v>0</v>
      </c>
      <c r="S285" s="40">
        <v>0</v>
      </c>
      <c r="T285" s="41">
        <f>S285-R285</f>
        <v>0</v>
      </c>
      <c r="U285" s="40">
        <v>0</v>
      </c>
      <c r="V285" s="40">
        <v>0</v>
      </c>
      <c r="W285" s="41">
        <f>V285-U285</f>
        <v>0</v>
      </c>
      <c r="X285" s="40">
        <v>0</v>
      </c>
      <c r="Y285" s="40">
        <v>0</v>
      </c>
      <c r="Z285" s="41">
        <f>Y285-X285</f>
        <v>0</v>
      </c>
      <c r="AA285" s="40">
        <v>0</v>
      </c>
      <c r="AB285" s="40">
        <v>0</v>
      </c>
      <c r="AC285" s="41">
        <f>AB285-AA285</f>
        <v>0</v>
      </c>
      <c r="AD285" s="41">
        <v>0</v>
      </c>
      <c r="AE285" s="41">
        <v>4214.3</v>
      </c>
      <c r="AF285" s="41">
        <f>AE285-AD285</f>
        <v>4214.3</v>
      </c>
      <c r="AG285" s="41">
        <v>0</v>
      </c>
      <c r="AH285" s="41">
        <v>0</v>
      </c>
      <c r="AI285" s="41">
        <f>AH285-AG285</f>
        <v>0</v>
      </c>
      <c r="AJ285" s="41">
        <v>0</v>
      </c>
      <c r="AK285" s="41">
        <v>0</v>
      </c>
      <c r="AL285" s="41">
        <f>AK285-AJ285</f>
        <v>0</v>
      </c>
      <c r="AM285" s="41">
        <v>0</v>
      </c>
      <c r="AN285" s="41">
        <v>6965.21</v>
      </c>
      <c r="AO285" s="41">
        <f t="shared" si="178"/>
        <v>6965.21</v>
      </c>
      <c r="AP285" s="41">
        <v>0</v>
      </c>
      <c r="AQ285" s="41">
        <f>IFERROR(VLOOKUP(G285,'10'!A:B,2,0),0)</f>
        <v>0</v>
      </c>
      <c r="AR285" s="41">
        <f t="shared" si="172"/>
        <v>0</v>
      </c>
      <c r="AS285" s="41">
        <f t="shared" si="177"/>
        <v>0</v>
      </c>
      <c r="AT285" s="41">
        <f t="shared" si="180"/>
        <v>11179.51</v>
      </c>
      <c r="AU285" s="41">
        <f t="shared" si="175"/>
        <v>11179.51</v>
      </c>
      <c r="AV285" s="459">
        <v>0</v>
      </c>
      <c r="AW285" s="41">
        <v>0</v>
      </c>
      <c r="AX285" s="41">
        <v>0</v>
      </c>
      <c r="AY285" s="41">
        <f t="shared" si="179"/>
        <v>0</v>
      </c>
      <c r="AZ285" s="41"/>
      <c r="BA285" s="36">
        <f>AZ285-AY285</f>
        <v>0</v>
      </c>
      <c r="BB285" s="41">
        <v>26880.400000000001</v>
      </c>
      <c r="BC285" s="41">
        <v>15585.6</v>
      </c>
      <c r="BD285" s="41">
        <v>0</v>
      </c>
      <c r="BE285" s="41">
        <v>0</v>
      </c>
      <c r="BF285" s="41">
        <v>0</v>
      </c>
      <c r="BG285" s="41">
        <v>0</v>
      </c>
      <c r="BH285" s="41">
        <v>0</v>
      </c>
      <c r="BI285" s="41">
        <v>42466</v>
      </c>
      <c r="BJ285" s="75"/>
      <c r="BK285" s="24"/>
    </row>
    <row r="286" spans="1:64" ht="38.25" x14ac:dyDescent="0.25">
      <c r="A286" s="18" t="s">
        <v>2233</v>
      </c>
      <c r="B286" s="18" t="s">
        <v>2235</v>
      </c>
      <c r="C286" s="19" t="s">
        <v>2234</v>
      </c>
      <c r="D286" s="18" t="s">
        <v>3</v>
      </c>
      <c r="E286" s="18" t="s">
        <v>4</v>
      </c>
      <c r="F286" s="18" t="s">
        <v>5</v>
      </c>
      <c r="G286" s="18" t="s">
        <v>2241</v>
      </c>
      <c r="H286" s="45">
        <v>275</v>
      </c>
      <c r="I286" s="45" t="s">
        <v>2233</v>
      </c>
      <c r="J286" s="19" t="s">
        <v>2242</v>
      </c>
      <c r="K286" s="365" t="s">
        <v>2243</v>
      </c>
      <c r="L286" s="145">
        <v>0</v>
      </c>
      <c r="M286" s="145">
        <v>0</v>
      </c>
      <c r="N286" s="145">
        <v>0</v>
      </c>
      <c r="O286" s="145">
        <f>N286+M286+L286</f>
        <v>0</v>
      </c>
      <c r="P286" s="145"/>
      <c r="Q286" s="145"/>
      <c r="R286" s="145">
        <v>0</v>
      </c>
      <c r="S286" s="145"/>
      <c r="T286" s="145"/>
      <c r="U286" s="145">
        <v>0</v>
      </c>
      <c r="V286" s="145"/>
      <c r="W286" s="145"/>
      <c r="X286" s="145">
        <v>0</v>
      </c>
      <c r="Y286" s="145"/>
      <c r="Z286" s="145"/>
      <c r="AA286" s="145">
        <v>0</v>
      </c>
      <c r="AB286" s="145"/>
      <c r="AC286" s="145"/>
      <c r="AD286" s="145">
        <v>0</v>
      </c>
      <c r="AE286" s="145"/>
      <c r="AF286" s="145"/>
      <c r="AG286" s="145">
        <v>0</v>
      </c>
      <c r="AH286" s="145"/>
      <c r="AI286" s="145"/>
      <c r="AJ286" s="145">
        <v>0</v>
      </c>
      <c r="AK286" s="145"/>
      <c r="AL286" s="145"/>
      <c r="AM286" s="145">
        <v>0</v>
      </c>
      <c r="AN286" s="145"/>
      <c r="AO286" s="145"/>
      <c r="AP286" s="145">
        <v>0</v>
      </c>
      <c r="AQ286" s="41">
        <f>IFERROR(VLOOKUP(G286,'10'!A:B,2,0),0)</f>
        <v>11455.6</v>
      </c>
      <c r="AR286" s="41">
        <f t="shared" si="172"/>
        <v>11455.6</v>
      </c>
      <c r="AS286" s="41">
        <f t="shared" si="177"/>
        <v>0</v>
      </c>
      <c r="AT286" s="41">
        <f t="shared" si="180"/>
        <v>11455.6</v>
      </c>
      <c r="AU286" s="41">
        <f t="shared" si="175"/>
        <v>11455.6</v>
      </c>
      <c r="AV286" s="459">
        <v>0</v>
      </c>
      <c r="AW286" s="145">
        <v>0</v>
      </c>
      <c r="AX286" s="145">
        <v>0</v>
      </c>
      <c r="AY286" s="41">
        <f t="shared" si="179"/>
        <v>0</v>
      </c>
      <c r="AZ286" s="41"/>
      <c r="BA286" s="145"/>
      <c r="BB286" s="145">
        <f>SUM(R286:AX286)</f>
        <v>45822.400000000001</v>
      </c>
      <c r="BC286" s="145">
        <v>284835</v>
      </c>
      <c r="BD286" s="145">
        <v>4594.25</v>
      </c>
      <c r="BE286" s="145">
        <v>0</v>
      </c>
      <c r="BF286" s="145">
        <v>0</v>
      </c>
      <c r="BG286" s="145">
        <v>0</v>
      </c>
      <c r="BH286" s="145">
        <v>0</v>
      </c>
      <c r="BI286" s="145">
        <v>289429.25</v>
      </c>
      <c r="BJ286" s="144"/>
      <c r="BK286" s="152"/>
      <c r="BL286" s="518"/>
    </row>
    <row r="287" spans="1:64" ht="25.5" x14ac:dyDescent="0.25">
      <c r="A287" s="55" t="s">
        <v>406</v>
      </c>
      <c r="B287" s="55" t="s">
        <v>411</v>
      </c>
      <c r="C287" s="155" t="s">
        <v>606</v>
      </c>
      <c r="D287" s="22">
        <v>1</v>
      </c>
      <c r="E287" s="55" t="s">
        <v>402</v>
      </c>
      <c r="F287" s="55" t="s">
        <v>77</v>
      </c>
      <c r="G287" s="55" t="s">
        <v>2354</v>
      </c>
      <c r="H287" s="45">
        <v>276</v>
      </c>
      <c r="I287" s="45" t="s">
        <v>406</v>
      </c>
      <c r="J287" s="155" t="s">
        <v>2355</v>
      </c>
      <c r="K287" s="155" t="s">
        <v>2356</v>
      </c>
      <c r="L287" s="335"/>
      <c r="M287" s="152">
        <v>0</v>
      </c>
      <c r="N287" s="152">
        <v>0</v>
      </c>
      <c r="O287" s="152">
        <v>0</v>
      </c>
      <c r="P287" s="152"/>
      <c r="Q287" s="152"/>
      <c r="R287" s="152">
        <v>0</v>
      </c>
      <c r="S287" s="152"/>
      <c r="T287" s="152"/>
      <c r="U287" s="152">
        <v>0</v>
      </c>
      <c r="V287" s="152"/>
      <c r="W287" s="152"/>
      <c r="X287" s="152">
        <v>0</v>
      </c>
      <c r="Y287" s="152"/>
      <c r="Z287" s="152"/>
      <c r="AA287" s="152">
        <v>0</v>
      </c>
      <c r="AB287" s="152"/>
      <c r="AC287" s="152"/>
      <c r="AD287" s="152">
        <v>0</v>
      </c>
      <c r="AE287" s="152"/>
      <c r="AF287" s="152"/>
      <c r="AG287" s="152">
        <v>0</v>
      </c>
      <c r="AH287" s="152"/>
      <c r="AI287" s="152"/>
      <c r="AJ287" s="152">
        <v>0</v>
      </c>
      <c r="AK287" s="152"/>
      <c r="AL287" s="152"/>
      <c r="AM287" s="152">
        <v>0</v>
      </c>
      <c r="AN287" s="41">
        <v>5570.0599999999995</v>
      </c>
      <c r="AO287" s="41">
        <f>AN287-AM287</f>
        <v>5570.0599999999995</v>
      </c>
      <c r="AP287" s="152">
        <v>0</v>
      </c>
      <c r="AQ287" s="41">
        <f>IFERROR(VLOOKUP(G287,'10'!A:B,2,0),0)</f>
        <v>6016.82</v>
      </c>
      <c r="AR287" s="41">
        <f t="shared" si="172"/>
        <v>6016.82</v>
      </c>
      <c r="AS287" s="41">
        <f t="shared" si="177"/>
        <v>0</v>
      </c>
      <c r="AT287" s="41">
        <f t="shared" si="180"/>
        <v>11586.88</v>
      </c>
      <c r="AU287" s="41">
        <f t="shared" si="175"/>
        <v>11586.88</v>
      </c>
      <c r="AV287" s="459">
        <v>0</v>
      </c>
      <c r="AW287" s="152">
        <v>0</v>
      </c>
      <c r="AX287" s="152">
        <v>0</v>
      </c>
      <c r="AY287" s="41">
        <f t="shared" si="179"/>
        <v>0</v>
      </c>
      <c r="AZ287" s="41"/>
      <c r="BA287" s="152"/>
      <c r="BB287" s="152">
        <v>29224.02</v>
      </c>
      <c r="BC287" s="152">
        <v>12524.58</v>
      </c>
      <c r="BD287" s="152">
        <v>0</v>
      </c>
      <c r="BE287" s="152">
        <v>0</v>
      </c>
      <c r="BF287" s="152">
        <v>0</v>
      </c>
      <c r="BG287" s="152">
        <v>0</v>
      </c>
      <c r="BH287" s="152">
        <v>0</v>
      </c>
      <c r="BI287" s="152">
        <v>41748.6</v>
      </c>
      <c r="BJ287" s="145"/>
      <c r="BK287" s="145"/>
    </row>
    <row r="288" spans="1:64" ht="63" x14ac:dyDescent="0.25">
      <c r="A288" s="472" t="s">
        <v>233</v>
      </c>
      <c r="B288" s="472" t="s">
        <v>234</v>
      </c>
      <c r="C288" s="473" t="s">
        <v>583</v>
      </c>
      <c r="D288" s="472">
        <v>1</v>
      </c>
      <c r="E288" s="472" t="s">
        <v>4</v>
      </c>
      <c r="F288" s="472" t="s">
        <v>5</v>
      </c>
      <c r="G288" s="474" t="s">
        <v>270</v>
      </c>
      <c r="H288" s="45">
        <v>277</v>
      </c>
      <c r="I288" s="45" t="s">
        <v>233</v>
      </c>
      <c r="J288" s="475" t="s">
        <v>271</v>
      </c>
      <c r="K288" s="475" t="s">
        <v>272</v>
      </c>
      <c r="L288" s="41">
        <v>0</v>
      </c>
      <c r="M288" s="41">
        <v>0</v>
      </c>
      <c r="N288" s="41">
        <v>0</v>
      </c>
      <c r="O288" s="41">
        <v>3834.6</v>
      </c>
      <c r="P288" s="41">
        <v>3834.61</v>
      </c>
      <c r="Q288" s="41">
        <f>P288-O288</f>
        <v>1.0000000000218279E-2</v>
      </c>
      <c r="R288" s="41">
        <v>3054.77</v>
      </c>
      <c r="S288" s="41">
        <v>3054.77</v>
      </c>
      <c r="T288" s="41">
        <f>S288-R288</f>
        <v>0</v>
      </c>
      <c r="U288" s="41">
        <v>0</v>
      </c>
      <c r="V288" s="41">
        <v>0</v>
      </c>
      <c r="W288" s="41">
        <f>V288-U288</f>
        <v>0</v>
      </c>
      <c r="X288" s="41">
        <v>0</v>
      </c>
      <c r="Y288" s="41">
        <v>0</v>
      </c>
      <c r="Z288" s="41">
        <f>Y288-X288</f>
        <v>0</v>
      </c>
      <c r="AA288" s="41">
        <v>11305.27</v>
      </c>
      <c r="AB288" s="41">
        <v>20206.91</v>
      </c>
      <c r="AC288" s="41">
        <f>AB288-AA288</f>
        <v>8901.64</v>
      </c>
      <c r="AD288" s="41">
        <v>0</v>
      </c>
      <c r="AE288" s="41">
        <v>0</v>
      </c>
      <c r="AF288" s="41">
        <f>AE288-AD288</f>
        <v>0</v>
      </c>
      <c r="AG288" s="41">
        <v>0</v>
      </c>
      <c r="AH288" s="41">
        <v>0</v>
      </c>
      <c r="AI288" s="41">
        <f>AH288-AG288</f>
        <v>0</v>
      </c>
      <c r="AJ288" s="41">
        <v>7843.6</v>
      </c>
      <c r="AK288" s="41">
        <v>11058.05</v>
      </c>
      <c r="AL288" s="41">
        <f>AK288-AJ288</f>
        <v>3214.4499999999989</v>
      </c>
      <c r="AM288" s="41">
        <v>0</v>
      </c>
      <c r="AN288" s="41">
        <v>0</v>
      </c>
      <c r="AO288" s="41">
        <f>AN288-AM288</f>
        <v>0</v>
      </c>
      <c r="AP288" s="41">
        <v>0</v>
      </c>
      <c r="AQ288" s="41">
        <f>IFERROR(VLOOKUP(G288,'10'!A:B,2,0),0)</f>
        <v>0</v>
      </c>
      <c r="AR288" s="41">
        <f t="shared" si="172"/>
        <v>0</v>
      </c>
      <c r="AS288" s="41">
        <f t="shared" si="177"/>
        <v>26038.240000000002</v>
      </c>
      <c r="AT288" s="41">
        <f t="shared" si="180"/>
        <v>38154.339999999997</v>
      </c>
      <c r="AU288" s="41">
        <f t="shared" si="175"/>
        <v>12116.099999999999</v>
      </c>
      <c r="AV288" s="459">
        <f>AT288/AS288</f>
        <v>1.4653194685969557</v>
      </c>
      <c r="AW288" s="41">
        <v>47522.94</v>
      </c>
      <c r="AX288" s="41">
        <v>0</v>
      </c>
      <c r="AY288" s="41">
        <f t="shared" si="179"/>
        <v>73561.180000000008</v>
      </c>
      <c r="AZ288" s="41">
        <f>VLOOKUP(G288,'2017'!A:B,2,0)</f>
        <v>49267.479999999996</v>
      </c>
      <c r="BA288" s="552">
        <f>AZ288-AY288</f>
        <v>-24293.700000000012</v>
      </c>
      <c r="BB288" s="41">
        <v>474231.16000000003</v>
      </c>
      <c r="BC288" s="41">
        <v>996557.35999999987</v>
      </c>
      <c r="BD288" s="41">
        <v>0</v>
      </c>
      <c r="BE288" s="41">
        <v>0</v>
      </c>
      <c r="BF288" s="41">
        <v>0</v>
      </c>
      <c r="BG288" s="41">
        <v>0</v>
      </c>
      <c r="BH288" s="41">
        <v>0</v>
      </c>
      <c r="BI288" s="41">
        <v>1544349.7</v>
      </c>
      <c r="BJ288" s="75"/>
      <c r="BK288" s="24"/>
      <c r="BL288" s="2"/>
    </row>
    <row r="289" spans="1:64" ht="25.5" x14ac:dyDescent="0.25">
      <c r="A289" s="18" t="s">
        <v>406</v>
      </c>
      <c r="B289" s="18" t="s">
        <v>411</v>
      </c>
      <c r="C289" s="19" t="s">
        <v>606</v>
      </c>
      <c r="D289" s="18">
        <v>1</v>
      </c>
      <c r="E289" s="18" t="s">
        <v>402</v>
      </c>
      <c r="F289" s="18" t="s">
        <v>77</v>
      </c>
      <c r="G289" s="18" t="s">
        <v>2432</v>
      </c>
      <c r="H289" s="45">
        <v>278</v>
      </c>
      <c r="I289" s="45" t="s">
        <v>406</v>
      </c>
      <c r="J289" s="19" t="s">
        <v>1528</v>
      </c>
      <c r="K289" s="19" t="s">
        <v>2433</v>
      </c>
      <c r="L289" s="145">
        <v>0</v>
      </c>
      <c r="M289" s="145">
        <v>0</v>
      </c>
      <c r="N289" s="145">
        <v>0</v>
      </c>
      <c r="O289" s="145">
        <f>N289+M289+L289</f>
        <v>0</v>
      </c>
      <c r="P289" s="145"/>
      <c r="Q289" s="145"/>
      <c r="R289" s="145">
        <v>0</v>
      </c>
      <c r="S289" s="145"/>
      <c r="T289" s="145"/>
      <c r="U289" s="145">
        <v>0</v>
      </c>
      <c r="V289" s="145"/>
      <c r="W289" s="145"/>
      <c r="X289" s="145">
        <v>0</v>
      </c>
      <c r="Y289" s="145"/>
      <c r="Z289" s="145"/>
      <c r="AA289" s="145">
        <v>0</v>
      </c>
      <c r="AB289" s="145"/>
      <c r="AC289" s="145"/>
      <c r="AD289" s="145">
        <v>0</v>
      </c>
      <c r="AE289" s="145"/>
      <c r="AF289" s="145"/>
      <c r="AG289" s="145">
        <v>0</v>
      </c>
      <c r="AH289" s="145"/>
      <c r="AI289" s="145"/>
      <c r="AJ289" s="145">
        <v>0</v>
      </c>
      <c r="AK289" s="145"/>
      <c r="AL289" s="145"/>
      <c r="AM289" s="145">
        <v>0</v>
      </c>
      <c r="AN289" s="145"/>
      <c r="AO289" s="145"/>
      <c r="AP289" s="145">
        <v>0</v>
      </c>
      <c r="AQ289" s="41">
        <f>IFERROR(VLOOKUP(G289,'10'!A:B,2,0),0)</f>
        <v>9188.7000000000007</v>
      </c>
      <c r="AR289" s="41">
        <f t="shared" si="172"/>
        <v>9188.7000000000007</v>
      </c>
      <c r="AS289" s="41">
        <f t="shared" si="177"/>
        <v>0</v>
      </c>
      <c r="AT289" s="41">
        <f t="shared" si="180"/>
        <v>9188.7000000000007</v>
      </c>
      <c r="AU289" s="41">
        <f t="shared" si="175"/>
        <v>9188.7000000000007</v>
      </c>
      <c r="AV289" s="459">
        <v>0</v>
      </c>
      <c r="AW289" s="145">
        <v>0</v>
      </c>
      <c r="AX289" s="145">
        <v>0</v>
      </c>
      <c r="AY289" s="41">
        <f t="shared" si="179"/>
        <v>0</v>
      </c>
      <c r="AZ289" s="41"/>
      <c r="BA289" s="145"/>
      <c r="BB289" s="145">
        <f>SUM(R289:AX289)</f>
        <v>36754.800000000003</v>
      </c>
      <c r="BC289" s="145">
        <v>39017.130000000005</v>
      </c>
      <c r="BD289" s="145">
        <v>16721.62</v>
      </c>
      <c r="BE289" s="145">
        <v>0</v>
      </c>
      <c r="BF289" s="145">
        <v>0</v>
      </c>
      <c r="BG289" s="145">
        <v>0</v>
      </c>
      <c r="BH289" s="145">
        <v>0</v>
      </c>
      <c r="BI289" s="145">
        <v>55738.75</v>
      </c>
      <c r="BJ289" s="144"/>
      <c r="BK289" s="152"/>
      <c r="BL289" s="518"/>
    </row>
    <row r="290" spans="1:64" ht="63" x14ac:dyDescent="0.25">
      <c r="A290" s="470" t="s">
        <v>233</v>
      </c>
      <c r="B290" s="470" t="s">
        <v>234</v>
      </c>
      <c r="C290" s="471" t="s">
        <v>583</v>
      </c>
      <c r="D290" s="470">
        <v>1</v>
      </c>
      <c r="E290" s="470" t="s">
        <v>4</v>
      </c>
      <c r="F290" s="470" t="s">
        <v>5</v>
      </c>
      <c r="G290" s="43" t="s">
        <v>785</v>
      </c>
      <c r="H290" s="45">
        <v>279</v>
      </c>
      <c r="I290" s="45" t="s">
        <v>233</v>
      </c>
      <c r="J290" s="475" t="s">
        <v>817</v>
      </c>
      <c r="K290" s="475" t="s">
        <v>818</v>
      </c>
      <c r="L290" s="41">
        <v>0</v>
      </c>
      <c r="M290" s="41">
        <v>0</v>
      </c>
      <c r="N290" s="41">
        <v>0</v>
      </c>
      <c r="O290" s="40">
        <v>0</v>
      </c>
      <c r="P290" s="40">
        <v>0</v>
      </c>
      <c r="Q290" s="41">
        <f>P290-O290</f>
        <v>0</v>
      </c>
      <c r="R290" s="40">
        <v>0</v>
      </c>
      <c r="S290" s="40">
        <v>0</v>
      </c>
      <c r="T290" s="41">
        <f>S290-R290</f>
        <v>0</v>
      </c>
      <c r="U290" s="40">
        <v>0</v>
      </c>
      <c r="V290" s="40">
        <v>0</v>
      </c>
      <c r="W290" s="41">
        <f>V290-U290</f>
        <v>0</v>
      </c>
      <c r="X290" s="40">
        <v>0</v>
      </c>
      <c r="Y290" s="40">
        <v>0</v>
      </c>
      <c r="Z290" s="41">
        <f>Y290-X290</f>
        <v>0</v>
      </c>
      <c r="AA290" s="40">
        <v>0</v>
      </c>
      <c r="AB290" s="40">
        <v>0</v>
      </c>
      <c r="AC290" s="41">
        <f>AB290-AA290</f>
        <v>0</v>
      </c>
      <c r="AD290" s="41">
        <v>0</v>
      </c>
      <c r="AE290" s="41">
        <v>7063.72</v>
      </c>
      <c r="AF290" s="41">
        <f>AE290-AD290</f>
        <v>7063.72</v>
      </c>
      <c r="AG290" s="41">
        <v>0</v>
      </c>
      <c r="AH290" s="41">
        <v>0</v>
      </c>
      <c r="AI290" s="41">
        <f>AH290-AG290</f>
        <v>0</v>
      </c>
      <c r="AJ290" s="41">
        <v>0</v>
      </c>
      <c r="AK290" s="41">
        <v>5339.14</v>
      </c>
      <c r="AL290" s="41">
        <f>AK290-AJ290</f>
        <v>5339.14</v>
      </c>
      <c r="AM290" s="41">
        <v>0</v>
      </c>
      <c r="AN290" s="41">
        <v>0</v>
      </c>
      <c r="AO290" s="41">
        <f>AN290-AM290</f>
        <v>0</v>
      </c>
      <c r="AP290" s="41">
        <v>0</v>
      </c>
      <c r="AQ290" s="41">
        <f>IFERROR(VLOOKUP(G290,'10'!A:B,2,0),0)</f>
        <v>0</v>
      </c>
      <c r="AR290" s="41">
        <f t="shared" si="172"/>
        <v>0</v>
      </c>
      <c r="AS290" s="41">
        <f t="shared" si="177"/>
        <v>0</v>
      </c>
      <c r="AT290" s="41">
        <f t="shared" si="180"/>
        <v>12402.86</v>
      </c>
      <c r="AU290" s="41">
        <f t="shared" si="175"/>
        <v>12402.86</v>
      </c>
      <c r="AV290" s="459">
        <v>0</v>
      </c>
      <c r="AW290" s="41">
        <v>0</v>
      </c>
      <c r="AX290" s="41">
        <v>0</v>
      </c>
      <c r="AY290" s="41">
        <f t="shared" si="179"/>
        <v>0</v>
      </c>
      <c r="AZ290" s="41"/>
      <c r="BA290" s="36">
        <f>AZ290-AY290</f>
        <v>0</v>
      </c>
      <c r="BB290" s="41">
        <v>1113197.1300000001</v>
      </c>
      <c r="BC290" s="41">
        <v>690643.12</v>
      </c>
      <c r="BD290" s="41">
        <v>0</v>
      </c>
      <c r="BE290" s="41">
        <v>0</v>
      </c>
      <c r="BF290" s="41">
        <v>0</v>
      </c>
      <c r="BG290" s="41">
        <v>0</v>
      </c>
      <c r="BH290" s="41">
        <v>0</v>
      </c>
      <c r="BI290" s="41">
        <v>1803840.25</v>
      </c>
      <c r="BJ290" s="75"/>
      <c r="BK290" s="24"/>
    </row>
    <row r="291" spans="1:64" ht="78.75" x14ac:dyDescent="0.25">
      <c r="A291" s="470" t="s">
        <v>406</v>
      </c>
      <c r="B291" s="470" t="s">
        <v>411</v>
      </c>
      <c r="C291" s="471" t="s">
        <v>606</v>
      </c>
      <c r="D291" s="470">
        <v>1</v>
      </c>
      <c r="E291" s="470" t="s">
        <v>402</v>
      </c>
      <c r="F291" s="470" t="s">
        <v>77</v>
      </c>
      <c r="G291" s="470" t="s">
        <v>940</v>
      </c>
      <c r="H291" s="45">
        <v>280</v>
      </c>
      <c r="I291" s="45" t="s">
        <v>406</v>
      </c>
      <c r="J291" s="471" t="s">
        <v>913</v>
      </c>
      <c r="K291" s="480" t="s">
        <v>941</v>
      </c>
      <c r="L291" s="43">
        <v>0</v>
      </c>
      <c r="M291" s="43">
        <v>0</v>
      </c>
      <c r="N291" s="43">
        <v>0</v>
      </c>
      <c r="O291" s="43">
        <v>0</v>
      </c>
      <c r="P291" s="43"/>
      <c r="Q291" s="43"/>
      <c r="R291" s="43">
        <v>0</v>
      </c>
      <c r="S291" s="43"/>
      <c r="T291" s="43"/>
      <c r="U291" s="43">
        <v>0</v>
      </c>
      <c r="V291" s="43"/>
      <c r="W291" s="43"/>
      <c r="X291" s="43">
        <v>0</v>
      </c>
      <c r="Y291" s="43"/>
      <c r="Z291" s="43"/>
      <c r="AA291" s="43">
        <v>0</v>
      </c>
      <c r="AB291" s="43"/>
      <c r="AC291" s="43"/>
      <c r="AD291" s="43">
        <v>0</v>
      </c>
      <c r="AE291" s="43"/>
      <c r="AF291" s="43"/>
      <c r="AG291" s="43">
        <v>0</v>
      </c>
      <c r="AH291" s="41">
        <v>5167.1499999999996</v>
      </c>
      <c r="AI291" s="41">
        <f>AH291-AG291</f>
        <v>5167.1499999999996</v>
      </c>
      <c r="AJ291" s="41">
        <v>0</v>
      </c>
      <c r="AK291" s="41">
        <v>2669.39</v>
      </c>
      <c r="AL291" s="41">
        <f>AK291-AJ291</f>
        <v>2669.39</v>
      </c>
      <c r="AM291" s="41">
        <v>0</v>
      </c>
      <c r="AN291" s="41">
        <v>4607.3900000000003</v>
      </c>
      <c r="AO291" s="41">
        <f>AN291-AM291</f>
        <v>4607.3900000000003</v>
      </c>
      <c r="AP291" s="41">
        <v>0</v>
      </c>
      <c r="AQ291" s="41">
        <f>IFERROR(VLOOKUP(G291,'10'!A:B,2,0),0)</f>
        <v>0</v>
      </c>
      <c r="AR291" s="41">
        <f t="shared" si="172"/>
        <v>0</v>
      </c>
      <c r="AS291" s="41">
        <f t="shared" si="177"/>
        <v>0</v>
      </c>
      <c r="AT291" s="41">
        <f t="shared" si="180"/>
        <v>12443.93</v>
      </c>
      <c r="AU291" s="41">
        <f t="shared" si="175"/>
        <v>12443.93</v>
      </c>
      <c r="AV291" s="459">
        <v>0</v>
      </c>
      <c r="AW291" s="41">
        <v>0</v>
      </c>
      <c r="AX291" s="41">
        <v>0</v>
      </c>
      <c r="AY291" s="41">
        <f t="shared" si="179"/>
        <v>0</v>
      </c>
      <c r="AZ291" s="41"/>
      <c r="BA291" s="36">
        <f>AZ291-AY291</f>
        <v>0</v>
      </c>
      <c r="BB291" s="41">
        <v>55585.32</v>
      </c>
      <c r="BC291" s="41">
        <v>30119.33</v>
      </c>
      <c r="BD291" s="41">
        <v>0</v>
      </c>
      <c r="BE291" s="41">
        <v>0</v>
      </c>
      <c r="BF291" s="41">
        <v>0</v>
      </c>
      <c r="BG291" s="41">
        <v>0</v>
      </c>
      <c r="BH291" s="41">
        <v>0</v>
      </c>
      <c r="BI291" s="41">
        <v>85704.65</v>
      </c>
      <c r="BJ291" s="78"/>
      <c r="BK291" s="24"/>
      <c r="BL291" s="29"/>
    </row>
    <row r="292" spans="1:64" ht="47.25" x14ac:dyDescent="0.25">
      <c r="A292" s="439" t="s">
        <v>406</v>
      </c>
      <c r="B292" s="439" t="s">
        <v>411</v>
      </c>
      <c r="C292" s="440" t="s">
        <v>606</v>
      </c>
      <c r="D292" s="439">
        <v>1</v>
      </c>
      <c r="E292" s="439" t="s">
        <v>402</v>
      </c>
      <c r="F292" s="439" t="s">
        <v>77</v>
      </c>
      <c r="G292" s="439" t="s">
        <v>2328</v>
      </c>
      <c r="H292" s="45">
        <v>281</v>
      </c>
      <c r="I292" s="45" t="s">
        <v>406</v>
      </c>
      <c r="J292" s="440" t="s">
        <v>1253</v>
      </c>
      <c r="K292" s="440" t="s">
        <v>2329</v>
      </c>
      <c r="L292" s="441">
        <v>0</v>
      </c>
      <c r="M292" s="441">
        <v>0</v>
      </c>
      <c r="N292" s="441">
        <v>0</v>
      </c>
      <c r="O292" s="441">
        <f>N292+M292+L292</f>
        <v>0</v>
      </c>
      <c r="P292" s="441"/>
      <c r="Q292" s="441"/>
      <c r="R292" s="441">
        <v>0</v>
      </c>
      <c r="S292" s="441"/>
      <c r="T292" s="441"/>
      <c r="U292" s="441">
        <v>0</v>
      </c>
      <c r="V292" s="441"/>
      <c r="W292" s="441"/>
      <c r="X292" s="441">
        <v>0</v>
      </c>
      <c r="Y292" s="441"/>
      <c r="Z292" s="441"/>
      <c r="AA292" s="441">
        <v>0</v>
      </c>
      <c r="AB292" s="441"/>
      <c r="AC292" s="441"/>
      <c r="AD292" s="441">
        <v>0</v>
      </c>
      <c r="AE292" s="441"/>
      <c r="AF292" s="441"/>
      <c r="AG292" s="441">
        <v>0</v>
      </c>
      <c r="AH292" s="441"/>
      <c r="AI292" s="441"/>
      <c r="AJ292" s="441">
        <v>0</v>
      </c>
      <c r="AK292" s="41">
        <v>7251.82</v>
      </c>
      <c r="AL292" s="41">
        <f>AK292-AJ292</f>
        <v>7251.82</v>
      </c>
      <c r="AM292" s="441">
        <v>0</v>
      </c>
      <c r="AN292" s="41">
        <v>1576.16</v>
      </c>
      <c r="AO292" s="41">
        <f>AN292-AM292</f>
        <v>1576.16</v>
      </c>
      <c r="AP292" s="441">
        <v>0</v>
      </c>
      <c r="AQ292" s="41">
        <f>IFERROR(VLOOKUP(G292,'10'!A:B,2,0),0)</f>
        <v>4932.8999999999996</v>
      </c>
      <c r="AR292" s="41">
        <f t="shared" si="172"/>
        <v>4932.8999999999996</v>
      </c>
      <c r="AS292" s="41">
        <f t="shared" si="177"/>
        <v>0</v>
      </c>
      <c r="AT292" s="41">
        <f t="shared" si="180"/>
        <v>13760.88</v>
      </c>
      <c r="AU292" s="41">
        <f t="shared" si="175"/>
        <v>13760.88</v>
      </c>
      <c r="AV292" s="459">
        <v>0</v>
      </c>
      <c r="AW292" s="441">
        <v>0</v>
      </c>
      <c r="AX292" s="441">
        <v>0</v>
      </c>
      <c r="AY292" s="41">
        <f t="shared" si="179"/>
        <v>0</v>
      </c>
      <c r="AZ292" s="41"/>
      <c r="BA292" s="40">
        <f>AZ292-AY292</f>
        <v>0</v>
      </c>
      <c r="BB292" s="441">
        <v>45833.18</v>
      </c>
      <c r="BC292" s="441">
        <v>30555.47</v>
      </c>
      <c r="BD292" s="441">
        <v>0</v>
      </c>
      <c r="BE292" s="441">
        <v>0</v>
      </c>
      <c r="BF292" s="441">
        <v>0</v>
      </c>
      <c r="BG292" s="441">
        <v>0</v>
      </c>
      <c r="BH292" s="441">
        <v>0</v>
      </c>
      <c r="BI292" s="441">
        <v>70789.06</v>
      </c>
      <c r="BJ292" s="144"/>
      <c r="BK292" s="24"/>
    </row>
    <row r="293" spans="1:64" ht="51" x14ac:dyDescent="0.25">
      <c r="A293" s="18" t="s">
        <v>2639</v>
      </c>
      <c r="B293" s="18" t="s">
        <v>2641</v>
      </c>
      <c r="C293" s="19" t="s">
        <v>2640</v>
      </c>
      <c r="D293" s="55" t="s">
        <v>2642</v>
      </c>
      <c r="E293" s="55" t="s">
        <v>402</v>
      </c>
      <c r="F293" s="55" t="s">
        <v>5</v>
      </c>
      <c r="G293" s="514" t="s">
        <v>2824</v>
      </c>
      <c r="H293" s="45">
        <v>282</v>
      </c>
      <c r="I293" s="45" t="s">
        <v>2639</v>
      </c>
      <c r="J293" s="344" t="s">
        <v>2643</v>
      </c>
      <c r="K293" s="344" t="s">
        <v>2644</v>
      </c>
      <c r="L293" s="145">
        <v>0</v>
      </c>
      <c r="M293" s="145">
        <v>0</v>
      </c>
      <c r="N293" s="145">
        <v>0</v>
      </c>
      <c r="O293" s="145">
        <f>N293+M293+L293</f>
        <v>0</v>
      </c>
      <c r="P293" s="145"/>
      <c r="Q293" s="145"/>
      <c r="R293" s="145">
        <v>0</v>
      </c>
      <c r="S293" s="145"/>
      <c r="T293" s="145"/>
      <c r="U293" s="145">
        <v>0</v>
      </c>
      <c r="V293" s="145"/>
      <c r="W293" s="145"/>
      <c r="X293" s="145">
        <v>0</v>
      </c>
      <c r="Y293" s="145"/>
      <c r="Z293" s="145"/>
      <c r="AA293" s="145">
        <v>0</v>
      </c>
      <c r="AB293" s="145"/>
      <c r="AC293" s="145"/>
      <c r="AD293" s="145">
        <v>0</v>
      </c>
      <c r="AE293" s="145"/>
      <c r="AF293" s="145"/>
      <c r="AG293" s="145">
        <v>0</v>
      </c>
      <c r="AH293" s="145"/>
      <c r="AI293" s="145"/>
      <c r="AJ293" s="145">
        <v>0</v>
      </c>
      <c r="AK293" s="145"/>
      <c r="AL293" s="145"/>
      <c r="AM293" s="145">
        <v>0</v>
      </c>
      <c r="AN293" s="145"/>
      <c r="AO293" s="145"/>
      <c r="AP293" s="145">
        <v>0</v>
      </c>
      <c r="AQ293" s="41">
        <f>IFERROR(VLOOKUP(G293,'10'!A:B,2,0),0)</f>
        <v>13796.75</v>
      </c>
      <c r="AR293" s="41">
        <f t="shared" si="172"/>
        <v>13796.75</v>
      </c>
      <c r="AS293" s="41">
        <f t="shared" si="177"/>
        <v>0</v>
      </c>
      <c r="AT293" s="41">
        <f t="shared" si="180"/>
        <v>13796.75</v>
      </c>
      <c r="AU293" s="41">
        <f t="shared" si="175"/>
        <v>13796.75</v>
      </c>
      <c r="AV293" s="459">
        <v>0</v>
      </c>
      <c r="AW293" s="145">
        <v>0</v>
      </c>
      <c r="AX293" s="145">
        <v>0</v>
      </c>
      <c r="AY293" s="41">
        <f t="shared" si="179"/>
        <v>0</v>
      </c>
      <c r="AZ293" s="41"/>
      <c r="BA293" s="145"/>
      <c r="BB293" s="145">
        <f>SUM(R293:AX293)</f>
        <v>55187</v>
      </c>
      <c r="BC293" s="145">
        <v>4451227.97</v>
      </c>
      <c r="BD293" s="145">
        <v>3161147.47</v>
      </c>
      <c r="BE293" s="145">
        <v>2392779.86</v>
      </c>
      <c r="BF293" s="145">
        <v>2392864.86</v>
      </c>
      <c r="BG293" s="145">
        <v>2807176.79</v>
      </c>
      <c r="BH293" s="145">
        <v>0</v>
      </c>
      <c r="BI293" s="145">
        <v>15205196.949999999</v>
      </c>
      <c r="BJ293" s="145"/>
      <c r="BK293" s="152"/>
      <c r="BL293" s="518"/>
    </row>
    <row r="294" spans="1:64" ht="78.75" x14ac:dyDescent="0.25">
      <c r="A294" s="11" t="s">
        <v>233</v>
      </c>
      <c r="B294" s="11" t="s">
        <v>234</v>
      </c>
      <c r="C294" s="14" t="s">
        <v>583</v>
      </c>
      <c r="D294" s="11">
        <v>1</v>
      </c>
      <c r="E294" s="11" t="s">
        <v>4</v>
      </c>
      <c r="F294" s="11" t="s">
        <v>5</v>
      </c>
      <c r="G294" s="44" t="s">
        <v>267</v>
      </c>
      <c r="H294" s="45">
        <v>283</v>
      </c>
      <c r="I294" s="45" t="s">
        <v>233</v>
      </c>
      <c r="J294" s="46" t="s">
        <v>268</v>
      </c>
      <c r="K294" s="46" t="s">
        <v>269</v>
      </c>
      <c r="L294" s="41">
        <v>0</v>
      </c>
      <c r="M294" s="41">
        <v>0</v>
      </c>
      <c r="N294" s="41">
        <v>0</v>
      </c>
      <c r="O294" s="41">
        <v>0</v>
      </c>
      <c r="P294" s="41">
        <v>0</v>
      </c>
      <c r="Q294" s="41">
        <f>P294-O294</f>
        <v>0</v>
      </c>
      <c r="R294" s="41">
        <v>12204.16</v>
      </c>
      <c r="S294" s="41">
        <v>12204.16</v>
      </c>
      <c r="T294" s="41">
        <f>S294-R294</f>
        <v>0</v>
      </c>
      <c r="U294" s="41">
        <v>4139.07</v>
      </c>
      <c r="V294" s="41">
        <v>4139.07</v>
      </c>
      <c r="W294" s="41">
        <f>V294-U294</f>
        <v>0</v>
      </c>
      <c r="X294" s="41">
        <v>0</v>
      </c>
      <c r="Y294" s="41">
        <v>0</v>
      </c>
      <c r="Z294" s="41">
        <f>Y294-X294</f>
        <v>0</v>
      </c>
      <c r="AA294" s="41">
        <v>0</v>
      </c>
      <c r="AB294" s="41">
        <v>0</v>
      </c>
      <c r="AC294" s="41">
        <f>AB294-AA294</f>
        <v>0</v>
      </c>
      <c r="AD294" s="41">
        <v>13618.15</v>
      </c>
      <c r="AE294" s="41">
        <v>9383.89</v>
      </c>
      <c r="AF294" s="41">
        <f>AE294-AD294</f>
        <v>-4234.26</v>
      </c>
      <c r="AG294" s="41">
        <v>0</v>
      </c>
      <c r="AH294" s="41">
        <v>0</v>
      </c>
      <c r="AI294" s="41">
        <f>AH294-AG294</f>
        <v>0</v>
      </c>
      <c r="AJ294" s="41">
        <v>0</v>
      </c>
      <c r="AK294" s="41">
        <v>0</v>
      </c>
      <c r="AL294" s="41">
        <f>AK294-AJ294</f>
        <v>0</v>
      </c>
      <c r="AM294" s="41">
        <v>10613.31</v>
      </c>
      <c r="AN294" s="41">
        <v>29395.78</v>
      </c>
      <c r="AO294" s="41">
        <f t="shared" ref="AO294:AO299" si="181">AN294-AM294</f>
        <v>18782.47</v>
      </c>
      <c r="AP294" s="41">
        <v>0</v>
      </c>
      <c r="AQ294" s="41">
        <f>IFERROR(VLOOKUP(G294,'10'!A:B,2,0),0)</f>
        <v>0</v>
      </c>
      <c r="AR294" s="41">
        <f t="shared" si="172"/>
        <v>0</v>
      </c>
      <c r="AS294" s="41">
        <f t="shared" si="177"/>
        <v>40574.69</v>
      </c>
      <c r="AT294" s="41">
        <f>AN294+AK294+AH294+AE294+AB294+Y294+V294+S294+P294+AQ294</f>
        <v>55122.899999999994</v>
      </c>
      <c r="AU294" s="41">
        <f t="shared" si="175"/>
        <v>14548.210000000001</v>
      </c>
      <c r="AV294" s="459">
        <f>AT294/AS294</f>
        <v>1.3585538176631784</v>
      </c>
      <c r="AW294" s="41">
        <v>0</v>
      </c>
      <c r="AX294" s="41">
        <v>114927.23</v>
      </c>
      <c r="AY294" s="41">
        <f t="shared" si="179"/>
        <v>155501.91999999998</v>
      </c>
      <c r="AZ294" s="41">
        <f>VLOOKUP(G294,'2017'!A:B,2,0)</f>
        <v>81371.13</v>
      </c>
      <c r="BA294" s="552">
        <f>AZ294-AY294</f>
        <v>-74130.789999999979</v>
      </c>
      <c r="BB294" s="41">
        <v>1260392.94</v>
      </c>
      <c r="BC294" s="41">
        <v>2053244.99</v>
      </c>
      <c r="BD294" s="41">
        <v>0</v>
      </c>
      <c r="BE294" s="41">
        <v>0</v>
      </c>
      <c r="BF294" s="41">
        <v>0</v>
      </c>
      <c r="BG294" s="41">
        <v>0</v>
      </c>
      <c r="BH294" s="41">
        <v>0</v>
      </c>
      <c r="BI294" s="41">
        <v>3469139.8499999996</v>
      </c>
      <c r="BJ294" s="75"/>
      <c r="BK294" s="11"/>
      <c r="BL294" s="29"/>
    </row>
    <row r="295" spans="1:64" s="91" customFormat="1" ht="25.5" x14ac:dyDescent="0.25">
      <c r="A295" s="55" t="s">
        <v>406</v>
      </c>
      <c r="B295" s="55" t="s">
        <v>411</v>
      </c>
      <c r="C295" s="155" t="s">
        <v>606</v>
      </c>
      <c r="D295" s="22">
        <v>1</v>
      </c>
      <c r="E295" s="55" t="s">
        <v>402</v>
      </c>
      <c r="F295" s="55" t="s">
        <v>77</v>
      </c>
      <c r="G295" s="55" t="s">
        <v>2478</v>
      </c>
      <c r="H295" s="45">
        <v>284</v>
      </c>
      <c r="I295" s="45" t="s">
        <v>406</v>
      </c>
      <c r="J295" s="155" t="s">
        <v>1517</v>
      </c>
      <c r="K295" s="155" t="s">
        <v>2479</v>
      </c>
      <c r="L295" s="335"/>
      <c r="M295" s="152">
        <v>0</v>
      </c>
      <c r="N295" s="152">
        <v>0</v>
      </c>
      <c r="O295" s="152">
        <v>0</v>
      </c>
      <c r="P295" s="152"/>
      <c r="Q295" s="152"/>
      <c r="R295" s="152">
        <v>0</v>
      </c>
      <c r="S295" s="152"/>
      <c r="T295" s="152"/>
      <c r="U295" s="152">
        <v>0</v>
      </c>
      <c r="V295" s="152"/>
      <c r="W295" s="152"/>
      <c r="X295" s="152">
        <v>0</v>
      </c>
      <c r="Y295" s="152"/>
      <c r="Z295" s="152"/>
      <c r="AA295" s="152">
        <v>0</v>
      </c>
      <c r="AB295" s="152"/>
      <c r="AC295" s="152"/>
      <c r="AD295" s="152">
        <v>0</v>
      </c>
      <c r="AE295" s="152"/>
      <c r="AF295" s="152"/>
      <c r="AG295" s="152">
        <v>0</v>
      </c>
      <c r="AH295" s="152"/>
      <c r="AI295" s="152"/>
      <c r="AJ295" s="152">
        <v>0</v>
      </c>
      <c r="AK295" s="152"/>
      <c r="AL295" s="152"/>
      <c r="AM295" s="152">
        <v>0</v>
      </c>
      <c r="AN295" s="41">
        <v>15449.39</v>
      </c>
      <c r="AO295" s="41">
        <f t="shared" si="181"/>
        <v>15449.39</v>
      </c>
      <c r="AP295" s="152">
        <v>0</v>
      </c>
      <c r="AQ295" s="41">
        <f>IFERROR(VLOOKUP(G295,'10'!A:B,2,0),0)</f>
        <v>0</v>
      </c>
      <c r="AR295" s="41">
        <f t="shared" si="172"/>
        <v>0</v>
      </c>
      <c r="AS295" s="41">
        <f t="shared" si="177"/>
        <v>0</v>
      </c>
      <c r="AT295" s="41">
        <f>AN295+AK295+AH295+AE295+AB295+-Y295+V295+S295+P295+AQ295</f>
        <v>15449.39</v>
      </c>
      <c r="AU295" s="41">
        <f t="shared" si="175"/>
        <v>15449.39</v>
      </c>
      <c r="AV295" s="459">
        <v>0</v>
      </c>
      <c r="AW295" s="152">
        <v>0</v>
      </c>
      <c r="AX295" s="152">
        <v>0</v>
      </c>
      <c r="AY295" s="41">
        <f t="shared" si="179"/>
        <v>0</v>
      </c>
      <c r="AZ295" s="41"/>
      <c r="BA295" s="152"/>
      <c r="BB295" s="152">
        <v>64605.950000000004</v>
      </c>
      <c r="BC295" s="152">
        <v>28171.55</v>
      </c>
      <c r="BD295" s="152">
        <v>0</v>
      </c>
      <c r="BE295" s="152">
        <v>0</v>
      </c>
      <c r="BF295" s="152">
        <v>0</v>
      </c>
      <c r="BG295" s="152">
        <v>0</v>
      </c>
      <c r="BH295" s="152">
        <v>0</v>
      </c>
      <c r="BI295" s="152">
        <v>92777.5</v>
      </c>
      <c r="BJ295" s="145"/>
      <c r="BK295" s="145"/>
      <c r="BL295" s="29"/>
    </row>
    <row r="296" spans="1:64" ht="38.25" x14ac:dyDescent="0.25">
      <c r="A296" s="55" t="s">
        <v>406</v>
      </c>
      <c r="B296" s="55" t="s">
        <v>411</v>
      </c>
      <c r="C296" s="155" t="s">
        <v>606</v>
      </c>
      <c r="D296" s="55">
        <v>1</v>
      </c>
      <c r="E296" s="55" t="s">
        <v>402</v>
      </c>
      <c r="F296" s="55" t="s">
        <v>77</v>
      </c>
      <c r="G296" s="55" t="s">
        <v>2375</v>
      </c>
      <c r="H296" s="45">
        <v>285</v>
      </c>
      <c r="I296" s="45" t="s">
        <v>406</v>
      </c>
      <c r="J296" s="155" t="s">
        <v>1275</v>
      </c>
      <c r="K296" s="155" t="s">
        <v>2376</v>
      </c>
      <c r="L296" s="335"/>
      <c r="M296" s="497">
        <v>0</v>
      </c>
      <c r="N296" s="497">
        <v>0</v>
      </c>
      <c r="O296" s="497">
        <v>0</v>
      </c>
      <c r="P296" s="497"/>
      <c r="Q296" s="497"/>
      <c r="R296" s="497">
        <v>0</v>
      </c>
      <c r="S296" s="497"/>
      <c r="T296" s="497"/>
      <c r="U296" s="497">
        <v>0</v>
      </c>
      <c r="V296" s="497"/>
      <c r="W296" s="497"/>
      <c r="X296" s="497">
        <v>0</v>
      </c>
      <c r="Y296" s="497"/>
      <c r="Z296" s="497"/>
      <c r="AA296" s="497">
        <v>0</v>
      </c>
      <c r="AB296" s="497"/>
      <c r="AC296" s="497"/>
      <c r="AD296" s="497">
        <v>0</v>
      </c>
      <c r="AE296" s="497"/>
      <c r="AF296" s="497"/>
      <c r="AG296" s="497">
        <v>0</v>
      </c>
      <c r="AH296" s="497"/>
      <c r="AI296" s="497"/>
      <c r="AJ296" s="497">
        <v>0</v>
      </c>
      <c r="AK296" s="497"/>
      <c r="AL296" s="497"/>
      <c r="AM296" s="497">
        <v>0</v>
      </c>
      <c r="AN296" s="41">
        <v>13248.66</v>
      </c>
      <c r="AO296" s="41">
        <f t="shared" si="181"/>
        <v>13248.66</v>
      </c>
      <c r="AP296" s="497">
        <v>0</v>
      </c>
      <c r="AQ296" s="41">
        <f>IFERROR(VLOOKUP(G296,'10'!A:B,2,0),0)</f>
        <v>2659.88</v>
      </c>
      <c r="AR296" s="41">
        <f t="shared" si="172"/>
        <v>2659.88</v>
      </c>
      <c r="AS296" s="41">
        <f t="shared" si="177"/>
        <v>0</v>
      </c>
      <c r="AT296" s="41">
        <f>AN296+AK296+AH296+AE296+AB296+-Y296+V296+S296+P296+AQ296</f>
        <v>15908.54</v>
      </c>
      <c r="AU296" s="41">
        <f t="shared" si="175"/>
        <v>15908.54</v>
      </c>
      <c r="AV296" s="459">
        <v>0</v>
      </c>
      <c r="AW296" s="497">
        <v>0</v>
      </c>
      <c r="AX296" s="497">
        <v>0</v>
      </c>
      <c r="AY296" s="41">
        <f t="shared" si="179"/>
        <v>0</v>
      </c>
      <c r="AZ296" s="41"/>
      <c r="BA296" s="152"/>
      <c r="BB296" s="497">
        <v>53087.040000000001</v>
      </c>
      <c r="BC296" s="497">
        <v>25927.26</v>
      </c>
      <c r="BD296" s="497">
        <v>0</v>
      </c>
      <c r="BE296" s="497">
        <v>0</v>
      </c>
      <c r="BF296" s="497">
        <v>0</v>
      </c>
      <c r="BG296" s="497">
        <v>0</v>
      </c>
      <c r="BH296" s="497">
        <v>0</v>
      </c>
      <c r="BI296" s="497">
        <v>79014.3</v>
      </c>
      <c r="BJ296" s="145"/>
      <c r="BK296" s="145"/>
      <c r="BL296" s="29"/>
    </row>
    <row r="297" spans="1:64" ht="47.25" x14ac:dyDescent="0.25">
      <c r="A297" s="439" t="s">
        <v>406</v>
      </c>
      <c r="B297" s="439" t="s">
        <v>411</v>
      </c>
      <c r="C297" s="440" t="s">
        <v>606</v>
      </c>
      <c r="D297" s="439">
        <v>1</v>
      </c>
      <c r="E297" s="439" t="s">
        <v>402</v>
      </c>
      <c r="F297" s="439" t="s">
        <v>77</v>
      </c>
      <c r="G297" s="439" t="s">
        <v>2435</v>
      </c>
      <c r="H297" s="45">
        <v>286</v>
      </c>
      <c r="I297" s="45" t="s">
        <v>406</v>
      </c>
      <c r="J297" s="440" t="s">
        <v>2436</v>
      </c>
      <c r="K297" s="440" t="s">
        <v>2437</v>
      </c>
      <c r="L297" s="441">
        <v>0</v>
      </c>
      <c r="M297" s="441">
        <v>0</v>
      </c>
      <c r="N297" s="441">
        <v>0</v>
      </c>
      <c r="O297" s="441">
        <f>N297+M297+L297</f>
        <v>0</v>
      </c>
      <c r="P297" s="441"/>
      <c r="Q297" s="441"/>
      <c r="R297" s="441">
        <v>0</v>
      </c>
      <c r="S297" s="441"/>
      <c r="T297" s="441"/>
      <c r="U297" s="441">
        <v>0</v>
      </c>
      <c r="V297" s="441"/>
      <c r="W297" s="441"/>
      <c r="X297" s="441">
        <v>0</v>
      </c>
      <c r="Y297" s="441"/>
      <c r="Z297" s="441"/>
      <c r="AA297" s="441">
        <v>0</v>
      </c>
      <c r="AB297" s="441"/>
      <c r="AC297" s="441"/>
      <c r="AD297" s="441">
        <v>0</v>
      </c>
      <c r="AE297" s="441"/>
      <c r="AF297" s="441"/>
      <c r="AG297" s="441">
        <v>0</v>
      </c>
      <c r="AH297" s="441"/>
      <c r="AI297" s="441"/>
      <c r="AJ297" s="441">
        <v>0</v>
      </c>
      <c r="AK297" s="41">
        <v>4760</v>
      </c>
      <c r="AL297" s="41">
        <f>AK297-AJ297</f>
        <v>4760</v>
      </c>
      <c r="AM297" s="441">
        <v>0</v>
      </c>
      <c r="AN297" s="41">
        <v>2697.44</v>
      </c>
      <c r="AO297" s="41">
        <f t="shared" si="181"/>
        <v>2697.44</v>
      </c>
      <c r="AP297" s="441">
        <v>0</v>
      </c>
      <c r="AQ297" s="41">
        <f>IFERROR(VLOOKUP(G297,'10'!A:B,2,0),0)</f>
        <v>9441.08</v>
      </c>
      <c r="AR297" s="41">
        <f t="shared" si="172"/>
        <v>9441.08</v>
      </c>
      <c r="AS297" s="41">
        <f t="shared" si="177"/>
        <v>0</v>
      </c>
      <c r="AT297" s="41">
        <f>AN297+AK297+AH297+AE297+AB297+-Y297+V297+S297+P297+AQ297</f>
        <v>16898.52</v>
      </c>
      <c r="AU297" s="41">
        <f t="shared" si="175"/>
        <v>16898.52</v>
      </c>
      <c r="AV297" s="459">
        <v>0</v>
      </c>
      <c r="AW297" s="441">
        <v>0</v>
      </c>
      <c r="AX297" s="441">
        <v>0</v>
      </c>
      <c r="AY297" s="41">
        <f t="shared" si="179"/>
        <v>0</v>
      </c>
      <c r="AZ297" s="41"/>
      <c r="BA297" s="40">
        <f>AZ297-AY297</f>
        <v>0</v>
      </c>
      <c r="BB297" s="441">
        <v>40476.15</v>
      </c>
      <c r="BC297" s="441">
        <v>19550</v>
      </c>
      <c r="BD297" s="441">
        <v>0</v>
      </c>
      <c r="BE297" s="441">
        <v>0</v>
      </c>
      <c r="BF297" s="441">
        <v>0</v>
      </c>
      <c r="BG297" s="441">
        <v>0</v>
      </c>
      <c r="BH297" s="441">
        <v>0</v>
      </c>
      <c r="BI297" s="441">
        <v>60026.15</v>
      </c>
      <c r="BJ297" s="144"/>
      <c r="BK297" s="24"/>
    </row>
    <row r="298" spans="1:64" ht="47.25" x14ac:dyDescent="0.25">
      <c r="A298" s="439" t="s">
        <v>406</v>
      </c>
      <c r="B298" s="439" t="s">
        <v>411</v>
      </c>
      <c r="C298" s="440" t="s">
        <v>606</v>
      </c>
      <c r="D298" s="439">
        <v>1</v>
      </c>
      <c r="E298" s="439" t="s">
        <v>402</v>
      </c>
      <c r="F298" s="439" t="s">
        <v>77</v>
      </c>
      <c r="G298" s="439" t="s">
        <v>2378</v>
      </c>
      <c r="H298" s="45">
        <v>287</v>
      </c>
      <c r="I298" s="45" t="s">
        <v>406</v>
      </c>
      <c r="J298" s="440" t="s">
        <v>1226</v>
      </c>
      <c r="K298" s="440" t="s">
        <v>2379</v>
      </c>
      <c r="L298" s="441">
        <v>0</v>
      </c>
      <c r="M298" s="441">
        <v>0</v>
      </c>
      <c r="N298" s="441">
        <v>0</v>
      </c>
      <c r="O298" s="441">
        <f>N298+M298+L298</f>
        <v>0</v>
      </c>
      <c r="P298" s="441"/>
      <c r="Q298" s="441"/>
      <c r="R298" s="441">
        <v>0</v>
      </c>
      <c r="S298" s="441"/>
      <c r="T298" s="441"/>
      <c r="U298" s="441">
        <v>0</v>
      </c>
      <c r="V298" s="441"/>
      <c r="W298" s="441"/>
      <c r="X298" s="441">
        <v>0</v>
      </c>
      <c r="Y298" s="441"/>
      <c r="Z298" s="441"/>
      <c r="AA298" s="441">
        <v>0</v>
      </c>
      <c r="AB298" s="441"/>
      <c r="AC298" s="441"/>
      <c r="AD298" s="441">
        <v>0</v>
      </c>
      <c r="AE298" s="441"/>
      <c r="AF298" s="441"/>
      <c r="AG298" s="441">
        <v>0</v>
      </c>
      <c r="AH298" s="441"/>
      <c r="AI298" s="441"/>
      <c r="AJ298" s="441">
        <v>0</v>
      </c>
      <c r="AK298" s="41">
        <v>8696.7799999999988</v>
      </c>
      <c r="AL298" s="41">
        <f>AK298-AJ298</f>
        <v>8696.7799999999988</v>
      </c>
      <c r="AM298" s="441">
        <v>0</v>
      </c>
      <c r="AN298" s="41">
        <v>8241.32</v>
      </c>
      <c r="AO298" s="41">
        <f t="shared" si="181"/>
        <v>8241.32</v>
      </c>
      <c r="AP298" s="441">
        <v>0</v>
      </c>
      <c r="AQ298" s="41">
        <f>IFERROR(VLOOKUP(G298,'10'!A:B,2,0),0)</f>
        <v>0</v>
      </c>
      <c r="AR298" s="41">
        <f t="shared" si="172"/>
        <v>0</v>
      </c>
      <c r="AS298" s="41">
        <f t="shared" si="177"/>
        <v>0</v>
      </c>
      <c r="AT298" s="41">
        <f>AN298+AK298+AH298+AE298+AB298+-Y298+V298+S298+P298+AQ298</f>
        <v>16938.099999999999</v>
      </c>
      <c r="AU298" s="41">
        <f t="shared" si="175"/>
        <v>16938.099999999999</v>
      </c>
      <c r="AV298" s="459">
        <v>0</v>
      </c>
      <c r="AW298" s="441">
        <v>0</v>
      </c>
      <c r="AX298" s="441">
        <v>0</v>
      </c>
      <c r="AY298" s="41">
        <f t="shared" si="179"/>
        <v>0</v>
      </c>
      <c r="AZ298" s="41"/>
      <c r="BA298" s="40">
        <f>AZ298-AY298</f>
        <v>0</v>
      </c>
      <c r="BB298" s="441">
        <v>118654.9</v>
      </c>
      <c r="BC298" s="441">
        <v>59072.45</v>
      </c>
      <c r="BD298" s="441">
        <v>0</v>
      </c>
      <c r="BE298" s="441">
        <v>0</v>
      </c>
      <c r="BF298" s="441">
        <v>0</v>
      </c>
      <c r="BG298" s="441">
        <v>0</v>
      </c>
      <c r="BH298" s="441">
        <v>0</v>
      </c>
      <c r="BI298" s="441">
        <v>177727.35</v>
      </c>
      <c r="BJ298" s="144"/>
      <c r="BK298" s="24"/>
      <c r="BL298" s="29"/>
    </row>
    <row r="299" spans="1:64" s="161" customFormat="1" ht="47.25" x14ac:dyDescent="0.25">
      <c r="A299" s="470" t="s">
        <v>406</v>
      </c>
      <c r="B299" s="471" t="s">
        <v>411</v>
      </c>
      <c r="C299" s="470" t="s">
        <v>606</v>
      </c>
      <c r="D299" s="470">
        <v>1</v>
      </c>
      <c r="E299" s="470" t="s">
        <v>402</v>
      </c>
      <c r="F299" s="470" t="s">
        <v>77</v>
      </c>
      <c r="G299" s="471" t="s">
        <v>930</v>
      </c>
      <c r="H299" s="45">
        <v>288</v>
      </c>
      <c r="I299" s="45" t="s">
        <v>406</v>
      </c>
      <c r="J299" s="471" t="s">
        <v>143</v>
      </c>
      <c r="K299" s="471" t="s">
        <v>931</v>
      </c>
      <c r="L299" s="43">
        <v>0</v>
      </c>
      <c r="M299" s="43">
        <v>0</v>
      </c>
      <c r="N299" s="43">
        <v>0</v>
      </c>
      <c r="O299" s="43">
        <v>0</v>
      </c>
      <c r="P299" s="43"/>
      <c r="Q299" s="43"/>
      <c r="R299" s="43">
        <v>0</v>
      </c>
      <c r="S299" s="43"/>
      <c r="T299" s="43"/>
      <c r="U299" s="43">
        <v>0</v>
      </c>
      <c r="V299" s="43"/>
      <c r="W299" s="43"/>
      <c r="X299" s="43">
        <v>0</v>
      </c>
      <c r="Y299" s="43"/>
      <c r="Z299" s="43"/>
      <c r="AA299" s="43">
        <v>0</v>
      </c>
      <c r="AB299" s="43"/>
      <c r="AC299" s="43"/>
      <c r="AD299" s="43">
        <v>0</v>
      </c>
      <c r="AE299" s="43"/>
      <c r="AF299" s="43"/>
      <c r="AG299" s="43">
        <v>0</v>
      </c>
      <c r="AH299" s="41">
        <v>6964.61</v>
      </c>
      <c r="AI299" s="41">
        <f>AH299-AG299</f>
        <v>6964.61</v>
      </c>
      <c r="AJ299" s="41">
        <v>0</v>
      </c>
      <c r="AK299" s="41">
        <v>0</v>
      </c>
      <c r="AL299" s="41">
        <f>AK299-AJ299</f>
        <v>0</v>
      </c>
      <c r="AM299" s="41">
        <v>0</v>
      </c>
      <c r="AN299" s="41">
        <v>0</v>
      </c>
      <c r="AO299" s="41">
        <f t="shared" si="181"/>
        <v>0</v>
      </c>
      <c r="AP299" s="41">
        <v>0</v>
      </c>
      <c r="AQ299" s="41">
        <f>IFERROR(VLOOKUP(G299,'10'!A:B,2,0),0)</f>
        <v>10829.88</v>
      </c>
      <c r="AR299" s="41">
        <f t="shared" si="172"/>
        <v>10829.88</v>
      </c>
      <c r="AS299" s="41">
        <f t="shared" si="177"/>
        <v>0</v>
      </c>
      <c r="AT299" s="41">
        <f>AN299+AK299+AH299+AE299+AB299+Y299+V299+S299+P299+AQ299</f>
        <v>17794.489999999998</v>
      </c>
      <c r="AU299" s="41">
        <f t="shared" si="175"/>
        <v>17794.489999999998</v>
      </c>
      <c r="AV299" s="459">
        <v>0</v>
      </c>
      <c r="AW299" s="41">
        <v>0</v>
      </c>
      <c r="AX299" s="41">
        <v>0</v>
      </c>
      <c r="AY299" s="41">
        <f t="shared" si="179"/>
        <v>0</v>
      </c>
      <c r="AZ299" s="41"/>
      <c r="BA299" s="36">
        <f>AZ299-AY299</f>
        <v>0</v>
      </c>
      <c r="BB299" s="41">
        <v>93417.26999999999</v>
      </c>
      <c r="BC299" s="41">
        <v>46708.63</v>
      </c>
      <c r="BD299" s="41">
        <v>0</v>
      </c>
      <c r="BE299" s="41">
        <v>0</v>
      </c>
      <c r="BF299" s="41">
        <v>0</v>
      </c>
      <c r="BG299" s="41">
        <v>0</v>
      </c>
      <c r="BH299" s="41">
        <v>0</v>
      </c>
      <c r="BI299" s="41">
        <v>140125.9</v>
      </c>
      <c r="BJ299" s="78"/>
      <c r="BK299" s="24"/>
      <c r="BL299" s="8"/>
    </row>
    <row r="300" spans="1:64" s="91" customFormat="1" ht="25.5" x14ac:dyDescent="0.2">
      <c r="A300" s="18" t="s">
        <v>406</v>
      </c>
      <c r="B300" s="18" t="s">
        <v>411</v>
      </c>
      <c r="C300" s="19" t="s">
        <v>606</v>
      </c>
      <c r="D300" s="22">
        <v>1</v>
      </c>
      <c r="E300" s="18" t="s">
        <v>402</v>
      </c>
      <c r="F300" s="18" t="s">
        <v>77</v>
      </c>
      <c r="G300" s="18" t="s">
        <v>2321</v>
      </c>
      <c r="H300" s="45">
        <v>289</v>
      </c>
      <c r="I300" s="45" t="s">
        <v>406</v>
      </c>
      <c r="J300" s="19" t="s">
        <v>2322</v>
      </c>
      <c r="K300" s="19" t="s">
        <v>2323</v>
      </c>
      <c r="L300" s="145">
        <v>0</v>
      </c>
      <c r="M300" s="145">
        <v>0</v>
      </c>
      <c r="N300" s="145">
        <v>0</v>
      </c>
      <c r="O300" s="145">
        <f>N300+M300+L300</f>
        <v>0</v>
      </c>
      <c r="P300" s="145"/>
      <c r="Q300" s="145"/>
      <c r="R300" s="145">
        <v>0</v>
      </c>
      <c r="S300" s="145"/>
      <c r="T300" s="145"/>
      <c r="U300" s="145">
        <v>0</v>
      </c>
      <c r="V300" s="145"/>
      <c r="W300" s="145"/>
      <c r="X300" s="145">
        <v>0</v>
      </c>
      <c r="Y300" s="145"/>
      <c r="Z300" s="145"/>
      <c r="AA300" s="145">
        <v>0</v>
      </c>
      <c r="AB300" s="145"/>
      <c r="AC300" s="145"/>
      <c r="AD300" s="145">
        <v>0</v>
      </c>
      <c r="AE300" s="145"/>
      <c r="AF300" s="145"/>
      <c r="AG300" s="145">
        <v>0</v>
      </c>
      <c r="AH300" s="145"/>
      <c r="AI300" s="145"/>
      <c r="AJ300" s="145">
        <v>0</v>
      </c>
      <c r="AK300" s="145"/>
      <c r="AL300" s="145"/>
      <c r="AM300" s="145">
        <v>0</v>
      </c>
      <c r="AN300" s="145"/>
      <c r="AO300" s="145"/>
      <c r="AP300" s="145">
        <v>0</v>
      </c>
      <c r="AQ300" s="41">
        <f>IFERROR(VLOOKUP(G300,'10'!A:B,2,0),0)</f>
        <v>18152.349999999999</v>
      </c>
      <c r="AR300" s="41">
        <f t="shared" si="172"/>
        <v>18152.349999999999</v>
      </c>
      <c r="AS300" s="41">
        <f t="shared" si="177"/>
        <v>0</v>
      </c>
      <c r="AT300" s="41">
        <f>AN300+AK300+AH300+AE300+AB300+-Y300+V300+S300+P300+AQ300</f>
        <v>18152.349999999999</v>
      </c>
      <c r="AU300" s="41">
        <f t="shared" si="175"/>
        <v>18152.349999999999</v>
      </c>
      <c r="AV300" s="459">
        <v>0</v>
      </c>
      <c r="AW300" s="145">
        <v>0</v>
      </c>
      <c r="AX300" s="145">
        <v>0</v>
      </c>
      <c r="AY300" s="41">
        <f t="shared" si="179"/>
        <v>0</v>
      </c>
      <c r="AZ300" s="41"/>
      <c r="BA300" s="145"/>
      <c r="BB300" s="145">
        <f>SUM(R300:AX300)</f>
        <v>72609.399999999994</v>
      </c>
      <c r="BC300" s="145">
        <v>160959.4</v>
      </c>
      <c r="BD300" s="145">
        <v>40239.85</v>
      </c>
      <c r="BE300" s="145">
        <v>0</v>
      </c>
      <c r="BF300" s="145">
        <v>0</v>
      </c>
      <c r="BG300" s="145">
        <v>0</v>
      </c>
      <c r="BH300" s="145">
        <v>0</v>
      </c>
      <c r="BI300" s="145">
        <v>193929.85</v>
      </c>
      <c r="BJ300" s="144"/>
      <c r="BK300" s="152"/>
      <c r="BL300" s="518"/>
    </row>
    <row r="301" spans="1:64" ht="47.25" x14ac:dyDescent="0.25">
      <c r="A301" s="499" t="s">
        <v>233</v>
      </c>
      <c r="B301" s="499" t="s">
        <v>234</v>
      </c>
      <c r="C301" s="500" t="s">
        <v>583</v>
      </c>
      <c r="D301" s="499">
        <v>1</v>
      </c>
      <c r="E301" s="499" t="s">
        <v>4</v>
      </c>
      <c r="F301" s="499" t="s">
        <v>5</v>
      </c>
      <c r="G301" s="501" t="s">
        <v>244</v>
      </c>
      <c r="H301" s="45">
        <v>290</v>
      </c>
      <c r="I301" s="45" t="s">
        <v>233</v>
      </c>
      <c r="J301" s="502" t="s">
        <v>245</v>
      </c>
      <c r="K301" s="502" t="s">
        <v>246</v>
      </c>
      <c r="L301" s="503">
        <v>0</v>
      </c>
      <c r="M301" s="503">
        <v>0</v>
      </c>
      <c r="N301" s="503">
        <v>0</v>
      </c>
      <c r="O301" s="503">
        <v>8633.76</v>
      </c>
      <c r="P301" s="503">
        <v>8633.76</v>
      </c>
      <c r="Q301" s="503">
        <f>P301-O301</f>
        <v>0</v>
      </c>
      <c r="R301" s="503">
        <v>0</v>
      </c>
      <c r="S301" s="503">
        <v>0</v>
      </c>
      <c r="T301" s="503">
        <f>S301-R301</f>
        <v>0</v>
      </c>
      <c r="U301" s="503">
        <v>10864.65</v>
      </c>
      <c r="V301" s="503">
        <v>10864.66</v>
      </c>
      <c r="W301" s="503">
        <f>V301-U301</f>
        <v>1.0000000000218279E-2</v>
      </c>
      <c r="X301" s="503">
        <v>0</v>
      </c>
      <c r="Y301" s="503">
        <v>0</v>
      </c>
      <c r="Z301" s="503">
        <f>Y301-X301</f>
        <v>0</v>
      </c>
      <c r="AA301" s="503">
        <v>0</v>
      </c>
      <c r="AB301" s="503">
        <v>0</v>
      </c>
      <c r="AC301" s="503">
        <f>AB301-AA301</f>
        <v>0</v>
      </c>
      <c r="AD301" s="503">
        <v>8589.83</v>
      </c>
      <c r="AE301" s="503">
        <v>11784.47</v>
      </c>
      <c r="AF301" s="503">
        <f>AE301-AD301</f>
        <v>3194.6399999999994</v>
      </c>
      <c r="AG301" s="503">
        <v>0</v>
      </c>
      <c r="AH301" s="503">
        <v>0</v>
      </c>
      <c r="AI301" s="503">
        <f>AH301-AG301</f>
        <v>0</v>
      </c>
      <c r="AJ301" s="503">
        <v>0</v>
      </c>
      <c r="AK301" s="41">
        <v>0</v>
      </c>
      <c r="AL301" s="503">
        <f>AK301-AJ301</f>
        <v>0</v>
      </c>
      <c r="AM301" s="503">
        <v>8280.9500000000007</v>
      </c>
      <c r="AN301" s="41">
        <v>24200.52</v>
      </c>
      <c r="AO301" s="41">
        <f>AN301-AM301</f>
        <v>15919.57</v>
      </c>
      <c r="AP301" s="503">
        <v>0</v>
      </c>
      <c r="AQ301" s="41">
        <f>IFERROR(VLOOKUP(G301,'10'!A:B,2,0),0)</f>
        <v>0</v>
      </c>
      <c r="AR301" s="41">
        <f t="shared" si="172"/>
        <v>0</v>
      </c>
      <c r="AS301" s="41">
        <f t="shared" si="177"/>
        <v>36369.19</v>
      </c>
      <c r="AT301" s="41">
        <f>AN301+AK301+AH301+AE301+AB301+Y301+V301+S301+P301+AQ301</f>
        <v>55483.409999999996</v>
      </c>
      <c r="AU301" s="41">
        <f t="shared" si="175"/>
        <v>19114.22</v>
      </c>
      <c r="AV301" s="459">
        <f>AT301/AS301</f>
        <v>1.5255607837293048</v>
      </c>
      <c r="AW301" s="503">
        <v>0</v>
      </c>
      <c r="AX301" s="503">
        <v>68989.67</v>
      </c>
      <c r="AY301" s="41">
        <f t="shared" si="179"/>
        <v>105358.85999999999</v>
      </c>
      <c r="AZ301" s="41">
        <f>VLOOKUP(G301,'2017'!A:B,2,0)</f>
        <v>105358.87</v>
      </c>
      <c r="BA301" s="558">
        <f>AZ301-AY301</f>
        <v>1.0000000009313226E-2</v>
      </c>
      <c r="BB301" s="503">
        <v>1305035.79</v>
      </c>
      <c r="BC301" s="503">
        <v>637251.94999999995</v>
      </c>
      <c r="BD301" s="503">
        <v>0</v>
      </c>
      <c r="BE301" s="503">
        <v>0</v>
      </c>
      <c r="BF301" s="503">
        <v>0</v>
      </c>
      <c r="BG301" s="503">
        <v>0</v>
      </c>
      <c r="BH301" s="503">
        <v>0</v>
      </c>
      <c r="BI301" s="503">
        <v>2047646.6</v>
      </c>
      <c r="BJ301" s="75"/>
      <c r="BK301" s="24"/>
      <c r="BL301" s="29"/>
    </row>
    <row r="302" spans="1:64" ht="38.25" x14ac:dyDescent="0.25">
      <c r="A302" s="18" t="s">
        <v>406</v>
      </c>
      <c r="B302" s="18" t="s">
        <v>411</v>
      </c>
      <c r="C302" s="19" t="s">
        <v>606</v>
      </c>
      <c r="D302" s="18">
        <v>1</v>
      </c>
      <c r="E302" s="18" t="s">
        <v>402</v>
      </c>
      <c r="F302" s="18" t="s">
        <v>77</v>
      </c>
      <c r="G302" s="18" t="s">
        <v>2454</v>
      </c>
      <c r="H302" s="45">
        <v>291</v>
      </c>
      <c r="I302" s="45" t="s">
        <v>406</v>
      </c>
      <c r="J302" s="19" t="s">
        <v>1232</v>
      </c>
      <c r="K302" s="19" t="s">
        <v>2455</v>
      </c>
      <c r="L302" s="145">
        <v>0</v>
      </c>
      <c r="M302" s="145">
        <v>0</v>
      </c>
      <c r="N302" s="145">
        <v>0</v>
      </c>
      <c r="O302" s="145">
        <f>N302+M302+L302</f>
        <v>0</v>
      </c>
      <c r="P302" s="145"/>
      <c r="Q302" s="145"/>
      <c r="R302" s="145">
        <v>0</v>
      </c>
      <c r="S302" s="145"/>
      <c r="T302" s="145"/>
      <c r="U302" s="145">
        <v>0</v>
      </c>
      <c r="V302" s="145"/>
      <c r="W302" s="145"/>
      <c r="X302" s="145">
        <v>0</v>
      </c>
      <c r="Y302" s="145"/>
      <c r="Z302" s="145"/>
      <c r="AA302" s="145">
        <v>0</v>
      </c>
      <c r="AB302" s="145"/>
      <c r="AC302" s="145"/>
      <c r="AD302" s="145">
        <v>0</v>
      </c>
      <c r="AE302" s="145"/>
      <c r="AF302" s="145"/>
      <c r="AG302" s="145">
        <v>0</v>
      </c>
      <c r="AH302" s="145"/>
      <c r="AI302" s="145"/>
      <c r="AJ302" s="145">
        <v>0</v>
      </c>
      <c r="AK302" s="145"/>
      <c r="AL302" s="145"/>
      <c r="AM302" s="145">
        <v>0</v>
      </c>
      <c r="AN302" s="145"/>
      <c r="AO302" s="145"/>
      <c r="AP302" s="145">
        <v>0</v>
      </c>
      <c r="AQ302" s="41">
        <f>IFERROR(VLOOKUP(G302,'10'!A:B,2,0),0)</f>
        <v>19575.280000000002</v>
      </c>
      <c r="AR302" s="41">
        <f t="shared" si="172"/>
        <v>19575.280000000002</v>
      </c>
      <c r="AS302" s="41">
        <f t="shared" si="177"/>
        <v>0</v>
      </c>
      <c r="AT302" s="41">
        <f>AN302+AK302+AH302+AE302+AB302+-Y302+V302+S302+P302+AQ302</f>
        <v>19575.280000000002</v>
      </c>
      <c r="AU302" s="41">
        <f t="shared" si="175"/>
        <v>19575.280000000002</v>
      </c>
      <c r="AV302" s="459">
        <v>0</v>
      </c>
      <c r="AW302" s="145">
        <v>0</v>
      </c>
      <c r="AX302" s="145">
        <v>0</v>
      </c>
      <c r="AY302" s="41">
        <f t="shared" si="179"/>
        <v>0</v>
      </c>
      <c r="AZ302" s="41"/>
      <c r="BA302" s="145"/>
      <c r="BB302" s="145">
        <f>SUM(R302:AX302)</f>
        <v>78301.12000000001</v>
      </c>
      <c r="BC302" s="145">
        <v>170136</v>
      </c>
      <c r="BD302" s="145">
        <v>85242.25</v>
      </c>
      <c r="BE302" s="145">
        <v>0</v>
      </c>
      <c r="BF302" s="145">
        <v>0</v>
      </c>
      <c r="BG302" s="145">
        <v>0</v>
      </c>
      <c r="BH302" s="145">
        <v>0</v>
      </c>
      <c r="BI302" s="145">
        <v>255378.25</v>
      </c>
      <c r="BJ302" s="144"/>
      <c r="BK302" s="152"/>
      <c r="BL302" s="518"/>
    </row>
    <row r="303" spans="1:64" ht="78.75" x14ac:dyDescent="0.25">
      <c r="A303" s="528" t="s">
        <v>233</v>
      </c>
      <c r="B303" s="528" t="s">
        <v>234</v>
      </c>
      <c r="C303" s="529" t="s">
        <v>583</v>
      </c>
      <c r="D303" s="528">
        <v>1</v>
      </c>
      <c r="E303" s="528" t="s">
        <v>4</v>
      </c>
      <c r="F303" s="528" t="s">
        <v>5</v>
      </c>
      <c r="G303" s="533" t="s">
        <v>784</v>
      </c>
      <c r="H303" s="45">
        <v>292</v>
      </c>
      <c r="I303" s="45" t="s">
        <v>233</v>
      </c>
      <c r="J303" s="536" t="s">
        <v>815</v>
      </c>
      <c r="K303" s="536" t="s">
        <v>816</v>
      </c>
      <c r="L303" s="445">
        <v>0</v>
      </c>
      <c r="M303" s="445">
        <v>0</v>
      </c>
      <c r="N303" s="445">
        <v>0</v>
      </c>
      <c r="O303" s="446">
        <v>0</v>
      </c>
      <c r="P303" s="446">
        <v>0</v>
      </c>
      <c r="Q303" s="445">
        <f>P303-O303</f>
        <v>0</v>
      </c>
      <c r="R303" s="446">
        <v>0</v>
      </c>
      <c r="S303" s="446">
        <v>0</v>
      </c>
      <c r="T303" s="445">
        <f>S303-R303</f>
        <v>0</v>
      </c>
      <c r="U303" s="446">
        <v>0</v>
      </c>
      <c r="V303" s="446">
        <v>0</v>
      </c>
      <c r="W303" s="445">
        <f>V303-U303</f>
        <v>0</v>
      </c>
      <c r="X303" s="446">
        <v>0</v>
      </c>
      <c r="Y303" s="446">
        <v>0</v>
      </c>
      <c r="Z303" s="445">
        <f>Y303-X303</f>
        <v>0</v>
      </c>
      <c r="AA303" s="446">
        <v>0</v>
      </c>
      <c r="AB303" s="446">
        <v>0</v>
      </c>
      <c r="AC303" s="445">
        <f>AB303-AA303</f>
        <v>0</v>
      </c>
      <c r="AD303" s="445">
        <v>0</v>
      </c>
      <c r="AE303" s="445">
        <v>8488.1299999999992</v>
      </c>
      <c r="AF303" s="445">
        <f>AE303-AD303</f>
        <v>8488.1299999999992</v>
      </c>
      <c r="AG303" s="445">
        <v>0</v>
      </c>
      <c r="AH303" s="445">
        <v>0</v>
      </c>
      <c r="AI303" s="445">
        <f>AH303-AG303</f>
        <v>0</v>
      </c>
      <c r="AJ303" s="445">
        <v>9159.6</v>
      </c>
      <c r="AK303" s="41">
        <v>20508.14</v>
      </c>
      <c r="AL303" s="445">
        <f>AK303-AJ303</f>
        <v>11348.539999999999</v>
      </c>
      <c r="AM303" s="445">
        <v>0</v>
      </c>
      <c r="AN303" s="41">
        <v>0</v>
      </c>
      <c r="AO303" s="41">
        <f>AN303-AM303</f>
        <v>0</v>
      </c>
      <c r="AP303" s="445">
        <v>0</v>
      </c>
      <c r="AQ303" s="41">
        <f>IFERROR(VLOOKUP(G303,'10'!A:B,2,0),0)</f>
        <v>0</v>
      </c>
      <c r="AR303" s="41">
        <f t="shared" si="172"/>
        <v>0</v>
      </c>
      <c r="AS303" s="41">
        <f t="shared" si="177"/>
        <v>9159.6</v>
      </c>
      <c r="AT303" s="41">
        <f>AN303+AK303+AH303+AE303+AB303+-Y303+V303+S303+P303+AQ303</f>
        <v>28996.269999999997</v>
      </c>
      <c r="AU303" s="41">
        <f t="shared" si="175"/>
        <v>19836.669999999998</v>
      </c>
      <c r="AV303" s="459">
        <f>AT303/AS303</f>
        <v>3.1656698982488312</v>
      </c>
      <c r="AW303" s="445">
        <v>0</v>
      </c>
      <c r="AX303" s="445">
        <v>0</v>
      </c>
      <c r="AY303" s="41">
        <f t="shared" si="179"/>
        <v>9159.6</v>
      </c>
      <c r="AZ303" s="41">
        <f>VLOOKUP(G303,'2017'!A:B,2,0)</f>
        <v>74619.650000000009</v>
      </c>
      <c r="BA303" s="559">
        <f>AZ303-AY303</f>
        <v>65460.05000000001</v>
      </c>
      <c r="BB303" s="445">
        <v>3507170.5500000003</v>
      </c>
      <c r="BC303" s="445">
        <v>4853852.75</v>
      </c>
      <c r="BD303" s="445">
        <v>3077566.95</v>
      </c>
      <c r="BE303" s="445">
        <v>0</v>
      </c>
      <c r="BF303" s="445">
        <v>0</v>
      </c>
      <c r="BG303" s="445">
        <v>0</v>
      </c>
      <c r="BH303" s="445">
        <v>0</v>
      </c>
      <c r="BI303" s="445">
        <v>11447749.850000001</v>
      </c>
      <c r="BJ303" s="75"/>
      <c r="BK303" s="24"/>
      <c r="BL303" s="29"/>
    </row>
    <row r="304" spans="1:64" ht="25.5" x14ac:dyDescent="0.25">
      <c r="A304" s="18" t="s">
        <v>406</v>
      </c>
      <c r="B304" s="18" t="s">
        <v>411</v>
      </c>
      <c r="C304" s="19" t="s">
        <v>606</v>
      </c>
      <c r="D304" s="18">
        <v>1</v>
      </c>
      <c r="E304" s="18" t="s">
        <v>402</v>
      </c>
      <c r="F304" s="18" t="s">
        <v>77</v>
      </c>
      <c r="G304" s="18" t="s">
        <v>2447</v>
      </c>
      <c r="H304" s="45">
        <v>293</v>
      </c>
      <c r="I304" s="45" t="s">
        <v>406</v>
      </c>
      <c r="J304" s="19" t="s">
        <v>2448</v>
      </c>
      <c r="K304" s="19" t="s">
        <v>2449</v>
      </c>
      <c r="L304" s="145">
        <v>0</v>
      </c>
      <c r="M304" s="145">
        <v>0</v>
      </c>
      <c r="N304" s="145">
        <v>0</v>
      </c>
      <c r="O304" s="145">
        <f>N304+M304+L304</f>
        <v>0</v>
      </c>
      <c r="P304" s="145"/>
      <c r="Q304" s="145"/>
      <c r="R304" s="145">
        <v>0</v>
      </c>
      <c r="S304" s="145"/>
      <c r="T304" s="145"/>
      <c r="U304" s="145">
        <v>0</v>
      </c>
      <c r="V304" s="145"/>
      <c r="W304" s="145"/>
      <c r="X304" s="145">
        <v>0</v>
      </c>
      <c r="Y304" s="145"/>
      <c r="Z304" s="145"/>
      <c r="AA304" s="145">
        <v>0</v>
      </c>
      <c r="AB304" s="145"/>
      <c r="AC304" s="145"/>
      <c r="AD304" s="145">
        <v>0</v>
      </c>
      <c r="AE304" s="145"/>
      <c r="AF304" s="145"/>
      <c r="AG304" s="145">
        <v>0</v>
      </c>
      <c r="AH304" s="145"/>
      <c r="AI304" s="145"/>
      <c r="AJ304" s="145">
        <v>0</v>
      </c>
      <c r="AK304" s="145"/>
      <c r="AL304" s="145"/>
      <c r="AM304" s="145">
        <v>0</v>
      </c>
      <c r="AN304" s="145"/>
      <c r="AO304" s="145"/>
      <c r="AP304" s="145">
        <v>0</v>
      </c>
      <c r="AQ304" s="41">
        <f>IFERROR(VLOOKUP(G304,'10'!A:B,2,0),0)</f>
        <v>20142</v>
      </c>
      <c r="AR304" s="41">
        <f t="shared" si="172"/>
        <v>20142</v>
      </c>
      <c r="AS304" s="41">
        <f t="shared" si="177"/>
        <v>0</v>
      </c>
      <c r="AT304" s="41">
        <f>AN304+AK304+AH304+AE304+AB304+-Y304+V304+S304+P304+AQ304</f>
        <v>20142</v>
      </c>
      <c r="AU304" s="41">
        <f t="shared" si="175"/>
        <v>20142</v>
      </c>
      <c r="AV304" s="459">
        <v>0</v>
      </c>
      <c r="AW304" s="145">
        <v>0</v>
      </c>
      <c r="AX304" s="145">
        <v>0</v>
      </c>
      <c r="AY304" s="41">
        <f t="shared" si="179"/>
        <v>0</v>
      </c>
      <c r="AZ304" s="41"/>
      <c r="BA304" s="145"/>
      <c r="BB304" s="145">
        <f>SUM(R304:AX304)</f>
        <v>80568</v>
      </c>
      <c r="BC304" s="145">
        <v>47762.38</v>
      </c>
      <c r="BD304" s="145">
        <v>19319.62</v>
      </c>
      <c r="BE304" s="145">
        <v>0</v>
      </c>
      <c r="BF304" s="145">
        <v>0</v>
      </c>
      <c r="BG304" s="145">
        <v>0</v>
      </c>
      <c r="BH304" s="145">
        <v>0</v>
      </c>
      <c r="BI304" s="145">
        <v>67082</v>
      </c>
      <c r="BJ304" s="144"/>
      <c r="BK304" s="152"/>
      <c r="BL304" s="518"/>
    </row>
    <row r="305" spans="1:64" ht="47.25" x14ac:dyDescent="0.25">
      <c r="A305" s="439" t="s">
        <v>406</v>
      </c>
      <c r="B305" s="439" t="s">
        <v>411</v>
      </c>
      <c r="C305" s="440" t="s">
        <v>606</v>
      </c>
      <c r="D305" s="438">
        <v>1</v>
      </c>
      <c r="E305" s="439" t="s">
        <v>402</v>
      </c>
      <c r="F305" s="439" t="s">
        <v>77</v>
      </c>
      <c r="G305" s="439" t="s">
        <v>2350</v>
      </c>
      <c r="H305" s="45">
        <v>294</v>
      </c>
      <c r="I305" s="45" t="s">
        <v>406</v>
      </c>
      <c r="J305" s="440" t="s">
        <v>2351</v>
      </c>
      <c r="K305" s="440" t="s">
        <v>2352</v>
      </c>
      <c r="L305" s="441">
        <v>0</v>
      </c>
      <c r="M305" s="441">
        <v>0</v>
      </c>
      <c r="N305" s="441">
        <v>0</v>
      </c>
      <c r="O305" s="441">
        <f>N305+M305+L305</f>
        <v>0</v>
      </c>
      <c r="P305" s="441"/>
      <c r="Q305" s="441"/>
      <c r="R305" s="441">
        <v>0</v>
      </c>
      <c r="S305" s="441"/>
      <c r="T305" s="441"/>
      <c r="U305" s="441">
        <v>0</v>
      </c>
      <c r="V305" s="441"/>
      <c r="W305" s="441"/>
      <c r="X305" s="441">
        <v>0</v>
      </c>
      <c r="Y305" s="441"/>
      <c r="Z305" s="441"/>
      <c r="AA305" s="441">
        <v>0</v>
      </c>
      <c r="AB305" s="441"/>
      <c r="AC305" s="441"/>
      <c r="AD305" s="441">
        <v>0</v>
      </c>
      <c r="AE305" s="441"/>
      <c r="AF305" s="441"/>
      <c r="AG305" s="441">
        <v>0</v>
      </c>
      <c r="AH305" s="441"/>
      <c r="AI305" s="441"/>
      <c r="AJ305" s="441">
        <v>0</v>
      </c>
      <c r="AK305" s="41">
        <v>13640.38</v>
      </c>
      <c r="AL305" s="41">
        <f>AK305-AJ305</f>
        <v>13640.38</v>
      </c>
      <c r="AM305" s="441">
        <v>0</v>
      </c>
      <c r="AN305" s="41">
        <v>0</v>
      </c>
      <c r="AO305" s="41">
        <f t="shared" ref="AO305:AO315" si="182">AN305-AM305</f>
        <v>0</v>
      </c>
      <c r="AP305" s="441">
        <v>0</v>
      </c>
      <c r="AQ305" s="41">
        <f>IFERROR(VLOOKUP(G305,'10'!A:B,2,0),0)</f>
        <v>8826.66</v>
      </c>
      <c r="AR305" s="41">
        <f t="shared" si="172"/>
        <v>8826.66</v>
      </c>
      <c r="AS305" s="41">
        <f t="shared" si="177"/>
        <v>0</v>
      </c>
      <c r="AT305" s="41">
        <f>AN305+AK305+AH305+AE305+AB305+-Y305+V305+S305+P305+AQ305</f>
        <v>22467.040000000001</v>
      </c>
      <c r="AU305" s="41">
        <f t="shared" si="175"/>
        <v>22467.040000000001</v>
      </c>
      <c r="AV305" s="459">
        <v>0</v>
      </c>
      <c r="AW305" s="441">
        <v>0</v>
      </c>
      <c r="AX305" s="441">
        <v>0</v>
      </c>
      <c r="AY305" s="41">
        <f t="shared" si="179"/>
        <v>0</v>
      </c>
      <c r="AZ305" s="41"/>
      <c r="BA305" s="40">
        <f>AZ305-AY305</f>
        <v>0</v>
      </c>
      <c r="BB305" s="441">
        <v>43000.959999999999</v>
      </c>
      <c r="BC305" s="441">
        <v>16722.59</v>
      </c>
      <c r="BD305" s="441">
        <v>0</v>
      </c>
      <c r="BE305" s="441">
        <v>0</v>
      </c>
      <c r="BF305" s="441">
        <v>0</v>
      </c>
      <c r="BG305" s="441">
        <v>0</v>
      </c>
      <c r="BH305" s="441">
        <v>0</v>
      </c>
      <c r="BI305" s="441">
        <v>59723.55</v>
      </c>
      <c r="BJ305" s="144"/>
      <c r="BK305" s="24"/>
      <c r="BL305" s="29"/>
    </row>
    <row r="306" spans="1:64" ht="25.5" x14ac:dyDescent="0.25">
      <c r="A306" s="55" t="s">
        <v>406</v>
      </c>
      <c r="B306" s="55" t="s">
        <v>411</v>
      </c>
      <c r="C306" s="155" t="s">
        <v>606</v>
      </c>
      <c r="D306" s="55">
        <v>1</v>
      </c>
      <c r="E306" s="55" t="s">
        <v>402</v>
      </c>
      <c r="F306" s="55" t="s">
        <v>77</v>
      </c>
      <c r="G306" s="55" t="s">
        <v>2358</v>
      </c>
      <c r="H306" s="45">
        <v>295</v>
      </c>
      <c r="I306" s="45" t="s">
        <v>406</v>
      </c>
      <c r="J306" s="155" t="s">
        <v>1218</v>
      </c>
      <c r="K306" s="155" t="s">
        <v>2359</v>
      </c>
      <c r="L306" s="335"/>
      <c r="M306" s="497">
        <v>0</v>
      </c>
      <c r="N306" s="497">
        <v>0</v>
      </c>
      <c r="O306" s="497">
        <v>0</v>
      </c>
      <c r="P306" s="497"/>
      <c r="Q306" s="497"/>
      <c r="R306" s="497">
        <v>0</v>
      </c>
      <c r="S306" s="497"/>
      <c r="T306" s="497"/>
      <c r="U306" s="497">
        <v>0</v>
      </c>
      <c r="V306" s="497"/>
      <c r="W306" s="497"/>
      <c r="X306" s="497">
        <v>0</v>
      </c>
      <c r="Y306" s="497"/>
      <c r="Z306" s="497"/>
      <c r="AA306" s="497">
        <v>0</v>
      </c>
      <c r="AB306" s="497"/>
      <c r="AC306" s="497"/>
      <c r="AD306" s="497">
        <v>0</v>
      </c>
      <c r="AE306" s="497"/>
      <c r="AF306" s="497"/>
      <c r="AG306" s="497">
        <v>0</v>
      </c>
      <c r="AH306" s="497"/>
      <c r="AI306" s="497"/>
      <c r="AJ306" s="497">
        <v>0</v>
      </c>
      <c r="AK306" s="497"/>
      <c r="AL306" s="497"/>
      <c r="AM306" s="497">
        <v>0</v>
      </c>
      <c r="AN306" s="41">
        <v>7649.15</v>
      </c>
      <c r="AO306" s="41">
        <f t="shared" si="182"/>
        <v>7649.15</v>
      </c>
      <c r="AP306" s="497">
        <v>0</v>
      </c>
      <c r="AQ306" s="41">
        <f>IFERROR(VLOOKUP(G306,'10'!A:B,2,0),0)</f>
        <v>18418.189999999999</v>
      </c>
      <c r="AR306" s="41">
        <f t="shared" si="172"/>
        <v>18418.189999999999</v>
      </c>
      <c r="AS306" s="41">
        <f t="shared" si="177"/>
        <v>0</v>
      </c>
      <c r="AT306" s="41">
        <f>AN306+AK306+AH306+AE306+AB306+-Y306+V306+S306+P306+AQ306</f>
        <v>26067.339999999997</v>
      </c>
      <c r="AU306" s="41">
        <f t="shared" si="175"/>
        <v>26067.339999999997</v>
      </c>
      <c r="AV306" s="459">
        <v>0</v>
      </c>
      <c r="AW306" s="497">
        <v>0</v>
      </c>
      <c r="AX306" s="497">
        <v>0</v>
      </c>
      <c r="AY306" s="41">
        <f t="shared" si="179"/>
        <v>0</v>
      </c>
      <c r="AZ306" s="41"/>
      <c r="BA306" s="152"/>
      <c r="BB306" s="497">
        <v>95176.200000000012</v>
      </c>
      <c r="BC306" s="497">
        <v>43689.15</v>
      </c>
      <c r="BD306" s="497">
        <v>0</v>
      </c>
      <c r="BE306" s="497">
        <v>0</v>
      </c>
      <c r="BF306" s="497">
        <v>0</v>
      </c>
      <c r="BG306" s="497">
        <v>0</v>
      </c>
      <c r="BH306" s="497">
        <v>0</v>
      </c>
      <c r="BI306" s="497">
        <v>138865.35</v>
      </c>
      <c r="BJ306" s="145"/>
      <c r="BK306" s="145"/>
    </row>
    <row r="307" spans="1:64" ht="47.25" x14ac:dyDescent="0.25">
      <c r="A307" s="470" t="s">
        <v>406</v>
      </c>
      <c r="B307" s="470" t="s">
        <v>411</v>
      </c>
      <c r="C307" s="471" t="s">
        <v>606</v>
      </c>
      <c r="D307" s="470">
        <v>1</v>
      </c>
      <c r="E307" s="470" t="s">
        <v>402</v>
      </c>
      <c r="F307" s="470" t="s">
        <v>77</v>
      </c>
      <c r="G307" s="43" t="s">
        <v>792</v>
      </c>
      <c r="H307" s="45">
        <v>296</v>
      </c>
      <c r="I307" s="45" t="s">
        <v>406</v>
      </c>
      <c r="J307" s="475" t="s">
        <v>827</v>
      </c>
      <c r="K307" s="475" t="s">
        <v>828</v>
      </c>
      <c r="L307" s="41">
        <v>0</v>
      </c>
      <c r="M307" s="41">
        <v>0</v>
      </c>
      <c r="N307" s="41">
        <v>0</v>
      </c>
      <c r="O307" s="40">
        <v>0</v>
      </c>
      <c r="P307" s="40">
        <v>0</v>
      </c>
      <c r="Q307" s="41">
        <f>P307-O307</f>
        <v>0</v>
      </c>
      <c r="R307" s="40">
        <v>0</v>
      </c>
      <c r="S307" s="40">
        <v>0</v>
      </c>
      <c r="T307" s="41">
        <f>S307-R307</f>
        <v>0</v>
      </c>
      <c r="U307" s="40">
        <v>0</v>
      </c>
      <c r="V307" s="40">
        <v>0</v>
      </c>
      <c r="W307" s="41">
        <f>V307-U307</f>
        <v>0</v>
      </c>
      <c r="X307" s="40">
        <v>0</v>
      </c>
      <c r="Y307" s="40">
        <v>0</v>
      </c>
      <c r="Z307" s="41">
        <f>Y307-X307</f>
        <v>0</v>
      </c>
      <c r="AA307" s="40">
        <v>0</v>
      </c>
      <c r="AB307" s="40">
        <v>0</v>
      </c>
      <c r="AC307" s="41">
        <f>AB307-AA307</f>
        <v>0</v>
      </c>
      <c r="AD307" s="41">
        <v>0</v>
      </c>
      <c r="AE307" s="41">
        <v>3470.05</v>
      </c>
      <c r="AF307" s="41">
        <f>AE307-AD307</f>
        <v>3470.05</v>
      </c>
      <c r="AG307" s="41">
        <v>0</v>
      </c>
      <c r="AH307" s="41">
        <v>9331.9599999999991</v>
      </c>
      <c r="AI307" s="41">
        <f>AH307-AG307</f>
        <v>9331.9599999999991</v>
      </c>
      <c r="AJ307" s="41">
        <v>0</v>
      </c>
      <c r="AK307" s="41">
        <v>0</v>
      </c>
      <c r="AL307" s="41">
        <f t="shared" ref="AL307:AL315" si="183">AK307-AJ307</f>
        <v>0</v>
      </c>
      <c r="AM307" s="41">
        <v>0</v>
      </c>
      <c r="AN307" s="41">
        <v>11630.13</v>
      </c>
      <c r="AO307" s="41">
        <f t="shared" si="182"/>
        <v>11630.13</v>
      </c>
      <c r="AP307" s="41">
        <v>0</v>
      </c>
      <c r="AQ307" s="41">
        <f>IFERROR(VLOOKUP(G307,'10'!A:B,2,0),0)</f>
        <v>2554.91</v>
      </c>
      <c r="AR307" s="41">
        <f t="shared" si="172"/>
        <v>2554.91</v>
      </c>
      <c r="AS307" s="41">
        <f t="shared" si="177"/>
        <v>0</v>
      </c>
      <c r="AT307" s="41">
        <f>AN307+AK307+AH307+AE307+AB307+Y307+V307+S307+P307+AQ307</f>
        <v>26987.049999999996</v>
      </c>
      <c r="AU307" s="41">
        <f t="shared" si="175"/>
        <v>26987.049999999996</v>
      </c>
      <c r="AV307" s="459">
        <v>0</v>
      </c>
      <c r="AW307" s="41">
        <v>0</v>
      </c>
      <c r="AX307" s="41">
        <v>0</v>
      </c>
      <c r="AY307" s="41">
        <f t="shared" si="179"/>
        <v>0</v>
      </c>
      <c r="AZ307" s="41"/>
      <c r="BA307" s="36">
        <f t="shared" ref="BA307:BA315" si="184">AZ307-AY307</f>
        <v>0</v>
      </c>
      <c r="BB307" s="41">
        <v>29548.66</v>
      </c>
      <c r="BC307" s="41">
        <v>11785.99</v>
      </c>
      <c r="BD307" s="41">
        <v>0</v>
      </c>
      <c r="BE307" s="41">
        <v>0</v>
      </c>
      <c r="BF307" s="41">
        <v>0</v>
      </c>
      <c r="BG307" s="41">
        <v>0</v>
      </c>
      <c r="BH307" s="41">
        <v>0</v>
      </c>
      <c r="BI307" s="41">
        <v>41334.65</v>
      </c>
      <c r="BJ307" s="75"/>
      <c r="BK307" s="24"/>
      <c r="BL307" s="29"/>
    </row>
    <row r="308" spans="1:64" ht="47.25" x14ac:dyDescent="0.25">
      <c r="A308" s="470" t="s">
        <v>406</v>
      </c>
      <c r="B308" s="470" t="s">
        <v>411</v>
      </c>
      <c r="C308" s="471" t="s">
        <v>606</v>
      </c>
      <c r="D308" s="470">
        <v>1</v>
      </c>
      <c r="E308" s="470" t="s">
        <v>402</v>
      </c>
      <c r="F308" s="470" t="s">
        <v>77</v>
      </c>
      <c r="G308" s="43" t="s">
        <v>787</v>
      </c>
      <c r="H308" s="45">
        <v>297</v>
      </c>
      <c r="I308" s="45" t="s">
        <v>406</v>
      </c>
      <c r="J308" s="475" t="s">
        <v>820</v>
      </c>
      <c r="K308" s="475" t="s">
        <v>821</v>
      </c>
      <c r="L308" s="41">
        <v>0</v>
      </c>
      <c r="M308" s="41">
        <v>0</v>
      </c>
      <c r="N308" s="41">
        <v>0</v>
      </c>
      <c r="O308" s="40">
        <v>0</v>
      </c>
      <c r="P308" s="40">
        <v>0</v>
      </c>
      <c r="Q308" s="41">
        <f>P308-O308</f>
        <v>0</v>
      </c>
      <c r="R308" s="40">
        <v>0</v>
      </c>
      <c r="S308" s="40">
        <v>0</v>
      </c>
      <c r="T308" s="41">
        <f>S308-R308</f>
        <v>0</v>
      </c>
      <c r="U308" s="40">
        <v>0</v>
      </c>
      <c r="V308" s="40">
        <v>0</v>
      </c>
      <c r="W308" s="41">
        <f>V308-U308</f>
        <v>0</v>
      </c>
      <c r="X308" s="40">
        <v>0</v>
      </c>
      <c r="Y308" s="40">
        <v>0</v>
      </c>
      <c r="Z308" s="41">
        <f>Y308-X308</f>
        <v>0</v>
      </c>
      <c r="AA308" s="40">
        <v>0</v>
      </c>
      <c r="AB308" s="40">
        <v>5831</v>
      </c>
      <c r="AC308" s="41">
        <f>AB308-AA308</f>
        <v>5831</v>
      </c>
      <c r="AD308" s="41">
        <v>0</v>
      </c>
      <c r="AE308" s="41">
        <v>0</v>
      </c>
      <c r="AF308" s="41">
        <f>AE308-AD308</f>
        <v>0</v>
      </c>
      <c r="AG308" s="41">
        <v>0</v>
      </c>
      <c r="AH308" s="41">
        <v>12043.9</v>
      </c>
      <c r="AI308" s="41">
        <f>AH308-AG308</f>
        <v>12043.9</v>
      </c>
      <c r="AJ308" s="41">
        <v>0</v>
      </c>
      <c r="AK308" s="41">
        <v>0</v>
      </c>
      <c r="AL308" s="41">
        <f t="shared" si="183"/>
        <v>0</v>
      </c>
      <c r="AM308" s="41">
        <v>0</v>
      </c>
      <c r="AN308" s="41">
        <v>11242.98</v>
      </c>
      <c r="AO308" s="41">
        <f t="shared" si="182"/>
        <v>11242.98</v>
      </c>
      <c r="AP308" s="41">
        <v>0</v>
      </c>
      <c r="AQ308" s="41">
        <f>IFERROR(VLOOKUP(G308,'10'!A:B,2,0),0)</f>
        <v>0</v>
      </c>
      <c r="AR308" s="41">
        <f t="shared" si="172"/>
        <v>0</v>
      </c>
      <c r="AS308" s="41">
        <f t="shared" si="177"/>
        <v>0</v>
      </c>
      <c r="AT308" s="41">
        <f>AN308+AK308+AH308+AE308+AB308+Y308+V308+S308+P308+AQ308</f>
        <v>29117.879999999997</v>
      </c>
      <c r="AU308" s="41">
        <f t="shared" si="175"/>
        <v>29117.879999999997</v>
      </c>
      <c r="AV308" s="459">
        <v>0</v>
      </c>
      <c r="AW308" s="41">
        <v>0</v>
      </c>
      <c r="AX308" s="41">
        <v>0</v>
      </c>
      <c r="AY308" s="41">
        <f t="shared" si="179"/>
        <v>0</v>
      </c>
      <c r="AZ308" s="41"/>
      <c r="BA308" s="36">
        <f t="shared" si="184"/>
        <v>0</v>
      </c>
      <c r="BB308" s="41">
        <v>61415.7</v>
      </c>
      <c r="BC308" s="41">
        <v>30708.3</v>
      </c>
      <c r="BD308" s="41">
        <v>0</v>
      </c>
      <c r="BE308" s="41">
        <v>0</v>
      </c>
      <c r="BF308" s="41">
        <v>0</v>
      </c>
      <c r="BG308" s="41">
        <v>0</v>
      </c>
      <c r="BH308" s="41">
        <v>0</v>
      </c>
      <c r="BI308" s="41">
        <v>92124</v>
      </c>
      <c r="BJ308" s="75"/>
      <c r="BK308" s="24"/>
    </row>
    <row r="309" spans="1:64" ht="47.25" x14ac:dyDescent="0.25">
      <c r="A309" s="470" t="s">
        <v>406</v>
      </c>
      <c r="B309" s="470" t="s">
        <v>411</v>
      </c>
      <c r="C309" s="471" t="s">
        <v>606</v>
      </c>
      <c r="D309" s="470">
        <v>1</v>
      </c>
      <c r="E309" s="470" t="s">
        <v>402</v>
      </c>
      <c r="F309" s="470" t="s">
        <v>77</v>
      </c>
      <c r="G309" s="470" t="s">
        <v>932</v>
      </c>
      <c r="H309" s="45">
        <v>298</v>
      </c>
      <c r="I309" s="45" t="s">
        <v>406</v>
      </c>
      <c r="J309" s="471" t="s">
        <v>898</v>
      </c>
      <c r="K309" s="471" t="s">
        <v>933</v>
      </c>
      <c r="L309" s="43">
        <v>0</v>
      </c>
      <c r="M309" s="43">
        <v>0</v>
      </c>
      <c r="N309" s="43">
        <v>0</v>
      </c>
      <c r="O309" s="43">
        <v>0</v>
      </c>
      <c r="P309" s="43"/>
      <c r="Q309" s="43"/>
      <c r="R309" s="43">
        <v>0</v>
      </c>
      <c r="S309" s="43"/>
      <c r="T309" s="43"/>
      <c r="U309" s="43">
        <v>0</v>
      </c>
      <c r="V309" s="43"/>
      <c r="W309" s="43"/>
      <c r="X309" s="43">
        <v>0</v>
      </c>
      <c r="Y309" s="43"/>
      <c r="Z309" s="43"/>
      <c r="AA309" s="43">
        <v>0</v>
      </c>
      <c r="AB309" s="43"/>
      <c r="AC309" s="43"/>
      <c r="AD309" s="43">
        <v>0</v>
      </c>
      <c r="AE309" s="43"/>
      <c r="AF309" s="43"/>
      <c r="AG309" s="43">
        <v>0</v>
      </c>
      <c r="AH309" s="41">
        <v>7653.65</v>
      </c>
      <c r="AI309" s="41">
        <f>AH309-AG309</f>
        <v>7653.65</v>
      </c>
      <c r="AJ309" s="41">
        <v>0</v>
      </c>
      <c r="AK309" s="41">
        <v>21590.53</v>
      </c>
      <c r="AL309" s="41">
        <f t="shared" si="183"/>
        <v>21590.53</v>
      </c>
      <c r="AM309" s="41">
        <v>0</v>
      </c>
      <c r="AN309" s="41">
        <v>0</v>
      </c>
      <c r="AO309" s="41">
        <f t="shared" si="182"/>
        <v>0</v>
      </c>
      <c r="AP309" s="41">
        <v>0</v>
      </c>
      <c r="AQ309" s="41">
        <f>IFERROR(VLOOKUP(G309,'10'!A:B,2,0),0)</f>
        <v>0</v>
      </c>
      <c r="AR309" s="41">
        <f t="shared" si="172"/>
        <v>0</v>
      </c>
      <c r="AS309" s="41">
        <f t="shared" si="177"/>
        <v>0</v>
      </c>
      <c r="AT309" s="41">
        <f>AN309+AK309+AH309+AE309+AB309+Y309+V309+S309+P309+AQ309</f>
        <v>29244.18</v>
      </c>
      <c r="AU309" s="41">
        <f t="shared" si="175"/>
        <v>29244.18</v>
      </c>
      <c r="AV309" s="459">
        <v>0</v>
      </c>
      <c r="AW309" s="41">
        <v>0</v>
      </c>
      <c r="AX309" s="41">
        <v>0</v>
      </c>
      <c r="AY309" s="41">
        <f t="shared" si="179"/>
        <v>0</v>
      </c>
      <c r="AZ309" s="41"/>
      <c r="BA309" s="36">
        <f t="shared" si="184"/>
        <v>0</v>
      </c>
      <c r="BB309" s="41">
        <v>165668.96</v>
      </c>
      <c r="BC309" s="41">
        <v>82834.490000000005</v>
      </c>
      <c r="BD309" s="41">
        <v>0</v>
      </c>
      <c r="BE309" s="41">
        <v>0</v>
      </c>
      <c r="BF309" s="41">
        <v>0</v>
      </c>
      <c r="BG309" s="41">
        <v>0</v>
      </c>
      <c r="BH309" s="41">
        <v>0</v>
      </c>
      <c r="BI309" s="41">
        <v>248503.45</v>
      </c>
      <c r="BJ309" s="78"/>
      <c r="BK309" s="24"/>
    </row>
    <row r="310" spans="1:64" ht="47.25" x14ac:dyDescent="0.25">
      <c r="A310" s="439" t="s">
        <v>406</v>
      </c>
      <c r="B310" s="439" t="s">
        <v>411</v>
      </c>
      <c r="C310" s="440" t="s">
        <v>606</v>
      </c>
      <c r="D310" s="439">
        <v>1</v>
      </c>
      <c r="E310" s="439" t="s">
        <v>402</v>
      </c>
      <c r="F310" s="439" t="s">
        <v>77</v>
      </c>
      <c r="G310" s="439" t="s">
        <v>2384</v>
      </c>
      <c r="H310" s="45">
        <v>299</v>
      </c>
      <c r="I310" s="45" t="s">
        <v>406</v>
      </c>
      <c r="J310" s="440" t="s">
        <v>2385</v>
      </c>
      <c r="K310" s="440" t="s">
        <v>2386</v>
      </c>
      <c r="L310" s="441">
        <v>0</v>
      </c>
      <c r="M310" s="441">
        <v>0</v>
      </c>
      <c r="N310" s="441">
        <v>0</v>
      </c>
      <c r="O310" s="441">
        <f>N310+M310+L310</f>
        <v>0</v>
      </c>
      <c r="P310" s="441"/>
      <c r="Q310" s="441"/>
      <c r="R310" s="441">
        <v>0</v>
      </c>
      <c r="S310" s="441"/>
      <c r="T310" s="441"/>
      <c r="U310" s="441">
        <v>0</v>
      </c>
      <c r="V310" s="441"/>
      <c r="W310" s="441"/>
      <c r="X310" s="441">
        <v>0</v>
      </c>
      <c r="Y310" s="441"/>
      <c r="Z310" s="441"/>
      <c r="AA310" s="441">
        <v>0</v>
      </c>
      <c r="AB310" s="441"/>
      <c r="AC310" s="441"/>
      <c r="AD310" s="441">
        <v>0</v>
      </c>
      <c r="AE310" s="441"/>
      <c r="AF310" s="441"/>
      <c r="AG310" s="441">
        <v>0</v>
      </c>
      <c r="AH310" s="441"/>
      <c r="AI310" s="441"/>
      <c r="AJ310" s="441">
        <v>0</v>
      </c>
      <c r="AK310" s="41">
        <v>8058</v>
      </c>
      <c r="AL310" s="41">
        <f t="shared" si="183"/>
        <v>8058</v>
      </c>
      <c r="AM310" s="441">
        <v>0</v>
      </c>
      <c r="AN310" s="41">
        <v>0</v>
      </c>
      <c r="AO310" s="41">
        <f t="shared" si="182"/>
        <v>0</v>
      </c>
      <c r="AP310" s="441">
        <v>0</v>
      </c>
      <c r="AQ310" s="41">
        <f>IFERROR(VLOOKUP(G310,'10'!A:B,2,0),0)</f>
        <v>22676.73</v>
      </c>
      <c r="AR310" s="41">
        <f t="shared" si="172"/>
        <v>22676.73</v>
      </c>
      <c r="AS310" s="41">
        <f t="shared" si="177"/>
        <v>0</v>
      </c>
      <c r="AT310" s="41">
        <f>AN310+AK310+AH310+AE310+AB310+-Y310+V310+S310+P310+AQ310</f>
        <v>30734.73</v>
      </c>
      <c r="AU310" s="41">
        <f t="shared" si="175"/>
        <v>30734.73</v>
      </c>
      <c r="AV310" s="459">
        <v>0</v>
      </c>
      <c r="AW310" s="441">
        <v>0</v>
      </c>
      <c r="AX310" s="441">
        <v>0</v>
      </c>
      <c r="AY310" s="41">
        <f t="shared" si="179"/>
        <v>0</v>
      </c>
      <c r="AZ310" s="41"/>
      <c r="BA310" s="40">
        <f t="shared" si="184"/>
        <v>0</v>
      </c>
      <c r="BB310" s="441">
        <v>168227.75</v>
      </c>
      <c r="BC310" s="441">
        <v>81090</v>
      </c>
      <c r="BD310" s="441">
        <v>0</v>
      </c>
      <c r="BE310" s="441">
        <v>0</v>
      </c>
      <c r="BF310" s="441">
        <v>0</v>
      </c>
      <c r="BG310" s="441">
        <v>0</v>
      </c>
      <c r="BH310" s="441">
        <v>0</v>
      </c>
      <c r="BI310" s="441">
        <v>249317.75</v>
      </c>
      <c r="BJ310" s="144"/>
      <c r="BK310" s="24"/>
    </row>
    <row r="311" spans="1:64" ht="31.5" x14ac:dyDescent="0.25">
      <c r="A311" s="439" t="s">
        <v>74</v>
      </c>
      <c r="B311" s="439" t="s">
        <v>852</v>
      </c>
      <c r="C311" s="440" t="s">
        <v>853</v>
      </c>
      <c r="D311" s="439">
        <v>1</v>
      </c>
      <c r="E311" s="439" t="s">
        <v>76</v>
      </c>
      <c r="F311" s="439" t="s">
        <v>77</v>
      </c>
      <c r="G311" s="439" t="s">
        <v>1345</v>
      </c>
      <c r="H311" s="45">
        <v>300</v>
      </c>
      <c r="I311" s="45" t="s">
        <v>74</v>
      </c>
      <c r="J311" s="440" t="s">
        <v>320</v>
      </c>
      <c r="K311" s="440" t="s">
        <v>1346</v>
      </c>
      <c r="L311" s="441">
        <v>0</v>
      </c>
      <c r="M311" s="441">
        <v>0</v>
      </c>
      <c r="N311" s="441">
        <v>0</v>
      </c>
      <c r="O311" s="441">
        <f>N311+M311+L311</f>
        <v>0</v>
      </c>
      <c r="P311" s="441"/>
      <c r="Q311" s="441"/>
      <c r="R311" s="441">
        <v>0</v>
      </c>
      <c r="S311" s="441"/>
      <c r="T311" s="441"/>
      <c r="U311" s="441">
        <v>0</v>
      </c>
      <c r="V311" s="441"/>
      <c r="W311" s="441"/>
      <c r="X311" s="441">
        <v>0</v>
      </c>
      <c r="Y311" s="441"/>
      <c r="Z311" s="441"/>
      <c r="AA311" s="441">
        <v>0</v>
      </c>
      <c r="AB311" s="441"/>
      <c r="AC311" s="441"/>
      <c r="AD311" s="441">
        <v>0</v>
      </c>
      <c r="AE311" s="441"/>
      <c r="AF311" s="441"/>
      <c r="AG311" s="441">
        <v>0</v>
      </c>
      <c r="AH311" s="441"/>
      <c r="AI311" s="441"/>
      <c r="AJ311" s="441">
        <v>0</v>
      </c>
      <c r="AK311" s="41">
        <v>34404.74</v>
      </c>
      <c r="AL311" s="41">
        <f t="shared" si="183"/>
        <v>34404.74</v>
      </c>
      <c r="AM311" s="441">
        <v>0</v>
      </c>
      <c r="AN311" s="41">
        <v>0</v>
      </c>
      <c r="AO311" s="41">
        <f t="shared" si="182"/>
        <v>0</v>
      </c>
      <c r="AP311" s="441">
        <v>0</v>
      </c>
      <c r="AQ311" s="41">
        <f>IFERROR(VLOOKUP(G311,'10'!A:B,2,0),0)</f>
        <v>0</v>
      </c>
      <c r="AR311" s="41">
        <f t="shared" si="172"/>
        <v>0</v>
      </c>
      <c r="AS311" s="41">
        <f t="shared" si="177"/>
        <v>0</v>
      </c>
      <c r="AT311" s="41">
        <f>AN311+AK311+AH311+AE311+AB311+-Y311+V311+S311+P311+AQ311</f>
        <v>34404.74</v>
      </c>
      <c r="AU311" s="41">
        <f t="shared" si="175"/>
        <v>34404.74</v>
      </c>
      <c r="AV311" s="459">
        <v>0</v>
      </c>
      <c r="AW311" s="441">
        <v>0</v>
      </c>
      <c r="AX311" s="441">
        <v>0</v>
      </c>
      <c r="AY311" s="41">
        <f t="shared" si="179"/>
        <v>0</v>
      </c>
      <c r="AZ311" s="41"/>
      <c r="BA311" s="40">
        <f t="shared" si="184"/>
        <v>0</v>
      </c>
      <c r="BB311" s="441">
        <v>280903.09999999998</v>
      </c>
      <c r="BC311" s="441">
        <v>126151.32</v>
      </c>
      <c r="BD311" s="441">
        <v>126151.32</v>
      </c>
      <c r="BE311" s="441">
        <v>64651.26</v>
      </c>
      <c r="BF311" s="441">
        <v>0</v>
      </c>
      <c r="BG311" s="441">
        <v>0</v>
      </c>
      <c r="BH311" s="441">
        <v>0</v>
      </c>
      <c r="BI311" s="441">
        <v>597857</v>
      </c>
      <c r="BJ311" s="144"/>
      <c r="BK311" s="27"/>
    </row>
    <row r="312" spans="1:64" ht="47.25" x14ac:dyDescent="0.25">
      <c r="A312" s="439" t="s">
        <v>406</v>
      </c>
      <c r="B312" s="439" t="s">
        <v>411</v>
      </c>
      <c r="C312" s="440" t="s">
        <v>606</v>
      </c>
      <c r="D312" s="439">
        <v>1</v>
      </c>
      <c r="E312" s="439" t="s">
        <v>402</v>
      </c>
      <c r="F312" s="439" t="s">
        <v>77</v>
      </c>
      <c r="G312" s="534" t="s">
        <v>2369</v>
      </c>
      <c r="H312" s="45">
        <v>301</v>
      </c>
      <c r="I312" s="45" t="s">
        <v>406</v>
      </c>
      <c r="J312" s="440" t="s">
        <v>1337</v>
      </c>
      <c r="K312" s="440" t="s">
        <v>2370</v>
      </c>
      <c r="L312" s="441">
        <v>0</v>
      </c>
      <c r="M312" s="441">
        <v>0</v>
      </c>
      <c r="N312" s="441">
        <v>0</v>
      </c>
      <c r="O312" s="441">
        <f>N312+M312+L312</f>
        <v>0</v>
      </c>
      <c r="P312" s="441"/>
      <c r="Q312" s="441"/>
      <c r="R312" s="441">
        <v>0</v>
      </c>
      <c r="S312" s="441"/>
      <c r="T312" s="441"/>
      <c r="U312" s="441">
        <v>0</v>
      </c>
      <c r="V312" s="441"/>
      <c r="W312" s="441"/>
      <c r="X312" s="441">
        <v>0</v>
      </c>
      <c r="Y312" s="441"/>
      <c r="Z312" s="441"/>
      <c r="AA312" s="441">
        <v>0</v>
      </c>
      <c r="AB312" s="441"/>
      <c r="AC312" s="441"/>
      <c r="AD312" s="441">
        <v>0</v>
      </c>
      <c r="AE312" s="441"/>
      <c r="AF312" s="441"/>
      <c r="AG312" s="441">
        <v>0</v>
      </c>
      <c r="AH312" s="441"/>
      <c r="AI312" s="441"/>
      <c r="AJ312" s="441">
        <v>0</v>
      </c>
      <c r="AK312" s="41">
        <v>17274.07</v>
      </c>
      <c r="AL312" s="41">
        <f t="shared" si="183"/>
        <v>17274.07</v>
      </c>
      <c r="AM312" s="441">
        <v>0</v>
      </c>
      <c r="AN312" s="41">
        <v>17366.82</v>
      </c>
      <c r="AO312" s="41">
        <f t="shared" si="182"/>
        <v>17366.82</v>
      </c>
      <c r="AP312" s="441">
        <v>0</v>
      </c>
      <c r="AQ312" s="41">
        <f>IFERROR(VLOOKUP(G312,'10'!A:B,2,0),0)</f>
        <v>0</v>
      </c>
      <c r="AR312" s="41">
        <f t="shared" si="172"/>
        <v>0</v>
      </c>
      <c r="AS312" s="41">
        <f t="shared" si="177"/>
        <v>0</v>
      </c>
      <c r="AT312" s="41">
        <f>AN312+AK312+AH312+AE312+AB312+-Y312+V312+S312+P312+AQ312</f>
        <v>34640.89</v>
      </c>
      <c r="AU312" s="41">
        <f t="shared" si="175"/>
        <v>34640.89</v>
      </c>
      <c r="AV312" s="459">
        <v>0</v>
      </c>
      <c r="AW312" s="441">
        <v>0</v>
      </c>
      <c r="AX312" s="441">
        <v>0</v>
      </c>
      <c r="AY312" s="41">
        <f t="shared" si="179"/>
        <v>0</v>
      </c>
      <c r="AZ312" s="41"/>
      <c r="BA312" s="40">
        <f t="shared" si="184"/>
        <v>0</v>
      </c>
      <c r="BB312" s="441">
        <v>76416.88</v>
      </c>
      <c r="BC312" s="441">
        <v>50944.57</v>
      </c>
      <c r="BD312" s="441">
        <v>0</v>
      </c>
      <c r="BE312" s="441">
        <v>0</v>
      </c>
      <c r="BF312" s="441">
        <v>0</v>
      </c>
      <c r="BG312" s="441">
        <v>0</v>
      </c>
      <c r="BH312" s="441">
        <v>0</v>
      </c>
      <c r="BI312" s="441">
        <v>127361.45000000001</v>
      </c>
      <c r="BJ312" s="144"/>
      <c r="BK312" s="24"/>
    </row>
    <row r="313" spans="1:64" ht="63" x14ac:dyDescent="0.25">
      <c r="A313" s="470" t="s">
        <v>406</v>
      </c>
      <c r="B313" s="470" t="s">
        <v>411</v>
      </c>
      <c r="C313" s="471" t="s">
        <v>606</v>
      </c>
      <c r="D313" s="470">
        <v>1</v>
      </c>
      <c r="E313" s="470" t="s">
        <v>402</v>
      </c>
      <c r="F313" s="470" t="s">
        <v>77</v>
      </c>
      <c r="G313" s="532" t="s">
        <v>799</v>
      </c>
      <c r="H313" s="45">
        <v>302</v>
      </c>
      <c r="I313" s="45" t="s">
        <v>406</v>
      </c>
      <c r="J313" s="475" t="s">
        <v>662</v>
      </c>
      <c r="K313" s="475" t="s">
        <v>840</v>
      </c>
      <c r="L313" s="41">
        <v>0</v>
      </c>
      <c r="M313" s="41">
        <v>0</v>
      </c>
      <c r="N313" s="41">
        <v>0</v>
      </c>
      <c r="O313" s="40">
        <v>0</v>
      </c>
      <c r="P313" s="40">
        <v>0</v>
      </c>
      <c r="Q313" s="41">
        <f>P313-O313</f>
        <v>0</v>
      </c>
      <c r="R313" s="40">
        <v>0</v>
      </c>
      <c r="S313" s="40">
        <v>0</v>
      </c>
      <c r="T313" s="41">
        <f>S313-R313</f>
        <v>0</v>
      </c>
      <c r="U313" s="40">
        <v>0</v>
      </c>
      <c r="V313" s="40">
        <v>0</v>
      </c>
      <c r="W313" s="41">
        <f>V313-U313</f>
        <v>0</v>
      </c>
      <c r="X313" s="40">
        <v>0</v>
      </c>
      <c r="Y313" s="40">
        <v>0</v>
      </c>
      <c r="Z313" s="41">
        <f>Y313-X313</f>
        <v>0</v>
      </c>
      <c r="AA313" s="40">
        <v>0</v>
      </c>
      <c r="AB313" s="40">
        <v>0</v>
      </c>
      <c r="AC313" s="41">
        <f>AB313-AA313</f>
        <v>0</v>
      </c>
      <c r="AD313" s="41">
        <v>0</v>
      </c>
      <c r="AE313" s="41">
        <v>6001</v>
      </c>
      <c r="AF313" s="41">
        <f>AE313-AD313</f>
        <v>6001</v>
      </c>
      <c r="AG313" s="41">
        <v>0</v>
      </c>
      <c r="AH313" s="41">
        <v>19499</v>
      </c>
      <c r="AI313" s="41">
        <f>AH313-AG313</f>
        <v>19499</v>
      </c>
      <c r="AJ313" s="41">
        <v>0</v>
      </c>
      <c r="AK313" s="41">
        <v>10063.01</v>
      </c>
      <c r="AL313" s="41">
        <f t="shared" si="183"/>
        <v>10063.01</v>
      </c>
      <c r="AM313" s="41">
        <v>0</v>
      </c>
      <c r="AN313" s="41">
        <v>0</v>
      </c>
      <c r="AO313" s="41">
        <f t="shared" si="182"/>
        <v>0</v>
      </c>
      <c r="AP313" s="41">
        <v>0</v>
      </c>
      <c r="AQ313" s="41">
        <f>IFERROR(VLOOKUP(G313,'10'!A:B,2,0),0)</f>
        <v>0</v>
      </c>
      <c r="AR313" s="41">
        <f t="shared" si="172"/>
        <v>0</v>
      </c>
      <c r="AS313" s="41">
        <f t="shared" si="177"/>
        <v>0</v>
      </c>
      <c r="AT313" s="41">
        <f>AN313+AK313+AH313+AE313+AB313+Y313+V313+S313+P313+AQ313</f>
        <v>35563.01</v>
      </c>
      <c r="AU313" s="41">
        <f t="shared" si="175"/>
        <v>35563.01</v>
      </c>
      <c r="AV313" s="459">
        <v>0</v>
      </c>
      <c r="AW313" s="41">
        <v>0</v>
      </c>
      <c r="AX313" s="41">
        <v>0</v>
      </c>
      <c r="AY313" s="41">
        <f t="shared" si="179"/>
        <v>0</v>
      </c>
      <c r="AZ313" s="41"/>
      <c r="BA313" s="36">
        <f t="shared" si="184"/>
        <v>0</v>
      </c>
      <c r="BB313" s="41">
        <v>111855.38</v>
      </c>
      <c r="BC313" s="41">
        <v>52107.92</v>
      </c>
      <c r="BD313" s="41">
        <v>0</v>
      </c>
      <c r="BE313" s="41">
        <v>0</v>
      </c>
      <c r="BF313" s="41">
        <v>0</v>
      </c>
      <c r="BG313" s="41">
        <v>0</v>
      </c>
      <c r="BH313" s="41">
        <v>0</v>
      </c>
      <c r="BI313" s="41">
        <v>163963.29999999999</v>
      </c>
      <c r="BJ313" s="75"/>
      <c r="BK313" s="27"/>
    </row>
    <row r="314" spans="1:64" ht="78.75" x14ac:dyDescent="0.25">
      <c r="A314" s="470" t="s">
        <v>106</v>
      </c>
      <c r="B314" s="470" t="s">
        <v>107</v>
      </c>
      <c r="C314" s="471" t="s">
        <v>108</v>
      </c>
      <c r="D314" s="470">
        <v>1</v>
      </c>
      <c r="E314" s="470" t="s">
        <v>109</v>
      </c>
      <c r="F314" s="470" t="s">
        <v>5</v>
      </c>
      <c r="G314" s="470" t="s">
        <v>916</v>
      </c>
      <c r="H314" s="45">
        <v>303</v>
      </c>
      <c r="I314" s="45" t="s">
        <v>106</v>
      </c>
      <c r="J314" s="471" t="s">
        <v>111</v>
      </c>
      <c r="K314" s="471" t="s">
        <v>917</v>
      </c>
      <c r="L314" s="43">
        <v>0</v>
      </c>
      <c r="M314" s="43">
        <v>0</v>
      </c>
      <c r="N314" s="43">
        <v>0</v>
      </c>
      <c r="O314" s="43">
        <v>0</v>
      </c>
      <c r="P314" s="43"/>
      <c r="Q314" s="43"/>
      <c r="R314" s="43">
        <v>0</v>
      </c>
      <c r="S314" s="43"/>
      <c r="T314" s="43"/>
      <c r="U314" s="43">
        <v>0</v>
      </c>
      <c r="V314" s="43"/>
      <c r="W314" s="43"/>
      <c r="X314" s="43">
        <v>0</v>
      </c>
      <c r="Y314" s="43"/>
      <c r="Z314" s="43"/>
      <c r="AA314" s="43">
        <v>0</v>
      </c>
      <c r="AB314" s="43"/>
      <c r="AC314" s="43"/>
      <c r="AD314" s="43">
        <v>0</v>
      </c>
      <c r="AE314" s="43"/>
      <c r="AF314" s="43"/>
      <c r="AG314" s="43">
        <v>0</v>
      </c>
      <c r="AH314" s="41">
        <v>36316.080000000002</v>
      </c>
      <c r="AI314" s="41">
        <f>AH314-AG314</f>
        <v>36316.080000000002</v>
      </c>
      <c r="AJ314" s="41">
        <v>0</v>
      </c>
      <c r="AK314" s="41">
        <v>0</v>
      </c>
      <c r="AL314" s="41">
        <f t="shared" si="183"/>
        <v>0</v>
      </c>
      <c r="AM314" s="41">
        <v>0</v>
      </c>
      <c r="AN314" s="41">
        <v>0</v>
      </c>
      <c r="AO314" s="41">
        <f t="shared" si="182"/>
        <v>0</v>
      </c>
      <c r="AP314" s="41">
        <v>0</v>
      </c>
      <c r="AQ314" s="41">
        <f>IFERROR(VLOOKUP(G314,'10'!A:B,2,0),0)</f>
        <v>0</v>
      </c>
      <c r="AR314" s="41">
        <f t="shared" si="172"/>
        <v>0</v>
      </c>
      <c r="AS314" s="41">
        <f t="shared" si="177"/>
        <v>0</v>
      </c>
      <c r="AT314" s="41">
        <f>AN314+AK314+AH314+AE314+AB314+-Y314+V314+S314+P314+AQ314</f>
        <v>36316.080000000002</v>
      </c>
      <c r="AU314" s="41">
        <f t="shared" si="175"/>
        <v>36316.080000000002</v>
      </c>
      <c r="AV314" s="459">
        <v>0</v>
      </c>
      <c r="AW314" s="41">
        <v>0</v>
      </c>
      <c r="AX314" s="41">
        <v>0</v>
      </c>
      <c r="AY314" s="41">
        <f t="shared" si="179"/>
        <v>0</v>
      </c>
      <c r="AZ314" s="41"/>
      <c r="BA314" s="36">
        <f t="shared" si="184"/>
        <v>0</v>
      </c>
      <c r="BB314" s="41">
        <v>975380.8</v>
      </c>
      <c r="BC314" s="41">
        <v>0</v>
      </c>
      <c r="BD314" s="41">
        <v>0</v>
      </c>
      <c r="BE314" s="41">
        <v>0</v>
      </c>
      <c r="BF314" s="41">
        <v>0</v>
      </c>
      <c r="BG314" s="41">
        <v>0</v>
      </c>
      <c r="BH314" s="41">
        <v>0</v>
      </c>
      <c r="BI314" s="41">
        <v>975380.8</v>
      </c>
      <c r="BJ314" s="78"/>
      <c r="BK314" s="27"/>
    </row>
    <row r="315" spans="1:64" ht="47.25" x14ac:dyDescent="0.25">
      <c r="A315" s="470" t="s">
        <v>406</v>
      </c>
      <c r="B315" s="470" t="s">
        <v>411</v>
      </c>
      <c r="C315" s="471" t="s">
        <v>606</v>
      </c>
      <c r="D315" s="470">
        <v>1</v>
      </c>
      <c r="E315" s="470" t="s">
        <v>402</v>
      </c>
      <c r="F315" s="470" t="s">
        <v>77</v>
      </c>
      <c r="G315" s="43" t="s">
        <v>788</v>
      </c>
      <c r="H315" s="45">
        <v>304</v>
      </c>
      <c r="I315" s="45" t="s">
        <v>406</v>
      </c>
      <c r="J315" s="475" t="s">
        <v>822</v>
      </c>
      <c r="K315" s="475" t="s">
        <v>823</v>
      </c>
      <c r="L315" s="41">
        <v>0</v>
      </c>
      <c r="M315" s="41">
        <v>0</v>
      </c>
      <c r="N315" s="41">
        <v>0</v>
      </c>
      <c r="O315" s="40">
        <v>0</v>
      </c>
      <c r="P315" s="40">
        <v>0</v>
      </c>
      <c r="Q315" s="41">
        <f>P315-O315</f>
        <v>0</v>
      </c>
      <c r="R315" s="40">
        <v>0</v>
      </c>
      <c r="S315" s="40">
        <v>0</v>
      </c>
      <c r="T315" s="41">
        <f>S315-R315</f>
        <v>0</v>
      </c>
      <c r="U315" s="40">
        <v>0</v>
      </c>
      <c r="V315" s="40">
        <v>0</v>
      </c>
      <c r="W315" s="41">
        <f>V315-U315</f>
        <v>0</v>
      </c>
      <c r="X315" s="40">
        <v>0</v>
      </c>
      <c r="Y315" s="40">
        <v>0</v>
      </c>
      <c r="Z315" s="41">
        <f>Y315-X315</f>
        <v>0</v>
      </c>
      <c r="AA315" s="40">
        <v>0</v>
      </c>
      <c r="AB315" s="40">
        <v>0</v>
      </c>
      <c r="AC315" s="41">
        <f>AB315-AA315</f>
        <v>0</v>
      </c>
      <c r="AD315" s="41">
        <v>0</v>
      </c>
      <c r="AE315" s="41">
        <v>5552.2</v>
      </c>
      <c r="AF315" s="41">
        <f>AE315-AD315</f>
        <v>5552.2</v>
      </c>
      <c r="AG315" s="41">
        <v>0</v>
      </c>
      <c r="AH315" s="41">
        <v>4073.2</v>
      </c>
      <c r="AI315" s="41">
        <f>AH315-AG315</f>
        <v>4073.2</v>
      </c>
      <c r="AJ315" s="41">
        <v>0</v>
      </c>
      <c r="AK315" s="41">
        <v>15526.670000000002</v>
      </c>
      <c r="AL315" s="41">
        <f t="shared" si="183"/>
        <v>15526.670000000002</v>
      </c>
      <c r="AM315" s="41">
        <v>0</v>
      </c>
      <c r="AN315" s="41">
        <v>0</v>
      </c>
      <c r="AO315" s="41">
        <f t="shared" si="182"/>
        <v>0</v>
      </c>
      <c r="AP315" s="41">
        <v>0</v>
      </c>
      <c r="AQ315" s="41">
        <f>IFERROR(VLOOKUP(G315,'10'!A:B,2,0),0)</f>
        <v>11590.43</v>
      </c>
      <c r="AR315" s="41">
        <f t="shared" si="172"/>
        <v>11590.43</v>
      </c>
      <c r="AS315" s="41">
        <f t="shared" si="177"/>
        <v>0</v>
      </c>
      <c r="AT315" s="41">
        <f>AN315+AK315+AH315+AE315+AB315+-Y315+V315+S315+P315+AQ315</f>
        <v>36742.5</v>
      </c>
      <c r="AU315" s="41">
        <f t="shared" si="175"/>
        <v>36742.5</v>
      </c>
      <c r="AV315" s="459">
        <v>0</v>
      </c>
      <c r="AW315" s="41">
        <v>0</v>
      </c>
      <c r="AX315" s="41">
        <v>0</v>
      </c>
      <c r="AY315" s="41">
        <f t="shared" si="179"/>
        <v>0</v>
      </c>
      <c r="AZ315" s="41"/>
      <c r="BA315" s="36">
        <f t="shared" si="184"/>
        <v>0</v>
      </c>
      <c r="BB315" s="41">
        <v>215982.82</v>
      </c>
      <c r="BC315" s="41">
        <v>111851.98</v>
      </c>
      <c r="BD315" s="41">
        <v>0</v>
      </c>
      <c r="BE315" s="41">
        <v>0</v>
      </c>
      <c r="BF315" s="41">
        <v>0</v>
      </c>
      <c r="BG315" s="41">
        <v>0</v>
      </c>
      <c r="BH315" s="41">
        <v>0</v>
      </c>
      <c r="BI315" s="41">
        <v>327834.8</v>
      </c>
      <c r="BJ315" s="75"/>
      <c r="BK315" s="24"/>
      <c r="BL315" s="29"/>
    </row>
    <row r="316" spans="1:64" ht="38.25" x14ac:dyDescent="0.25">
      <c r="A316" s="18" t="s">
        <v>406</v>
      </c>
      <c r="B316" s="18" t="s">
        <v>411</v>
      </c>
      <c r="C316" s="19" t="s">
        <v>606</v>
      </c>
      <c r="D316" s="22">
        <v>1</v>
      </c>
      <c r="E316" s="18" t="s">
        <v>402</v>
      </c>
      <c r="F316" s="18" t="s">
        <v>77</v>
      </c>
      <c r="G316" s="18" t="s">
        <v>2463</v>
      </c>
      <c r="H316" s="45">
        <v>305</v>
      </c>
      <c r="I316" s="45" t="s">
        <v>406</v>
      </c>
      <c r="J316" s="19" t="s">
        <v>711</v>
      </c>
      <c r="K316" s="19" t="s">
        <v>2464</v>
      </c>
      <c r="L316" s="145">
        <v>0</v>
      </c>
      <c r="M316" s="145">
        <v>0</v>
      </c>
      <c r="N316" s="145">
        <v>0</v>
      </c>
      <c r="O316" s="145">
        <f>N316+M316+L316</f>
        <v>0</v>
      </c>
      <c r="P316" s="145"/>
      <c r="Q316" s="145"/>
      <c r="R316" s="145">
        <v>0</v>
      </c>
      <c r="S316" s="145"/>
      <c r="T316" s="145"/>
      <c r="U316" s="145">
        <v>0</v>
      </c>
      <c r="V316" s="145"/>
      <c r="W316" s="145"/>
      <c r="X316" s="145">
        <v>0</v>
      </c>
      <c r="Y316" s="145"/>
      <c r="Z316" s="145"/>
      <c r="AA316" s="145">
        <v>0</v>
      </c>
      <c r="AB316" s="145"/>
      <c r="AC316" s="145"/>
      <c r="AD316" s="145">
        <v>0</v>
      </c>
      <c r="AE316" s="145"/>
      <c r="AF316" s="145"/>
      <c r="AG316" s="145">
        <v>0</v>
      </c>
      <c r="AH316" s="145"/>
      <c r="AI316" s="145"/>
      <c r="AJ316" s="145">
        <v>0</v>
      </c>
      <c r="AK316" s="145"/>
      <c r="AL316" s="145"/>
      <c r="AM316" s="145">
        <v>0</v>
      </c>
      <c r="AN316" s="145"/>
      <c r="AO316" s="145"/>
      <c r="AP316" s="145">
        <v>0</v>
      </c>
      <c r="AQ316" s="41">
        <f>IFERROR(VLOOKUP(G316,'10'!A:B,2,0),0)</f>
        <v>38587.769999999997</v>
      </c>
      <c r="AR316" s="41">
        <f t="shared" si="172"/>
        <v>38587.769999999997</v>
      </c>
      <c r="AS316" s="41">
        <f t="shared" si="177"/>
        <v>0</v>
      </c>
      <c r="AT316" s="41">
        <f>AN316+AK316+AH316+AE316+AB316+-Y316+V316+S316+P316+AQ316</f>
        <v>38587.769999999997</v>
      </c>
      <c r="AU316" s="41">
        <f t="shared" si="175"/>
        <v>38587.769999999997</v>
      </c>
      <c r="AV316" s="459">
        <v>0</v>
      </c>
      <c r="AW316" s="145">
        <v>0</v>
      </c>
      <c r="AX316" s="145">
        <v>0</v>
      </c>
      <c r="AY316" s="41">
        <f t="shared" si="179"/>
        <v>0</v>
      </c>
      <c r="AZ316" s="41"/>
      <c r="BA316" s="145"/>
      <c r="BB316" s="145">
        <f>SUM(R316:AX316)</f>
        <v>154351.07999999999</v>
      </c>
      <c r="BC316" s="145">
        <v>166834.41999999998</v>
      </c>
      <c r="BD316" s="145">
        <v>84014.42</v>
      </c>
      <c r="BE316" s="145">
        <v>0</v>
      </c>
      <c r="BF316" s="145">
        <v>0</v>
      </c>
      <c r="BG316" s="145">
        <v>0</v>
      </c>
      <c r="BH316" s="145">
        <v>0</v>
      </c>
      <c r="BI316" s="145">
        <v>250848.6</v>
      </c>
      <c r="BJ316" s="144"/>
      <c r="BK316" s="152"/>
      <c r="BL316" s="518"/>
    </row>
    <row r="317" spans="1:64" ht="38.25" x14ac:dyDescent="0.25">
      <c r="A317" s="55" t="s">
        <v>233</v>
      </c>
      <c r="B317" s="55" t="s">
        <v>234</v>
      </c>
      <c r="C317" s="155" t="s">
        <v>583</v>
      </c>
      <c r="D317" s="55">
        <v>2</v>
      </c>
      <c r="E317" s="55" t="s">
        <v>4</v>
      </c>
      <c r="F317" s="55" t="s">
        <v>5</v>
      </c>
      <c r="G317" s="55" t="s">
        <v>2687</v>
      </c>
      <c r="H317" s="45">
        <v>306</v>
      </c>
      <c r="I317" s="45" t="s">
        <v>233</v>
      </c>
      <c r="J317" s="155" t="s">
        <v>2226</v>
      </c>
      <c r="K317" s="155"/>
      <c r="L317" s="494">
        <v>0</v>
      </c>
      <c r="M317" s="152">
        <v>0</v>
      </c>
      <c r="N317" s="152">
        <v>0</v>
      </c>
      <c r="O317" s="152">
        <v>0</v>
      </c>
      <c r="P317" s="152"/>
      <c r="Q317" s="152"/>
      <c r="R317" s="152">
        <v>0</v>
      </c>
      <c r="S317" s="152"/>
      <c r="T317" s="152"/>
      <c r="U317" s="152">
        <v>0</v>
      </c>
      <c r="V317" s="152"/>
      <c r="W317" s="152"/>
      <c r="X317" s="152">
        <v>0</v>
      </c>
      <c r="Y317" s="152"/>
      <c r="Z317" s="152"/>
      <c r="AA317" s="152">
        <v>0</v>
      </c>
      <c r="AB317" s="152"/>
      <c r="AC317" s="152"/>
      <c r="AD317" s="152">
        <v>0</v>
      </c>
      <c r="AE317" s="152"/>
      <c r="AF317" s="152"/>
      <c r="AG317" s="152">
        <v>0</v>
      </c>
      <c r="AH317" s="152"/>
      <c r="AI317" s="152"/>
      <c r="AJ317" s="152">
        <v>0</v>
      </c>
      <c r="AK317" s="152"/>
      <c r="AL317" s="152"/>
      <c r="AM317" s="152">
        <v>0</v>
      </c>
      <c r="AN317" s="41">
        <v>9182.69</v>
      </c>
      <c r="AO317" s="41">
        <f t="shared" ref="AO317:AO325" si="185">AN317-AM317</f>
        <v>9182.69</v>
      </c>
      <c r="AP317" s="152">
        <v>0</v>
      </c>
      <c r="AQ317" s="41">
        <f>IFERROR(VLOOKUP(G317,'10'!A:B,2,0),0)</f>
        <v>31118.98</v>
      </c>
      <c r="AR317" s="41">
        <f t="shared" si="172"/>
        <v>31118.98</v>
      </c>
      <c r="AS317" s="41">
        <f t="shared" si="177"/>
        <v>0</v>
      </c>
      <c r="AT317" s="41">
        <f>AN317+AK317+AH317+AE317+AB317+-Y317+V317+S317+P317+AQ317</f>
        <v>40301.67</v>
      </c>
      <c r="AU317" s="41">
        <f t="shared" si="175"/>
        <v>40301.67</v>
      </c>
      <c r="AV317" s="459">
        <v>0</v>
      </c>
      <c r="AW317" s="152">
        <v>31555.4</v>
      </c>
      <c r="AX317" s="152">
        <v>2096.9500000000003</v>
      </c>
      <c r="AY317" s="41">
        <f t="shared" si="179"/>
        <v>33652.35</v>
      </c>
      <c r="AZ317" s="41">
        <f>VLOOKUP(G317,'2017'!A:B,2,0)</f>
        <v>40301.67</v>
      </c>
      <c r="BA317" s="552">
        <f t="shared" ref="BA317:BA325" si="186">AZ317-AY317</f>
        <v>6649.32</v>
      </c>
      <c r="BB317" s="152">
        <v>760387.9</v>
      </c>
      <c r="BC317" s="152">
        <v>1016135.9</v>
      </c>
      <c r="BD317" s="152">
        <v>0</v>
      </c>
      <c r="BE317" s="152">
        <v>0</v>
      </c>
      <c r="BF317" s="152">
        <v>0</v>
      </c>
      <c r="BG317" s="152">
        <v>0</v>
      </c>
      <c r="BH317" s="152">
        <v>0</v>
      </c>
      <c r="BI317" s="152">
        <v>1810176.15</v>
      </c>
      <c r="BJ317" s="145"/>
      <c r="BK317" s="145"/>
    </row>
    <row r="318" spans="1:64" ht="47.25" x14ac:dyDescent="0.25">
      <c r="A318" s="470" t="s">
        <v>406</v>
      </c>
      <c r="B318" s="470" t="s">
        <v>411</v>
      </c>
      <c r="C318" s="471" t="s">
        <v>606</v>
      </c>
      <c r="D318" s="470">
        <v>1</v>
      </c>
      <c r="E318" s="470" t="s">
        <v>402</v>
      </c>
      <c r="F318" s="470" t="s">
        <v>77</v>
      </c>
      <c r="G318" s="43" t="s">
        <v>794</v>
      </c>
      <c r="H318" s="45">
        <v>307</v>
      </c>
      <c r="I318" s="45" t="s">
        <v>406</v>
      </c>
      <c r="J318" s="475" t="s">
        <v>831</v>
      </c>
      <c r="K318" s="475" t="s">
        <v>832</v>
      </c>
      <c r="L318" s="41">
        <v>0</v>
      </c>
      <c r="M318" s="41">
        <v>0</v>
      </c>
      <c r="N318" s="41">
        <v>0</v>
      </c>
      <c r="O318" s="40">
        <v>0</v>
      </c>
      <c r="P318" s="40">
        <v>0</v>
      </c>
      <c r="Q318" s="41">
        <f>P318-O318</f>
        <v>0</v>
      </c>
      <c r="R318" s="40">
        <v>0</v>
      </c>
      <c r="S318" s="40">
        <v>0</v>
      </c>
      <c r="T318" s="41">
        <f>S318-R318</f>
        <v>0</v>
      </c>
      <c r="U318" s="40">
        <v>0</v>
      </c>
      <c r="V318" s="40">
        <v>0</v>
      </c>
      <c r="W318" s="41">
        <f>V318-U318</f>
        <v>0</v>
      </c>
      <c r="X318" s="40">
        <v>0</v>
      </c>
      <c r="Y318" s="40">
        <v>0</v>
      </c>
      <c r="Z318" s="41">
        <f>Y318-X318</f>
        <v>0</v>
      </c>
      <c r="AA318" s="40">
        <v>0</v>
      </c>
      <c r="AB318" s="40">
        <v>0</v>
      </c>
      <c r="AC318" s="41">
        <f>AB318-AA318</f>
        <v>0</v>
      </c>
      <c r="AD318" s="41">
        <v>0</v>
      </c>
      <c r="AE318" s="41">
        <v>7276.85</v>
      </c>
      <c r="AF318" s="41">
        <f>AE318-AD318</f>
        <v>7276.85</v>
      </c>
      <c r="AG318" s="41">
        <v>0</v>
      </c>
      <c r="AH318" s="41">
        <v>8658.19</v>
      </c>
      <c r="AI318" s="41">
        <f>AH318-AG318</f>
        <v>8658.19</v>
      </c>
      <c r="AJ318" s="41">
        <v>0</v>
      </c>
      <c r="AK318" s="41">
        <v>0</v>
      </c>
      <c r="AL318" s="41">
        <f t="shared" ref="AL318:AL325" si="187">AK318-AJ318</f>
        <v>0</v>
      </c>
      <c r="AM318" s="41">
        <v>0</v>
      </c>
      <c r="AN318" s="41">
        <v>27040.33</v>
      </c>
      <c r="AO318" s="41">
        <f t="shared" si="185"/>
        <v>27040.33</v>
      </c>
      <c r="AP318" s="41">
        <v>0</v>
      </c>
      <c r="AQ318" s="41">
        <f>IFERROR(VLOOKUP(G318,'10'!A:B,2,0),0)</f>
        <v>0</v>
      </c>
      <c r="AR318" s="41">
        <f t="shared" si="172"/>
        <v>0</v>
      </c>
      <c r="AS318" s="41">
        <f t="shared" si="177"/>
        <v>0</v>
      </c>
      <c r="AT318" s="41">
        <f>AN318+AK318+AH318+AE318+AB318+Y318+V318+S318+P318+AQ318</f>
        <v>42975.37</v>
      </c>
      <c r="AU318" s="41">
        <f t="shared" si="175"/>
        <v>42975.37</v>
      </c>
      <c r="AV318" s="459">
        <v>0</v>
      </c>
      <c r="AW318" s="41">
        <v>0</v>
      </c>
      <c r="AX318" s="41">
        <v>0</v>
      </c>
      <c r="AY318" s="41">
        <f t="shared" si="179"/>
        <v>0</v>
      </c>
      <c r="AZ318" s="41"/>
      <c r="BA318" s="36">
        <f t="shared" si="186"/>
        <v>0</v>
      </c>
      <c r="BB318" s="41">
        <v>90550.44</v>
      </c>
      <c r="BC318" s="41">
        <v>37842.06</v>
      </c>
      <c r="BD318" s="41">
        <v>0</v>
      </c>
      <c r="BE318" s="41">
        <v>0</v>
      </c>
      <c r="BF318" s="41">
        <v>0</v>
      </c>
      <c r="BG318" s="41">
        <v>0</v>
      </c>
      <c r="BH318" s="41">
        <v>0</v>
      </c>
      <c r="BI318" s="41">
        <v>128392.5</v>
      </c>
      <c r="BJ318" s="75"/>
      <c r="BK318" s="24"/>
    </row>
    <row r="319" spans="1:64" ht="78.75" x14ac:dyDescent="0.25">
      <c r="A319" s="11" t="s">
        <v>485</v>
      </c>
      <c r="B319" s="11" t="s">
        <v>486</v>
      </c>
      <c r="C319" s="14" t="s">
        <v>610</v>
      </c>
      <c r="D319" s="11">
        <v>1</v>
      </c>
      <c r="E319" s="11" t="s">
        <v>454</v>
      </c>
      <c r="F319" s="11" t="s">
        <v>5</v>
      </c>
      <c r="G319" s="44" t="s">
        <v>510</v>
      </c>
      <c r="H319" s="45">
        <v>308</v>
      </c>
      <c r="I319" s="45" t="s">
        <v>485</v>
      </c>
      <c r="J319" s="46" t="s">
        <v>311</v>
      </c>
      <c r="K319" s="46" t="s">
        <v>511</v>
      </c>
      <c r="L319" s="41">
        <v>0</v>
      </c>
      <c r="M319" s="41">
        <v>0</v>
      </c>
      <c r="N319" s="41">
        <v>1329358.2399999998</v>
      </c>
      <c r="O319" s="41">
        <v>0</v>
      </c>
      <c r="P319" s="41">
        <v>0</v>
      </c>
      <c r="Q319" s="41">
        <f>P319-O319</f>
        <v>0</v>
      </c>
      <c r="R319" s="41">
        <v>330778.94</v>
      </c>
      <c r="S319" s="41">
        <v>330778.94</v>
      </c>
      <c r="T319" s="41">
        <f>S319-R319</f>
        <v>0</v>
      </c>
      <c r="U319" s="41">
        <v>0</v>
      </c>
      <c r="V319" s="41">
        <v>0</v>
      </c>
      <c r="W319" s="41">
        <f>V319-U319</f>
        <v>0</v>
      </c>
      <c r="X319" s="41">
        <v>0</v>
      </c>
      <c r="Y319" s="41">
        <v>0</v>
      </c>
      <c r="Z319" s="41">
        <f>Y319-X319</f>
        <v>0</v>
      </c>
      <c r="AA319" s="41">
        <v>313395.31</v>
      </c>
      <c r="AB319" s="41">
        <v>209375.03</v>
      </c>
      <c r="AC319" s="41">
        <f>AB319-AA319</f>
        <v>-104020.28</v>
      </c>
      <c r="AD319" s="41">
        <v>0</v>
      </c>
      <c r="AE319" s="41">
        <v>0</v>
      </c>
      <c r="AF319" s="41">
        <f>AE319-AD319</f>
        <v>0</v>
      </c>
      <c r="AG319" s="41">
        <v>0</v>
      </c>
      <c r="AH319" s="41">
        <v>0</v>
      </c>
      <c r="AI319" s="41">
        <f>AH319-AG319</f>
        <v>0</v>
      </c>
      <c r="AJ319" s="41">
        <v>344261.62</v>
      </c>
      <c r="AK319" s="41">
        <v>258201.06</v>
      </c>
      <c r="AL319" s="41">
        <f t="shared" si="187"/>
        <v>-86060.56</v>
      </c>
      <c r="AM319" s="41">
        <v>0</v>
      </c>
      <c r="AN319" s="41">
        <v>0</v>
      </c>
      <c r="AO319" s="41">
        <f t="shared" si="185"/>
        <v>0</v>
      </c>
      <c r="AP319" s="41">
        <v>0</v>
      </c>
      <c r="AQ319" s="41">
        <f>IFERROR(VLOOKUP(G319,'10'!A:B,2,0),0)</f>
        <v>233817.63</v>
      </c>
      <c r="AR319" s="41">
        <f t="shared" si="172"/>
        <v>233817.63</v>
      </c>
      <c r="AS319" s="41">
        <f t="shared" si="177"/>
        <v>988435.86999999988</v>
      </c>
      <c r="AT319" s="41">
        <f>AN319+AK319+AH319+AE319+AB319+-Y319+V319+S319+P319+AQ319</f>
        <v>1032172.66</v>
      </c>
      <c r="AU319" s="41">
        <f t="shared" si="175"/>
        <v>43736.790000000008</v>
      </c>
      <c r="AV319" s="459">
        <f>AT319/AS319</f>
        <v>1.0442484852355673</v>
      </c>
      <c r="AW319" s="41">
        <v>348378.45</v>
      </c>
      <c r="AX319" s="41">
        <v>0</v>
      </c>
      <c r="AY319" s="41">
        <f t="shared" si="179"/>
        <v>1336814.32</v>
      </c>
      <c r="AZ319" s="41">
        <f>VLOOKUP(G319,'2017'!A:B,2,0)</f>
        <v>1083172.6600000001</v>
      </c>
      <c r="BA319" s="552">
        <f t="shared" si="186"/>
        <v>-253641.65999999992</v>
      </c>
      <c r="BB319" s="41">
        <v>1192445.79</v>
      </c>
      <c r="BC319" s="41">
        <v>285981.65000000002</v>
      </c>
      <c r="BD319" s="41">
        <v>0</v>
      </c>
      <c r="BE319" s="41">
        <v>0</v>
      </c>
      <c r="BF319" s="41">
        <v>0</v>
      </c>
      <c r="BG319" s="41">
        <v>0</v>
      </c>
      <c r="BH319" s="41">
        <v>0</v>
      </c>
      <c r="BI319" s="41">
        <v>4144599.9999999995</v>
      </c>
      <c r="BJ319" s="75"/>
      <c r="BK319" s="25"/>
      <c r="BL319" s="10"/>
    </row>
    <row r="320" spans="1:64" ht="63" x14ac:dyDescent="0.25">
      <c r="A320" s="11" t="s">
        <v>74</v>
      </c>
      <c r="B320" s="11" t="s">
        <v>75</v>
      </c>
      <c r="C320" s="14" t="s">
        <v>570</v>
      </c>
      <c r="D320" s="11">
        <v>1</v>
      </c>
      <c r="E320" s="11" t="s">
        <v>76</v>
      </c>
      <c r="F320" s="11" t="s">
        <v>77</v>
      </c>
      <c r="G320" s="44" t="s">
        <v>81</v>
      </c>
      <c r="H320" s="45">
        <v>309</v>
      </c>
      <c r="I320" s="45" t="s">
        <v>74</v>
      </c>
      <c r="J320" s="46" t="s">
        <v>79</v>
      </c>
      <c r="K320" s="46" t="s">
        <v>82</v>
      </c>
      <c r="L320" s="41">
        <v>0</v>
      </c>
      <c r="M320" s="41">
        <v>0</v>
      </c>
      <c r="N320" s="41">
        <v>110962.13</v>
      </c>
      <c r="O320" s="41">
        <v>0</v>
      </c>
      <c r="P320" s="41">
        <v>0</v>
      </c>
      <c r="Q320" s="41">
        <f>P320-O320</f>
        <v>0</v>
      </c>
      <c r="R320" s="41">
        <v>97597.98</v>
      </c>
      <c r="S320" s="41">
        <v>97597.98</v>
      </c>
      <c r="T320" s="41">
        <f>S320-R320</f>
        <v>0</v>
      </c>
      <c r="U320" s="41">
        <v>0</v>
      </c>
      <c r="V320" s="41">
        <v>0</v>
      </c>
      <c r="W320" s="41">
        <f>V320-U320</f>
        <v>0</v>
      </c>
      <c r="X320" s="41">
        <v>0</v>
      </c>
      <c r="Y320" s="41">
        <v>0</v>
      </c>
      <c r="Z320" s="41">
        <f>Y320-X320</f>
        <v>0</v>
      </c>
      <c r="AA320" s="41">
        <v>54272.12</v>
      </c>
      <c r="AB320" s="41">
        <v>56521.27</v>
      </c>
      <c r="AC320" s="41">
        <f>AB320-AA320</f>
        <v>2249.1499999999942</v>
      </c>
      <c r="AD320" s="41">
        <v>0</v>
      </c>
      <c r="AE320" s="41">
        <v>0</v>
      </c>
      <c r="AF320" s="41">
        <f>AE320-AD320</f>
        <v>0</v>
      </c>
      <c r="AG320" s="41">
        <v>0</v>
      </c>
      <c r="AH320" s="41">
        <v>68361.399999999994</v>
      </c>
      <c r="AI320" s="41">
        <f>AH320-AG320</f>
        <v>68361.399999999994</v>
      </c>
      <c r="AJ320" s="41">
        <v>116879.25</v>
      </c>
      <c r="AK320" s="41">
        <v>0</v>
      </c>
      <c r="AL320" s="41">
        <f t="shared" si="187"/>
        <v>-116879.25</v>
      </c>
      <c r="AM320" s="41">
        <v>0</v>
      </c>
      <c r="AN320" s="41">
        <v>0</v>
      </c>
      <c r="AO320" s="41">
        <f t="shared" si="185"/>
        <v>0</v>
      </c>
      <c r="AP320" s="41">
        <v>0</v>
      </c>
      <c r="AQ320" s="41">
        <f>IFERROR(VLOOKUP(G320,'10'!A:B,2,0),0)</f>
        <v>90839.12</v>
      </c>
      <c r="AR320" s="41">
        <f t="shared" si="172"/>
        <v>90839.12</v>
      </c>
      <c r="AS320" s="41">
        <f t="shared" si="177"/>
        <v>268749.34999999998</v>
      </c>
      <c r="AT320" s="41">
        <f>AN320+AK320+AH320+AE320+AB320+-Y320+V320+S320+P320+AQ320</f>
        <v>313319.76999999996</v>
      </c>
      <c r="AU320" s="41">
        <f t="shared" si="175"/>
        <v>44570.419999999984</v>
      </c>
      <c r="AV320" s="459">
        <f>AT320/AS320</f>
        <v>1.1658438243664588</v>
      </c>
      <c r="AW320" s="41">
        <v>128378.05</v>
      </c>
      <c r="AX320" s="41">
        <v>0</v>
      </c>
      <c r="AY320" s="41">
        <f t="shared" si="179"/>
        <v>397127.39999999997</v>
      </c>
      <c r="AZ320" s="41">
        <f>VLOOKUP(G320,'2017'!A:B,2,0)</f>
        <v>389913.27</v>
      </c>
      <c r="BA320" s="552">
        <f t="shared" si="186"/>
        <v>-7214.1299999999464</v>
      </c>
      <c r="BB320" s="41">
        <v>805342.77</v>
      </c>
      <c r="BC320" s="41">
        <v>447681.39</v>
      </c>
      <c r="BD320" s="41">
        <v>479530.92</v>
      </c>
      <c r="BE320" s="41">
        <v>179192.8</v>
      </c>
      <c r="BF320" s="41">
        <v>183777.72</v>
      </c>
      <c r="BG320" s="41">
        <v>0</v>
      </c>
      <c r="BH320" s="41">
        <v>0</v>
      </c>
      <c r="BI320" s="41">
        <v>2603615.13</v>
      </c>
      <c r="BJ320" s="75"/>
      <c r="BK320" s="11"/>
      <c r="BL320" s="10"/>
    </row>
    <row r="321" spans="1:64" ht="47.25" x14ac:dyDescent="0.25">
      <c r="A321" s="472" t="s">
        <v>276</v>
      </c>
      <c r="B321" s="472" t="s">
        <v>277</v>
      </c>
      <c r="C321" s="473" t="s">
        <v>584</v>
      </c>
      <c r="D321" s="472" t="s">
        <v>3</v>
      </c>
      <c r="E321" s="472" t="s">
        <v>4</v>
      </c>
      <c r="F321" s="472" t="s">
        <v>77</v>
      </c>
      <c r="G321" s="474" t="s">
        <v>278</v>
      </c>
      <c r="H321" s="45">
        <v>310</v>
      </c>
      <c r="I321" s="45" t="s">
        <v>276</v>
      </c>
      <c r="J321" s="475" t="s">
        <v>279</v>
      </c>
      <c r="K321" s="475" t="s">
        <v>280</v>
      </c>
      <c r="L321" s="41">
        <v>0</v>
      </c>
      <c r="M321" s="41">
        <v>0</v>
      </c>
      <c r="N321" s="41">
        <v>180462.75</v>
      </c>
      <c r="O321" s="41">
        <v>11538.7</v>
      </c>
      <c r="P321" s="41">
        <v>11538.7</v>
      </c>
      <c r="Q321" s="41">
        <f>P321-O321</f>
        <v>0</v>
      </c>
      <c r="R321" s="41">
        <v>0</v>
      </c>
      <c r="S321" s="41">
        <v>0</v>
      </c>
      <c r="T321" s="41">
        <f>S321-R321</f>
        <v>0</v>
      </c>
      <c r="U321" s="41">
        <v>0</v>
      </c>
      <c r="V321" s="41">
        <v>0</v>
      </c>
      <c r="W321" s="41">
        <f>V321-U321</f>
        <v>0</v>
      </c>
      <c r="X321" s="41">
        <v>50314.59</v>
      </c>
      <c r="Y321" s="41">
        <v>50619.83</v>
      </c>
      <c r="Z321" s="41">
        <f>Y321-X321</f>
        <v>305.24000000000524</v>
      </c>
      <c r="AA321" s="41">
        <v>0</v>
      </c>
      <c r="AB321" s="41">
        <v>71545.5</v>
      </c>
      <c r="AC321" s="41">
        <f>AB321-AA321</f>
        <v>71545.5</v>
      </c>
      <c r="AD321" s="41">
        <v>148445.57</v>
      </c>
      <c r="AE321" s="41">
        <v>162421.6</v>
      </c>
      <c r="AF321" s="41">
        <f>AE321-AD321</f>
        <v>13976.029999999999</v>
      </c>
      <c r="AG321" s="41">
        <v>78017</v>
      </c>
      <c r="AH321" s="41">
        <v>57973.210000000006</v>
      </c>
      <c r="AI321" s="41">
        <f>AH321-AG321</f>
        <v>-20043.789999999994</v>
      </c>
      <c r="AJ321" s="41">
        <v>0</v>
      </c>
      <c r="AK321" s="41">
        <v>0</v>
      </c>
      <c r="AL321" s="41">
        <f t="shared" si="187"/>
        <v>0</v>
      </c>
      <c r="AM321" s="41">
        <v>0</v>
      </c>
      <c r="AN321" s="41">
        <v>0</v>
      </c>
      <c r="AO321" s="41">
        <f t="shared" si="185"/>
        <v>0</v>
      </c>
      <c r="AP321" s="41">
        <v>64600</v>
      </c>
      <c r="AQ321" s="41">
        <f>IFERROR(VLOOKUP(G321,'10'!A:B,2,0),0)</f>
        <v>44673.35</v>
      </c>
      <c r="AR321" s="41">
        <f t="shared" si="172"/>
        <v>-19926.650000000001</v>
      </c>
      <c r="AS321" s="41">
        <f t="shared" si="177"/>
        <v>352915.86000000004</v>
      </c>
      <c r="AT321" s="41">
        <f>AN321+AK321+AH321+AE321+AB321+Y321+V321+S321+P321+AQ321</f>
        <v>398772.19</v>
      </c>
      <c r="AU321" s="41">
        <f t="shared" si="175"/>
        <v>45856.330000000009</v>
      </c>
      <c r="AV321" s="459">
        <f>AT321/AS321</f>
        <v>1.1299355886131044</v>
      </c>
      <c r="AW321" s="41">
        <v>122660</v>
      </c>
      <c r="AX321" s="41">
        <v>0</v>
      </c>
      <c r="AY321" s="41">
        <f t="shared" si="179"/>
        <v>475575.86</v>
      </c>
      <c r="AZ321" s="41">
        <f>VLOOKUP(G321,'2017'!A:B,2,0)</f>
        <v>465922.19000000006</v>
      </c>
      <c r="BA321" s="552">
        <f t="shared" si="186"/>
        <v>-9653.6699999999255</v>
      </c>
      <c r="BB321" s="41">
        <v>425000</v>
      </c>
      <c r="BC321" s="41">
        <v>462416.3</v>
      </c>
      <c r="BD321" s="41">
        <v>0</v>
      </c>
      <c r="BE321" s="41">
        <v>0</v>
      </c>
      <c r="BF321" s="41">
        <v>0</v>
      </c>
      <c r="BG321" s="41">
        <v>0</v>
      </c>
      <c r="BH321" s="41">
        <v>0</v>
      </c>
      <c r="BI321" s="41">
        <v>1275000</v>
      </c>
      <c r="BJ321" s="75"/>
      <c r="BK321" s="27"/>
    </row>
    <row r="322" spans="1:64" ht="47.25" x14ac:dyDescent="0.25">
      <c r="A322" s="470" t="s">
        <v>406</v>
      </c>
      <c r="B322" s="470" t="s">
        <v>411</v>
      </c>
      <c r="C322" s="471" t="s">
        <v>606</v>
      </c>
      <c r="D322" s="470">
        <v>1</v>
      </c>
      <c r="E322" s="470" t="s">
        <v>402</v>
      </c>
      <c r="F322" s="470" t="s">
        <v>77</v>
      </c>
      <c r="G322" s="470" t="s">
        <v>928</v>
      </c>
      <c r="H322" s="45">
        <v>311</v>
      </c>
      <c r="I322" s="45" t="s">
        <v>406</v>
      </c>
      <c r="J322" s="471" t="s">
        <v>920</v>
      </c>
      <c r="K322" s="471" t="s">
        <v>929</v>
      </c>
      <c r="L322" s="43">
        <v>0</v>
      </c>
      <c r="M322" s="43">
        <v>0</v>
      </c>
      <c r="N322" s="43">
        <v>0</v>
      </c>
      <c r="O322" s="43">
        <v>0</v>
      </c>
      <c r="P322" s="43"/>
      <c r="Q322" s="43"/>
      <c r="R322" s="43">
        <v>0</v>
      </c>
      <c r="S322" s="43"/>
      <c r="T322" s="43"/>
      <c r="U322" s="43">
        <v>0</v>
      </c>
      <c r="V322" s="43"/>
      <c r="W322" s="43"/>
      <c r="X322" s="43">
        <v>0</v>
      </c>
      <c r="Y322" s="43"/>
      <c r="Z322" s="43"/>
      <c r="AA322" s="43">
        <v>0</v>
      </c>
      <c r="AB322" s="43"/>
      <c r="AC322" s="43"/>
      <c r="AD322" s="43">
        <v>0</v>
      </c>
      <c r="AE322" s="43"/>
      <c r="AF322" s="43"/>
      <c r="AG322" s="43">
        <v>0</v>
      </c>
      <c r="AH322" s="41">
        <v>4984.32</v>
      </c>
      <c r="AI322" s="41">
        <f>AH322-AG322</f>
        <v>4984.32</v>
      </c>
      <c r="AJ322" s="41">
        <v>0</v>
      </c>
      <c r="AK322" s="41">
        <v>0</v>
      </c>
      <c r="AL322" s="41">
        <f t="shared" si="187"/>
        <v>0</v>
      </c>
      <c r="AM322" s="41">
        <v>0</v>
      </c>
      <c r="AN322" s="41">
        <v>28129.9</v>
      </c>
      <c r="AO322" s="41">
        <f t="shared" si="185"/>
        <v>28129.9</v>
      </c>
      <c r="AP322" s="41">
        <v>0</v>
      </c>
      <c r="AQ322" s="41">
        <f>IFERROR(VLOOKUP(G322,'10'!A:B,2,0),0)</f>
        <v>12762.33</v>
      </c>
      <c r="AR322" s="41">
        <f t="shared" si="172"/>
        <v>12762.33</v>
      </c>
      <c r="AS322" s="41">
        <f t="shared" si="177"/>
        <v>0</v>
      </c>
      <c r="AT322" s="41">
        <f t="shared" ref="AT322:AT330" si="188">AN322+AK322+AH322+AE322+AB322+-Y322+V322+S322+P322+AQ322</f>
        <v>45876.55</v>
      </c>
      <c r="AU322" s="41">
        <f t="shared" si="175"/>
        <v>45876.55</v>
      </c>
      <c r="AV322" s="459">
        <v>0</v>
      </c>
      <c r="AW322" s="41">
        <v>0</v>
      </c>
      <c r="AX322" s="41">
        <v>0</v>
      </c>
      <c r="AY322" s="41">
        <f t="shared" si="179"/>
        <v>0</v>
      </c>
      <c r="AZ322" s="41"/>
      <c r="BA322" s="36">
        <f t="shared" si="186"/>
        <v>0</v>
      </c>
      <c r="BB322" s="41">
        <v>117196.29999999999</v>
      </c>
      <c r="BC322" s="41">
        <v>53226.15</v>
      </c>
      <c r="BD322" s="41">
        <v>0</v>
      </c>
      <c r="BE322" s="41">
        <v>0</v>
      </c>
      <c r="BF322" s="41">
        <v>0</v>
      </c>
      <c r="BG322" s="41">
        <v>0</v>
      </c>
      <c r="BH322" s="41">
        <v>0</v>
      </c>
      <c r="BI322" s="41">
        <v>170422.44999999998</v>
      </c>
      <c r="BJ322" s="78"/>
      <c r="BK322" s="24"/>
    </row>
    <row r="323" spans="1:64" ht="47.25" x14ac:dyDescent="0.25">
      <c r="A323" s="439" t="s">
        <v>406</v>
      </c>
      <c r="B323" s="439" t="s">
        <v>411</v>
      </c>
      <c r="C323" s="440" t="s">
        <v>606</v>
      </c>
      <c r="D323" s="438">
        <v>1</v>
      </c>
      <c r="E323" s="439" t="s">
        <v>402</v>
      </c>
      <c r="F323" s="439" t="s">
        <v>77</v>
      </c>
      <c r="G323" s="439" t="s">
        <v>2394</v>
      </c>
      <c r="H323" s="45">
        <v>312</v>
      </c>
      <c r="I323" s="45" t="s">
        <v>406</v>
      </c>
      <c r="J323" s="440" t="s">
        <v>530</v>
      </c>
      <c r="K323" s="440" t="s">
        <v>2395</v>
      </c>
      <c r="L323" s="441">
        <v>0</v>
      </c>
      <c r="M323" s="441">
        <v>0</v>
      </c>
      <c r="N323" s="441">
        <v>0</v>
      </c>
      <c r="O323" s="441">
        <f>N323+M323+L323</f>
        <v>0</v>
      </c>
      <c r="P323" s="441"/>
      <c r="Q323" s="441"/>
      <c r="R323" s="441">
        <v>0</v>
      </c>
      <c r="S323" s="441"/>
      <c r="T323" s="441"/>
      <c r="U323" s="441">
        <v>0</v>
      </c>
      <c r="V323" s="441"/>
      <c r="W323" s="441"/>
      <c r="X323" s="441">
        <v>0</v>
      </c>
      <c r="Y323" s="441"/>
      <c r="Z323" s="441"/>
      <c r="AA323" s="441">
        <v>0</v>
      </c>
      <c r="AB323" s="441"/>
      <c r="AC323" s="441"/>
      <c r="AD323" s="441">
        <v>0</v>
      </c>
      <c r="AE323" s="441"/>
      <c r="AF323" s="441"/>
      <c r="AG323" s="441">
        <v>0</v>
      </c>
      <c r="AH323" s="441"/>
      <c r="AI323" s="441"/>
      <c r="AJ323" s="441">
        <v>0</v>
      </c>
      <c r="AK323" s="41">
        <v>2811.17</v>
      </c>
      <c r="AL323" s="41">
        <f t="shared" si="187"/>
        <v>2811.17</v>
      </c>
      <c r="AM323" s="441">
        <v>0</v>
      </c>
      <c r="AN323" s="41">
        <v>44906.080000000002</v>
      </c>
      <c r="AO323" s="41">
        <f t="shared" si="185"/>
        <v>44906.080000000002</v>
      </c>
      <c r="AP323" s="441">
        <v>0</v>
      </c>
      <c r="AQ323" s="41">
        <f>IFERROR(VLOOKUP(G323,'10'!A:B,2,0),0)</f>
        <v>0</v>
      </c>
      <c r="AR323" s="41">
        <f t="shared" si="172"/>
        <v>0</v>
      </c>
      <c r="AS323" s="41">
        <f t="shared" si="177"/>
        <v>0</v>
      </c>
      <c r="AT323" s="41">
        <f t="shared" si="188"/>
        <v>47717.25</v>
      </c>
      <c r="AU323" s="41">
        <f t="shared" si="175"/>
        <v>47717.25</v>
      </c>
      <c r="AV323" s="459">
        <v>0</v>
      </c>
      <c r="AW323" s="441">
        <v>0</v>
      </c>
      <c r="AX323" s="441">
        <v>0</v>
      </c>
      <c r="AY323" s="41">
        <f t="shared" si="179"/>
        <v>0</v>
      </c>
      <c r="AZ323" s="41"/>
      <c r="BA323" s="40">
        <f t="shared" si="186"/>
        <v>0</v>
      </c>
      <c r="BB323" s="441">
        <v>191594.54</v>
      </c>
      <c r="BC323" s="441">
        <v>95797.26</v>
      </c>
      <c r="BD323" s="441">
        <v>0</v>
      </c>
      <c r="BE323" s="441">
        <v>0</v>
      </c>
      <c r="BF323" s="441">
        <v>0</v>
      </c>
      <c r="BG323" s="441">
        <v>0</v>
      </c>
      <c r="BH323" s="441">
        <v>0</v>
      </c>
      <c r="BI323" s="441">
        <v>287391.8</v>
      </c>
      <c r="BJ323" s="144"/>
      <c r="BK323" s="24"/>
    </row>
    <row r="324" spans="1:64" ht="47.25" x14ac:dyDescent="0.25">
      <c r="A324" s="470" t="s">
        <v>406</v>
      </c>
      <c r="B324" s="470" t="s">
        <v>411</v>
      </c>
      <c r="C324" s="471" t="s">
        <v>606</v>
      </c>
      <c r="D324" s="470">
        <v>1</v>
      </c>
      <c r="E324" s="470" t="s">
        <v>402</v>
      </c>
      <c r="F324" s="470" t="s">
        <v>77</v>
      </c>
      <c r="G324" s="43" t="s">
        <v>795</v>
      </c>
      <c r="H324" s="45">
        <v>313</v>
      </c>
      <c r="I324" s="45" t="s">
        <v>406</v>
      </c>
      <c r="J324" s="475" t="s">
        <v>833</v>
      </c>
      <c r="K324" s="475" t="s">
        <v>834</v>
      </c>
      <c r="L324" s="41">
        <v>0</v>
      </c>
      <c r="M324" s="41">
        <v>0</v>
      </c>
      <c r="N324" s="41">
        <v>0</v>
      </c>
      <c r="O324" s="40">
        <v>0</v>
      </c>
      <c r="P324" s="40">
        <v>0</v>
      </c>
      <c r="Q324" s="41">
        <f>P324-O324</f>
        <v>0</v>
      </c>
      <c r="R324" s="40">
        <v>0</v>
      </c>
      <c r="S324" s="40">
        <v>0</v>
      </c>
      <c r="T324" s="41">
        <f>S324-R324</f>
        <v>0</v>
      </c>
      <c r="U324" s="40">
        <v>0</v>
      </c>
      <c r="V324" s="40">
        <v>0</v>
      </c>
      <c r="W324" s="41">
        <f>V324-U324</f>
        <v>0</v>
      </c>
      <c r="X324" s="40">
        <v>0</v>
      </c>
      <c r="Y324" s="40">
        <v>0</v>
      </c>
      <c r="Z324" s="41">
        <f>Y324-X324</f>
        <v>0</v>
      </c>
      <c r="AA324" s="40">
        <v>0</v>
      </c>
      <c r="AB324" s="40">
        <v>0</v>
      </c>
      <c r="AC324" s="41">
        <f>AB324-AA324</f>
        <v>0</v>
      </c>
      <c r="AD324" s="41">
        <v>0</v>
      </c>
      <c r="AE324" s="41">
        <v>2011.95</v>
      </c>
      <c r="AF324" s="41">
        <f>AE324-AD324</f>
        <v>2011.95</v>
      </c>
      <c r="AG324" s="41">
        <v>0</v>
      </c>
      <c r="AH324" s="41">
        <v>15811.7</v>
      </c>
      <c r="AI324" s="41">
        <f>AH324-AG324</f>
        <v>15811.7</v>
      </c>
      <c r="AJ324" s="41">
        <v>0</v>
      </c>
      <c r="AK324" s="41">
        <v>0</v>
      </c>
      <c r="AL324" s="41">
        <f t="shared" si="187"/>
        <v>0</v>
      </c>
      <c r="AM324" s="41">
        <v>0</v>
      </c>
      <c r="AN324" s="41">
        <v>8269.5400000000009</v>
      </c>
      <c r="AO324" s="41">
        <f t="shared" si="185"/>
        <v>8269.5400000000009</v>
      </c>
      <c r="AP324" s="41">
        <v>0</v>
      </c>
      <c r="AQ324" s="41">
        <f>IFERROR(VLOOKUP(G324,'10'!A:B,2,0),0)</f>
        <v>21683.14</v>
      </c>
      <c r="AR324" s="41">
        <f t="shared" si="172"/>
        <v>21683.14</v>
      </c>
      <c r="AS324" s="41">
        <f t="shared" si="177"/>
        <v>0</v>
      </c>
      <c r="AT324" s="41">
        <f t="shared" si="188"/>
        <v>47776.33</v>
      </c>
      <c r="AU324" s="41">
        <f t="shared" si="175"/>
        <v>47776.33</v>
      </c>
      <c r="AV324" s="459">
        <v>0</v>
      </c>
      <c r="AW324" s="41">
        <v>0</v>
      </c>
      <c r="AX324" s="41">
        <v>0</v>
      </c>
      <c r="AY324" s="41">
        <f t="shared" si="179"/>
        <v>0</v>
      </c>
      <c r="AZ324" s="41"/>
      <c r="BA324" s="36">
        <f t="shared" si="186"/>
        <v>0</v>
      </c>
      <c r="BB324" s="41">
        <v>170556</v>
      </c>
      <c r="BC324" s="41">
        <v>91838</v>
      </c>
      <c r="BD324" s="41">
        <v>0</v>
      </c>
      <c r="BE324" s="41">
        <v>0</v>
      </c>
      <c r="BF324" s="41">
        <v>0</v>
      </c>
      <c r="BG324" s="41">
        <v>0</v>
      </c>
      <c r="BH324" s="41">
        <v>0</v>
      </c>
      <c r="BI324" s="41">
        <v>262394</v>
      </c>
      <c r="BJ324" s="75"/>
      <c r="BK324" s="24"/>
      <c r="BL324" s="29"/>
    </row>
    <row r="325" spans="1:64" ht="47.25" x14ac:dyDescent="0.25">
      <c r="A325" s="472" t="s">
        <v>406</v>
      </c>
      <c r="B325" s="472" t="s">
        <v>411</v>
      </c>
      <c r="C325" s="473" t="s">
        <v>606</v>
      </c>
      <c r="D325" s="472">
        <v>1</v>
      </c>
      <c r="E325" s="472" t="s">
        <v>402</v>
      </c>
      <c r="F325" s="472" t="s">
        <v>77</v>
      </c>
      <c r="G325" s="474" t="s">
        <v>734</v>
      </c>
      <c r="H325" s="45">
        <v>314</v>
      </c>
      <c r="I325" s="45" t="s">
        <v>406</v>
      </c>
      <c r="J325" s="475" t="s">
        <v>527</v>
      </c>
      <c r="K325" s="475" t="s">
        <v>735</v>
      </c>
      <c r="L325" s="41">
        <v>0</v>
      </c>
      <c r="M325" s="41">
        <v>0</v>
      </c>
      <c r="N325" s="41">
        <v>0</v>
      </c>
      <c r="O325" s="41">
        <v>0</v>
      </c>
      <c r="P325" s="41">
        <v>0</v>
      </c>
      <c r="Q325" s="41">
        <f>P325-O325</f>
        <v>0</v>
      </c>
      <c r="R325" s="41">
        <v>0</v>
      </c>
      <c r="S325" s="41">
        <v>0</v>
      </c>
      <c r="T325" s="41">
        <f>S325-R325</f>
        <v>0</v>
      </c>
      <c r="U325" s="41">
        <v>0</v>
      </c>
      <c r="V325" s="41">
        <v>0</v>
      </c>
      <c r="W325" s="41">
        <f>V325-U325</f>
        <v>0</v>
      </c>
      <c r="X325" s="41">
        <v>0</v>
      </c>
      <c r="Y325" s="41">
        <v>0</v>
      </c>
      <c r="Z325" s="41">
        <f>Y325-X325</f>
        <v>0</v>
      </c>
      <c r="AA325" s="41">
        <v>8436.6200000000008</v>
      </c>
      <c r="AB325" s="41">
        <v>0</v>
      </c>
      <c r="AC325" s="41">
        <f>AB325-AA325</f>
        <v>-8436.6200000000008</v>
      </c>
      <c r="AD325" s="41">
        <v>0</v>
      </c>
      <c r="AE325" s="41">
        <v>8365.93</v>
      </c>
      <c r="AF325" s="41">
        <f>AE325-AD325</f>
        <v>8365.93</v>
      </c>
      <c r="AG325" s="41">
        <v>0</v>
      </c>
      <c r="AH325" s="41">
        <v>0</v>
      </c>
      <c r="AI325" s="41">
        <f>AH325-AG325</f>
        <v>0</v>
      </c>
      <c r="AJ325" s="41">
        <v>0</v>
      </c>
      <c r="AK325" s="41">
        <v>5165.45</v>
      </c>
      <c r="AL325" s="41">
        <f t="shared" si="187"/>
        <v>5165.45</v>
      </c>
      <c r="AM325" s="41">
        <v>0</v>
      </c>
      <c r="AN325" s="41">
        <v>46179.210000000006</v>
      </c>
      <c r="AO325" s="41">
        <f t="shared" si="185"/>
        <v>46179.210000000006</v>
      </c>
      <c r="AP325" s="41">
        <v>0</v>
      </c>
      <c r="AQ325" s="41">
        <f>IFERROR(VLOOKUP(G325,'10'!A:B,2,0),0)</f>
        <v>0</v>
      </c>
      <c r="AR325" s="41">
        <f t="shared" si="172"/>
        <v>0</v>
      </c>
      <c r="AS325" s="41">
        <f t="shared" si="177"/>
        <v>8436.6200000000008</v>
      </c>
      <c r="AT325" s="41">
        <f t="shared" si="188"/>
        <v>59710.590000000004</v>
      </c>
      <c r="AU325" s="41">
        <f t="shared" si="175"/>
        <v>51273.97</v>
      </c>
      <c r="AV325" s="459">
        <f>AT325/AS325</f>
        <v>7.0775488287963659</v>
      </c>
      <c r="AW325" s="41">
        <v>0</v>
      </c>
      <c r="AX325" s="41">
        <v>0</v>
      </c>
      <c r="AY325" s="41">
        <f t="shared" si="179"/>
        <v>8436.6200000000008</v>
      </c>
      <c r="AZ325" s="41">
        <f>VLOOKUP(G325,'2017'!A:B,2,0)</f>
        <v>176807.88999999998</v>
      </c>
      <c r="BA325" s="552">
        <f t="shared" si="186"/>
        <v>168371.27</v>
      </c>
      <c r="BB325" s="41">
        <v>584652.04</v>
      </c>
      <c r="BC325" s="41">
        <v>250573.74</v>
      </c>
      <c r="BD325" s="41">
        <v>0</v>
      </c>
      <c r="BE325" s="41">
        <v>0</v>
      </c>
      <c r="BF325" s="41">
        <v>0</v>
      </c>
      <c r="BG325" s="41">
        <v>0</v>
      </c>
      <c r="BH325" s="41">
        <v>0</v>
      </c>
      <c r="BI325" s="41">
        <v>843662.4</v>
      </c>
      <c r="BJ325" s="75"/>
      <c r="BK325" s="24"/>
    </row>
    <row r="326" spans="1:64" s="8" customFormat="1" ht="25.5" x14ac:dyDescent="0.25">
      <c r="A326" s="18" t="s">
        <v>842</v>
      </c>
      <c r="B326" s="18" t="s">
        <v>843</v>
      </c>
      <c r="C326" s="19" t="s">
        <v>844</v>
      </c>
      <c r="D326" s="18">
        <v>2</v>
      </c>
      <c r="E326" s="18" t="s">
        <v>35</v>
      </c>
      <c r="F326" s="18" t="s">
        <v>5</v>
      </c>
      <c r="G326" s="18" t="s">
        <v>1516</v>
      </c>
      <c r="H326" s="45">
        <v>315</v>
      </c>
      <c r="I326" s="45" t="s">
        <v>842</v>
      </c>
      <c r="J326" s="19" t="s">
        <v>1517</v>
      </c>
      <c r="K326" s="19" t="s">
        <v>1518</v>
      </c>
      <c r="L326" s="145">
        <v>0</v>
      </c>
      <c r="M326" s="145">
        <v>0</v>
      </c>
      <c r="N326" s="145">
        <v>0</v>
      </c>
      <c r="O326" s="145">
        <v>0</v>
      </c>
      <c r="P326" s="145"/>
      <c r="Q326" s="145"/>
      <c r="R326" s="145">
        <v>0</v>
      </c>
      <c r="S326" s="145"/>
      <c r="T326" s="145"/>
      <c r="U326" s="145">
        <v>0</v>
      </c>
      <c r="V326" s="145"/>
      <c r="W326" s="145"/>
      <c r="X326" s="145">
        <v>0</v>
      </c>
      <c r="Y326" s="145"/>
      <c r="Z326" s="145"/>
      <c r="AA326" s="145">
        <v>0</v>
      </c>
      <c r="AB326" s="145"/>
      <c r="AC326" s="145"/>
      <c r="AD326" s="145">
        <v>0</v>
      </c>
      <c r="AE326" s="145"/>
      <c r="AF326" s="145"/>
      <c r="AG326" s="145">
        <v>0</v>
      </c>
      <c r="AH326" s="145"/>
      <c r="AI326" s="145"/>
      <c r="AJ326" s="145">
        <v>0</v>
      </c>
      <c r="AK326" s="145"/>
      <c r="AL326" s="145"/>
      <c r="AM326" s="145">
        <v>0</v>
      </c>
      <c r="AN326" s="145"/>
      <c r="AO326" s="145"/>
      <c r="AP326" s="145">
        <v>0</v>
      </c>
      <c r="AQ326" s="41">
        <f>IFERROR(VLOOKUP(G326,'10'!A:B,2,0),0)</f>
        <v>57514.5</v>
      </c>
      <c r="AR326" s="41">
        <f t="shared" si="172"/>
        <v>57514.5</v>
      </c>
      <c r="AS326" s="41">
        <f t="shared" si="177"/>
        <v>0</v>
      </c>
      <c r="AT326" s="41">
        <f t="shared" si="188"/>
        <v>57514.5</v>
      </c>
      <c r="AU326" s="41">
        <f t="shared" si="175"/>
        <v>57514.5</v>
      </c>
      <c r="AV326" s="459">
        <v>0</v>
      </c>
      <c r="AW326" s="145">
        <v>0</v>
      </c>
      <c r="AX326" s="145">
        <v>0</v>
      </c>
      <c r="AY326" s="145">
        <v>0</v>
      </c>
      <c r="AZ326" s="145"/>
      <c r="BA326" s="145"/>
      <c r="BB326" s="145">
        <v>191715</v>
      </c>
      <c r="BC326" s="145">
        <v>0</v>
      </c>
      <c r="BD326" s="145">
        <v>0</v>
      </c>
      <c r="BE326" s="145">
        <v>0</v>
      </c>
      <c r="BF326" s="145">
        <v>0</v>
      </c>
      <c r="BG326" s="145">
        <v>0</v>
      </c>
      <c r="BH326" s="145">
        <v>0</v>
      </c>
      <c r="BI326" s="144">
        <v>191715</v>
      </c>
      <c r="BJ326" s="152"/>
      <c r="BK326" s="152"/>
      <c r="BL326" s="518"/>
    </row>
    <row r="327" spans="1:64" s="8" customFormat="1" ht="47.25" x14ac:dyDescent="0.25">
      <c r="A327" s="55" t="s">
        <v>406</v>
      </c>
      <c r="B327" s="55" t="s">
        <v>411</v>
      </c>
      <c r="C327" s="155" t="s">
        <v>606</v>
      </c>
      <c r="D327" s="22">
        <v>1</v>
      </c>
      <c r="E327" s="55" t="s">
        <v>402</v>
      </c>
      <c r="F327" s="55" t="s">
        <v>77</v>
      </c>
      <c r="G327" s="55" t="s">
        <v>797</v>
      </c>
      <c r="H327" s="45">
        <v>316</v>
      </c>
      <c r="I327" s="45" t="s">
        <v>406</v>
      </c>
      <c r="J327" s="479" t="s">
        <v>535</v>
      </c>
      <c r="K327" s="479" t="s">
        <v>801</v>
      </c>
      <c r="L327" s="41">
        <v>0</v>
      </c>
      <c r="M327" s="41">
        <v>0</v>
      </c>
      <c r="N327" s="41">
        <v>0</v>
      </c>
      <c r="O327" s="41">
        <v>0</v>
      </c>
      <c r="P327" s="41">
        <v>0</v>
      </c>
      <c r="Q327" s="41">
        <f>P327-O327</f>
        <v>0</v>
      </c>
      <c r="R327" s="41">
        <v>0</v>
      </c>
      <c r="S327" s="41">
        <v>0</v>
      </c>
      <c r="T327" s="41">
        <f>S327-R327</f>
        <v>0</v>
      </c>
      <c r="U327" s="41">
        <v>0</v>
      </c>
      <c r="V327" s="41">
        <v>0</v>
      </c>
      <c r="W327" s="41">
        <f>V327-U327</f>
        <v>0</v>
      </c>
      <c r="X327" s="41">
        <v>0</v>
      </c>
      <c r="Y327" s="41">
        <v>0</v>
      </c>
      <c r="Z327" s="41">
        <f>Y327-X327</f>
        <v>0</v>
      </c>
      <c r="AA327" s="41">
        <v>0</v>
      </c>
      <c r="AB327" s="41">
        <v>28502.2</v>
      </c>
      <c r="AC327" s="41">
        <f>AB327-AA327</f>
        <v>28502.2</v>
      </c>
      <c r="AD327" s="38">
        <v>0</v>
      </c>
      <c r="AE327" s="41">
        <v>0</v>
      </c>
      <c r="AF327" s="41">
        <f>AE327-AD327</f>
        <v>0</v>
      </c>
      <c r="AG327" s="38"/>
      <c r="AH327" s="41">
        <v>2210</v>
      </c>
      <c r="AI327" s="41">
        <f>AH327-AG327</f>
        <v>2210</v>
      </c>
      <c r="AJ327" s="38"/>
      <c r="AK327" s="41">
        <v>29186.22</v>
      </c>
      <c r="AL327" s="41">
        <f>AK327-AJ327</f>
        <v>29186.22</v>
      </c>
      <c r="AM327" s="38"/>
      <c r="AN327" s="41">
        <v>0</v>
      </c>
      <c r="AO327" s="41">
        <f>AN327-AM327</f>
        <v>0</v>
      </c>
      <c r="AP327" s="38"/>
      <c r="AQ327" s="41">
        <f>IFERROR(VLOOKUP(G327,'10'!A:B,2,0),0)</f>
        <v>0</v>
      </c>
      <c r="AR327" s="41">
        <f t="shared" si="172"/>
        <v>0</v>
      </c>
      <c r="AS327" s="41">
        <f t="shared" si="177"/>
        <v>0</v>
      </c>
      <c r="AT327" s="41">
        <f t="shared" si="188"/>
        <v>59898.42</v>
      </c>
      <c r="AU327" s="41">
        <f t="shared" si="175"/>
        <v>59898.42</v>
      </c>
      <c r="AV327" s="459">
        <v>0</v>
      </c>
      <c r="AW327" s="38"/>
      <c r="AX327" s="35"/>
      <c r="AY327" s="41">
        <f t="shared" ref="AY327:AY340" si="189">AX327+AW327+AP327+AM327+AJ327+AG327+AA327+X327+U327+R327+O327+AD327</f>
        <v>0</v>
      </c>
      <c r="AZ327" s="41"/>
      <c r="BA327" s="36">
        <f t="shared" ref="BA327:BA337" si="190">AZ327-AY327</f>
        <v>0</v>
      </c>
      <c r="BB327" s="38"/>
      <c r="BC327" s="38"/>
      <c r="BD327" s="38"/>
      <c r="BE327" s="38"/>
      <c r="BF327" s="38"/>
      <c r="BG327" s="38"/>
      <c r="BH327" s="35"/>
      <c r="BI327" s="41">
        <v>349860.85</v>
      </c>
      <c r="BJ327" s="75"/>
      <c r="BK327" s="27"/>
    </row>
    <row r="328" spans="1:64" s="8" customFormat="1" ht="38.25" x14ac:dyDescent="0.25">
      <c r="A328" s="18" t="s">
        <v>2107</v>
      </c>
      <c r="B328" s="18" t="s">
        <v>2109</v>
      </c>
      <c r="C328" s="19" t="s">
        <v>2108</v>
      </c>
      <c r="D328" s="55" t="s">
        <v>3</v>
      </c>
      <c r="E328" s="55" t="s">
        <v>4</v>
      </c>
      <c r="F328" s="55" t="s">
        <v>5</v>
      </c>
      <c r="G328" s="55" t="s">
        <v>2850</v>
      </c>
      <c r="H328" s="45">
        <v>317</v>
      </c>
      <c r="I328" s="45" t="s">
        <v>2107</v>
      </c>
      <c r="J328" s="19" t="s">
        <v>2112</v>
      </c>
      <c r="K328" s="19" t="s">
        <v>2113</v>
      </c>
      <c r="L328" s="145">
        <v>0</v>
      </c>
      <c r="M328" s="145">
        <v>0</v>
      </c>
      <c r="N328" s="145">
        <v>0</v>
      </c>
      <c r="O328" s="145">
        <f>N328+M328+L328</f>
        <v>0</v>
      </c>
      <c r="P328" s="145"/>
      <c r="Q328" s="145"/>
      <c r="R328" s="145">
        <v>0</v>
      </c>
      <c r="S328" s="145"/>
      <c r="T328" s="145"/>
      <c r="U328" s="145">
        <v>0</v>
      </c>
      <c r="V328" s="145"/>
      <c r="W328" s="145"/>
      <c r="X328" s="145">
        <v>0</v>
      </c>
      <c r="Y328" s="145"/>
      <c r="Z328" s="145"/>
      <c r="AA328" s="145">
        <v>0</v>
      </c>
      <c r="AB328" s="145"/>
      <c r="AC328" s="145"/>
      <c r="AD328" s="145">
        <v>0</v>
      </c>
      <c r="AE328" s="145"/>
      <c r="AF328" s="145"/>
      <c r="AG328" s="145">
        <v>0</v>
      </c>
      <c r="AH328" s="145"/>
      <c r="AI328" s="145"/>
      <c r="AJ328" s="145">
        <v>0</v>
      </c>
      <c r="AK328" s="145"/>
      <c r="AL328" s="145"/>
      <c r="AM328" s="145">
        <v>0</v>
      </c>
      <c r="AN328" s="145"/>
      <c r="AO328" s="145"/>
      <c r="AP328" s="145">
        <v>0</v>
      </c>
      <c r="AQ328" s="41">
        <f>IFERROR(VLOOKUP(G328,'10'!A:B,2,0),0)</f>
        <v>61524.85</v>
      </c>
      <c r="AR328" s="41">
        <f t="shared" si="172"/>
        <v>61524.85</v>
      </c>
      <c r="AS328" s="41">
        <f t="shared" si="177"/>
        <v>0</v>
      </c>
      <c r="AT328" s="41">
        <f t="shared" si="188"/>
        <v>61524.85</v>
      </c>
      <c r="AU328" s="41">
        <f t="shared" si="175"/>
        <v>61524.85</v>
      </c>
      <c r="AV328" s="459">
        <v>0</v>
      </c>
      <c r="AW328" s="145">
        <v>23882</v>
      </c>
      <c r="AX328" s="145">
        <v>8500</v>
      </c>
      <c r="AY328" s="41">
        <f t="shared" si="189"/>
        <v>32382</v>
      </c>
      <c r="AZ328" s="41">
        <f>VLOOKUP(G328,'2017'!A:B,2,0)</f>
        <v>142274.85999999999</v>
      </c>
      <c r="BA328" s="552">
        <f t="shared" si="190"/>
        <v>109892.85999999999</v>
      </c>
      <c r="BB328" s="361">
        <f>SUM(R328:AX328)</f>
        <v>278481.40000000002</v>
      </c>
      <c r="BC328" s="145">
        <v>315125</v>
      </c>
      <c r="BD328" s="145">
        <v>73645</v>
      </c>
      <c r="BE328" s="145">
        <v>0</v>
      </c>
      <c r="BF328" s="145">
        <v>0</v>
      </c>
      <c r="BG328" s="145">
        <v>0</v>
      </c>
      <c r="BH328" s="145">
        <v>0</v>
      </c>
      <c r="BI328" s="145">
        <v>421152.05</v>
      </c>
      <c r="BJ328" s="145"/>
      <c r="BK328" s="152"/>
      <c r="BL328" s="518"/>
    </row>
    <row r="329" spans="1:64" s="8" customFormat="1" ht="47.25" x14ac:dyDescent="0.25">
      <c r="A329" s="470" t="s">
        <v>842</v>
      </c>
      <c r="B329" s="470" t="s">
        <v>843</v>
      </c>
      <c r="C329" s="471" t="s">
        <v>844</v>
      </c>
      <c r="D329" s="470">
        <v>2</v>
      </c>
      <c r="E329" s="470" t="s">
        <v>35</v>
      </c>
      <c r="F329" s="470" t="s">
        <v>5</v>
      </c>
      <c r="G329" s="470" t="s">
        <v>911</v>
      </c>
      <c r="H329" s="45">
        <v>318</v>
      </c>
      <c r="I329" s="45" t="s">
        <v>842</v>
      </c>
      <c r="J329" s="471" t="s">
        <v>63</v>
      </c>
      <c r="K329" s="471" t="s">
        <v>912</v>
      </c>
      <c r="L329" s="43">
        <v>0</v>
      </c>
      <c r="M329" s="43">
        <v>0</v>
      </c>
      <c r="N329" s="43">
        <v>0</v>
      </c>
      <c r="O329" s="43">
        <f>N329+M329+L329</f>
        <v>0</v>
      </c>
      <c r="P329" s="43"/>
      <c r="Q329" s="43"/>
      <c r="R329" s="43">
        <v>0</v>
      </c>
      <c r="S329" s="43"/>
      <c r="T329" s="43"/>
      <c r="U329" s="43">
        <v>0</v>
      </c>
      <c r="V329" s="43"/>
      <c r="W329" s="43"/>
      <c r="X329" s="43">
        <v>0</v>
      </c>
      <c r="Y329" s="43"/>
      <c r="Z329" s="43"/>
      <c r="AA329" s="43">
        <v>0</v>
      </c>
      <c r="AB329" s="43"/>
      <c r="AC329" s="43"/>
      <c r="AD329" s="43">
        <v>0</v>
      </c>
      <c r="AE329" s="43"/>
      <c r="AF329" s="43"/>
      <c r="AG329" s="43">
        <v>0</v>
      </c>
      <c r="AH329" s="41">
        <v>66948</v>
      </c>
      <c r="AI329" s="41">
        <f>AH329-AG329</f>
        <v>66948</v>
      </c>
      <c r="AJ329" s="41">
        <v>0</v>
      </c>
      <c r="AK329" s="41">
        <v>0</v>
      </c>
      <c r="AL329" s="41">
        <f>AK329-AJ329</f>
        <v>0</v>
      </c>
      <c r="AM329" s="41">
        <v>0</v>
      </c>
      <c r="AN329" s="41">
        <v>0</v>
      </c>
      <c r="AO329" s="41">
        <f>AN329-AM329</f>
        <v>0</v>
      </c>
      <c r="AP329" s="41">
        <v>0</v>
      </c>
      <c r="AQ329" s="41">
        <f>IFERROR(VLOOKUP(G329,'10'!A:B,2,0),0)</f>
        <v>0</v>
      </c>
      <c r="AR329" s="41">
        <f t="shared" si="172"/>
        <v>0</v>
      </c>
      <c r="AS329" s="41">
        <f t="shared" si="177"/>
        <v>0</v>
      </c>
      <c r="AT329" s="41">
        <f t="shared" si="188"/>
        <v>66948</v>
      </c>
      <c r="AU329" s="41">
        <f t="shared" si="175"/>
        <v>66948</v>
      </c>
      <c r="AV329" s="459">
        <v>0</v>
      </c>
      <c r="AW329" s="41">
        <v>0</v>
      </c>
      <c r="AX329" s="41">
        <v>0</v>
      </c>
      <c r="AY329" s="41">
        <f t="shared" si="189"/>
        <v>0</v>
      </c>
      <c r="AZ329" s="41"/>
      <c r="BA329" s="36">
        <f t="shared" si="190"/>
        <v>0</v>
      </c>
      <c r="BB329" s="41">
        <v>95640</v>
      </c>
      <c r="BC329" s="41">
        <v>0</v>
      </c>
      <c r="BD329" s="41">
        <v>0</v>
      </c>
      <c r="BE329" s="41">
        <v>0</v>
      </c>
      <c r="BF329" s="41">
        <v>0</v>
      </c>
      <c r="BG329" s="41">
        <v>0</v>
      </c>
      <c r="BH329" s="41">
        <v>0</v>
      </c>
      <c r="BI329" s="41">
        <v>95640</v>
      </c>
      <c r="BJ329" s="78"/>
      <c r="BK329" s="27"/>
    </row>
    <row r="330" spans="1:64" s="8" customFormat="1" ht="47.25" x14ac:dyDescent="0.25">
      <c r="A330" s="470" t="s">
        <v>406</v>
      </c>
      <c r="B330" s="470" t="s">
        <v>411</v>
      </c>
      <c r="C330" s="471" t="s">
        <v>606</v>
      </c>
      <c r="D330" s="470">
        <v>1</v>
      </c>
      <c r="E330" s="470" t="s">
        <v>402</v>
      </c>
      <c r="F330" s="470" t="s">
        <v>77</v>
      </c>
      <c r="G330" s="43" t="s">
        <v>800</v>
      </c>
      <c r="H330" s="45">
        <v>319</v>
      </c>
      <c r="I330" s="45" t="s">
        <v>406</v>
      </c>
      <c r="J330" s="475" t="s">
        <v>499</v>
      </c>
      <c r="K330" s="475" t="s">
        <v>837</v>
      </c>
      <c r="L330" s="41">
        <v>0</v>
      </c>
      <c r="M330" s="41">
        <v>0</v>
      </c>
      <c r="N330" s="41">
        <v>0</v>
      </c>
      <c r="O330" s="40">
        <v>0</v>
      </c>
      <c r="P330" s="40">
        <v>0</v>
      </c>
      <c r="Q330" s="41">
        <f>P330-O330</f>
        <v>0</v>
      </c>
      <c r="R330" s="40">
        <v>0</v>
      </c>
      <c r="S330" s="40">
        <v>0</v>
      </c>
      <c r="T330" s="41">
        <f>S330-R330</f>
        <v>0</v>
      </c>
      <c r="U330" s="40">
        <v>0</v>
      </c>
      <c r="V330" s="40">
        <v>0</v>
      </c>
      <c r="W330" s="41">
        <f>V330-U330</f>
        <v>0</v>
      </c>
      <c r="X330" s="40">
        <v>0</v>
      </c>
      <c r="Y330" s="40">
        <v>0</v>
      </c>
      <c r="Z330" s="41">
        <f>Y330-X330</f>
        <v>0</v>
      </c>
      <c r="AA330" s="40">
        <v>0</v>
      </c>
      <c r="AB330" s="40">
        <v>0</v>
      </c>
      <c r="AC330" s="41">
        <f>AB330-AA330</f>
        <v>0</v>
      </c>
      <c r="AD330" s="41">
        <v>0</v>
      </c>
      <c r="AE330" s="41">
        <v>11660.16</v>
      </c>
      <c r="AF330" s="41">
        <f>AE330-AD330</f>
        <v>11660.16</v>
      </c>
      <c r="AG330" s="41">
        <v>0</v>
      </c>
      <c r="AH330" s="41">
        <v>0</v>
      </c>
      <c r="AI330" s="41">
        <f>AH330-AG330</f>
        <v>0</v>
      </c>
      <c r="AJ330" s="41">
        <v>0</v>
      </c>
      <c r="AK330" s="41">
        <v>57145.61</v>
      </c>
      <c r="AL330" s="41">
        <f>AK330-AJ330</f>
        <v>57145.61</v>
      </c>
      <c r="AM330" s="41">
        <v>0</v>
      </c>
      <c r="AN330" s="41">
        <v>0</v>
      </c>
      <c r="AO330" s="41">
        <f>AN330-AM330</f>
        <v>0</v>
      </c>
      <c r="AP330" s="41">
        <v>0</v>
      </c>
      <c r="AQ330" s="41">
        <f>IFERROR(VLOOKUP(G330,'10'!A:B,2,0),0)</f>
        <v>0</v>
      </c>
      <c r="AR330" s="41">
        <f t="shared" si="172"/>
        <v>0</v>
      </c>
      <c r="AS330" s="41">
        <f t="shared" si="177"/>
        <v>0</v>
      </c>
      <c r="AT330" s="41">
        <f t="shared" si="188"/>
        <v>68805.77</v>
      </c>
      <c r="AU330" s="41">
        <f t="shared" si="175"/>
        <v>68805.77</v>
      </c>
      <c r="AV330" s="459">
        <v>0</v>
      </c>
      <c r="AW330" s="41">
        <v>0</v>
      </c>
      <c r="AX330" s="41">
        <v>0</v>
      </c>
      <c r="AY330" s="41">
        <f t="shared" si="189"/>
        <v>0</v>
      </c>
      <c r="AZ330" s="41"/>
      <c r="BA330" s="36">
        <f t="shared" si="190"/>
        <v>0</v>
      </c>
      <c r="BB330" s="41">
        <v>458411.8</v>
      </c>
      <c r="BC330" s="41">
        <v>229205.9</v>
      </c>
      <c r="BD330" s="41">
        <v>0</v>
      </c>
      <c r="BE330" s="41">
        <v>0</v>
      </c>
      <c r="BF330" s="41">
        <v>0</v>
      </c>
      <c r="BG330" s="41">
        <v>0</v>
      </c>
      <c r="BH330" s="41">
        <v>0</v>
      </c>
      <c r="BI330" s="41">
        <v>687617.7</v>
      </c>
      <c r="BJ330" s="75"/>
      <c r="BK330" s="24"/>
    </row>
    <row r="331" spans="1:64" s="29" customFormat="1" ht="23.25" customHeight="1" x14ac:dyDescent="0.25">
      <c r="A331" s="472" t="s">
        <v>406</v>
      </c>
      <c r="B331" s="472" t="s">
        <v>411</v>
      </c>
      <c r="C331" s="473" t="s">
        <v>606</v>
      </c>
      <c r="D331" s="472">
        <v>1</v>
      </c>
      <c r="E331" s="472" t="s">
        <v>402</v>
      </c>
      <c r="F331" s="472" t="s">
        <v>77</v>
      </c>
      <c r="G331" s="474" t="s">
        <v>424</v>
      </c>
      <c r="H331" s="45">
        <v>320</v>
      </c>
      <c r="I331" s="45" t="s">
        <v>406</v>
      </c>
      <c r="J331" s="475" t="s">
        <v>425</v>
      </c>
      <c r="K331" s="475" t="s">
        <v>426</v>
      </c>
      <c r="L331" s="41"/>
      <c r="M331" s="41"/>
      <c r="N331" s="41"/>
      <c r="O331" s="41"/>
      <c r="P331" s="41">
        <v>0</v>
      </c>
      <c r="Q331" s="41">
        <f>P331-O331</f>
        <v>0</v>
      </c>
      <c r="R331" s="41"/>
      <c r="S331" s="41">
        <v>0</v>
      </c>
      <c r="T331" s="41">
        <f>S331-R331</f>
        <v>0</v>
      </c>
      <c r="U331" s="41"/>
      <c r="V331" s="41">
        <v>0</v>
      </c>
      <c r="W331" s="41">
        <f>V331-U331</f>
        <v>0</v>
      </c>
      <c r="X331" s="41">
        <v>2831.14</v>
      </c>
      <c r="Y331" s="41">
        <v>2831.14</v>
      </c>
      <c r="Z331" s="41">
        <f>Y331-X331</f>
        <v>0</v>
      </c>
      <c r="AA331" s="41"/>
      <c r="AB331" s="41">
        <v>0</v>
      </c>
      <c r="AC331" s="41">
        <f>AB331-AA331</f>
        <v>0</v>
      </c>
      <c r="AD331" s="41">
        <v>0</v>
      </c>
      <c r="AE331" s="41">
        <v>55729</v>
      </c>
      <c r="AF331" s="41">
        <f>AE331-AD331</f>
        <v>55729</v>
      </c>
      <c r="AG331" s="41">
        <v>14563.9</v>
      </c>
      <c r="AH331" s="41">
        <v>6144.66</v>
      </c>
      <c r="AI331" s="41">
        <f>AH331-AG331</f>
        <v>-8419.24</v>
      </c>
      <c r="AJ331" s="41">
        <v>0</v>
      </c>
      <c r="AK331" s="41">
        <v>0</v>
      </c>
      <c r="AL331" s="41">
        <f>AK331-AJ331</f>
        <v>0</v>
      </c>
      <c r="AM331" s="41">
        <v>0</v>
      </c>
      <c r="AN331" s="41">
        <v>0</v>
      </c>
      <c r="AO331" s="41">
        <f>AN331-AM331</f>
        <v>0</v>
      </c>
      <c r="AP331" s="41">
        <v>29951.45</v>
      </c>
      <c r="AQ331" s="41">
        <f>IFERROR(VLOOKUP(G331,'10'!A:B,2,0),0)</f>
        <v>53123.82</v>
      </c>
      <c r="AR331" s="41">
        <f t="shared" si="172"/>
        <v>23172.37</v>
      </c>
      <c r="AS331" s="41">
        <f t="shared" si="177"/>
        <v>47346.490000000005</v>
      </c>
      <c r="AT331" s="41">
        <f>AN331+AK331+AH331+AE331+AB331+Y331+V331+S331+P331+AQ331</f>
        <v>117828.62</v>
      </c>
      <c r="AU331" s="41">
        <f t="shared" si="175"/>
        <v>70482.13</v>
      </c>
      <c r="AV331" s="459">
        <f>AT331/AS331</f>
        <v>2.4886453040130321</v>
      </c>
      <c r="AW331" s="41">
        <v>0</v>
      </c>
      <c r="AX331" s="41">
        <v>0</v>
      </c>
      <c r="AY331" s="41">
        <f t="shared" si="189"/>
        <v>47346.49</v>
      </c>
      <c r="AZ331" s="41">
        <f>VLOOKUP(G331,'2017'!A:B,2,0)</f>
        <v>98906.650000000009</v>
      </c>
      <c r="BA331" s="552">
        <f t="shared" si="190"/>
        <v>51560.160000000011</v>
      </c>
      <c r="BB331" s="41">
        <v>104731.52</v>
      </c>
      <c r="BC331" s="41">
        <v>89893.450000000012</v>
      </c>
      <c r="BD331" s="41">
        <v>52101.130000000005</v>
      </c>
      <c r="BE331" s="41">
        <v>0</v>
      </c>
      <c r="BF331" s="41">
        <v>0</v>
      </c>
      <c r="BG331" s="41">
        <v>0</v>
      </c>
      <c r="BH331" s="41">
        <v>0</v>
      </c>
      <c r="BI331" s="41">
        <v>291241.45</v>
      </c>
      <c r="BJ331" s="75"/>
      <c r="BK331" s="27"/>
      <c r="BL331" s="8"/>
    </row>
    <row r="332" spans="1:64" s="8" customFormat="1" ht="38.25" x14ac:dyDescent="0.25">
      <c r="A332" s="18" t="s">
        <v>233</v>
      </c>
      <c r="B332" s="18" t="s">
        <v>234</v>
      </c>
      <c r="C332" s="19" t="s">
        <v>583</v>
      </c>
      <c r="D332" s="55">
        <v>1</v>
      </c>
      <c r="E332" s="55" t="s">
        <v>4</v>
      </c>
      <c r="F332" s="55" t="s">
        <v>5</v>
      </c>
      <c r="G332" s="55" t="s">
        <v>2852</v>
      </c>
      <c r="H332" s="45">
        <v>321</v>
      </c>
      <c r="I332" s="45" t="s">
        <v>233</v>
      </c>
      <c r="J332" s="19" t="s">
        <v>662</v>
      </c>
      <c r="K332" s="19" t="s">
        <v>2213</v>
      </c>
      <c r="L332" s="145">
        <v>0</v>
      </c>
      <c r="M332" s="145">
        <v>0</v>
      </c>
      <c r="N332" s="145">
        <v>0</v>
      </c>
      <c r="O332" s="145">
        <f>N332+M332+L332</f>
        <v>0</v>
      </c>
      <c r="P332" s="145"/>
      <c r="Q332" s="145"/>
      <c r="R332" s="145">
        <v>0</v>
      </c>
      <c r="S332" s="145"/>
      <c r="T332" s="145"/>
      <c r="U332" s="145">
        <v>0</v>
      </c>
      <c r="V332" s="145"/>
      <c r="W332" s="145"/>
      <c r="X332" s="145">
        <v>0</v>
      </c>
      <c r="Y332" s="145"/>
      <c r="Z332" s="145"/>
      <c r="AA332" s="145">
        <v>0</v>
      </c>
      <c r="AB332" s="145"/>
      <c r="AC332" s="145"/>
      <c r="AD332" s="145">
        <v>0</v>
      </c>
      <c r="AE332" s="145"/>
      <c r="AF332" s="145"/>
      <c r="AG332" s="145">
        <v>0</v>
      </c>
      <c r="AH332" s="145"/>
      <c r="AI332" s="145"/>
      <c r="AJ332" s="145">
        <v>0</v>
      </c>
      <c r="AK332" s="145"/>
      <c r="AL332" s="145"/>
      <c r="AM332" s="145">
        <v>0</v>
      </c>
      <c r="AN332" s="145"/>
      <c r="AO332" s="145"/>
      <c r="AP332" s="145">
        <v>0</v>
      </c>
      <c r="AQ332" s="41">
        <f>IFERROR(VLOOKUP(G332,'10'!A:B,2,0),0)</f>
        <v>73545.03</v>
      </c>
      <c r="AR332" s="41">
        <f t="shared" ref="AR332:AR395" si="191">AQ332-AP332</f>
        <v>73545.03</v>
      </c>
      <c r="AS332" s="41">
        <f t="shared" si="177"/>
        <v>0</v>
      </c>
      <c r="AT332" s="41">
        <f>AN332+AK332+AH332+AE332+AB332+-Y332+V332+S332+P332+AQ332</f>
        <v>73545.03</v>
      </c>
      <c r="AU332" s="41">
        <f t="shared" si="175"/>
        <v>73545.03</v>
      </c>
      <c r="AV332" s="459">
        <v>0</v>
      </c>
      <c r="AW332" s="145">
        <v>0</v>
      </c>
      <c r="AX332" s="145">
        <v>56270</v>
      </c>
      <c r="AY332" s="41">
        <f t="shared" si="189"/>
        <v>56270</v>
      </c>
      <c r="AZ332" s="41">
        <f>VLOOKUP(G332,'2017'!A:B,2,0)</f>
        <v>73545.03</v>
      </c>
      <c r="BA332" s="552">
        <f t="shared" si="190"/>
        <v>17275.03</v>
      </c>
      <c r="BB332" s="145">
        <f>SUM(R332:AX332)</f>
        <v>350450.12</v>
      </c>
      <c r="BC332" s="145">
        <v>1068661.3500000001</v>
      </c>
      <c r="BD332" s="145">
        <v>196688.65</v>
      </c>
      <c r="BE332" s="145">
        <v>0</v>
      </c>
      <c r="BF332" s="145">
        <v>0</v>
      </c>
      <c r="BG332" s="145">
        <v>0</v>
      </c>
      <c r="BH332" s="145">
        <v>0</v>
      </c>
      <c r="BI332" s="145">
        <v>1443576</v>
      </c>
      <c r="BJ332" s="145"/>
      <c r="BK332" s="152"/>
      <c r="BL332" s="518"/>
    </row>
    <row r="333" spans="1:64" s="8" customFormat="1" ht="63" x14ac:dyDescent="0.25">
      <c r="A333" s="55" t="s">
        <v>106</v>
      </c>
      <c r="B333" s="55" t="s">
        <v>107</v>
      </c>
      <c r="C333" s="155" t="s">
        <v>108</v>
      </c>
      <c r="D333" s="55">
        <v>1</v>
      </c>
      <c r="E333" s="55" t="s">
        <v>109</v>
      </c>
      <c r="F333" s="55" t="s">
        <v>5</v>
      </c>
      <c r="G333" s="484" t="s">
        <v>918</v>
      </c>
      <c r="H333" s="45">
        <v>322</v>
      </c>
      <c r="I333" s="45" t="s">
        <v>106</v>
      </c>
      <c r="J333" s="479" t="s">
        <v>111</v>
      </c>
      <c r="K333" s="479" t="s">
        <v>919</v>
      </c>
      <c r="L333" s="35">
        <v>0</v>
      </c>
      <c r="M333" s="35">
        <v>0</v>
      </c>
      <c r="N333" s="35">
        <v>0</v>
      </c>
      <c r="O333" s="35">
        <f>N333+M333+L333</f>
        <v>0</v>
      </c>
      <c r="P333" s="35"/>
      <c r="Q333" s="35"/>
      <c r="R333" s="35">
        <v>0</v>
      </c>
      <c r="S333" s="35"/>
      <c r="T333" s="35"/>
      <c r="U333" s="35">
        <v>0</v>
      </c>
      <c r="V333" s="35"/>
      <c r="W333" s="35"/>
      <c r="X333" s="35">
        <v>0</v>
      </c>
      <c r="Y333" s="35"/>
      <c r="Z333" s="35"/>
      <c r="AA333" s="35">
        <v>0</v>
      </c>
      <c r="AB333" s="35"/>
      <c r="AC333" s="35"/>
      <c r="AD333" s="35">
        <v>0</v>
      </c>
      <c r="AE333" s="35"/>
      <c r="AF333" s="35"/>
      <c r="AG333" s="35">
        <v>0</v>
      </c>
      <c r="AH333" s="41">
        <v>27012.620000000003</v>
      </c>
      <c r="AI333" s="41">
        <f t="shared" ref="AI333:AI338" si="192">AH333-AG333</f>
        <v>27012.620000000003</v>
      </c>
      <c r="AJ333" s="35">
        <v>0</v>
      </c>
      <c r="AK333" s="41">
        <v>0</v>
      </c>
      <c r="AL333" s="41">
        <f t="shared" ref="AL333:AL338" si="193">AK333-AJ333</f>
        <v>0</v>
      </c>
      <c r="AM333" s="35">
        <v>0</v>
      </c>
      <c r="AN333" s="41">
        <v>0</v>
      </c>
      <c r="AO333" s="41">
        <f t="shared" ref="AO333:AO338" si="194">AN333-AM333</f>
        <v>0</v>
      </c>
      <c r="AP333" s="35">
        <v>0</v>
      </c>
      <c r="AQ333" s="41">
        <f>IFERROR(VLOOKUP(G333,'10'!A:B,2,0),0)</f>
        <v>47129.37</v>
      </c>
      <c r="AR333" s="41">
        <f t="shared" si="191"/>
        <v>47129.37</v>
      </c>
      <c r="AS333" s="41">
        <f t="shared" si="177"/>
        <v>0</v>
      </c>
      <c r="AT333" s="41">
        <f>AN333+AK333+AH333+AE333+AB333+-Y333+V333+S333+P333+AQ333</f>
        <v>74141.990000000005</v>
      </c>
      <c r="AU333" s="41">
        <f t="shared" ref="AU333:AU396" si="195">AO333+AL333+AI333+AF333+AC333+Z333+W333+T333+Q333+AR333</f>
        <v>74141.990000000005</v>
      </c>
      <c r="AV333" s="459">
        <v>0</v>
      </c>
      <c r="AW333" s="35">
        <v>0</v>
      </c>
      <c r="AX333" s="35">
        <v>0</v>
      </c>
      <c r="AY333" s="41">
        <f t="shared" si="189"/>
        <v>0</v>
      </c>
      <c r="AZ333" s="41"/>
      <c r="BA333" s="36">
        <f t="shared" si="190"/>
        <v>0</v>
      </c>
      <c r="BB333" s="35">
        <v>565906.32999999996</v>
      </c>
      <c r="BC333" s="35">
        <v>0</v>
      </c>
      <c r="BD333" s="35">
        <v>0</v>
      </c>
      <c r="BE333" s="35">
        <v>0</v>
      </c>
      <c r="BF333" s="35">
        <v>0</v>
      </c>
      <c r="BG333" s="35">
        <v>0</v>
      </c>
      <c r="BH333" s="35">
        <v>0</v>
      </c>
      <c r="BI333" s="35">
        <v>565906.32999999996</v>
      </c>
      <c r="BJ333" s="78"/>
      <c r="BK333" s="24"/>
      <c r="BL333" s="29"/>
    </row>
    <row r="334" spans="1:64" s="8" customFormat="1" ht="47.25" x14ac:dyDescent="0.25">
      <c r="A334" s="470" t="s">
        <v>406</v>
      </c>
      <c r="B334" s="470" t="s">
        <v>411</v>
      </c>
      <c r="C334" s="471" t="s">
        <v>606</v>
      </c>
      <c r="D334" s="470">
        <v>1</v>
      </c>
      <c r="E334" s="470" t="s">
        <v>402</v>
      </c>
      <c r="F334" s="470" t="s">
        <v>77</v>
      </c>
      <c r="G334" s="43" t="s">
        <v>790</v>
      </c>
      <c r="H334" s="45">
        <v>323</v>
      </c>
      <c r="I334" s="45" t="s">
        <v>406</v>
      </c>
      <c r="J334" s="475" t="s">
        <v>69</v>
      </c>
      <c r="K334" s="475" t="s">
        <v>824</v>
      </c>
      <c r="L334" s="41">
        <v>0</v>
      </c>
      <c r="M334" s="41">
        <v>0</v>
      </c>
      <c r="N334" s="41">
        <v>0</v>
      </c>
      <c r="O334" s="40">
        <v>0</v>
      </c>
      <c r="P334" s="40">
        <v>0</v>
      </c>
      <c r="Q334" s="41">
        <f>P334-O334</f>
        <v>0</v>
      </c>
      <c r="R334" s="40">
        <v>0</v>
      </c>
      <c r="S334" s="40">
        <v>0</v>
      </c>
      <c r="T334" s="41">
        <f>S334-R334</f>
        <v>0</v>
      </c>
      <c r="U334" s="40">
        <v>0</v>
      </c>
      <c r="V334" s="40">
        <v>0</v>
      </c>
      <c r="W334" s="41">
        <f>V334-U334</f>
        <v>0</v>
      </c>
      <c r="X334" s="40">
        <v>0</v>
      </c>
      <c r="Y334" s="40">
        <v>0</v>
      </c>
      <c r="Z334" s="41">
        <f>Y334-X334</f>
        <v>0</v>
      </c>
      <c r="AA334" s="40">
        <v>0</v>
      </c>
      <c r="AB334" s="40">
        <v>0</v>
      </c>
      <c r="AC334" s="41">
        <f>AB334-AA334</f>
        <v>0</v>
      </c>
      <c r="AD334" s="41">
        <v>0</v>
      </c>
      <c r="AE334" s="41">
        <v>46444.38</v>
      </c>
      <c r="AF334" s="41">
        <f>AE334-AD334</f>
        <v>46444.38</v>
      </c>
      <c r="AG334" s="41">
        <v>0</v>
      </c>
      <c r="AH334" s="41">
        <v>0</v>
      </c>
      <c r="AI334" s="41">
        <f t="shared" si="192"/>
        <v>0</v>
      </c>
      <c r="AJ334" s="41">
        <v>0</v>
      </c>
      <c r="AK334" s="41">
        <v>31204.42</v>
      </c>
      <c r="AL334" s="41">
        <f t="shared" si="193"/>
        <v>31204.42</v>
      </c>
      <c r="AM334" s="41">
        <v>0</v>
      </c>
      <c r="AN334" s="41">
        <v>0</v>
      </c>
      <c r="AO334" s="41">
        <f t="shared" si="194"/>
        <v>0</v>
      </c>
      <c r="AP334" s="41">
        <v>0</v>
      </c>
      <c r="AQ334" s="41">
        <f>IFERROR(VLOOKUP(G334,'10'!A:B,2,0),0)</f>
        <v>0</v>
      </c>
      <c r="AR334" s="41">
        <f t="shared" si="191"/>
        <v>0</v>
      </c>
      <c r="AS334" s="41">
        <f t="shared" si="177"/>
        <v>0</v>
      </c>
      <c r="AT334" s="41">
        <f>AN334+AK334+AH334+AE334+AB334+Y334+V334+S334+P334+AQ334</f>
        <v>77648.799999999988</v>
      </c>
      <c r="AU334" s="41">
        <f t="shared" si="195"/>
        <v>77648.799999999988</v>
      </c>
      <c r="AV334" s="459">
        <v>0</v>
      </c>
      <c r="AW334" s="41">
        <v>0</v>
      </c>
      <c r="AX334" s="41">
        <v>0</v>
      </c>
      <c r="AY334" s="41">
        <f t="shared" si="189"/>
        <v>0</v>
      </c>
      <c r="AZ334" s="41"/>
      <c r="BA334" s="36">
        <f t="shared" si="190"/>
        <v>0</v>
      </c>
      <c r="BB334" s="41">
        <v>225587.03000000003</v>
      </c>
      <c r="BC334" s="41">
        <v>106158.61</v>
      </c>
      <c r="BD334" s="41">
        <v>0</v>
      </c>
      <c r="BE334" s="41">
        <v>0</v>
      </c>
      <c r="BF334" s="41">
        <v>0</v>
      </c>
      <c r="BG334" s="41">
        <v>0</v>
      </c>
      <c r="BH334" s="41">
        <v>0</v>
      </c>
      <c r="BI334" s="41">
        <v>331745.64</v>
      </c>
      <c r="BJ334" s="75"/>
      <c r="BK334" s="24"/>
    </row>
    <row r="335" spans="1:64" s="8" customFormat="1" ht="47.25" x14ac:dyDescent="0.25">
      <c r="A335" s="55" t="s">
        <v>106</v>
      </c>
      <c r="B335" s="55" t="s">
        <v>107</v>
      </c>
      <c r="C335" s="155" t="s">
        <v>108</v>
      </c>
      <c r="D335" s="55">
        <v>1</v>
      </c>
      <c r="E335" s="55" t="s">
        <v>109</v>
      </c>
      <c r="F335" s="55" t="s">
        <v>5</v>
      </c>
      <c r="G335" s="484" t="s">
        <v>914</v>
      </c>
      <c r="H335" s="45">
        <v>324</v>
      </c>
      <c r="I335" s="45" t="s">
        <v>106</v>
      </c>
      <c r="J335" s="479" t="s">
        <v>111</v>
      </c>
      <c r="K335" s="479" t="s">
        <v>915</v>
      </c>
      <c r="L335" s="35">
        <v>0</v>
      </c>
      <c r="M335" s="35">
        <v>0</v>
      </c>
      <c r="N335" s="35">
        <v>0</v>
      </c>
      <c r="O335" s="35">
        <f>N335+M335+L335</f>
        <v>0</v>
      </c>
      <c r="P335" s="35"/>
      <c r="Q335" s="35"/>
      <c r="R335" s="35">
        <v>0</v>
      </c>
      <c r="S335" s="35"/>
      <c r="T335" s="35"/>
      <c r="U335" s="35">
        <v>0</v>
      </c>
      <c r="V335" s="35"/>
      <c r="W335" s="35"/>
      <c r="X335" s="35">
        <v>0</v>
      </c>
      <c r="Y335" s="35"/>
      <c r="Z335" s="35"/>
      <c r="AA335" s="35">
        <v>0</v>
      </c>
      <c r="AB335" s="35"/>
      <c r="AC335" s="35"/>
      <c r="AD335" s="35">
        <v>0</v>
      </c>
      <c r="AE335" s="35"/>
      <c r="AF335" s="35"/>
      <c r="AG335" s="35">
        <v>0</v>
      </c>
      <c r="AH335" s="41">
        <v>44200</v>
      </c>
      <c r="AI335" s="41">
        <f t="shared" si="192"/>
        <v>44200</v>
      </c>
      <c r="AJ335" s="35">
        <v>0</v>
      </c>
      <c r="AK335" s="41">
        <v>0</v>
      </c>
      <c r="AL335" s="41">
        <f t="shared" si="193"/>
        <v>0</v>
      </c>
      <c r="AM335" s="35">
        <v>0</v>
      </c>
      <c r="AN335" s="41">
        <v>5100</v>
      </c>
      <c r="AO335" s="41">
        <f t="shared" si="194"/>
        <v>5100</v>
      </c>
      <c r="AP335" s="35">
        <v>0</v>
      </c>
      <c r="AQ335" s="41">
        <f>IFERROR(VLOOKUP(G335,'10'!A:B,2,0),0)</f>
        <v>31943.58</v>
      </c>
      <c r="AR335" s="41">
        <f t="shared" si="191"/>
        <v>31943.58</v>
      </c>
      <c r="AS335" s="41">
        <f t="shared" ref="AS335:AS398" si="196">AM335+AJ335+AG335+AD335+AA335+X335+U335+R335+O335+AP335</f>
        <v>0</v>
      </c>
      <c r="AT335" s="41">
        <f t="shared" ref="AT335:AT342" si="197">AN335+AK335+AH335+AE335+AB335+-Y335+V335+S335+P335+AQ335</f>
        <v>81243.58</v>
      </c>
      <c r="AU335" s="41">
        <f t="shared" si="195"/>
        <v>81243.58</v>
      </c>
      <c r="AV335" s="459">
        <v>0</v>
      </c>
      <c r="AW335" s="35">
        <v>0</v>
      </c>
      <c r="AX335" s="35">
        <v>0</v>
      </c>
      <c r="AY335" s="41">
        <f t="shared" si="189"/>
        <v>0</v>
      </c>
      <c r="AZ335" s="41"/>
      <c r="BA335" s="36">
        <f t="shared" si="190"/>
        <v>0</v>
      </c>
      <c r="BB335" s="430">
        <v>1338538.1599999999</v>
      </c>
      <c r="BC335" s="35">
        <v>0</v>
      </c>
      <c r="BD335" s="35">
        <v>0</v>
      </c>
      <c r="BE335" s="35">
        <v>0</v>
      </c>
      <c r="BF335" s="35">
        <v>0</v>
      </c>
      <c r="BG335" s="35">
        <v>0</v>
      </c>
      <c r="BH335" s="35">
        <v>0</v>
      </c>
      <c r="BI335" s="35">
        <v>1338538.1599999999</v>
      </c>
      <c r="BJ335" s="78"/>
      <c r="BK335" s="27"/>
    </row>
    <row r="336" spans="1:64" s="8" customFormat="1" ht="63" x14ac:dyDescent="0.25">
      <c r="A336" s="470" t="s">
        <v>406</v>
      </c>
      <c r="B336" s="470" t="s">
        <v>411</v>
      </c>
      <c r="C336" s="471" t="s">
        <v>606</v>
      </c>
      <c r="D336" s="470">
        <v>1</v>
      </c>
      <c r="E336" s="470" t="s">
        <v>402</v>
      </c>
      <c r="F336" s="470" t="s">
        <v>77</v>
      </c>
      <c r="G336" s="43" t="s">
        <v>793</v>
      </c>
      <c r="H336" s="45">
        <v>325</v>
      </c>
      <c r="I336" s="45" t="s">
        <v>406</v>
      </c>
      <c r="J336" s="475" t="s">
        <v>829</v>
      </c>
      <c r="K336" s="475" t="s">
        <v>830</v>
      </c>
      <c r="L336" s="41">
        <v>0</v>
      </c>
      <c r="M336" s="41">
        <v>0</v>
      </c>
      <c r="N336" s="41">
        <v>0</v>
      </c>
      <c r="O336" s="40">
        <v>0</v>
      </c>
      <c r="P336" s="40">
        <v>0</v>
      </c>
      <c r="Q336" s="41">
        <f>P336-O336</f>
        <v>0</v>
      </c>
      <c r="R336" s="40">
        <v>0</v>
      </c>
      <c r="S336" s="40">
        <v>0</v>
      </c>
      <c r="T336" s="41">
        <f>S336-R336</f>
        <v>0</v>
      </c>
      <c r="U336" s="40">
        <v>0</v>
      </c>
      <c r="V336" s="40">
        <v>0</v>
      </c>
      <c r="W336" s="41">
        <f>V336-U336</f>
        <v>0</v>
      </c>
      <c r="X336" s="40">
        <v>0</v>
      </c>
      <c r="Y336" s="40">
        <v>0</v>
      </c>
      <c r="Z336" s="41">
        <f>Y336-X336</f>
        <v>0</v>
      </c>
      <c r="AA336" s="40">
        <v>0</v>
      </c>
      <c r="AB336" s="40">
        <v>0</v>
      </c>
      <c r="AC336" s="41">
        <f>AB336-AA336</f>
        <v>0</v>
      </c>
      <c r="AD336" s="41">
        <v>0</v>
      </c>
      <c r="AE336" s="41">
        <v>8503.19</v>
      </c>
      <c r="AF336" s="41">
        <f>AE336-AD336</f>
        <v>8503.19</v>
      </c>
      <c r="AG336" s="41">
        <v>0</v>
      </c>
      <c r="AH336" s="41">
        <v>24765.52</v>
      </c>
      <c r="AI336" s="41">
        <f t="shared" si="192"/>
        <v>24765.52</v>
      </c>
      <c r="AJ336" s="41">
        <v>0</v>
      </c>
      <c r="AK336" s="41">
        <v>462.83</v>
      </c>
      <c r="AL336" s="41">
        <f t="shared" si="193"/>
        <v>462.83</v>
      </c>
      <c r="AM336" s="41">
        <v>0</v>
      </c>
      <c r="AN336" s="41">
        <v>47946.39</v>
      </c>
      <c r="AO336" s="41">
        <f t="shared" si="194"/>
        <v>47946.39</v>
      </c>
      <c r="AP336" s="41">
        <v>0</v>
      </c>
      <c r="AQ336" s="41">
        <f>IFERROR(VLOOKUP(G336,'10'!A:B,2,0),0)</f>
        <v>0</v>
      </c>
      <c r="AR336" s="41">
        <f t="shared" si="191"/>
        <v>0</v>
      </c>
      <c r="AS336" s="41">
        <f t="shared" si="196"/>
        <v>0</v>
      </c>
      <c r="AT336" s="41">
        <f t="shared" si="197"/>
        <v>81677.930000000008</v>
      </c>
      <c r="AU336" s="41">
        <f t="shared" si="195"/>
        <v>81677.930000000008</v>
      </c>
      <c r="AV336" s="459">
        <v>0</v>
      </c>
      <c r="AW336" s="41">
        <v>0</v>
      </c>
      <c r="AX336" s="41">
        <v>0</v>
      </c>
      <c r="AY336" s="41">
        <f t="shared" si="189"/>
        <v>0</v>
      </c>
      <c r="AZ336" s="41"/>
      <c r="BA336" s="36">
        <f t="shared" si="190"/>
        <v>0</v>
      </c>
      <c r="BB336" s="41">
        <v>143993.13</v>
      </c>
      <c r="BC336" s="41">
        <v>69597.42</v>
      </c>
      <c r="BD336" s="41">
        <v>0</v>
      </c>
      <c r="BE336" s="41">
        <v>0</v>
      </c>
      <c r="BF336" s="41">
        <v>0</v>
      </c>
      <c r="BG336" s="41">
        <v>0</v>
      </c>
      <c r="BH336" s="41">
        <v>0</v>
      </c>
      <c r="BI336" s="41">
        <v>213590.55</v>
      </c>
      <c r="BJ336" s="75"/>
      <c r="BK336" s="27"/>
      <c r="BL336" s="91"/>
    </row>
    <row r="337" spans="1:64" s="8" customFormat="1" ht="31.5" x14ac:dyDescent="0.25">
      <c r="A337" s="470" t="s">
        <v>89</v>
      </c>
      <c r="B337" s="470" t="s">
        <v>846</v>
      </c>
      <c r="C337" s="471" t="s">
        <v>847</v>
      </c>
      <c r="D337" s="470" t="s">
        <v>3</v>
      </c>
      <c r="E337" s="470" t="s">
        <v>11</v>
      </c>
      <c r="F337" s="470" t="s">
        <v>5</v>
      </c>
      <c r="G337" s="470" t="s">
        <v>902</v>
      </c>
      <c r="H337" s="45">
        <v>326</v>
      </c>
      <c r="I337" s="45" t="s">
        <v>89</v>
      </c>
      <c r="J337" s="471" t="s">
        <v>892</v>
      </c>
      <c r="K337" s="471" t="s">
        <v>903</v>
      </c>
      <c r="L337" s="43">
        <v>0</v>
      </c>
      <c r="M337" s="43">
        <v>0</v>
      </c>
      <c r="N337" s="43">
        <v>0</v>
      </c>
      <c r="O337" s="43">
        <v>0</v>
      </c>
      <c r="P337" s="43"/>
      <c r="Q337" s="43"/>
      <c r="R337" s="43">
        <v>0</v>
      </c>
      <c r="S337" s="43"/>
      <c r="T337" s="43"/>
      <c r="U337" s="43">
        <v>0</v>
      </c>
      <c r="V337" s="43"/>
      <c r="W337" s="43"/>
      <c r="X337" s="43">
        <v>0</v>
      </c>
      <c r="Y337" s="43"/>
      <c r="Z337" s="43"/>
      <c r="AA337" s="43">
        <v>0</v>
      </c>
      <c r="AB337" s="43"/>
      <c r="AC337" s="43"/>
      <c r="AD337" s="43">
        <v>0</v>
      </c>
      <c r="AE337" s="43"/>
      <c r="AF337" s="43"/>
      <c r="AG337" s="43">
        <v>0</v>
      </c>
      <c r="AH337" s="41">
        <v>38250</v>
      </c>
      <c r="AI337" s="41">
        <f t="shared" si="192"/>
        <v>38250</v>
      </c>
      <c r="AJ337" s="41">
        <v>0</v>
      </c>
      <c r="AK337" s="41">
        <v>39677.69</v>
      </c>
      <c r="AL337" s="41">
        <f t="shared" si="193"/>
        <v>39677.69</v>
      </c>
      <c r="AM337" s="41">
        <v>0</v>
      </c>
      <c r="AN337" s="41">
        <v>0</v>
      </c>
      <c r="AO337" s="41">
        <f t="shared" si="194"/>
        <v>0</v>
      </c>
      <c r="AP337" s="41">
        <v>0</v>
      </c>
      <c r="AQ337" s="41">
        <f>IFERROR(VLOOKUP(G337,'10'!A:B,2,0),0)</f>
        <v>4452.47</v>
      </c>
      <c r="AR337" s="41">
        <f t="shared" si="191"/>
        <v>4452.47</v>
      </c>
      <c r="AS337" s="41">
        <f t="shared" si="196"/>
        <v>0</v>
      </c>
      <c r="AT337" s="41">
        <f t="shared" si="197"/>
        <v>82380.160000000003</v>
      </c>
      <c r="AU337" s="41">
        <f t="shared" si="195"/>
        <v>82380.160000000003</v>
      </c>
      <c r="AV337" s="459">
        <v>0</v>
      </c>
      <c r="AW337" s="41">
        <v>0</v>
      </c>
      <c r="AX337" s="41">
        <v>0</v>
      </c>
      <c r="AY337" s="41">
        <f t="shared" si="189"/>
        <v>0</v>
      </c>
      <c r="AZ337" s="41"/>
      <c r="BA337" s="36">
        <f t="shared" si="190"/>
        <v>0</v>
      </c>
      <c r="BB337" s="41">
        <v>45254</v>
      </c>
      <c r="BC337" s="41">
        <v>0</v>
      </c>
      <c r="BD337" s="41">
        <v>0</v>
      </c>
      <c r="BE337" s="41">
        <v>0</v>
      </c>
      <c r="BF337" s="41">
        <v>0</v>
      </c>
      <c r="BG337" s="41">
        <v>0</v>
      </c>
      <c r="BH337" s="41">
        <v>0</v>
      </c>
      <c r="BI337" s="41">
        <v>45254</v>
      </c>
      <c r="BJ337" s="78"/>
      <c r="BK337" s="24"/>
      <c r="BL337" s="91"/>
    </row>
    <row r="338" spans="1:64" s="8" customFormat="1" ht="31.5" x14ac:dyDescent="0.25">
      <c r="A338" s="472" t="s">
        <v>138</v>
      </c>
      <c r="B338" s="472" t="s">
        <v>139</v>
      </c>
      <c r="C338" s="473" t="s">
        <v>576</v>
      </c>
      <c r="D338" s="472">
        <v>2</v>
      </c>
      <c r="E338" s="472" t="s">
        <v>35</v>
      </c>
      <c r="F338" s="472" t="s">
        <v>5</v>
      </c>
      <c r="G338" s="474" t="s">
        <v>713</v>
      </c>
      <c r="H338" s="45">
        <v>327</v>
      </c>
      <c r="I338" s="45" t="s">
        <v>138</v>
      </c>
      <c r="J338" s="475" t="s">
        <v>72</v>
      </c>
      <c r="K338" s="475" t="s">
        <v>714</v>
      </c>
      <c r="L338" s="41">
        <v>0</v>
      </c>
      <c r="M338" s="41">
        <v>0</v>
      </c>
      <c r="N338" s="41">
        <v>0</v>
      </c>
      <c r="O338" s="41">
        <v>0</v>
      </c>
      <c r="P338" s="41">
        <v>0</v>
      </c>
      <c r="Q338" s="41">
        <f>P338-O338</f>
        <v>0</v>
      </c>
      <c r="R338" s="41">
        <v>0</v>
      </c>
      <c r="S338" s="41">
        <v>0</v>
      </c>
      <c r="T338" s="41">
        <f>S338-R338</f>
        <v>0</v>
      </c>
      <c r="U338" s="41">
        <v>0</v>
      </c>
      <c r="V338" s="41">
        <v>0</v>
      </c>
      <c r="W338" s="41">
        <f>V338-U338</f>
        <v>0</v>
      </c>
      <c r="X338" s="41">
        <v>0</v>
      </c>
      <c r="Y338" s="41">
        <v>0</v>
      </c>
      <c r="Z338" s="41">
        <f>Y338-X338</f>
        <v>0</v>
      </c>
      <c r="AA338" s="41">
        <v>108388.19</v>
      </c>
      <c r="AB338" s="41">
        <v>0</v>
      </c>
      <c r="AC338" s="41">
        <f>AB338-AA338</f>
        <v>-108388.19</v>
      </c>
      <c r="AD338" s="41">
        <v>0</v>
      </c>
      <c r="AE338" s="41">
        <v>0</v>
      </c>
      <c r="AF338" s="41">
        <f>AE338-AD338</f>
        <v>0</v>
      </c>
      <c r="AG338" s="41">
        <v>0</v>
      </c>
      <c r="AH338" s="41">
        <v>91500.42</v>
      </c>
      <c r="AI338" s="41">
        <f t="shared" si="192"/>
        <v>91500.42</v>
      </c>
      <c r="AJ338" s="41">
        <v>0</v>
      </c>
      <c r="AK338" s="41">
        <v>101667.13</v>
      </c>
      <c r="AL338" s="41">
        <f t="shared" si="193"/>
        <v>101667.13</v>
      </c>
      <c r="AM338" s="41">
        <v>0</v>
      </c>
      <c r="AN338" s="41">
        <v>0</v>
      </c>
      <c r="AO338" s="41">
        <f t="shared" si="194"/>
        <v>0</v>
      </c>
      <c r="AP338" s="41">
        <v>0</v>
      </c>
      <c r="AQ338" s="41">
        <f>IFERROR(VLOOKUP(G338,'10'!A:B,2,0),0)</f>
        <v>0</v>
      </c>
      <c r="AR338" s="41">
        <f t="shared" si="191"/>
        <v>0</v>
      </c>
      <c r="AS338" s="41">
        <f t="shared" si="196"/>
        <v>108388.19</v>
      </c>
      <c r="AT338" s="41">
        <f t="shared" si="197"/>
        <v>193167.55</v>
      </c>
      <c r="AU338" s="41">
        <f t="shared" si="195"/>
        <v>84779.359999999986</v>
      </c>
      <c r="AV338" s="459">
        <f>AT338/AS338</f>
        <v>1.7821826344733682</v>
      </c>
      <c r="AW338" s="41">
        <v>0</v>
      </c>
      <c r="AX338" s="41">
        <v>0</v>
      </c>
      <c r="AY338" s="41">
        <f t="shared" si="189"/>
        <v>108388.19</v>
      </c>
      <c r="AZ338" s="41">
        <f>VLOOKUP(G338,'2017'!A:B,2,0)</f>
        <v>1315424.8999999999</v>
      </c>
      <c r="BA338" s="552">
        <v>0</v>
      </c>
      <c r="BB338" s="41">
        <v>2491607.96</v>
      </c>
      <c r="BC338" s="41">
        <v>0</v>
      </c>
      <c r="BD338" s="41">
        <v>0</v>
      </c>
      <c r="BE338" s="41">
        <v>0</v>
      </c>
      <c r="BF338" s="41">
        <v>0</v>
      </c>
      <c r="BG338" s="41">
        <v>0</v>
      </c>
      <c r="BH338" s="41">
        <v>0</v>
      </c>
      <c r="BI338" s="41">
        <v>2599996.15</v>
      </c>
      <c r="BJ338" s="75"/>
      <c r="BK338" s="24"/>
    </row>
    <row r="339" spans="1:64" s="8" customFormat="1" ht="51" x14ac:dyDescent="0.25">
      <c r="A339" s="18" t="s">
        <v>89</v>
      </c>
      <c r="B339" s="18" t="s">
        <v>846</v>
      </c>
      <c r="C339" s="19" t="s">
        <v>847</v>
      </c>
      <c r="D339" s="18" t="s">
        <v>3</v>
      </c>
      <c r="E339" s="18" t="s">
        <v>11</v>
      </c>
      <c r="F339" s="18" t="s">
        <v>5</v>
      </c>
      <c r="G339" s="18" t="s">
        <v>1360</v>
      </c>
      <c r="H339" s="45">
        <v>328</v>
      </c>
      <c r="I339" s="45" t="s">
        <v>89</v>
      </c>
      <c r="J339" s="19" t="s">
        <v>1356</v>
      </c>
      <c r="K339" s="19" t="s">
        <v>1361</v>
      </c>
      <c r="L339" s="145">
        <v>0</v>
      </c>
      <c r="M339" s="145">
        <v>0</v>
      </c>
      <c r="N339" s="145">
        <v>0</v>
      </c>
      <c r="O339" s="145">
        <f>N339+M339+L339</f>
        <v>0</v>
      </c>
      <c r="P339" s="145"/>
      <c r="Q339" s="145"/>
      <c r="R339" s="145">
        <v>0</v>
      </c>
      <c r="S339" s="145"/>
      <c r="T339" s="145"/>
      <c r="U339" s="145">
        <v>0</v>
      </c>
      <c r="V339" s="145"/>
      <c r="W339" s="145"/>
      <c r="X339" s="145">
        <v>0</v>
      </c>
      <c r="Y339" s="145"/>
      <c r="Z339" s="145"/>
      <c r="AA339" s="145">
        <v>0</v>
      </c>
      <c r="AB339" s="145"/>
      <c r="AC339" s="145"/>
      <c r="AD339" s="145">
        <v>0</v>
      </c>
      <c r="AE339" s="145"/>
      <c r="AF339" s="145"/>
      <c r="AG339" s="145">
        <v>0</v>
      </c>
      <c r="AH339" s="145"/>
      <c r="AI339" s="145"/>
      <c r="AJ339" s="145">
        <v>0</v>
      </c>
      <c r="AK339" s="145"/>
      <c r="AL339" s="145"/>
      <c r="AM339" s="145">
        <v>0</v>
      </c>
      <c r="AN339" s="145"/>
      <c r="AO339" s="145"/>
      <c r="AP339" s="145">
        <v>0</v>
      </c>
      <c r="AQ339" s="41">
        <f>IFERROR(VLOOKUP(G339,'10'!A:B,2,0),0)</f>
        <v>88482.14</v>
      </c>
      <c r="AR339" s="41">
        <f t="shared" si="191"/>
        <v>88482.14</v>
      </c>
      <c r="AS339" s="41">
        <f t="shared" si="196"/>
        <v>0</v>
      </c>
      <c r="AT339" s="41">
        <f t="shared" si="197"/>
        <v>88482.14</v>
      </c>
      <c r="AU339" s="41">
        <f t="shared" si="195"/>
        <v>88482.14</v>
      </c>
      <c r="AV339" s="459">
        <v>0</v>
      </c>
      <c r="AW339" s="145">
        <v>0</v>
      </c>
      <c r="AX339" s="145">
        <v>0</v>
      </c>
      <c r="AY339" s="41">
        <f t="shared" si="189"/>
        <v>0</v>
      </c>
      <c r="AZ339" s="41"/>
      <c r="BA339" s="145"/>
      <c r="BB339" s="145">
        <f>SUM(R339:AX339)</f>
        <v>353928.56</v>
      </c>
      <c r="BC339" s="145">
        <v>268600</v>
      </c>
      <c r="BD339" s="145">
        <v>0</v>
      </c>
      <c r="BE339" s="145">
        <v>0</v>
      </c>
      <c r="BF339" s="145">
        <v>0</v>
      </c>
      <c r="BG339" s="145">
        <v>0</v>
      </c>
      <c r="BH339" s="145">
        <v>0</v>
      </c>
      <c r="BI339" s="145">
        <v>268600</v>
      </c>
      <c r="BJ339" s="144"/>
      <c r="BK339" s="152"/>
      <c r="BL339" s="518"/>
    </row>
    <row r="340" spans="1:64" s="8" customFormat="1" ht="47.25" x14ac:dyDescent="0.25">
      <c r="A340" s="470" t="s">
        <v>406</v>
      </c>
      <c r="B340" s="470" t="s">
        <v>411</v>
      </c>
      <c r="C340" s="471" t="s">
        <v>606</v>
      </c>
      <c r="D340" s="470">
        <v>1</v>
      </c>
      <c r="E340" s="470" t="s">
        <v>402</v>
      </c>
      <c r="F340" s="470" t="s">
        <v>77</v>
      </c>
      <c r="G340" s="43" t="s">
        <v>789</v>
      </c>
      <c r="H340" s="45">
        <v>329</v>
      </c>
      <c r="I340" s="45" t="s">
        <v>406</v>
      </c>
      <c r="J340" s="475" t="s">
        <v>856</v>
      </c>
      <c r="K340" s="475" t="s">
        <v>857</v>
      </c>
      <c r="L340" s="43">
        <v>0</v>
      </c>
      <c r="M340" s="43">
        <v>0</v>
      </c>
      <c r="N340" s="43">
        <v>0</v>
      </c>
      <c r="O340" s="43">
        <v>0</v>
      </c>
      <c r="P340" s="43">
        <v>0</v>
      </c>
      <c r="Q340" s="43">
        <v>0</v>
      </c>
      <c r="R340" s="43">
        <v>0</v>
      </c>
      <c r="S340" s="43">
        <v>0</v>
      </c>
      <c r="T340" s="43">
        <v>0</v>
      </c>
      <c r="U340" s="43">
        <v>0</v>
      </c>
      <c r="V340" s="43">
        <v>0</v>
      </c>
      <c r="W340" s="43">
        <v>0</v>
      </c>
      <c r="X340" s="43">
        <v>0</v>
      </c>
      <c r="Y340" s="43">
        <v>0</v>
      </c>
      <c r="Z340" s="43">
        <v>0</v>
      </c>
      <c r="AA340" s="43">
        <v>0</v>
      </c>
      <c r="AB340" s="43">
        <v>0</v>
      </c>
      <c r="AC340" s="43">
        <v>0</v>
      </c>
      <c r="AD340" s="43">
        <v>0</v>
      </c>
      <c r="AE340" s="41">
        <v>34850</v>
      </c>
      <c r="AF340" s="41">
        <f>AE340-AD340</f>
        <v>34850</v>
      </c>
      <c r="AG340" s="40">
        <v>0</v>
      </c>
      <c r="AH340" s="41">
        <v>0</v>
      </c>
      <c r="AI340" s="41">
        <f>AH340-AG340</f>
        <v>0</v>
      </c>
      <c r="AJ340" s="40">
        <v>0</v>
      </c>
      <c r="AK340" s="41">
        <v>8797.5</v>
      </c>
      <c r="AL340" s="41">
        <f>AK340-AJ340</f>
        <v>8797.5</v>
      </c>
      <c r="AM340" s="40">
        <v>0</v>
      </c>
      <c r="AN340" s="41">
        <v>35941.730000000003</v>
      </c>
      <c r="AO340" s="41">
        <f>AN340-AM340</f>
        <v>35941.730000000003</v>
      </c>
      <c r="AP340" s="40">
        <v>0</v>
      </c>
      <c r="AQ340" s="41">
        <f>IFERROR(VLOOKUP(G340,'10'!A:B,2,0),0)</f>
        <v>8563.4599999999991</v>
      </c>
      <c r="AR340" s="41">
        <f t="shared" si="191"/>
        <v>8563.4599999999991</v>
      </c>
      <c r="AS340" s="41">
        <f t="shared" si="196"/>
        <v>0</v>
      </c>
      <c r="AT340" s="41">
        <f t="shared" si="197"/>
        <v>88152.69</v>
      </c>
      <c r="AU340" s="41">
        <f t="shared" si="195"/>
        <v>88152.69</v>
      </c>
      <c r="AV340" s="459">
        <v>0</v>
      </c>
      <c r="AW340" s="40">
        <v>0</v>
      </c>
      <c r="AX340" s="40">
        <v>0</v>
      </c>
      <c r="AY340" s="41">
        <f t="shared" si="189"/>
        <v>0</v>
      </c>
      <c r="AZ340" s="41"/>
      <c r="BA340" s="36">
        <f>AZ340-AY340</f>
        <v>0</v>
      </c>
      <c r="BB340" s="41">
        <v>222489.2</v>
      </c>
      <c r="BC340" s="41">
        <v>86523.199999999997</v>
      </c>
      <c r="BD340" s="41">
        <v>0</v>
      </c>
      <c r="BE340" s="41">
        <v>0</v>
      </c>
      <c r="BF340" s="41">
        <v>0</v>
      </c>
      <c r="BG340" s="41">
        <v>0</v>
      </c>
      <c r="BH340" s="41">
        <v>0</v>
      </c>
      <c r="BI340" s="41">
        <v>309012.40000000002</v>
      </c>
      <c r="BJ340" s="75"/>
      <c r="BK340" s="27"/>
    </row>
    <row r="341" spans="1:64" s="8" customFormat="1" ht="38.25" x14ac:dyDescent="0.25">
      <c r="A341" s="18" t="s">
        <v>842</v>
      </c>
      <c r="B341" s="18" t="s">
        <v>843</v>
      </c>
      <c r="C341" s="19" t="s">
        <v>844</v>
      </c>
      <c r="D341" s="18">
        <v>1</v>
      </c>
      <c r="E341" s="18" t="s">
        <v>35</v>
      </c>
      <c r="F341" s="18" t="s">
        <v>5</v>
      </c>
      <c r="G341" s="18" t="s">
        <v>1454</v>
      </c>
      <c r="H341" s="45">
        <v>330</v>
      </c>
      <c r="I341" s="45" t="s">
        <v>842</v>
      </c>
      <c r="J341" s="19" t="s">
        <v>1212</v>
      </c>
      <c r="K341" s="19" t="s">
        <v>1455</v>
      </c>
      <c r="L341" s="145">
        <v>0</v>
      </c>
      <c r="M341" s="145">
        <v>0</v>
      </c>
      <c r="N341" s="145">
        <v>0</v>
      </c>
      <c r="O341" s="145">
        <v>0</v>
      </c>
      <c r="P341" s="145"/>
      <c r="Q341" s="145"/>
      <c r="R341" s="145">
        <v>0</v>
      </c>
      <c r="S341" s="145"/>
      <c r="T341" s="145"/>
      <c r="U341" s="145">
        <v>0</v>
      </c>
      <c r="V341" s="145"/>
      <c r="W341" s="145"/>
      <c r="X341" s="145">
        <v>0</v>
      </c>
      <c r="Y341" s="145"/>
      <c r="Z341" s="145"/>
      <c r="AA341" s="145">
        <v>0</v>
      </c>
      <c r="AB341" s="145"/>
      <c r="AC341" s="145"/>
      <c r="AD341" s="145">
        <v>0</v>
      </c>
      <c r="AE341" s="145"/>
      <c r="AF341" s="145"/>
      <c r="AG341" s="145">
        <v>0</v>
      </c>
      <c r="AH341" s="145"/>
      <c r="AI341" s="145"/>
      <c r="AJ341" s="145">
        <v>0</v>
      </c>
      <c r="AK341" s="145"/>
      <c r="AL341" s="145"/>
      <c r="AM341" s="145">
        <v>0</v>
      </c>
      <c r="AN341" s="145"/>
      <c r="AO341" s="145"/>
      <c r="AP341" s="145">
        <v>0</v>
      </c>
      <c r="AQ341" s="41">
        <f>IFERROR(VLOOKUP(G341,'10'!A:B,2,0),0)</f>
        <v>89258.53</v>
      </c>
      <c r="AR341" s="41">
        <f t="shared" si="191"/>
        <v>89258.53</v>
      </c>
      <c r="AS341" s="41">
        <f t="shared" si="196"/>
        <v>0</v>
      </c>
      <c r="AT341" s="41">
        <f t="shared" si="197"/>
        <v>89258.53</v>
      </c>
      <c r="AU341" s="41">
        <f t="shared" si="195"/>
        <v>89258.53</v>
      </c>
      <c r="AV341" s="459">
        <v>0</v>
      </c>
      <c r="AW341" s="145">
        <v>0</v>
      </c>
      <c r="AX341" s="145">
        <v>0</v>
      </c>
      <c r="AY341" s="145">
        <v>0</v>
      </c>
      <c r="AZ341" s="145"/>
      <c r="BA341" s="145"/>
      <c r="BB341" s="145">
        <v>178517.05</v>
      </c>
      <c r="BC341" s="145">
        <v>0</v>
      </c>
      <c r="BD341" s="145">
        <v>0</v>
      </c>
      <c r="BE341" s="145">
        <v>0</v>
      </c>
      <c r="BF341" s="145">
        <v>0</v>
      </c>
      <c r="BG341" s="145">
        <v>0</v>
      </c>
      <c r="BH341" s="145">
        <v>0</v>
      </c>
      <c r="BI341" s="144">
        <v>178517.05</v>
      </c>
      <c r="BJ341" s="152"/>
      <c r="BK341" s="152"/>
      <c r="BL341" s="518"/>
    </row>
    <row r="342" spans="1:64" s="8" customFormat="1" ht="47.25" x14ac:dyDescent="0.25">
      <c r="A342" s="439" t="s">
        <v>150</v>
      </c>
      <c r="B342" s="439" t="s">
        <v>151</v>
      </c>
      <c r="C342" s="440" t="s">
        <v>578</v>
      </c>
      <c r="D342" s="439" t="s">
        <v>3</v>
      </c>
      <c r="E342" s="439" t="s">
        <v>29</v>
      </c>
      <c r="F342" s="439" t="s">
        <v>102</v>
      </c>
      <c r="G342" s="439" t="s">
        <v>2002</v>
      </c>
      <c r="H342" s="45">
        <v>331</v>
      </c>
      <c r="I342" s="45" t="s">
        <v>150</v>
      </c>
      <c r="J342" s="440" t="s">
        <v>98</v>
      </c>
      <c r="K342" s="440" t="s">
        <v>2003</v>
      </c>
      <c r="L342" s="441">
        <v>0</v>
      </c>
      <c r="M342" s="441">
        <v>0</v>
      </c>
      <c r="N342" s="441">
        <v>0</v>
      </c>
      <c r="O342" s="441">
        <f>N342+M342+L342</f>
        <v>0</v>
      </c>
      <c r="P342" s="441"/>
      <c r="Q342" s="441"/>
      <c r="R342" s="441">
        <v>0</v>
      </c>
      <c r="S342" s="441"/>
      <c r="T342" s="441"/>
      <c r="U342" s="441">
        <v>0</v>
      </c>
      <c r="V342" s="441"/>
      <c r="W342" s="441"/>
      <c r="X342" s="441">
        <v>0</v>
      </c>
      <c r="Y342" s="441"/>
      <c r="Z342" s="441"/>
      <c r="AA342" s="441">
        <v>0</v>
      </c>
      <c r="AB342" s="441"/>
      <c r="AC342" s="441"/>
      <c r="AD342" s="441">
        <v>0</v>
      </c>
      <c r="AE342" s="441"/>
      <c r="AF342" s="441"/>
      <c r="AG342" s="441">
        <v>0</v>
      </c>
      <c r="AH342" s="441"/>
      <c r="AI342" s="441"/>
      <c r="AJ342" s="441">
        <v>0</v>
      </c>
      <c r="AK342" s="41">
        <v>104778.26</v>
      </c>
      <c r="AL342" s="41">
        <f>AK342-AJ342</f>
        <v>104778.26</v>
      </c>
      <c r="AM342" s="441">
        <v>0</v>
      </c>
      <c r="AN342" s="41">
        <v>0</v>
      </c>
      <c r="AO342" s="41">
        <f>AN342-AM342</f>
        <v>0</v>
      </c>
      <c r="AP342" s="441">
        <v>0</v>
      </c>
      <c r="AQ342" s="41">
        <f>IFERROR(VLOOKUP(G342,'10'!A:B,2,0),0)</f>
        <v>0</v>
      </c>
      <c r="AR342" s="41">
        <f t="shared" si="191"/>
        <v>0</v>
      </c>
      <c r="AS342" s="41">
        <f t="shared" si="196"/>
        <v>0</v>
      </c>
      <c r="AT342" s="41">
        <f t="shared" si="197"/>
        <v>104778.26</v>
      </c>
      <c r="AU342" s="41">
        <f t="shared" si="195"/>
        <v>104778.26</v>
      </c>
      <c r="AV342" s="459">
        <v>0</v>
      </c>
      <c r="AW342" s="441">
        <v>0</v>
      </c>
      <c r="AX342" s="441">
        <v>0</v>
      </c>
      <c r="AY342" s="41">
        <f t="shared" ref="AY342:AY383" si="198">AX342+AW342+AP342+AM342+AJ342+AG342+AA342+X342+U342+R342+O342+AD342</f>
        <v>0</v>
      </c>
      <c r="AZ342" s="41"/>
      <c r="BA342" s="40">
        <f>AZ342-AY342</f>
        <v>0</v>
      </c>
      <c r="BB342" s="441">
        <v>11050000</v>
      </c>
      <c r="BC342" s="441">
        <v>1184908.25</v>
      </c>
      <c r="BD342" s="441">
        <v>0</v>
      </c>
      <c r="BE342" s="441">
        <v>0</v>
      </c>
      <c r="BF342" s="441">
        <v>0</v>
      </c>
      <c r="BG342" s="441">
        <v>0</v>
      </c>
      <c r="BH342" s="441">
        <v>0</v>
      </c>
      <c r="BI342" s="441">
        <v>12234908.25</v>
      </c>
      <c r="BJ342" s="144"/>
      <c r="BK342" s="24"/>
    </row>
    <row r="343" spans="1:64" s="8" customFormat="1" ht="31.5" x14ac:dyDescent="0.25">
      <c r="A343" s="472" t="s">
        <v>119</v>
      </c>
      <c r="B343" s="472" t="s">
        <v>120</v>
      </c>
      <c r="C343" s="473" t="s">
        <v>574</v>
      </c>
      <c r="D343" s="472">
        <v>1</v>
      </c>
      <c r="E343" s="472" t="s">
        <v>35</v>
      </c>
      <c r="F343" s="472" t="s">
        <v>102</v>
      </c>
      <c r="G343" s="474" t="s">
        <v>121</v>
      </c>
      <c r="H343" s="45">
        <v>332</v>
      </c>
      <c r="I343" s="45" t="s">
        <v>119</v>
      </c>
      <c r="J343" s="475" t="s">
        <v>122</v>
      </c>
      <c r="K343" s="475" t="s">
        <v>123</v>
      </c>
      <c r="L343" s="41"/>
      <c r="M343" s="41"/>
      <c r="N343" s="41"/>
      <c r="O343" s="41"/>
      <c r="P343" s="41">
        <v>0</v>
      </c>
      <c r="Q343" s="41">
        <f>P343-O343</f>
        <v>0</v>
      </c>
      <c r="R343" s="41"/>
      <c r="S343" s="41">
        <v>0</v>
      </c>
      <c r="T343" s="41">
        <f>S343-R343</f>
        <v>0</v>
      </c>
      <c r="U343" s="41"/>
      <c r="V343" s="41">
        <v>0</v>
      </c>
      <c r="W343" s="41">
        <f>V343-U343</f>
        <v>0</v>
      </c>
      <c r="X343" s="41">
        <v>169110</v>
      </c>
      <c r="Y343" s="41">
        <v>169110</v>
      </c>
      <c r="Z343" s="41">
        <f>Y343-X343</f>
        <v>0</v>
      </c>
      <c r="AA343" s="41"/>
      <c r="AB343" s="41">
        <v>0</v>
      </c>
      <c r="AC343" s="41">
        <f>AB343-AA343</f>
        <v>0</v>
      </c>
      <c r="AD343" s="41">
        <v>0</v>
      </c>
      <c r="AE343" s="41">
        <v>0</v>
      </c>
      <c r="AF343" s="41">
        <f>AE343-AD343</f>
        <v>0</v>
      </c>
      <c r="AG343" s="41">
        <v>109080</v>
      </c>
      <c r="AH343" s="41">
        <v>74602.11</v>
      </c>
      <c r="AI343" s="41">
        <f>AH343-AG343</f>
        <v>-34477.89</v>
      </c>
      <c r="AJ343" s="41">
        <v>0</v>
      </c>
      <c r="AK343" s="41">
        <v>101572.97</v>
      </c>
      <c r="AL343" s="41">
        <f>AK343-AJ343</f>
        <v>101572.97</v>
      </c>
      <c r="AM343" s="41">
        <v>139247.16</v>
      </c>
      <c r="AN343" s="41">
        <v>74916.23</v>
      </c>
      <c r="AO343" s="41">
        <f>AN343-AM343</f>
        <v>-64330.930000000008</v>
      </c>
      <c r="AP343" s="41">
        <v>0</v>
      </c>
      <c r="AQ343" s="41">
        <f>IFERROR(VLOOKUP(G343,'10'!A:B,2,0),0)</f>
        <v>105539.04</v>
      </c>
      <c r="AR343" s="41">
        <f t="shared" si="191"/>
        <v>105539.04</v>
      </c>
      <c r="AS343" s="41">
        <f t="shared" si="196"/>
        <v>417437.16000000003</v>
      </c>
      <c r="AT343" s="41">
        <f>AN343+AK343+AH343+AE343+AB343+Y343+V343+S343+P343+AQ343</f>
        <v>525740.35</v>
      </c>
      <c r="AU343" s="41">
        <f t="shared" si="195"/>
        <v>108303.18999999999</v>
      </c>
      <c r="AV343" s="459">
        <f>AT343/AS343</f>
        <v>1.2594478891146152</v>
      </c>
      <c r="AW343" s="41">
        <v>170238.97</v>
      </c>
      <c r="AX343" s="41">
        <v>0</v>
      </c>
      <c r="AY343" s="41">
        <f t="shared" si="198"/>
        <v>587676.13</v>
      </c>
      <c r="AZ343" s="41">
        <f>VLOOKUP(G343,'2017'!A:B,2,0)</f>
        <v>587675.62</v>
      </c>
      <c r="BA343" s="552">
        <f>AZ343-AY343</f>
        <v>-0.51000000000931323</v>
      </c>
      <c r="BB343" s="41">
        <v>365839.78</v>
      </c>
      <c r="BC343" s="41">
        <v>0</v>
      </c>
      <c r="BD343" s="41">
        <v>0</v>
      </c>
      <c r="BE343" s="41">
        <v>0</v>
      </c>
      <c r="BF343" s="41">
        <v>87155.65</v>
      </c>
      <c r="BG343" s="41">
        <v>0</v>
      </c>
      <c r="BH343" s="41">
        <v>0</v>
      </c>
      <c r="BI343" s="41">
        <v>871561.56</v>
      </c>
      <c r="BJ343" s="75"/>
      <c r="BK343" s="27"/>
    </row>
    <row r="344" spans="1:64" s="8" customFormat="1" ht="63" x14ac:dyDescent="0.25">
      <c r="A344" s="470" t="s">
        <v>74</v>
      </c>
      <c r="B344" s="470" t="s">
        <v>852</v>
      </c>
      <c r="C344" s="471" t="s">
        <v>853</v>
      </c>
      <c r="D344" s="470">
        <v>1</v>
      </c>
      <c r="E344" s="470" t="s">
        <v>76</v>
      </c>
      <c r="F344" s="470" t="s">
        <v>77</v>
      </c>
      <c r="G344" s="43" t="s">
        <v>772</v>
      </c>
      <c r="H344" s="45">
        <v>333</v>
      </c>
      <c r="I344" s="45" t="s">
        <v>74</v>
      </c>
      <c r="J344" s="475" t="s">
        <v>854</v>
      </c>
      <c r="K344" s="475" t="s">
        <v>855</v>
      </c>
      <c r="L344" s="41">
        <v>0</v>
      </c>
      <c r="M344" s="41">
        <v>0</v>
      </c>
      <c r="N344" s="41">
        <v>0</v>
      </c>
      <c r="O344" s="40">
        <v>0</v>
      </c>
      <c r="P344" s="40">
        <v>0</v>
      </c>
      <c r="Q344" s="41">
        <f>P344-O344</f>
        <v>0</v>
      </c>
      <c r="R344" s="40">
        <v>0</v>
      </c>
      <c r="S344" s="40">
        <v>0</v>
      </c>
      <c r="T344" s="41">
        <f>S344-R344</f>
        <v>0</v>
      </c>
      <c r="U344" s="40">
        <v>0</v>
      </c>
      <c r="V344" s="40">
        <v>0</v>
      </c>
      <c r="W344" s="41">
        <f>V344-U344</f>
        <v>0</v>
      </c>
      <c r="X344" s="40">
        <v>0</v>
      </c>
      <c r="Y344" s="40">
        <v>0</v>
      </c>
      <c r="Z344" s="41">
        <f>Y344-X344</f>
        <v>0</v>
      </c>
      <c r="AA344" s="40">
        <v>0</v>
      </c>
      <c r="AB344" s="40">
        <v>0</v>
      </c>
      <c r="AC344" s="41">
        <f>AB344-AA344</f>
        <v>0</v>
      </c>
      <c r="AD344" s="41">
        <v>0</v>
      </c>
      <c r="AE344" s="41">
        <v>51565</v>
      </c>
      <c r="AF344" s="41">
        <f>AE344-AD344</f>
        <v>51565</v>
      </c>
      <c r="AG344" s="40">
        <v>0</v>
      </c>
      <c r="AH344" s="41">
        <v>0</v>
      </c>
      <c r="AI344" s="41">
        <f>AH344-AG344</f>
        <v>0</v>
      </c>
      <c r="AJ344" s="40">
        <v>0</v>
      </c>
      <c r="AK344" s="41">
        <v>16853.740000000002</v>
      </c>
      <c r="AL344" s="41">
        <f>AK344-AJ344</f>
        <v>16853.740000000002</v>
      </c>
      <c r="AM344" s="40">
        <v>0</v>
      </c>
      <c r="AN344" s="41">
        <v>0</v>
      </c>
      <c r="AO344" s="41">
        <f>AN344-AM344</f>
        <v>0</v>
      </c>
      <c r="AP344" s="40">
        <v>0</v>
      </c>
      <c r="AQ344" s="41">
        <f>IFERROR(VLOOKUP(G344,'10'!A:B,2,0),0)</f>
        <v>41070.300000000003</v>
      </c>
      <c r="AR344" s="41">
        <f t="shared" si="191"/>
        <v>41070.300000000003</v>
      </c>
      <c r="AS344" s="41">
        <f t="shared" si="196"/>
        <v>0</v>
      </c>
      <c r="AT344" s="41">
        <f t="shared" ref="AT344:AT384" si="199">AN344+AK344+AH344+AE344+AB344+-Y344+V344+S344+P344+AQ344</f>
        <v>109489.04000000001</v>
      </c>
      <c r="AU344" s="41">
        <f t="shared" si="195"/>
        <v>109489.04000000001</v>
      </c>
      <c r="AV344" s="459">
        <v>0</v>
      </c>
      <c r="AW344" s="40">
        <v>0</v>
      </c>
      <c r="AX344" s="40">
        <v>0</v>
      </c>
      <c r="AY344" s="41">
        <f t="shared" si="198"/>
        <v>0</v>
      </c>
      <c r="AZ344" s="41"/>
      <c r="BA344" s="36">
        <f>AZ344-AY344</f>
        <v>0</v>
      </c>
      <c r="BB344" s="41">
        <v>298928.84000000003</v>
      </c>
      <c r="BC344" s="41">
        <v>119571.23</v>
      </c>
      <c r="BD344" s="41">
        <v>119571.23</v>
      </c>
      <c r="BE344" s="41">
        <v>59785.7</v>
      </c>
      <c r="BF344" s="41">
        <v>0</v>
      </c>
      <c r="BG344" s="41">
        <v>0</v>
      </c>
      <c r="BH344" s="41">
        <v>0</v>
      </c>
      <c r="BI344" s="41">
        <v>597857</v>
      </c>
      <c r="BJ344" s="75"/>
      <c r="BK344" s="24"/>
    </row>
    <row r="345" spans="1:64" s="8" customFormat="1" ht="47.25" x14ac:dyDescent="0.25">
      <c r="A345" s="470" t="s">
        <v>89</v>
      </c>
      <c r="B345" s="470" t="s">
        <v>846</v>
      </c>
      <c r="C345" s="471" t="s">
        <v>847</v>
      </c>
      <c r="D345" s="470" t="s">
        <v>3</v>
      </c>
      <c r="E345" s="470" t="s">
        <v>11</v>
      </c>
      <c r="F345" s="470" t="s">
        <v>5</v>
      </c>
      <c r="G345" s="43" t="s">
        <v>773</v>
      </c>
      <c r="H345" s="45">
        <v>334</v>
      </c>
      <c r="I345" s="45" t="s">
        <v>89</v>
      </c>
      <c r="J345" s="475" t="s">
        <v>848</v>
      </c>
      <c r="K345" s="475" t="s">
        <v>849</v>
      </c>
      <c r="L345" s="41">
        <v>0</v>
      </c>
      <c r="M345" s="41">
        <v>0</v>
      </c>
      <c r="N345" s="41">
        <v>0</v>
      </c>
      <c r="O345" s="40">
        <v>0</v>
      </c>
      <c r="P345" s="40">
        <v>0</v>
      </c>
      <c r="Q345" s="41">
        <f>P345-O345</f>
        <v>0</v>
      </c>
      <c r="R345" s="40">
        <v>0</v>
      </c>
      <c r="S345" s="40">
        <v>0</v>
      </c>
      <c r="T345" s="41">
        <f>S345-R345</f>
        <v>0</v>
      </c>
      <c r="U345" s="40">
        <v>0</v>
      </c>
      <c r="V345" s="40">
        <v>0</v>
      </c>
      <c r="W345" s="41">
        <f>V345-U345</f>
        <v>0</v>
      </c>
      <c r="X345" s="40">
        <v>0</v>
      </c>
      <c r="Y345" s="40">
        <v>0</v>
      </c>
      <c r="Z345" s="41">
        <f>Y345-X345</f>
        <v>0</v>
      </c>
      <c r="AA345" s="40">
        <v>0</v>
      </c>
      <c r="AB345" s="40">
        <v>0</v>
      </c>
      <c r="AC345" s="41">
        <f>AB345-AA345</f>
        <v>0</v>
      </c>
      <c r="AD345" s="41">
        <v>0</v>
      </c>
      <c r="AE345" s="41">
        <v>115050.72</v>
      </c>
      <c r="AF345" s="41">
        <f>AE345-AD345</f>
        <v>115050.72</v>
      </c>
      <c r="AG345" s="40">
        <v>0</v>
      </c>
      <c r="AH345" s="41">
        <v>0</v>
      </c>
      <c r="AI345" s="41">
        <f>AH345-AG345</f>
        <v>0</v>
      </c>
      <c r="AJ345" s="40">
        <v>0</v>
      </c>
      <c r="AK345" s="41">
        <v>0</v>
      </c>
      <c r="AL345" s="41">
        <f>AK345-AJ345</f>
        <v>0</v>
      </c>
      <c r="AM345" s="40">
        <v>0</v>
      </c>
      <c r="AN345" s="41">
        <v>0</v>
      </c>
      <c r="AO345" s="41">
        <f>AN345-AM345</f>
        <v>0</v>
      </c>
      <c r="AP345" s="40">
        <v>0</v>
      </c>
      <c r="AQ345" s="41">
        <f>IFERROR(VLOOKUP(G345,'10'!A:B,2,0),0)</f>
        <v>0</v>
      </c>
      <c r="AR345" s="41">
        <f t="shared" si="191"/>
        <v>0</v>
      </c>
      <c r="AS345" s="41">
        <f t="shared" si="196"/>
        <v>0</v>
      </c>
      <c r="AT345" s="41">
        <f t="shared" si="199"/>
        <v>115050.72</v>
      </c>
      <c r="AU345" s="41">
        <f t="shared" si="195"/>
        <v>115050.72</v>
      </c>
      <c r="AV345" s="459">
        <v>0</v>
      </c>
      <c r="AW345" s="40">
        <v>0</v>
      </c>
      <c r="AX345" s="40">
        <v>0</v>
      </c>
      <c r="AY345" s="41">
        <f t="shared" si="198"/>
        <v>0</v>
      </c>
      <c r="AZ345" s="41"/>
      <c r="BA345" s="36">
        <f>AZ345-AY345</f>
        <v>0</v>
      </c>
      <c r="BB345" s="41">
        <v>116669.97</v>
      </c>
      <c r="BC345" s="41">
        <v>0</v>
      </c>
      <c r="BD345" s="41">
        <v>0</v>
      </c>
      <c r="BE345" s="41">
        <v>0</v>
      </c>
      <c r="BF345" s="41">
        <v>0</v>
      </c>
      <c r="BG345" s="41">
        <v>0</v>
      </c>
      <c r="BH345" s="41">
        <v>0</v>
      </c>
      <c r="BI345" s="41">
        <v>116669.97</v>
      </c>
      <c r="BJ345" s="75"/>
      <c r="BK345" s="24"/>
    </row>
    <row r="346" spans="1:64" s="8" customFormat="1" ht="38.25" x14ac:dyDescent="0.25">
      <c r="A346" s="18" t="s">
        <v>842</v>
      </c>
      <c r="B346" s="18" t="s">
        <v>843</v>
      </c>
      <c r="C346" s="19" t="s">
        <v>844</v>
      </c>
      <c r="D346" s="18">
        <v>2</v>
      </c>
      <c r="E346" s="18" t="s">
        <v>35</v>
      </c>
      <c r="F346" s="18" t="s">
        <v>5</v>
      </c>
      <c r="G346" s="18" t="s">
        <v>2847</v>
      </c>
      <c r="H346" s="45">
        <v>335</v>
      </c>
      <c r="I346" s="45" t="s">
        <v>842</v>
      </c>
      <c r="J346" s="19" t="s">
        <v>69</v>
      </c>
      <c r="K346" s="19" t="s">
        <v>1554</v>
      </c>
      <c r="L346" s="145">
        <v>0</v>
      </c>
      <c r="M346" s="145">
        <v>0</v>
      </c>
      <c r="N346" s="145">
        <v>0</v>
      </c>
      <c r="O346" s="145">
        <f>N346+M346+L346</f>
        <v>0</v>
      </c>
      <c r="P346" s="145"/>
      <c r="Q346" s="145"/>
      <c r="R346" s="145">
        <v>0</v>
      </c>
      <c r="S346" s="145"/>
      <c r="T346" s="145"/>
      <c r="U346" s="145">
        <v>0</v>
      </c>
      <c r="V346" s="145"/>
      <c r="W346" s="145"/>
      <c r="X346" s="145">
        <v>0</v>
      </c>
      <c r="Y346" s="145"/>
      <c r="Z346" s="145"/>
      <c r="AA346" s="145">
        <v>0</v>
      </c>
      <c r="AB346" s="145"/>
      <c r="AC346" s="145"/>
      <c r="AD346" s="145">
        <v>0</v>
      </c>
      <c r="AE346" s="145"/>
      <c r="AF346" s="145"/>
      <c r="AG346" s="145">
        <v>0</v>
      </c>
      <c r="AH346" s="145"/>
      <c r="AI346" s="145"/>
      <c r="AJ346" s="145">
        <v>0</v>
      </c>
      <c r="AK346" s="145"/>
      <c r="AL346" s="145"/>
      <c r="AM346" s="145">
        <v>0</v>
      </c>
      <c r="AN346" s="145"/>
      <c r="AO346" s="145"/>
      <c r="AP346" s="145">
        <v>0</v>
      </c>
      <c r="AQ346" s="41">
        <f>IFERROR(VLOOKUP(G346,'10'!A:B,2,0),0)</f>
        <v>116200</v>
      </c>
      <c r="AR346" s="41">
        <f t="shared" si="191"/>
        <v>116200</v>
      </c>
      <c r="AS346" s="41">
        <f t="shared" si="196"/>
        <v>0</v>
      </c>
      <c r="AT346" s="41">
        <f t="shared" si="199"/>
        <v>116200</v>
      </c>
      <c r="AU346" s="41">
        <f t="shared" si="195"/>
        <v>116200</v>
      </c>
      <c r="AV346" s="459">
        <v>0</v>
      </c>
      <c r="AW346" s="145">
        <v>0</v>
      </c>
      <c r="AX346" s="145">
        <v>0</v>
      </c>
      <c r="AY346" s="41">
        <f t="shared" si="198"/>
        <v>0</v>
      </c>
      <c r="AZ346" s="41"/>
      <c r="BA346" s="145"/>
      <c r="BB346" s="145">
        <f>SUM(R346:AX346)</f>
        <v>464800</v>
      </c>
      <c r="BC346" s="145">
        <v>166000</v>
      </c>
      <c r="BD346" s="145">
        <v>0</v>
      </c>
      <c r="BE346" s="145">
        <v>0</v>
      </c>
      <c r="BF346" s="145">
        <v>0</v>
      </c>
      <c r="BG346" s="145">
        <v>0</v>
      </c>
      <c r="BH346" s="145">
        <v>0</v>
      </c>
      <c r="BI346" s="145">
        <v>166000</v>
      </c>
      <c r="BJ346" s="144"/>
      <c r="BK346" s="152"/>
      <c r="BL346" s="518"/>
    </row>
    <row r="347" spans="1:64" s="8" customFormat="1" ht="78.75" x14ac:dyDescent="0.25">
      <c r="A347" s="439" t="s">
        <v>89</v>
      </c>
      <c r="B347" s="439" t="s">
        <v>846</v>
      </c>
      <c r="C347" s="440" t="s">
        <v>847</v>
      </c>
      <c r="D347" s="439" t="s">
        <v>3</v>
      </c>
      <c r="E347" s="439" t="s">
        <v>11</v>
      </c>
      <c r="F347" s="439" t="s">
        <v>5</v>
      </c>
      <c r="G347" s="439" t="s">
        <v>1355</v>
      </c>
      <c r="H347" s="45">
        <v>336</v>
      </c>
      <c r="I347" s="45" t="s">
        <v>89</v>
      </c>
      <c r="J347" s="440" t="s">
        <v>1356</v>
      </c>
      <c r="K347" s="440" t="s">
        <v>1357</v>
      </c>
      <c r="L347" s="441">
        <v>0</v>
      </c>
      <c r="M347" s="441">
        <v>0</v>
      </c>
      <c r="N347" s="441">
        <v>0</v>
      </c>
      <c r="O347" s="441">
        <f>N347+M347+L347</f>
        <v>0</v>
      </c>
      <c r="P347" s="441"/>
      <c r="Q347" s="441"/>
      <c r="R347" s="441">
        <v>0</v>
      </c>
      <c r="S347" s="441"/>
      <c r="T347" s="441"/>
      <c r="U347" s="441">
        <v>0</v>
      </c>
      <c r="V347" s="441"/>
      <c r="W347" s="441"/>
      <c r="X347" s="441">
        <v>0</v>
      </c>
      <c r="Y347" s="441"/>
      <c r="Z347" s="441"/>
      <c r="AA347" s="441">
        <v>0</v>
      </c>
      <c r="AB347" s="441"/>
      <c r="AC347" s="441"/>
      <c r="AD347" s="441">
        <v>0</v>
      </c>
      <c r="AE347" s="441"/>
      <c r="AF347" s="441"/>
      <c r="AG347" s="441">
        <v>0</v>
      </c>
      <c r="AH347" s="441"/>
      <c r="AI347" s="441"/>
      <c r="AJ347" s="441">
        <v>0</v>
      </c>
      <c r="AK347" s="41">
        <v>141958.35999999999</v>
      </c>
      <c r="AL347" s="41">
        <f>AK347-AJ347</f>
        <v>141958.35999999999</v>
      </c>
      <c r="AM347" s="441">
        <v>0</v>
      </c>
      <c r="AN347" s="41">
        <v>0</v>
      </c>
      <c r="AO347" s="41">
        <f>AN347-AM347</f>
        <v>0</v>
      </c>
      <c r="AP347" s="441">
        <v>0</v>
      </c>
      <c r="AQ347" s="41">
        <f>IFERROR(VLOOKUP(G347,'10'!A:B,2,0),0)</f>
        <v>0</v>
      </c>
      <c r="AR347" s="41">
        <f t="shared" si="191"/>
        <v>0</v>
      </c>
      <c r="AS347" s="41">
        <f t="shared" si="196"/>
        <v>0</v>
      </c>
      <c r="AT347" s="41">
        <f t="shared" si="199"/>
        <v>141958.35999999999</v>
      </c>
      <c r="AU347" s="41">
        <f t="shared" si="195"/>
        <v>141958.35999999999</v>
      </c>
      <c r="AV347" s="459">
        <v>0</v>
      </c>
      <c r="AW347" s="441">
        <v>0</v>
      </c>
      <c r="AX347" s="441">
        <v>0</v>
      </c>
      <c r="AY347" s="41">
        <f t="shared" si="198"/>
        <v>0</v>
      </c>
      <c r="AZ347" s="41"/>
      <c r="BA347" s="40">
        <f>AZ347-AY347</f>
        <v>0</v>
      </c>
      <c r="BB347" s="441">
        <v>476000</v>
      </c>
      <c r="BC347" s="441">
        <v>0</v>
      </c>
      <c r="BD347" s="441">
        <v>0</v>
      </c>
      <c r="BE347" s="441">
        <v>0</v>
      </c>
      <c r="BF347" s="441">
        <v>0</v>
      </c>
      <c r="BG347" s="441">
        <v>0</v>
      </c>
      <c r="BH347" s="441">
        <v>0</v>
      </c>
      <c r="BI347" s="441">
        <v>476000</v>
      </c>
      <c r="BJ347" s="144"/>
      <c r="BK347" s="24"/>
    </row>
    <row r="348" spans="1:64" s="8" customFormat="1" ht="38.25" x14ac:dyDescent="0.25">
      <c r="A348" s="18" t="s">
        <v>138</v>
      </c>
      <c r="B348" s="18" t="s">
        <v>139</v>
      </c>
      <c r="C348" s="19" t="s">
        <v>576</v>
      </c>
      <c r="D348" s="18">
        <v>2</v>
      </c>
      <c r="E348" s="18" t="s">
        <v>35</v>
      </c>
      <c r="F348" s="18" t="s">
        <v>5</v>
      </c>
      <c r="G348" s="18" t="s">
        <v>1888</v>
      </c>
      <c r="H348" s="45">
        <v>337</v>
      </c>
      <c r="I348" s="45" t="s">
        <v>138</v>
      </c>
      <c r="J348" s="19" t="s">
        <v>1232</v>
      </c>
      <c r="K348" s="19" t="s">
        <v>1889</v>
      </c>
      <c r="L348" s="145">
        <v>0</v>
      </c>
      <c r="M348" s="145">
        <v>0</v>
      </c>
      <c r="N348" s="145">
        <v>0</v>
      </c>
      <c r="O348" s="145">
        <f>N348+M348+L348</f>
        <v>0</v>
      </c>
      <c r="P348" s="145"/>
      <c r="Q348" s="145"/>
      <c r="R348" s="145">
        <v>0</v>
      </c>
      <c r="S348" s="145"/>
      <c r="T348" s="145"/>
      <c r="U348" s="145">
        <v>0</v>
      </c>
      <c r="V348" s="145"/>
      <c r="W348" s="145"/>
      <c r="X348" s="145">
        <v>0</v>
      </c>
      <c r="Y348" s="145"/>
      <c r="Z348" s="145"/>
      <c r="AA348" s="145">
        <v>0</v>
      </c>
      <c r="AB348" s="145"/>
      <c r="AC348" s="145"/>
      <c r="AD348" s="145">
        <v>0</v>
      </c>
      <c r="AE348" s="145"/>
      <c r="AF348" s="145"/>
      <c r="AG348" s="145">
        <v>0</v>
      </c>
      <c r="AH348" s="145"/>
      <c r="AI348" s="145"/>
      <c r="AJ348" s="145">
        <v>0</v>
      </c>
      <c r="AK348" s="145"/>
      <c r="AL348" s="145"/>
      <c r="AM348" s="145">
        <v>0</v>
      </c>
      <c r="AN348" s="145"/>
      <c r="AO348" s="145"/>
      <c r="AP348" s="145">
        <v>0</v>
      </c>
      <c r="AQ348" s="41">
        <f>IFERROR(VLOOKUP(G348,'10'!A:B,2,0),0)</f>
        <v>150000</v>
      </c>
      <c r="AR348" s="41">
        <f t="shared" si="191"/>
        <v>150000</v>
      </c>
      <c r="AS348" s="41">
        <f t="shared" si="196"/>
        <v>0</v>
      </c>
      <c r="AT348" s="41">
        <f t="shared" si="199"/>
        <v>150000</v>
      </c>
      <c r="AU348" s="41">
        <f t="shared" si="195"/>
        <v>150000</v>
      </c>
      <c r="AV348" s="459">
        <v>0</v>
      </c>
      <c r="AW348" s="145">
        <v>0</v>
      </c>
      <c r="AX348" s="145">
        <v>0</v>
      </c>
      <c r="AY348" s="41">
        <f t="shared" si="198"/>
        <v>0</v>
      </c>
      <c r="AZ348" s="41"/>
      <c r="BA348" s="145"/>
      <c r="BB348" s="145">
        <f>SUM(R348:AX348)</f>
        <v>600000</v>
      </c>
      <c r="BC348" s="145">
        <v>377747.38</v>
      </c>
      <c r="BD348" s="145">
        <v>0</v>
      </c>
      <c r="BE348" s="145">
        <v>0</v>
      </c>
      <c r="BF348" s="145">
        <v>0</v>
      </c>
      <c r="BG348" s="145">
        <v>0</v>
      </c>
      <c r="BH348" s="145">
        <v>0</v>
      </c>
      <c r="BI348" s="145">
        <v>315161.99</v>
      </c>
      <c r="BJ348" s="144"/>
      <c r="BK348" s="152"/>
      <c r="BL348" s="518"/>
    </row>
    <row r="349" spans="1:64" s="8" customFormat="1" ht="51" x14ac:dyDescent="0.25">
      <c r="A349" s="55" t="s">
        <v>842</v>
      </c>
      <c r="B349" s="55" t="s">
        <v>843</v>
      </c>
      <c r="C349" s="155" t="s">
        <v>844</v>
      </c>
      <c r="D349" s="55">
        <v>1</v>
      </c>
      <c r="E349" s="55" t="s">
        <v>35</v>
      </c>
      <c r="F349" s="55" t="s">
        <v>5</v>
      </c>
      <c r="G349" s="55" t="s">
        <v>2811</v>
      </c>
      <c r="H349" s="45">
        <v>338</v>
      </c>
      <c r="I349" s="45" t="s">
        <v>842</v>
      </c>
      <c r="J349" s="155" t="s">
        <v>148</v>
      </c>
      <c r="K349" s="155" t="s">
        <v>1487</v>
      </c>
      <c r="L349" s="152">
        <v>0</v>
      </c>
      <c r="M349" s="152">
        <v>0</v>
      </c>
      <c r="N349" s="152">
        <v>0</v>
      </c>
      <c r="O349" s="152">
        <v>0</v>
      </c>
      <c r="P349" s="152"/>
      <c r="Q349" s="152"/>
      <c r="R349" s="152">
        <v>0</v>
      </c>
      <c r="S349" s="152"/>
      <c r="T349" s="152"/>
      <c r="U349" s="152">
        <v>0</v>
      </c>
      <c r="V349" s="152"/>
      <c r="W349" s="152"/>
      <c r="X349" s="152">
        <v>0</v>
      </c>
      <c r="Y349" s="152"/>
      <c r="Z349" s="152"/>
      <c r="AA349" s="152">
        <v>0</v>
      </c>
      <c r="AB349" s="152"/>
      <c r="AC349" s="152"/>
      <c r="AD349" s="152">
        <v>0</v>
      </c>
      <c r="AE349" s="152"/>
      <c r="AF349" s="152"/>
      <c r="AG349" s="152">
        <v>0</v>
      </c>
      <c r="AH349" s="152"/>
      <c r="AI349" s="152"/>
      <c r="AJ349" s="152">
        <v>0</v>
      </c>
      <c r="AK349" s="152"/>
      <c r="AL349" s="152"/>
      <c r="AM349" s="152">
        <v>0</v>
      </c>
      <c r="AN349" s="41">
        <v>162689.85</v>
      </c>
      <c r="AO349" s="41">
        <f t="shared" ref="AO349:AO379" si="200">AN349-AM349</f>
        <v>162689.85</v>
      </c>
      <c r="AP349" s="152">
        <v>0</v>
      </c>
      <c r="AQ349" s="41">
        <f>IFERROR(VLOOKUP(G349,'10'!A:B,2,0),0)</f>
        <v>0</v>
      </c>
      <c r="AR349" s="41">
        <f t="shared" si="191"/>
        <v>0</v>
      </c>
      <c r="AS349" s="41">
        <f t="shared" si="196"/>
        <v>0</v>
      </c>
      <c r="AT349" s="41">
        <f t="shared" si="199"/>
        <v>162689.85</v>
      </c>
      <c r="AU349" s="41">
        <f t="shared" si="195"/>
        <v>162689.85</v>
      </c>
      <c r="AV349" s="459">
        <v>0</v>
      </c>
      <c r="AW349" s="152">
        <v>162690</v>
      </c>
      <c r="AX349" s="152">
        <v>0</v>
      </c>
      <c r="AY349" s="41">
        <f t="shared" si="198"/>
        <v>162690</v>
      </c>
      <c r="AZ349" s="41">
        <f>VLOOKUP(G349,'2017'!A:B,2,0)</f>
        <v>343456.35</v>
      </c>
      <c r="BA349" s="552">
        <f t="shared" ref="BA349:BA379" si="201">AZ349-AY349</f>
        <v>180766.34999999998</v>
      </c>
      <c r="BB349" s="152">
        <v>18077</v>
      </c>
      <c r="BC349" s="152">
        <v>0</v>
      </c>
      <c r="BD349" s="152">
        <v>0</v>
      </c>
      <c r="BE349" s="152">
        <v>0</v>
      </c>
      <c r="BF349" s="152">
        <v>0</v>
      </c>
      <c r="BG349" s="152">
        <v>0</v>
      </c>
      <c r="BH349" s="152">
        <v>0</v>
      </c>
      <c r="BI349" s="152">
        <v>180766.5</v>
      </c>
      <c r="BJ349" s="145"/>
      <c r="BK349" s="145"/>
    </row>
    <row r="350" spans="1:64" s="8" customFormat="1" ht="51" x14ac:dyDescent="0.25">
      <c r="A350" s="55" t="s">
        <v>842</v>
      </c>
      <c r="B350" s="55" t="s">
        <v>843</v>
      </c>
      <c r="C350" s="155" t="s">
        <v>844</v>
      </c>
      <c r="D350" s="55">
        <v>1</v>
      </c>
      <c r="E350" s="55" t="s">
        <v>35</v>
      </c>
      <c r="F350" s="55" t="s">
        <v>5</v>
      </c>
      <c r="G350" s="55" t="s">
        <v>2804</v>
      </c>
      <c r="H350" s="45">
        <v>339</v>
      </c>
      <c r="I350" s="45" t="s">
        <v>842</v>
      </c>
      <c r="J350" s="155" t="s">
        <v>148</v>
      </c>
      <c r="K350" s="155" t="s">
        <v>1463</v>
      </c>
      <c r="L350" s="152">
        <v>0</v>
      </c>
      <c r="M350" s="152">
        <v>0</v>
      </c>
      <c r="N350" s="152">
        <v>0</v>
      </c>
      <c r="O350" s="152">
        <v>0</v>
      </c>
      <c r="P350" s="152"/>
      <c r="Q350" s="152"/>
      <c r="R350" s="152">
        <v>0</v>
      </c>
      <c r="S350" s="152"/>
      <c r="T350" s="152"/>
      <c r="U350" s="152">
        <v>0</v>
      </c>
      <c r="V350" s="152"/>
      <c r="W350" s="152"/>
      <c r="X350" s="152">
        <v>0</v>
      </c>
      <c r="Y350" s="152"/>
      <c r="Z350" s="152"/>
      <c r="AA350" s="152">
        <v>0</v>
      </c>
      <c r="AB350" s="152"/>
      <c r="AC350" s="152"/>
      <c r="AD350" s="152">
        <v>0</v>
      </c>
      <c r="AE350" s="152"/>
      <c r="AF350" s="152"/>
      <c r="AG350" s="152">
        <v>0</v>
      </c>
      <c r="AH350" s="152"/>
      <c r="AI350" s="152"/>
      <c r="AJ350" s="152">
        <v>0</v>
      </c>
      <c r="AK350" s="152"/>
      <c r="AL350" s="152"/>
      <c r="AM350" s="152">
        <v>0</v>
      </c>
      <c r="AN350" s="41">
        <v>162819</v>
      </c>
      <c r="AO350" s="41">
        <f t="shared" si="200"/>
        <v>162819</v>
      </c>
      <c r="AP350" s="152">
        <v>0</v>
      </c>
      <c r="AQ350" s="41">
        <f>IFERROR(VLOOKUP(G350,'10'!A:B,2,0),0)</f>
        <v>0</v>
      </c>
      <c r="AR350" s="41">
        <f t="shared" si="191"/>
        <v>0</v>
      </c>
      <c r="AS350" s="41">
        <f t="shared" si="196"/>
        <v>0</v>
      </c>
      <c r="AT350" s="41">
        <f t="shared" si="199"/>
        <v>162819</v>
      </c>
      <c r="AU350" s="41">
        <f t="shared" si="195"/>
        <v>162819</v>
      </c>
      <c r="AV350" s="459">
        <v>0</v>
      </c>
      <c r="AW350" s="152">
        <v>162819</v>
      </c>
      <c r="AX350" s="152">
        <v>0</v>
      </c>
      <c r="AY350" s="41">
        <f t="shared" si="198"/>
        <v>162819</v>
      </c>
      <c r="AZ350" s="41">
        <f>VLOOKUP(G350,'2017'!A:B,2,0)</f>
        <v>343729</v>
      </c>
      <c r="BA350" s="552">
        <f t="shared" si="201"/>
        <v>180910</v>
      </c>
      <c r="BB350" s="152">
        <v>18091</v>
      </c>
      <c r="BC350" s="152">
        <v>0</v>
      </c>
      <c r="BD350" s="152">
        <v>0</v>
      </c>
      <c r="BE350" s="152">
        <v>0</v>
      </c>
      <c r="BF350" s="152">
        <v>0</v>
      </c>
      <c r="BG350" s="152">
        <v>0</v>
      </c>
      <c r="BH350" s="152">
        <v>0</v>
      </c>
      <c r="BI350" s="152">
        <v>180910</v>
      </c>
      <c r="BJ350" s="145"/>
      <c r="BK350" s="145"/>
    </row>
    <row r="351" spans="1:64" s="8" customFormat="1" ht="51" x14ac:dyDescent="0.25">
      <c r="A351" s="55" t="s">
        <v>842</v>
      </c>
      <c r="B351" s="55" t="s">
        <v>843</v>
      </c>
      <c r="C351" s="155" t="s">
        <v>844</v>
      </c>
      <c r="D351" s="55">
        <v>1</v>
      </c>
      <c r="E351" s="55" t="s">
        <v>35</v>
      </c>
      <c r="F351" s="55" t="s">
        <v>5</v>
      </c>
      <c r="G351" s="55" t="s">
        <v>2796</v>
      </c>
      <c r="H351" s="45">
        <v>340</v>
      </c>
      <c r="I351" s="45" t="s">
        <v>842</v>
      </c>
      <c r="J351" s="155" t="s">
        <v>148</v>
      </c>
      <c r="K351" s="155" t="s">
        <v>1464</v>
      </c>
      <c r="L351" s="152">
        <v>0</v>
      </c>
      <c r="M351" s="152">
        <v>0</v>
      </c>
      <c r="N351" s="152">
        <v>0</v>
      </c>
      <c r="O351" s="152">
        <v>0</v>
      </c>
      <c r="P351" s="152"/>
      <c r="Q351" s="152"/>
      <c r="R351" s="152">
        <v>0</v>
      </c>
      <c r="S351" s="152"/>
      <c r="T351" s="152"/>
      <c r="U351" s="152">
        <v>0</v>
      </c>
      <c r="V351" s="152"/>
      <c r="W351" s="152"/>
      <c r="X351" s="152">
        <v>0</v>
      </c>
      <c r="Y351" s="152"/>
      <c r="Z351" s="152"/>
      <c r="AA351" s="152">
        <v>0</v>
      </c>
      <c r="AB351" s="152"/>
      <c r="AC351" s="152"/>
      <c r="AD351" s="152">
        <v>0</v>
      </c>
      <c r="AE351" s="152"/>
      <c r="AF351" s="152"/>
      <c r="AG351" s="152">
        <v>0</v>
      </c>
      <c r="AH351" s="152"/>
      <c r="AI351" s="152"/>
      <c r="AJ351" s="152">
        <v>0</v>
      </c>
      <c r="AK351" s="152"/>
      <c r="AL351" s="152"/>
      <c r="AM351" s="152">
        <v>0</v>
      </c>
      <c r="AN351" s="41">
        <v>162819</v>
      </c>
      <c r="AO351" s="41">
        <f t="shared" si="200"/>
        <v>162819</v>
      </c>
      <c r="AP351" s="152">
        <v>0</v>
      </c>
      <c r="AQ351" s="41">
        <f>IFERROR(VLOOKUP(G351,'10'!A:B,2,0),0)</f>
        <v>0</v>
      </c>
      <c r="AR351" s="41">
        <f t="shared" si="191"/>
        <v>0</v>
      </c>
      <c r="AS351" s="41">
        <f t="shared" si="196"/>
        <v>0</v>
      </c>
      <c r="AT351" s="41">
        <f t="shared" si="199"/>
        <v>162819</v>
      </c>
      <c r="AU351" s="41">
        <f t="shared" si="195"/>
        <v>162819</v>
      </c>
      <c r="AV351" s="459">
        <v>0</v>
      </c>
      <c r="AW351" s="152">
        <v>162819</v>
      </c>
      <c r="AX351" s="152">
        <v>0</v>
      </c>
      <c r="AY351" s="41">
        <f t="shared" si="198"/>
        <v>162819</v>
      </c>
      <c r="AZ351" s="41">
        <f>VLOOKUP(G351,'2017'!A:B,2,0)</f>
        <v>343729</v>
      </c>
      <c r="BA351" s="552">
        <f t="shared" si="201"/>
        <v>180910</v>
      </c>
      <c r="BB351" s="152">
        <v>18091</v>
      </c>
      <c r="BC351" s="152">
        <v>0</v>
      </c>
      <c r="BD351" s="152">
        <v>0</v>
      </c>
      <c r="BE351" s="152">
        <v>0</v>
      </c>
      <c r="BF351" s="152">
        <v>0</v>
      </c>
      <c r="BG351" s="152">
        <v>0</v>
      </c>
      <c r="BH351" s="152">
        <v>0</v>
      </c>
      <c r="BI351" s="152">
        <v>180910</v>
      </c>
      <c r="BJ351" s="145"/>
      <c r="BK351" s="145"/>
    </row>
    <row r="352" spans="1:64" s="8" customFormat="1" ht="51" x14ac:dyDescent="0.25">
      <c r="A352" s="55" t="s">
        <v>842</v>
      </c>
      <c r="B352" s="55" t="s">
        <v>843</v>
      </c>
      <c r="C352" s="155" t="s">
        <v>844</v>
      </c>
      <c r="D352" s="55">
        <v>1</v>
      </c>
      <c r="E352" s="55" t="s">
        <v>35</v>
      </c>
      <c r="F352" s="55" t="s">
        <v>5</v>
      </c>
      <c r="G352" s="55" t="s">
        <v>2788</v>
      </c>
      <c r="H352" s="45">
        <v>341</v>
      </c>
      <c r="I352" s="45" t="s">
        <v>842</v>
      </c>
      <c r="J352" s="155" t="s">
        <v>148</v>
      </c>
      <c r="K352" s="155" t="s">
        <v>1465</v>
      </c>
      <c r="L352" s="152">
        <v>0</v>
      </c>
      <c r="M352" s="152">
        <v>0</v>
      </c>
      <c r="N352" s="152">
        <v>0</v>
      </c>
      <c r="O352" s="152">
        <v>0</v>
      </c>
      <c r="P352" s="152"/>
      <c r="Q352" s="152"/>
      <c r="R352" s="152">
        <v>0</v>
      </c>
      <c r="S352" s="152"/>
      <c r="T352" s="152"/>
      <c r="U352" s="152">
        <v>0</v>
      </c>
      <c r="V352" s="152"/>
      <c r="W352" s="152"/>
      <c r="X352" s="152">
        <v>0</v>
      </c>
      <c r="Y352" s="152"/>
      <c r="Z352" s="152"/>
      <c r="AA352" s="152">
        <v>0</v>
      </c>
      <c r="AB352" s="152"/>
      <c r="AC352" s="152"/>
      <c r="AD352" s="152">
        <v>0</v>
      </c>
      <c r="AE352" s="152"/>
      <c r="AF352" s="152"/>
      <c r="AG352" s="152">
        <v>0</v>
      </c>
      <c r="AH352" s="152"/>
      <c r="AI352" s="152"/>
      <c r="AJ352" s="152">
        <v>0</v>
      </c>
      <c r="AK352" s="152"/>
      <c r="AL352" s="152"/>
      <c r="AM352" s="152">
        <v>0</v>
      </c>
      <c r="AN352" s="41">
        <v>162819</v>
      </c>
      <c r="AO352" s="41">
        <f t="shared" si="200"/>
        <v>162819</v>
      </c>
      <c r="AP352" s="152">
        <v>0</v>
      </c>
      <c r="AQ352" s="41">
        <f>IFERROR(VLOOKUP(G352,'10'!A:B,2,0),0)</f>
        <v>0</v>
      </c>
      <c r="AR352" s="41">
        <f t="shared" si="191"/>
        <v>0</v>
      </c>
      <c r="AS352" s="41">
        <f t="shared" si="196"/>
        <v>0</v>
      </c>
      <c r="AT352" s="41">
        <f t="shared" si="199"/>
        <v>162819</v>
      </c>
      <c r="AU352" s="41">
        <f t="shared" si="195"/>
        <v>162819</v>
      </c>
      <c r="AV352" s="459">
        <v>0</v>
      </c>
      <c r="AW352" s="152">
        <v>162819</v>
      </c>
      <c r="AX352" s="152">
        <v>0</v>
      </c>
      <c r="AY352" s="41">
        <f t="shared" si="198"/>
        <v>162819</v>
      </c>
      <c r="AZ352" s="41">
        <f>VLOOKUP(G352,'2017'!A:B,2,0)</f>
        <v>343729</v>
      </c>
      <c r="BA352" s="552">
        <f t="shared" si="201"/>
        <v>180910</v>
      </c>
      <c r="BB352" s="152">
        <v>18091</v>
      </c>
      <c r="BC352" s="152">
        <v>0</v>
      </c>
      <c r="BD352" s="152">
        <v>0</v>
      </c>
      <c r="BE352" s="152">
        <v>0</v>
      </c>
      <c r="BF352" s="152">
        <v>0</v>
      </c>
      <c r="BG352" s="152">
        <v>0</v>
      </c>
      <c r="BH352" s="152">
        <v>0</v>
      </c>
      <c r="BI352" s="152">
        <v>180910</v>
      </c>
      <c r="BJ352" s="145"/>
      <c r="BK352" s="145"/>
    </row>
    <row r="353" spans="1:64" s="8" customFormat="1" ht="51" x14ac:dyDescent="0.25">
      <c r="A353" s="55" t="s">
        <v>842</v>
      </c>
      <c r="B353" s="55" t="s">
        <v>843</v>
      </c>
      <c r="C353" s="155" t="s">
        <v>844</v>
      </c>
      <c r="D353" s="55">
        <v>1</v>
      </c>
      <c r="E353" s="55" t="s">
        <v>35</v>
      </c>
      <c r="F353" s="55" t="s">
        <v>5</v>
      </c>
      <c r="G353" s="55" t="s">
        <v>2791</v>
      </c>
      <c r="H353" s="45">
        <v>342</v>
      </c>
      <c r="I353" s="45" t="s">
        <v>842</v>
      </c>
      <c r="J353" s="155" t="s">
        <v>148</v>
      </c>
      <c r="K353" s="155" t="s">
        <v>1466</v>
      </c>
      <c r="L353" s="152">
        <v>0</v>
      </c>
      <c r="M353" s="152">
        <v>0</v>
      </c>
      <c r="N353" s="152">
        <v>0</v>
      </c>
      <c r="O353" s="152">
        <v>0</v>
      </c>
      <c r="P353" s="152"/>
      <c r="Q353" s="152"/>
      <c r="R353" s="152">
        <v>0</v>
      </c>
      <c r="S353" s="152"/>
      <c r="T353" s="152"/>
      <c r="U353" s="152">
        <v>0</v>
      </c>
      <c r="V353" s="152"/>
      <c r="W353" s="152"/>
      <c r="X353" s="152">
        <v>0</v>
      </c>
      <c r="Y353" s="152"/>
      <c r="Z353" s="152"/>
      <c r="AA353" s="152">
        <v>0</v>
      </c>
      <c r="AB353" s="152"/>
      <c r="AC353" s="152"/>
      <c r="AD353" s="152">
        <v>0</v>
      </c>
      <c r="AE353" s="152"/>
      <c r="AF353" s="152"/>
      <c r="AG353" s="152">
        <v>0</v>
      </c>
      <c r="AH353" s="152"/>
      <c r="AI353" s="152"/>
      <c r="AJ353" s="152">
        <v>0</v>
      </c>
      <c r="AK353" s="152"/>
      <c r="AL353" s="152"/>
      <c r="AM353" s="152">
        <v>0</v>
      </c>
      <c r="AN353" s="41">
        <v>162819</v>
      </c>
      <c r="AO353" s="41">
        <f t="shared" si="200"/>
        <v>162819</v>
      </c>
      <c r="AP353" s="152">
        <v>0</v>
      </c>
      <c r="AQ353" s="41">
        <f>IFERROR(VLOOKUP(G353,'10'!A:B,2,0),0)</f>
        <v>0</v>
      </c>
      <c r="AR353" s="41">
        <f t="shared" si="191"/>
        <v>0</v>
      </c>
      <c r="AS353" s="41">
        <f t="shared" si="196"/>
        <v>0</v>
      </c>
      <c r="AT353" s="41">
        <f t="shared" si="199"/>
        <v>162819</v>
      </c>
      <c r="AU353" s="41">
        <f t="shared" si="195"/>
        <v>162819</v>
      </c>
      <c r="AV353" s="459">
        <v>0</v>
      </c>
      <c r="AW353" s="152">
        <v>162819</v>
      </c>
      <c r="AX353" s="152">
        <v>0</v>
      </c>
      <c r="AY353" s="41">
        <f t="shared" si="198"/>
        <v>162819</v>
      </c>
      <c r="AZ353" s="41">
        <f>VLOOKUP(G353,'2017'!A:B,2,0)</f>
        <v>343729</v>
      </c>
      <c r="BA353" s="552">
        <f t="shared" si="201"/>
        <v>180910</v>
      </c>
      <c r="BB353" s="152">
        <v>18091</v>
      </c>
      <c r="BC353" s="152">
        <v>0</v>
      </c>
      <c r="BD353" s="152">
        <v>0</v>
      </c>
      <c r="BE353" s="152">
        <v>0</v>
      </c>
      <c r="BF353" s="152">
        <v>0</v>
      </c>
      <c r="BG353" s="152">
        <v>0</v>
      </c>
      <c r="BH353" s="152">
        <v>0</v>
      </c>
      <c r="BI353" s="152">
        <v>180910</v>
      </c>
      <c r="BJ353" s="145"/>
      <c r="BK353" s="145"/>
    </row>
    <row r="354" spans="1:64" s="8" customFormat="1" ht="51" x14ac:dyDescent="0.25">
      <c r="A354" s="55" t="s">
        <v>842</v>
      </c>
      <c r="B354" s="55" t="s">
        <v>843</v>
      </c>
      <c r="C354" s="155" t="s">
        <v>844</v>
      </c>
      <c r="D354" s="55">
        <v>1</v>
      </c>
      <c r="E354" s="55" t="s">
        <v>35</v>
      </c>
      <c r="F354" s="55" t="s">
        <v>5</v>
      </c>
      <c r="G354" s="55" t="s">
        <v>2790</v>
      </c>
      <c r="H354" s="45">
        <v>343</v>
      </c>
      <c r="I354" s="45" t="s">
        <v>842</v>
      </c>
      <c r="J354" s="155" t="s">
        <v>148</v>
      </c>
      <c r="K354" s="155" t="s">
        <v>1467</v>
      </c>
      <c r="L354" s="152">
        <v>0</v>
      </c>
      <c r="M354" s="152">
        <v>0</v>
      </c>
      <c r="N354" s="152">
        <v>0</v>
      </c>
      <c r="O354" s="152">
        <v>0</v>
      </c>
      <c r="P354" s="152"/>
      <c r="Q354" s="152"/>
      <c r="R354" s="152">
        <v>0</v>
      </c>
      <c r="S354" s="152"/>
      <c r="T354" s="152"/>
      <c r="U354" s="152">
        <v>0</v>
      </c>
      <c r="V354" s="152"/>
      <c r="W354" s="152"/>
      <c r="X354" s="152">
        <v>0</v>
      </c>
      <c r="Y354" s="152"/>
      <c r="Z354" s="152"/>
      <c r="AA354" s="152">
        <v>0</v>
      </c>
      <c r="AB354" s="152"/>
      <c r="AC354" s="152"/>
      <c r="AD354" s="152">
        <v>0</v>
      </c>
      <c r="AE354" s="152"/>
      <c r="AF354" s="152"/>
      <c r="AG354" s="152">
        <v>0</v>
      </c>
      <c r="AH354" s="152"/>
      <c r="AI354" s="152"/>
      <c r="AJ354" s="152">
        <v>0</v>
      </c>
      <c r="AK354" s="152"/>
      <c r="AL354" s="152"/>
      <c r="AM354" s="152">
        <v>0</v>
      </c>
      <c r="AN354" s="41">
        <v>162819</v>
      </c>
      <c r="AO354" s="41">
        <f t="shared" si="200"/>
        <v>162819</v>
      </c>
      <c r="AP354" s="152">
        <v>0</v>
      </c>
      <c r="AQ354" s="41">
        <f>IFERROR(VLOOKUP(G354,'10'!A:B,2,0),0)</f>
        <v>0</v>
      </c>
      <c r="AR354" s="41">
        <f t="shared" si="191"/>
        <v>0</v>
      </c>
      <c r="AS354" s="41">
        <f t="shared" si="196"/>
        <v>0</v>
      </c>
      <c r="AT354" s="41">
        <f t="shared" si="199"/>
        <v>162819</v>
      </c>
      <c r="AU354" s="41">
        <f t="shared" si="195"/>
        <v>162819</v>
      </c>
      <c r="AV354" s="459">
        <v>0</v>
      </c>
      <c r="AW354" s="152">
        <v>162819</v>
      </c>
      <c r="AX354" s="152">
        <v>0</v>
      </c>
      <c r="AY354" s="41">
        <f t="shared" si="198"/>
        <v>162819</v>
      </c>
      <c r="AZ354" s="41">
        <f>VLOOKUP(G354,'2017'!A:B,2,0)</f>
        <v>506548</v>
      </c>
      <c r="BA354" s="552">
        <f t="shared" si="201"/>
        <v>343729</v>
      </c>
      <c r="BB354" s="152">
        <v>18091</v>
      </c>
      <c r="BC354" s="152">
        <v>0</v>
      </c>
      <c r="BD354" s="152">
        <v>0</v>
      </c>
      <c r="BE354" s="152">
        <v>0</v>
      </c>
      <c r="BF354" s="152">
        <v>0</v>
      </c>
      <c r="BG354" s="152">
        <v>0</v>
      </c>
      <c r="BH354" s="152">
        <v>0</v>
      </c>
      <c r="BI354" s="152">
        <v>180910</v>
      </c>
      <c r="BJ354" s="145"/>
      <c r="BK354" s="145"/>
    </row>
    <row r="355" spans="1:64" s="8" customFormat="1" ht="51" x14ac:dyDescent="0.25">
      <c r="A355" s="55" t="s">
        <v>842</v>
      </c>
      <c r="B355" s="55" t="s">
        <v>843</v>
      </c>
      <c r="C355" s="155" t="s">
        <v>844</v>
      </c>
      <c r="D355" s="55">
        <v>1</v>
      </c>
      <c r="E355" s="55" t="s">
        <v>35</v>
      </c>
      <c r="F355" s="55" t="s">
        <v>5</v>
      </c>
      <c r="G355" s="55" t="s">
        <v>2783</v>
      </c>
      <c r="H355" s="45">
        <v>344</v>
      </c>
      <c r="I355" s="45" t="s">
        <v>842</v>
      </c>
      <c r="J355" s="155" t="s">
        <v>148</v>
      </c>
      <c r="K355" s="155" t="s">
        <v>1468</v>
      </c>
      <c r="L355" s="152">
        <v>0</v>
      </c>
      <c r="M355" s="152">
        <v>0</v>
      </c>
      <c r="N355" s="152">
        <v>0</v>
      </c>
      <c r="O355" s="152">
        <v>0</v>
      </c>
      <c r="P355" s="152"/>
      <c r="Q355" s="152"/>
      <c r="R355" s="152">
        <v>0</v>
      </c>
      <c r="S355" s="152"/>
      <c r="T355" s="152"/>
      <c r="U355" s="152">
        <v>0</v>
      </c>
      <c r="V355" s="152"/>
      <c r="W355" s="152"/>
      <c r="X355" s="152">
        <v>0</v>
      </c>
      <c r="Y355" s="152"/>
      <c r="Z355" s="152"/>
      <c r="AA355" s="152">
        <v>0</v>
      </c>
      <c r="AB355" s="152"/>
      <c r="AC355" s="152"/>
      <c r="AD355" s="152">
        <v>0</v>
      </c>
      <c r="AE355" s="152"/>
      <c r="AF355" s="152"/>
      <c r="AG355" s="152">
        <v>0</v>
      </c>
      <c r="AH355" s="152"/>
      <c r="AI355" s="152"/>
      <c r="AJ355" s="152">
        <v>0</v>
      </c>
      <c r="AK355" s="152"/>
      <c r="AL355" s="152"/>
      <c r="AM355" s="152">
        <v>0</v>
      </c>
      <c r="AN355" s="41">
        <v>162819</v>
      </c>
      <c r="AO355" s="41">
        <f t="shared" si="200"/>
        <v>162819</v>
      </c>
      <c r="AP355" s="152">
        <v>0</v>
      </c>
      <c r="AQ355" s="41">
        <f>IFERROR(VLOOKUP(G355,'10'!A:B,2,0),0)</f>
        <v>0</v>
      </c>
      <c r="AR355" s="41">
        <f t="shared" si="191"/>
        <v>0</v>
      </c>
      <c r="AS355" s="41">
        <f t="shared" si="196"/>
        <v>0</v>
      </c>
      <c r="AT355" s="41">
        <f t="shared" si="199"/>
        <v>162819</v>
      </c>
      <c r="AU355" s="41">
        <f t="shared" si="195"/>
        <v>162819</v>
      </c>
      <c r="AV355" s="459">
        <v>0</v>
      </c>
      <c r="AW355" s="152">
        <v>162819</v>
      </c>
      <c r="AX355" s="152">
        <v>0</v>
      </c>
      <c r="AY355" s="41">
        <f t="shared" si="198"/>
        <v>162819</v>
      </c>
      <c r="AZ355" s="41">
        <f>VLOOKUP(G355,'2017'!A:B,2,0)</f>
        <v>343729</v>
      </c>
      <c r="BA355" s="552">
        <f t="shared" si="201"/>
        <v>180910</v>
      </c>
      <c r="BB355" s="152">
        <v>18091</v>
      </c>
      <c r="BC355" s="152">
        <v>0</v>
      </c>
      <c r="BD355" s="152">
        <v>0</v>
      </c>
      <c r="BE355" s="152">
        <v>0</v>
      </c>
      <c r="BF355" s="152">
        <v>0</v>
      </c>
      <c r="BG355" s="152">
        <v>0</v>
      </c>
      <c r="BH355" s="152">
        <v>0</v>
      </c>
      <c r="BI355" s="152">
        <v>180910</v>
      </c>
      <c r="BJ355" s="145"/>
      <c r="BK355" s="145"/>
    </row>
    <row r="356" spans="1:64" s="8" customFormat="1" ht="51" x14ac:dyDescent="0.25">
      <c r="A356" s="55" t="s">
        <v>842</v>
      </c>
      <c r="B356" s="55" t="s">
        <v>843</v>
      </c>
      <c r="C356" s="155" t="s">
        <v>844</v>
      </c>
      <c r="D356" s="55">
        <v>1</v>
      </c>
      <c r="E356" s="55" t="s">
        <v>35</v>
      </c>
      <c r="F356" s="55" t="s">
        <v>5</v>
      </c>
      <c r="G356" s="55" t="s">
        <v>2785</v>
      </c>
      <c r="H356" s="45">
        <v>345</v>
      </c>
      <c r="I356" s="45" t="s">
        <v>842</v>
      </c>
      <c r="J356" s="155" t="s">
        <v>148</v>
      </c>
      <c r="K356" s="155" t="s">
        <v>1469</v>
      </c>
      <c r="L356" s="152">
        <v>0</v>
      </c>
      <c r="M356" s="152">
        <v>0</v>
      </c>
      <c r="N356" s="152">
        <v>0</v>
      </c>
      <c r="O356" s="152">
        <v>0</v>
      </c>
      <c r="P356" s="152"/>
      <c r="Q356" s="152"/>
      <c r="R356" s="152">
        <v>0</v>
      </c>
      <c r="S356" s="152"/>
      <c r="T356" s="152"/>
      <c r="U356" s="152">
        <v>0</v>
      </c>
      <c r="V356" s="152"/>
      <c r="W356" s="152"/>
      <c r="X356" s="152">
        <v>0</v>
      </c>
      <c r="Y356" s="152"/>
      <c r="Z356" s="152"/>
      <c r="AA356" s="152">
        <v>0</v>
      </c>
      <c r="AB356" s="152"/>
      <c r="AC356" s="152"/>
      <c r="AD356" s="152">
        <v>0</v>
      </c>
      <c r="AE356" s="152"/>
      <c r="AF356" s="152"/>
      <c r="AG356" s="152">
        <v>0</v>
      </c>
      <c r="AH356" s="152"/>
      <c r="AI356" s="152"/>
      <c r="AJ356" s="152">
        <v>0</v>
      </c>
      <c r="AK356" s="152"/>
      <c r="AL356" s="152"/>
      <c r="AM356" s="152">
        <v>0</v>
      </c>
      <c r="AN356" s="41">
        <v>162819</v>
      </c>
      <c r="AO356" s="41">
        <f t="shared" si="200"/>
        <v>162819</v>
      </c>
      <c r="AP356" s="152">
        <v>0</v>
      </c>
      <c r="AQ356" s="41">
        <f>IFERROR(VLOOKUP(G356,'10'!A:B,2,0),0)</f>
        <v>0</v>
      </c>
      <c r="AR356" s="41">
        <f t="shared" si="191"/>
        <v>0</v>
      </c>
      <c r="AS356" s="41">
        <f t="shared" si="196"/>
        <v>0</v>
      </c>
      <c r="AT356" s="41">
        <f t="shared" si="199"/>
        <v>162819</v>
      </c>
      <c r="AU356" s="41">
        <f t="shared" si="195"/>
        <v>162819</v>
      </c>
      <c r="AV356" s="459">
        <v>0</v>
      </c>
      <c r="AW356" s="152">
        <v>162819</v>
      </c>
      <c r="AX356" s="152">
        <v>0</v>
      </c>
      <c r="AY356" s="41">
        <f t="shared" si="198"/>
        <v>162819</v>
      </c>
      <c r="AZ356" s="41">
        <f>VLOOKUP(G356,'2017'!A:B,2,0)</f>
        <v>343729</v>
      </c>
      <c r="BA356" s="552">
        <f t="shared" si="201"/>
        <v>180910</v>
      </c>
      <c r="BB356" s="152">
        <v>18091</v>
      </c>
      <c r="BC356" s="152">
        <v>0</v>
      </c>
      <c r="BD356" s="152">
        <v>0</v>
      </c>
      <c r="BE356" s="152">
        <v>0</v>
      </c>
      <c r="BF356" s="152">
        <v>0</v>
      </c>
      <c r="BG356" s="152">
        <v>0</v>
      </c>
      <c r="BH356" s="152">
        <v>0</v>
      </c>
      <c r="BI356" s="152">
        <v>180910</v>
      </c>
      <c r="BJ356" s="145"/>
      <c r="BK356" s="145"/>
    </row>
    <row r="357" spans="1:64" s="8" customFormat="1" ht="51" x14ac:dyDescent="0.25">
      <c r="A357" s="55" t="s">
        <v>842</v>
      </c>
      <c r="B357" s="55" t="s">
        <v>843</v>
      </c>
      <c r="C357" s="155" t="s">
        <v>844</v>
      </c>
      <c r="D357" s="55">
        <v>1</v>
      </c>
      <c r="E357" s="55" t="s">
        <v>35</v>
      </c>
      <c r="F357" s="55" t="s">
        <v>5</v>
      </c>
      <c r="G357" s="55" t="s">
        <v>2786</v>
      </c>
      <c r="H357" s="45">
        <v>346</v>
      </c>
      <c r="I357" s="45" t="s">
        <v>842</v>
      </c>
      <c r="J357" s="155" t="s">
        <v>148</v>
      </c>
      <c r="K357" s="155" t="s">
        <v>1470</v>
      </c>
      <c r="L357" s="152">
        <v>0</v>
      </c>
      <c r="M357" s="152">
        <v>0</v>
      </c>
      <c r="N357" s="152">
        <v>0</v>
      </c>
      <c r="O357" s="152">
        <v>0</v>
      </c>
      <c r="P357" s="152"/>
      <c r="Q357" s="152"/>
      <c r="R357" s="152">
        <v>0</v>
      </c>
      <c r="S357" s="152"/>
      <c r="T357" s="152"/>
      <c r="U357" s="152">
        <v>0</v>
      </c>
      <c r="V357" s="152"/>
      <c r="W357" s="152"/>
      <c r="X357" s="152">
        <v>0</v>
      </c>
      <c r="Y357" s="152"/>
      <c r="Z357" s="152"/>
      <c r="AA357" s="152">
        <v>0</v>
      </c>
      <c r="AB357" s="152"/>
      <c r="AC357" s="152"/>
      <c r="AD357" s="152">
        <v>0</v>
      </c>
      <c r="AE357" s="152"/>
      <c r="AF357" s="152"/>
      <c r="AG357" s="152">
        <v>0</v>
      </c>
      <c r="AH357" s="152"/>
      <c r="AI357" s="152"/>
      <c r="AJ357" s="152">
        <v>0</v>
      </c>
      <c r="AK357" s="152"/>
      <c r="AL357" s="152"/>
      <c r="AM357" s="152">
        <v>0</v>
      </c>
      <c r="AN357" s="41">
        <v>162819</v>
      </c>
      <c r="AO357" s="41">
        <f t="shared" si="200"/>
        <v>162819</v>
      </c>
      <c r="AP357" s="152">
        <v>0</v>
      </c>
      <c r="AQ357" s="41">
        <f>IFERROR(VLOOKUP(G357,'10'!A:B,2,0),0)</f>
        <v>0</v>
      </c>
      <c r="AR357" s="41">
        <f t="shared" si="191"/>
        <v>0</v>
      </c>
      <c r="AS357" s="41">
        <f t="shared" si="196"/>
        <v>0</v>
      </c>
      <c r="AT357" s="41">
        <f t="shared" si="199"/>
        <v>162819</v>
      </c>
      <c r="AU357" s="41">
        <f t="shared" si="195"/>
        <v>162819</v>
      </c>
      <c r="AV357" s="459">
        <v>0</v>
      </c>
      <c r="AW357" s="152">
        <v>162819</v>
      </c>
      <c r="AX357" s="152">
        <v>0</v>
      </c>
      <c r="AY357" s="41">
        <f t="shared" si="198"/>
        <v>162819</v>
      </c>
      <c r="AZ357" s="41">
        <f>VLOOKUP(G357,'2017'!A:B,2,0)</f>
        <v>343729</v>
      </c>
      <c r="BA357" s="552">
        <f t="shared" si="201"/>
        <v>180910</v>
      </c>
      <c r="BB357" s="152">
        <v>18091</v>
      </c>
      <c r="BC357" s="152">
        <v>0</v>
      </c>
      <c r="BD357" s="152">
        <v>0</v>
      </c>
      <c r="BE357" s="152">
        <v>0</v>
      </c>
      <c r="BF357" s="152">
        <v>0</v>
      </c>
      <c r="BG357" s="152">
        <v>0</v>
      </c>
      <c r="BH357" s="152">
        <v>0</v>
      </c>
      <c r="BI357" s="152">
        <v>180910</v>
      </c>
      <c r="BJ357" s="145"/>
      <c r="BK357" s="145"/>
    </row>
    <row r="358" spans="1:64" s="8" customFormat="1" ht="51" x14ac:dyDescent="0.25">
      <c r="A358" s="55" t="s">
        <v>842</v>
      </c>
      <c r="B358" s="55" t="s">
        <v>843</v>
      </c>
      <c r="C358" s="155" t="s">
        <v>844</v>
      </c>
      <c r="D358" s="55">
        <v>1</v>
      </c>
      <c r="E358" s="55" t="s">
        <v>35</v>
      </c>
      <c r="F358" s="55" t="s">
        <v>5</v>
      </c>
      <c r="G358" s="55" t="s">
        <v>2793</v>
      </c>
      <c r="H358" s="45">
        <v>347</v>
      </c>
      <c r="I358" s="45" t="s">
        <v>842</v>
      </c>
      <c r="J358" s="155" t="s">
        <v>148</v>
      </c>
      <c r="K358" s="155" t="s">
        <v>1471</v>
      </c>
      <c r="L358" s="152">
        <v>0</v>
      </c>
      <c r="M358" s="152">
        <v>0</v>
      </c>
      <c r="N358" s="152">
        <v>0</v>
      </c>
      <c r="O358" s="152">
        <v>0</v>
      </c>
      <c r="P358" s="152"/>
      <c r="Q358" s="152"/>
      <c r="R358" s="152">
        <v>0</v>
      </c>
      <c r="S358" s="152"/>
      <c r="T358" s="152"/>
      <c r="U358" s="152">
        <v>0</v>
      </c>
      <c r="V358" s="152"/>
      <c r="W358" s="152"/>
      <c r="X358" s="152">
        <v>0</v>
      </c>
      <c r="Y358" s="152"/>
      <c r="Z358" s="152"/>
      <c r="AA358" s="152">
        <v>0</v>
      </c>
      <c r="AB358" s="152"/>
      <c r="AC358" s="152"/>
      <c r="AD358" s="152">
        <v>0</v>
      </c>
      <c r="AE358" s="152"/>
      <c r="AF358" s="152"/>
      <c r="AG358" s="152">
        <v>0</v>
      </c>
      <c r="AH358" s="152"/>
      <c r="AI358" s="152"/>
      <c r="AJ358" s="152">
        <v>0</v>
      </c>
      <c r="AK358" s="152"/>
      <c r="AL358" s="152"/>
      <c r="AM358" s="152">
        <v>0</v>
      </c>
      <c r="AN358" s="41">
        <v>162819</v>
      </c>
      <c r="AO358" s="41">
        <f t="shared" si="200"/>
        <v>162819</v>
      </c>
      <c r="AP358" s="152">
        <v>0</v>
      </c>
      <c r="AQ358" s="41">
        <f>IFERROR(VLOOKUP(G358,'10'!A:B,2,0),0)</f>
        <v>0</v>
      </c>
      <c r="AR358" s="41">
        <f t="shared" si="191"/>
        <v>0</v>
      </c>
      <c r="AS358" s="41">
        <f t="shared" si="196"/>
        <v>0</v>
      </c>
      <c r="AT358" s="41">
        <f t="shared" si="199"/>
        <v>162819</v>
      </c>
      <c r="AU358" s="41">
        <f t="shared" si="195"/>
        <v>162819</v>
      </c>
      <c r="AV358" s="459">
        <v>0</v>
      </c>
      <c r="AW358" s="152">
        <v>162819</v>
      </c>
      <c r="AX358" s="152">
        <v>0</v>
      </c>
      <c r="AY358" s="41">
        <f t="shared" si="198"/>
        <v>162819</v>
      </c>
      <c r="AZ358" s="41">
        <f>VLOOKUP(G358,'2017'!A:B,2,0)</f>
        <v>343729</v>
      </c>
      <c r="BA358" s="552">
        <f t="shared" si="201"/>
        <v>180910</v>
      </c>
      <c r="BB358" s="152">
        <v>18091</v>
      </c>
      <c r="BC358" s="152">
        <v>0</v>
      </c>
      <c r="BD358" s="152">
        <v>0</v>
      </c>
      <c r="BE358" s="152">
        <v>0</v>
      </c>
      <c r="BF358" s="152">
        <v>0</v>
      </c>
      <c r="BG358" s="152">
        <v>0</v>
      </c>
      <c r="BH358" s="152">
        <v>0</v>
      </c>
      <c r="BI358" s="152">
        <v>180910</v>
      </c>
      <c r="BJ358" s="145"/>
      <c r="BK358" s="145"/>
    </row>
    <row r="359" spans="1:64" s="8" customFormat="1" ht="51" x14ac:dyDescent="0.25">
      <c r="A359" s="55" t="s">
        <v>842</v>
      </c>
      <c r="B359" s="55" t="s">
        <v>843</v>
      </c>
      <c r="C359" s="155" t="s">
        <v>844</v>
      </c>
      <c r="D359" s="55">
        <v>1</v>
      </c>
      <c r="E359" s="55" t="s">
        <v>35</v>
      </c>
      <c r="F359" s="55" t="s">
        <v>5</v>
      </c>
      <c r="G359" s="55" t="s">
        <v>2805</v>
      </c>
      <c r="H359" s="45">
        <v>348</v>
      </c>
      <c r="I359" s="45" t="s">
        <v>842</v>
      </c>
      <c r="J359" s="155" t="s">
        <v>148</v>
      </c>
      <c r="K359" s="155" t="s">
        <v>1472</v>
      </c>
      <c r="L359" s="152">
        <v>0</v>
      </c>
      <c r="M359" s="152">
        <v>0</v>
      </c>
      <c r="N359" s="152">
        <v>0</v>
      </c>
      <c r="O359" s="152">
        <v>0</v>
      </c>
      <c r="P359" s="152"/>
      <c r="Q359" s="152"/>
      <c r="R359" s="152">
        <v>0</v>
      </c>
      <c r="S359" s="152"/>
      <c r="T359" s="152"/>
      <c r="U359" s="152">
        <v>0</v>
      </c>
      <c r="V359" s="152"/>
      <c r="W359" s="152"/>
      <c r="X359" s="152">
        <v>0</v>
      </c>
      <c r="Y359" s="152"/>
      <c r="Z359" s="152"/>
      <c r="AA359" s="152">
        <v>0</v>
      </c>
      <c r="AB359" s="152"/>
      <c r="AC359" s="152"/>
      <c r="AD359" s="152">
        <v>0</v>
      </c>
      <c r="AE359" s="152"/>
      <c r="AF359" s="152"/>
      <c r="AG359" s="152">
        <v>0</v>
      </c>
      <c r="AH359" s="152"/>
      <c r="AI359" s="152"/>
      <c r="AJ359" s="152">
        <v>0</v>
      </c>
      <c r="AK359" s="152"/>
      <c r="AL359" s="152"/>
      <c r="AM359" s="152">
        <v>0</v>
      </c>
      <c r="AN359" s="41">
        <v>162819</v>
      </c>
      <c r="AO359" s="41">
        <f t="shared" si="200"/>
        <v>162819</v>
      </c>
      <c r="AP359" s="152">
        <v>0</v>
      </c>
      <c r="AQ359" s="41">
        <f>IFERROR(VLOOKUP(G359,'10'!A:B,2,0),0)</f>
        <v>0</v>
      </c>
      <c r="AR359" s="41">
        <f t="shared" si="191"/>
        <v>0</v>
      </c>
      <c r="AS359" s="41">
        <f t="shared" si="196"/>
        <v>0</v>
      </c>
      <c r="AT359" s="41">
        <f t="shared" si="199"/>
        <v>162819</v>
      </c>
      <c r="AU359" s="41">
        <f t="shared" si="195"/>
        <v>162819</v>
      </c>
      <c r="AV359" s="459">
        <v>0</v>
      </c>
      <c r="AW359" s="152">
        <v>162819</v>
      </c>
      <c r="AX359" s="152">
        <v>0</v>
      </c>
      <c r="AY359" s="41">
        <f t="shared" si="198"/>
        <v>162819</v>
      </c>
      <c r="AZ359" s="41">
        <f>VLOOKUP(G359,'2017'!A:B,2,0)</f>
        <v>343729</v>
      </c>
      <c r="BA359" s="552">
        <f t="shared" si="201"/>
        <v>180910</v>
      </c>
      <c r="BB359" s="152">
        <v>18091</v>
      </c>
      <c r="BC359" s="152">
        <v>0</v>
      </c>
      <c r="BD359" s="152">
        <v>0</v>
      </c>
      <c r="BE359" s="152">
        <v>0</v>
      </c>
      <c r="BF359" s="152">
        <v>0</v>
      </c>
      <c r="BG359" s="152">
        <v>0</v>
      </c>
      <c r="BH359" s="152">
        <v>0</v>
      </c>
      <c r="BI359" s="152">
        <v>180910</v>
      </c>
      <c r="BJ359" s="145"/>
      <c r="BK359" s="145"/>
    </row>
    <row r="360" spans="1:64" s="8" customFormat="1" ht="51" x14ac:dyDescent="0.25">
      <c r="A360" s="55" t="s">
        <v>842</v>
      </c>
      <c r="B360" s="55" t="s">
        <v>843</v>
      </c>
      <c r="C360" s="155" t="s">
        <v>844</v>
      </c>
      <c r="D360" s="55">
        <v>1</v>
      </c>
      <c r="E360" s="55" t="s">
        <v>35</v>
      </c>
      <c r="F360" s="55" t="s">
        <v>5</v>
      </c>
      <c r="G360" s="55" t="s">
        <v>2795</v>
      </c>
      <c r="H360" s="45">
        <v>349</v>
      </c>
      <c r="I360" s="45" t="s">
        <v>842</v>
      </c>
      <c r="J360" s="155" t="s">
        <v>148</v>
      </c>
      <c r="K360" s="155" t="s">
        <v>1473</v>
      </c>
      <c r="L360" s="152">
        <v>0</v>
      </c>
      <c r="M360" s="152">
        <v>0</v>
      </c>
      <c r="N360" s="152">
        <v>0</v>
      </c>
      <c r="O360" s="152">
        <v>0</v>
      </c>
      <c r="P360" s="152"/>
      <c r="Q360" s="152"/>
      <c r="R360" s="152">
        <v>0</v>
      </c>
      <c r="S360" s="152"/>
      <c r="T360" s="152"/>
      <c r="U360" s="152">
        <v>0</v>
      </c>
      <c r="V360" s="152"/>
      <c r="W360" s="152"/>
      <c r="X360" s="152">
        <v>0</v>
      </c>
      <c r="Y360" s="152"/>
      <c r="Z360" s="152"/>
      <c r="AA360" s="152">
        <v>0</v>
      </c>
      <c r="AB360" s="152"/>
      <c r="AC360" s="152"/>
      <c r="AD360" s="152">
        <v>0</v>
      </c>
      <c r="AE360" s="152"/>
      <c r="AF360" s="152"/>
      <c r="AG360" s="152">
        <v>0</v>
      </c>
      <c r="AH360" s="152"/>
      <c r="AI360" s="152"/>
      <c r="AJ360" s="152">
        <v>0</v>
      </c>
      <c r="AK360" s="152"/>
      <c r="AL360" s="152"/>
      <c r="AM360" s="152">
        <v>0</v>
      </c>
      <c r="AN360" s="41">
        <v>162819</v>
      </c>
      <c r="AO360" s="41">
        <f t="shared" si="200"/>
        <v>162819</v>
      </c>
      <c r="AP360" s="152">
        <v>0</v>
      </c>
      <c r="AQ360" s="41">
        <f>IFERROR(VLOOKUP(G360,'10'!A:B,2,0),0)</f>
        <v>0</v>
      </c>
      <c r="AR360" s="41">
        <f t="shared" si="191"/>
        <v>0</v>
      </c>
      <c r="AS360" s="41">
        <f t="shared" si="196"/>
        <v>0</v>
      </c>
      <c r="AT360" s="41">
        <f t="shared" si="199"/>
        <v>162819</v>
      </c>
      <c r="AU360" s="41">
        <f t="shared" si="195"/>
        <v>162819</v>
      </c>
      <c r="AV360" s="459">
        <v>0</v>
      </c>
      <c r="AW360" s="152">
        <v>162819</v>
      </c>
      <c r="AX360" s="152">
        <v>0</v>
      </c>
      <c r="AY360" s="41">
        <f t="shared" si="198"/>
        <v>162819</v>
      </c>
      <c r="AZ360" s="41">
        <f>VLOOKUP(G360,'2017'!A:B,2,0)</f>
        <v>343729</v>
      </c>
      <c r="BA360" s="552">
        <f t="shared" si="201"/>
        <v>180910</v>
      </c>
      <c r="BB360" s="152">
        <v>18091</v>
      </c>
      <c r="BC360" s="152">
        <v>0</v>
      </c>
      <c r="BD360" s="152">
        <v>0</v>
      </c>
      <c r="BE360" s="152">
        <v>0</v>
      </c>
      <c r="BF360" s="152">
        <v>0</v>
      </c>
      <c r="BG360" s="152">
        <v>0</v>
      </c>
      <c r="BH360" s="152">
        <v>0</v>
      </c>
      <c r="BI360" s="152">
        <v>180910</v>
      </c>
      <c r="BJ360" s="145"/>
      <c r="BK360" s="145"/>
    </row>
    <row r="361" spans="1:64" s="8" customFormat="1" ht="51" x14ac:dyDescent="0.25">
      <c r="A361" s="55" t="s">
        <v>842</v>
      </c>
      <c r="B361" s="55" t="s">
        <v>843</v>
      </c>
      <c r="C361" s="155" t="s">
        <v>844</v>
      </c>
      <c r="D361" s="55">
        <v>1</v>
      </c>
      <c r="E361" s="55" t="s">
        <v>35</v>
      </c>
      <c r="F361" s="55" t="s">
        <v>5</v>
      </c>
      <c r="G361" s="55" t="s">
        <v>2806</v>
      </c>
      <c r="H361" s="45">
        <v>350</v>
      </c>
      <c r="I361" s="45" t="s">
        <v>842</v>
      </c>
      <c r="J361" s="155" t="s">
        <v>148</v>
      </c>
      <c r="K361" s="155" t="s">
        <v>1474</v>
      </c>
      <c r="L361" s="152">
        <v>0</v>
      </c>
      <c r="M361" s="152">
        <v>0</v>
      </c>
      <c r="N361" s="152">
        <v>0</v>
      </c>
      <c r="O361" s="152">
        <v>0</v>
      </c>
      <c r="P361" s="152"/>
      <c r="Q361" s="152"/>
      <c r="R361" s="152">
        <v>0</v>
      </c>
      <c r="S361" s="152"/>
      <c r="T361" s="152"/>
      <c r="U361" s="152">
        <v>0</v>
      </c>
      <c r="V361" s="152"/>
      <c r="W361" s="152"/>
      <c r="X361" s="152">
        <v>0</v>
      </c>
      <c r="Y361" s="152"/>
      <c r="Z361" s="152"/>
      <c r="AA361" s="152">
        <v>0</v>
      </c>
      <c r="AB361" s="152"/>
      <c r="AC361" s="152"/>
      <c r="AD361" s="152">
        <v>0</v>
      </c>
      <c r="AE361" s="152"/>
      <c r="AF361" s="152"/>
      <c r="AG361" s="152">
        <v>0</v>
      </c>
      <c r="AH361" s="152"/>
      <c r="AI361" s="152"/>
      <c r="AJ361" s="152">
        <v>0</v>
      </c>
      <c r="AK361" s="152"/>
      <c r="AL361" s="152"/>
      <c r="AM361" s="152">
        <v>0</v>
      </c>
      <c r="AN361" s="41">
        <v>162819</v>
      </c>
      <c r="AO361" s="41">
        <f t="shared" si="200"/>
        <v>162819</v>
      </c>
      <c r="AP361" s="152">
        <v>0</v>
      </c>
      <c r="AQ361" s="41">
        <f>IFERROR(VLOOKUP(G361,'10'!A:B,2,0),0)</f>
        <v>0</v>
      </c>
      <c r="AR361" s="41">
        <f t="shared" si="191"/>
        <v>0</v>
      </c>
      <c r="AS361" s="41">
        <f t="shared" si="196"/>
        <v>0</v>
      </c>
      <c r="AT361" s="41">
        <f t="shared" si="199"/>
        <v>162819</v>
      </c>
      <c r="AU361" s="41">
        <f t="shared" si="195"/>
        <v>162819</v>
      </c>
      <c r="AV361" s="459">
        <v>0</v>
      </c>
      <c r="AW361" s="152">
        <v>162819</v>
      </c>
      <c r="AX361" s="152">
        <v>0</v>
      </c>
      <c r="AY361" s="41">
        <f t="shared" si="198"/>
        <v>162819</v>
      </c>
      <c r="AZ361" s="41">
        <f>VLOOKUP(G361,'2017'!A:B,2,0)</f>
        <v>343729</v>
      </c>
      <c r="BA361" s="552">
        <f t="shared" si="201"/>
        <v>180910</v>
      </c>
      <c r="BB361" s="152">
        <v>18091</v>
      </c>
      <c r="BC361" s="152">
        <v>0</v>
      </c>
      <c r="BD361" s="152">
        <v>0</v>
      </c>
      <c r="BE361" s="152">
        <v>0</v>
      </c>
      <c r="BF361" s="152">
        <v>0</v>
      </c>
      <c r="BG361" s="152">
        <v>0</v>
      </c>
      <c r="BH361" s="152">
        <v>0</v>
      </c>
      <c r="BI361" s="152">
        <v>180910</v>
      </c>
      <c r="BJ361" s="145"/>
      <c r="BK361" s="145"/>
    </row>
    <row r="362" spans="1:64" s="8" customFormat="1" ht="51" x14ac:dyDescent="0.25">
      <c r="A362" s="55" t="s">
        <v>842</v>
      </c>
      <c r="B362" s="55" t="s">
        <v>843</v>
      </c>
      <c r="C362" s="155" t="s">
        <v>844</v>
      </c>
      <c r="D362" s="55">
        <v>1</v>
      </c>
      <c r="E362" s="55" t="s">
        <v>35</v>
      </c>
      <c r="F362" s="55" t="s">
        <v>5</v>
      </c>
      <c r="G362" s="55" t="s">
        <v>2782</v>
      </c>
      <c r="H362" s="45">
        <v>351</v>
      </c>
      <c r="I362" s="45" t="s">
        <v>842</v>
      </c>
      <c r="J362" s="155" t="s">
        <v>148</v>
      </c>
      <c r="K362" s="155" t="s">
        <v>1475</v>
      </c>
      <c r="L362" s="152">
        <v>0</v>
      </c>
      <c r="M362" s="152">
        <v>0</v>
      </c>
      <c r="N362" s="152">
        <v>0</v>
      </c>
      <c r="O362" s="152">
        <v>0</v>
      </c>
      <c r="P362" s="152"/>
      <c r="Q362" s="152"/>
      <c r="R362" s="152">
        <v>0</v>
      </c>
      <c r="S362" s="152"/>
      <c r="T362" s="152"/>
      <c r="U362" s="152">
        <v>0</v>
      </c>
      <c r="V362" s="152"/>
      <c r="W362" s="152"/>
      <c r="X362" s="152">
        <v>0</v>
      </c>
      <c r="Y362" s="152"/>
      <c r="Z362" s="152"/>
      <c r="AA362" s="152">
        <v>0</v>
      </c>
      <c r="AB362" s="152"/>
      <c r="AC362" s="152"/>
      <c r="AD362" s="152">
        <v>0</v>
      </c>
      <c r="AE362" s="152"/>
      <c r="AF362" s="152"/>
      <c r="AG362" s="152">
        <v>0</v>
      </c>
      <c r="AH362" s="152"/>
      <c r="AI362" s="152"/>
      <c r="AJ362" s="152">
        <v>0</v>
      </c>
      <c r="AK362" s="152"/>
      <c r="AL362" s="152"/>
      <c r="AM362" s="152">
        <v>0</v>
      </c>
      <c r="AN362" s="41">
        <v>162819</v>
      </c>
      <c r="AO362" s="41">
        <f t="shared" si="200"/>
        <v>162819</v>
      </c>
      <c r="AP362" s="152">
        <v>0</v>
      </c>
      <c r="AQ362" s="41">
        <f>IFERROR(VLOOKUP(G362,'10'!A:B,2,0),0)</f>
        <v>0</v>
      </c>
      <c r="AR362" s="41">
        <f t="shared" si="191"/>
        <v>0</v>
      </c>
      <c r="AS362" s="41">
        <f t="shared" si="196"/>
        <v>0</v>
      </c>
      <c r="AT362" s="41">
        <f t="shared" si="199"/>
        <v>162819</v>
      </c>
      <c r="AU362" s="41">
        <f t="shared" si="195"/>
        <v>162819</v>
      </c>
      <c r="AV362" s="459">
        <v>0</v>
      </c>
      <c r="AW362" s="152">
        <v>162819</v>
      </c>
      <c r="AX362" s="152">
        <v>0</v>
      </c>
      <c r="AY362" s="41">
        <f t="shared" si="198"/>
        <v>162819</v>
      </c>
      <c r="AZ362" s="41">
        <f>VLOOKUP(G362,'2017'!A:B,2,0)</f>
        <v>343729</v>
      </c>
      <c r="BA362" s="552">
        <f t="shared" si="201"/>
        <v>180910</v>
      </c>
      <c r="BB362" s="152">
        <v>18091</v>
      </c>
      <c r="BC362" s="152">
        <v>0</v>
      </c>
      <c r="BD362" s="152">
        <v>0</v>
      </c>
      <c r="BE362" s="152">
        <v>0</v>
      </c>
      <c r="BF362" s="152">
        <v>0</v>
      </c>
      <c r="BG362" s="152">
        <v>0</v>
      </c>
      <c r="BH362" s="152">
        <v>0</v>
      </c>
      <c r="BI362" s="152">
        <v>180910</v>
      </c>
      <c r="BJ362" s="145"/>
      <c r="BK362" s="145"/>
    </row>
    <row r="363" spans="1:64" s="8" customFormat="1" ht="51" x14ac:dyDescent="0.25">
      <c r="A363" s="55" t="s">
        <v>842</v>
      </c>
      <c r="B363" s="55" t="s">
        <v>843</v>
      </c>
      <c r="C363" s="155" t="s">
        <v>844</v>
      </c>
      <c r="D363" s="55">
        <v>1</v>
      </c>
      <c r="E363" s="55" t="s">
        <v>35</v>
      </c>
      <c r="F363" s="55" t="s">
        <v>5</v>
      </c>
      <c r="G363" s="55" t="s">
        <v>2784</v>
      </c>
      <c r="H363" s="45">
        <v>352</v>
      </c>
      <c r="I363" s="45" t="s">
        <v>842</v>
      </c>
      <c r="J363" s="155" t="s">
        <v>148</v>
      </c>
      <c r="K363" s="155" t="s">
        <v>1476</v>
      </c>
      <c r="L363" s="152">
        <v>0</v>
      </c>
      <c r="M363" s="152">
        <v>0</v>
      </c>
      <c r="N363" s="152">
        <v>0</v>
      </c>
      <c r="O363" s="152">
        <v>0</v>
      </c>
      <c r="P363" s="152"/>
      <c r="Q363" s="152"/>
      <c r="R363" s="152">
        <v>0</v>
      </c>
      <c r="S363" s="152"/>
      <c r="T363" s="152"/>
      <c r="U363" s="152">
        <v>0</v>
      </c>
      <c r="V363" s="152"/>
      <c r="W363" s="152"/>
      <c r="X363" s="152">
        <v>0</v>
      </c>
      <c r="Y363" s="152"/>
      <c r="Z363" s="152"/>
      <c r="AA363" s="152">
        <v>0</v>
      </c>
      <c r="AB363" s="152"/>
      <c r="AC363" s="152"/>
      <c r="AD363" s="152">
        <v>0</v>
      </c>
      <c r="AE363" s="152"/>
      <c r="AF363" s="152"/>
      <c r="AG363" s="152">
        <v>0</v>
      </c>
      <c r="AH363" s="152"/>
      <c r="AI363" s="152"/>
      <c r="AJ363" s="152">
        <v>0</v>
      </c>
      <c r="AK363" s="152"/>
      <c r="AL363" s="152"/>
      <c r="AM363" s="152">
        <v>0</v>
      </c>
      <c r="AN363" s="41">
        <v>162819</v>
      </c>
      <c r="AO363" s="41">
        <f t="shared" si="200"/>
        <v>162819</v>
      </c>
      <c r="AP363" s="152">
        <v>0</v>
      </c>
      <c r="AQ363" s="41">
        <f>IFERROR(VLOOKUP(G363,'10'!A:B,2,0),0)</f>
        <v>0</v>
      </c>
      <c r="AR363" s="41">
        <f t="shared" si="191"/>
        <v>0</v>
      </c>
      <c r="AS363" s="41">
        <f t="shared" si="196"/>
        <v>0</v>
      </c>
      <c r="AT363" s="41">
        <f t="shared" si="199"/>
        <v>162819</v>
      </c>
      <c r="AU363" s="41">
        <f t="shared" si="195"/>
        <v>162819</v>
      </c>
      <c r="AV363" s="459">
        <v>0</v>
      </c>
      <c r="AW363" s="152">
        <v>162819</v>
      </c>
      <c r="AX363" s="152">
        <v>0</v>
      </c>
      <c r="AY363" s="41">
        <f t="shared" si="198"/>
        <v>162819</v>
      </c>
      <c r="AZ363" s="41">
        <f>VLOOKUP(G363,'2017'!A:B,2,0)</f>
        <v>343729</v>
      </c>
      <c r="BA363" s="552">
        <f t="shared" si="201"/>
        <v>180910</v>
      </c>
      <c r="BB363" s="152">
        <v>18091</v>
      </c>
      <c r="BC363" s="152">
        <v>0</v>
      </c>
      <c r="BD363" s="152">
        <v>0</v>
      </c>
      <c r="BE363" s="152">
        <v>0</v>
      </c>
      <c r="BF363" s="152">
        <v>0</v>
      </c>
      <c r="BG363" s="152">
        <v>0</v>
      </c>
      <c r="BH363" s="152">
        <v>0</v>
      </c>
      <c r="BI363" s="152">
        <v>180910</v>
      </c>
      <c r="BJ363" s="145"/>
      <c r="BK363" s="145"/>
    </row>
    <row r="364" spans="1:64" s="8" customFormat="1" ht="51" x14ac:dyDescent="0.25">
      <c r="A364" s="55" t="s">
        <v>842</v>
      </c>
      <c r="B364" s="55" t="s">
        <v>843</v>
      </c>
      <c r="C364" s="155" t="s">
        <v>844</v>
      </c>
      <c r="D364" s="55">
        <v>1</v>
      </c>
      <c r="E364" s="55" t="s">
        <v>35</v>
      </c>
      <c r="F364" s="55" t="s">
        <v>5</v>
      </c>
      <c r="G364" s="55" t="s">
        <v>2807</v>
      </c>
      <c r="H364" s="45">
        <v>353</v>
      </c>
      <c r="I364" s="45" t="s">
        <v>842</v>
      </c>
      <c r="J364" s="155" t="s">
        <v>148</v>
      </c>
      <c r="K364" s="155" t="s">
        <v>1477</v>
      </c>
      <c r="L364" s="152">
        <v>0</v>
      </c>
      <c r="M364" s="152">
        <v>0</v>
      </c>
      <c r="N364" s="152">
        <v>0</v>
      </c>
      <c r="O364" s="152">
        <v>0</v>
      </c>
      <c r="P364" s="152"/>
      <c r="Q364" s="152"/>
      <c r="R364" s="152">
        <v>0</v>
      </c>
      <c r="S364" s="152"/>
      <c r="T364" s="152"/>
      <c r="U364" s="152">
        <v>0</v>
      </c>
      <c r="V364" s="152"/>
      <c r="W364" s="152"/>
      <c r="X364" s="152">
        <v>0</v>
      </c>
      <c r="Y364" s="152"/>
      <c r="Z364" s="152"/>
      <c r="AA364" s="152">
        <v>0</v>
      </c>
      <c r="AB364" s="152"/>
      <c r="AC364" s="152"/>
      <c r="AD364" s="152">
        <v>0</v>
      </c>
      <c r="AE364" s="152"/>
      <c r="AF364" s="152"/>
      <c r="AG364" s="152">
        <v>0</v>
      </c>
      <c r="AH364" s="152"/>
      <c r="AI364" s="152"/>
      <c r="AJ364" s="152">
        <v>0</v>
      </c>
      <c r="AK364" s="152"/>
      <c r="AL364" s="152"/>
      <c r="AM364" s="152">
        <v>0</v>
      </c>
      <c r="AN364" s="41">
        <v>162819</v>
      </c>
      <c r="AO364" s="41">
        <f t="shared" si="200"/>
        <v>162819</v>
      </c>
      <c r="AP364" s="152">
        <v>0</v>
      </c>
      <c r="AQ364" s="41">
        <f>IFERROR(VLOOKUP(G364,'10'!A:B,2,0),0)</f>
        <v>0</v>
      </c>
      <c r="AR364" s="41">
        <f t="shared" si="191"/>
        <v>0</v>
      </c>
      <c r="AS364" s="41">
        <f t="shared" si="196"/>
        <v>0</v>
      </c>
      <c r="AT364" s="41">
        <f t="shared" si="199"/>
        <v>162819</v>
      </c>
      <c r="AU364" s="41">
        <f t="shared" si="195"/>
        <v>162819</v>
      </c>
      <c r="AV364" s="459">
        <v>0</v>
      </c>
      <c r="AW364" s="152">
        <v>162819</v>
      </c>
      <c r="AX364" s="152">
        <v>0</v>
      </c>
      <c r="AY364" s="41">
        <f t="shared" si="198"/>
        <v>162819</v>
      </c>
      <c r="AZ364" s="41">
        <f>VLOOKUP(G364,'2017'!A:B,2,0)</f>
        <v>343729</v>
      </c>
      <c r="BA364" s="552">
        <f t="shared" si="201"/>
        <v>180910</v>
      </c>
      <c r="BB364" s="152">
        <v>18091</v>
      </c>
      <c r="BC364" s="152">
        <v>0</v>
      </c>
      <c r="BD364" s="152">
        <v>0</v>
      </c>
      <c r="BE364" s="152">
        <v>0</v>
      </c>
      <c r="BF364" s="152">
        <v>0</v>
      </c>
      <c r="BG364" s="152">
        <v>0</v>
      </c>
      <c r="BH364" s="152">
        <v>0</v>
      </c>
      <c r="BI364" s="152">
        <v>180910</v>
      </c>
      <c r="BJ364" s="145"/>
      <c r="BK364" s="145"/>
    </row>
    <row r="365" spans="1:64" s="8" customFormat="1" ht="51" x14ac:dyDescent="0.25">
      <c r="A365" s="55" t="s">
        <v>842</v>
      </c>
      <c r="B365" s="55" t="s">
        <v>843</v>
      </c>
      <c r="C365" s="155" t="s">
        <v>844</v>
      </c>
      <c r="D365" s="55">
        <v>1</v>
      </c>
      <c r="E365" s="55" t="s">
        <v>35</v>
      </c>
      <c r="F365" s="55" t="s">
        <v>5</v>
      </c>
      <c r="G365" s="55" t="s">
        <v>2789</v>
      </c>
      <c r="H365" s="45">
        <v>354</v>
      </c>
      <c r="I365" s="45" t="s">
        <v>842</v>
      </c>
      <c r="J365" s="155" t="s">
        <v>148</v>
      </c>
      <c r="K365" s="155" t="s">
        <v>1478</v>
      </c>
      <c r="L365" s="152">
        <v>0</v>
      </c>
      <c r="M365" s="152">
        <v>0</v>
      </c>
      <c r="N365" s="152">
        <v>0</v>
      </c>
      <c r="O365" s="152">
        <v>0</v>
      </c>
      <c r="P365" s="152"/>
      <c r="Q365" s="152"/>
      <c r="R365" s="152">
        <v>0</v>
      </c>
      <c r="S365" s="152"/>
      <c r="T365" s="152"/>
      <c r="U365" s="152">
        <v>0</v>
      </c>
      <c r="V365" s="152"/>
      <c r="W365" s="152"/>
      <c r="X365" s="152">
        <v>0</v>
      </c>
      <c r="Y365" s="152"/>
      <c r="Z365" s="152"/>
      <c r="AA365" s="152">
        <v>0</v>
      </c>
      <c r="AB365" s="152"/>
      <c r="AC365" s="152"/>
      <c r="AD365" s="152">
        <v>0</v>
      </c>
      <c r="AE365" s="152"/>
      <c r="AF365" s="152"/>
      <c r="AG365" s="152">
        <v>0</v>
      </c>
      <c r="AH365" s="152"/>
      <c r="AI365" s="152"/>
      <c r="AJ365" s="152">
        <v>0</v>
      </c>
      <c r="AK365" s="152"/>
      <c r="AL365" s="152"/>
      <c r="AM365" s="152">
        <v>0</v>
      </c>
      <c r="AN365" s="41">
        <v>162819</v>
      </c>
      <c r="AO365" s="41">
        <f t="shared" si="200"/>
        <v>162819</v>
      </c>
      <c r="AP365" s="152">
        <v>0</v>
      </c>
      <c r="AQ365" s="41">
        <f>IFERROR(VLOOKUP(G365,'10'!A:B,2,0),0)</f>
        <v>0</v>
      </c>
      <c r="AR365" s="41">
        <f t="shared" si="191"/>
        <v>0</v>
      </c>
      <c r="AS365" s="41">
        <f t="shared" si="196"/>
        <v>0</v>
      </c>
      <c r="AT365" s="41">
        <f t="shared" si="199"/>
        <v>162819</v>
      </c>
      <c r="AU365" s="41">
        <f t="shared" si="195"/>
        <v>162819</v>
      </c>
      <c r="AV365" s="459">
        <v>0</v>
      </c>
      <c r="AW365" s="152">
        <v>162819</v>
      </c>
      <c r="AX365" s="152">
        <v>0</v>
      </c>
      <c r="AY365" s="41">
        <f t="shared" si="198"/>
        <v>162819</v>
      </c>
      <c r="AZ365" s="41">
        <f>VLOOKUP(G365,'2017'!A:B,2,0)</f>
        <v>343729</v>
      </c>
      <c r="BA365" s="552">
        <f t="shared" si="201"/>
        <v>180910</v>
      </c>
      <c r="BB365" s="152">
        <v>18091</v>
      </c>
      <c r="BC365" s="152">
        <v>0</v>
      </c>
      <c r="BD365" s="152">
        <v>0</v>
      </c>
      <c r="BE365" s="152">
        <v>0</v>
      </c>
      <c r="BF365" s="152">
        <v>0</v>
      </c>
      <c r="BG365" s="152">
        <v>0</v>
      </c>
      <c r="BH365" s="152">
        <v>0</v>
      </c>
      <c r="BI365" s="152">
        <v>180910</v>
      </c>
      <c r="BJ365" s="145"/>
      <c r="BK365" s="145"/>
    </row>
    <row r="366" spans="1:64" s="8" customFormat="1" ht="51" x14ac:dyDescent="0.25">
      <c r="A366" s="55" t="s">
        <v>842</v>
      </c>
      <c r="B366" s="55" t="s">
        <v>843</v>
      </c>
      <c r="C366" s="155" t="s">
        <v>844</v>
      </c>
      <c r="D366" s="55">
        <v>1</v>
      </c>
      <c r="E366" s="55" t="s">
        <v>35</v>
      </c>
      <c r="F366" s="55" t="s">
        <v>5</v>
      </c>
      <c r="G366" s="55" t="s">
        <v>2797</v>
      </c>
      <c r="H366" s="45">
        <v>355</v>
      </c>
      <c r="I366" s="45" t="s">
        <v>842</v>
      </c>
      <c r="J366" s="155" t="s">
        <v>148</v>
      </c>
      <c r="K366" s="155" t="s">
        <v>1479</v>
      </c>
      <c r="L366" s="152">
        <v>0</v>
      </c>
      <c r="M366" s="152">
        <v>0</v>
      </c>
      <c r="N366" s="152">
        <v>0</v>
      </c>
      <c r="O366" s="152">
        <v>0</v>
      </c>
      <c r="P366" s="152"/>
      <c r="Q366" s="152"/>
      <c r="R366" s="152">
        <v>0</v>
      </c>
      <c r="S366" s="152"/>
      <c r="T366" s="152"/>
      <c r="U366" s="152">
        <v>0</v>
      </c>
      <c r="V366" s="152"/>
      <c r="W366" s="152"/>
      <c r="X366" s="152">
        <v>0</v>
      </c>
      <c r="Y366" s="152"/>
      <c r="Z366" s="152"/>
      <c r="AA366" s="152">
        <v>0</v>
      </c>
      <c r="AB366" s="152"/>
      <c r="AC366" s="152"/>
      <c r="AD366" s="152">
        <v>0</v>
      </c>
      <c r="AE366" s="152"/>
      <c r="AF366" s="152"/>
      <c r="AG366" s="152">
        <v>0</v>
      </c>
      <c r="AH366" s="152"/>
      <c r="AI366" s="152"/>
      <c r="AJ366" s="152">
        <v>0</v>
      </c>
      <c r="AK366" s="152"/>
      <c r="AL366" s="152"/>
      <c r="AM366" s="152">
        <v>0</v>
      </c>
      <c r="AN366" s="41">
        <v>162819</v>
      </c>
      <c r="AO366" s="41">
        <f t="shared" si="200"/>
        <v>162819</v>
      </c>
      <c r="AP366" s="152">
        <v>0</v>
      </c>
      <c r="AQ366" s="41">
        <f>IFERROR(VLOOKUP(G366,'10'!A:B,2,0),0)</f>
        <v>0</v>
      </c>
      <c r="AR366" s="41">
        <f t="shared" si="191"/>
        <v>0</v>
      </c>
      <c r="AS366" s="41">
        <f t="shared" si="196"/>
        <v>0</v>
      </c>
      <c r="AT366" s="41">
        <f t="shared" si="199"/>
        <v>162819</v>
      </c>
      <c r="AU366" s="41">
        <f t="shared" si="195"/>
        <v>162819</v>
      </c>
      <c r="AV366" s="459">
        <v>0</v>
      </c>
      <c r="AW366" s="152">
        <v>162819</v>
      </c>
      <c r="AX366" s="152">
        <v>0</v>
      </c>
      <c r="AY366" s="41">
        <f t="shared" si="198"/>
        <v>162819</v>
      </c>
      <c r="AZ366" s="41">
        <f>VLOOKUP(G366,'2017'!A:B,2,0)</f>
        <v>343729</v>
      </c>
      <c r="BA366" s="552">
        <f t="shared" si="201"/>
        <v>180910</v>
      </c>
      <c r="BB366" s="152">
        <v>18091</v>
      </c>
      <c r="BC366" s="152">
        <v>0</v>
      </c>
      <c r="BD366" s="152">
        <v>0</v>
      </c>
      <c r="BE366" s="152">
        <v>0</v>
      </c>
      <c r="BF366" s="152">
        <v>0</v>
      </c>
      <c r="BG366" s="152">
        <v>0</v>
      </c>
      <c r="BH366" s="152">
        <v>0</v>
      </c>
      <c r="BI366" s="152">
        <v>180910</v>
      </c>
      <c r="BJ366" s="145"/>
      <c r="BK366" s="145"/>
    </row>
    <row r="367" spans="1:64" s="8" customFormat="1" ht="51" x14ac:dyDescent="0.25">
      <c r="A367" s="55" t="s">
        <v>842</v>
      </c>
      <c r="B367" s="55" t="s">
        <v>843</v>
      </c>
      <c r="C367" s="155" t="s">
        <v>844</v>
      </c>
      <c r="D367" s="55">
        <v>1</v>
      </c>
      <c r="E367" s="55" t="s">
        <v>35</v>
      </c>
      <c r="F367" s="55" t="s">
        <v>5</v>
      </c>
      <c r="G367" s="55" t="s">
        <v>2792</v>
      </c>
      <c r="H367" s="45">
        <v>356</v>
      </c>
      <c r="I367" s="45" t="s">
        <v>842</v>
      </c>
      <c r="J367" s="155" t="s">
        <v>148</v>
      </c>
      <c r="K367" s="155" t="s">
        <v>1480</v>
      </c>
      <c r="L367" s="152">
        <v>0</v>
      </c>
      <c r="M367" s="152">
        <v>0</v>
      </c>
      <c r="N367" s="152">
        <v>0</v>
      </c>
      <c r="O367" s="152">
        <v>0</v>
      </c>
      <c r="P367" s="152"/>
      <c r="Q367" s="152"/>
      <c r="R367" s="152">
        <v>0</v>
      </c>
      <c r="S367" s="152"/>
      <c r="T367" s="152"/>
      <c r="U367" s="152">
        <v>0</v>
      </c>
      <c r="V367" s="152"/>
      <c r="W367" s="152"/>
      <c r="X367" s="152">
        <v>0</v>
      </c>
      <c r="Y367" s="152"/>
      <c r="Z367" s="152"/>
      <c r="AA367" s="152">
        <v>0</v>
      </c>
      <c r="AB367" s="152"/>
      <c r="AC367" s="152"/>
      <c r="AD367" s="152">
        <v>0</v>
      </c>
      <c r="AE367" s="152"/>
      <c r="AF367" s="152"/>
      <c r="AG367" s="152">
        <v>0</v>
      </c>
      <c r="AH367" s="152"/>
      <c r="AI367" s="152"/>
      <c r="AJ367" s="152">
        <v>0</v>
      </c>
      <c r="AK367" s="152"/>
      <c r="AL367" s="152"/>
      <c r="AM367" s="152">
        <v>0</v>
      </c>
      <c r="AN367" s="41">
        <v>162819</v>
      </c>
      <c r="AO367" s="41">
        <f t="shared" si="200"/>
        <v>162819</v>
      </c>
      <c r="AP367" s="152">
        <v>0</v>
      </c>
      <c r="AQ367" s="41">
        <f>IFERROR(VLOOKUP(G367,'10'!A:B,2,0),0)</f>
        <v>0</v>
      </c>
      <c r="AR367" s="41">
        <f t="shared" si="191"/>
        <v>0</v>
      </c>
      <c r="AS367" s="41">
        <f t="shared" si="196"/>
        <v>0</v>
      </c>
      <c r="AT367" s="41">
        <f t="shared" si="199"/>
        <v>162819</v>
      </c>
      <c r="AU367" s="41">
        <f t="shared" si="195"/>
        <v>162819</v>
      </c>
      <c r="AV367" s="459">
        <v>0</v>
      </c>
      <c r="AW367" s="152">
        <v>162819</v>
      </c>
      <c r="AX367" s="152">
        <v>0</v>
      </c>
      <c r="AY367" s="41">
        <f t="shared" si="198"/>
        <v>162819</v>
      </c>
      <c r="AZ367" s="41">
        <f>VLOOKUP(G367,'2017'!A:B,2,0)</f>
        <v>343729</v>
      </c>
      <c r="BA367" s="552">
        <f t="shared" si="201"/>
        <v>180910</v>
      </c>
      <c r="BB367" s="152">
        <v>18091</v>
      </c>
      <c r="BC367" s="152">
        <v>0</v>
      </c>
      <c r="BD367" s="152">
        <v>0</v>
      </c>
      <c r="BE367" s="152">
        <v>0</v>
      </c>
      <c r="BF367" s="152">
        <v>0</v>
      </c>
      <c r="BG367" s="152">
        <v>0</v>
      </c>
      <c r="BH367" s="152">
        <v>0</v>
      </c>
      <c r="BI367" s="152">
        <v>180910</v>
      </c>
      <c r="BJ367" s="145"/>
      <c r="BK367" s="145"/>
    </row>
    <row r="368" spans="1:64" s="8" customFormat="1" ht="51" x14ac:dyDescent="0.25">
      <c r="A368" s="55" t="s">
        <v>842</v>
      </c>
      <c r="B368" s="55" t="s">
        <v>843</v>
      </c>
      <c r="C368" s="155" t="s">
        <v>844</v>
      </c>
      <c r="D368" s="55">
        <v>1</v>
      </c>
      <c r="E368" s="55" t="s">
        <v>35</v>
      </c>
      <c r="F368" s="55" t="s">
        <v>5</v>
      </c>
      <c r="G368" s="55" t="s">
        <v>2808</v>
      </c>
      <c r="H368" s="45">
        <v>357</v>
      </c>
      <c r="I368" s="45" t="s">
        <v>842</v>
      </c>
      <c r="J368" s="155" t="s">
        <v>148</v>
      </c>
      <c r="K368" s="155" t="s">
        <v>1481</v>
      </c>
      <c r="L368" s="152">
        <v>0</v>
      </c>
      <c r="M368" s="152">
        <v>0</v>
      </c>
      <c r="N368" s="152">
        <v>0</v>
      </c>
      <c r="O368" s="152">
        <v>0</v>
      </c>
      <c r="P368" s="152"/>
      <c r="Q368" s="152"/>
      <c r="R368" s="152">
        <v>0</v>
      </c>
      <c r="S368" s="152"/>
      <c r="T368" s="152"/>
      <c r="U368" s="152">
        <v>0</v>
      </c>
      <c r="V368" s="152"/>
      <c r="W368" s="152"/>
      <c r="X368" s="152">
        <v>0</v>
      </c>
      <c r="Y368" s="152"/>
      <c r="Z368" s="152"/>
      <c r="AA368" s="152">
        <v>0</v>
      </c>
      <c r="AB368" s="152"/>
      <c r="AC368" s="152"/>
      <c r="AD368" s="152">
        <v>0</v>
      </c>
      <c r="AE368" s="152"/>
      <c r="AF368" s="152"/>
      <c r="AG368" s="152">
        <v>0</v>
      </c>
      <c r="AH368" s="152"/>
      <c r="AI368" s="152"/>
      <c r="AJ368" s="152">
        <v>0</v>
      </c>
      <c r="AK368" s="152"/>
      <c r="AL368" s="152"/>
      <c r="AM368" s="152">
        <v>0</v>
      </c>
      <c r="AN368" s="41">
        <v>162819</v>
      </c>
      <c r="AO368" s="41">
        <f t="shared" si="200"/>
        <v>162819</v>
      </c>
      <c r="AP368" s="152">
        <v>0</v>
      </c>
      <c r="AQ368" s="41">
        <f>IFERROR(VLOOKUP(G368,'10'!A:B,2,0),0)</f>
        <v>0</v>
      </c>
      <c r="AR368" s="41">
        <f t="shared" si="191"/>
        <v>0</v>
      </c>
      <c r="AS368" s="41">
        <f t="shared" si="196"/>
        <v>0</v>
      </c>
      <c r="AT368" s="41">
        <f t="shared" si="199"/>
        <v>162819</v>
      </c>
      <c r="AU368" s="41">
        <f t="shared" si="195"/>
        <v>162819</v>
      </c>
      <c r="AV368" s="459">
        <v>0</v>
      </c>
      <c r="AW368" s="152">
        <v>162819</v>
      </c>
      <c r="AX368" s="152">
        <v>0</v>
      </c>
      <c r="AY368" s="41">
        <f t="shared" si="198"/>
        <v>162819</v>
      </c>
      <c r="AZ368" s="41">
        <f>VLOOKUP(G368,'2017'!A:B,2,0)</f>
        <v>343729</v>
      </c>
      <c r="BA368" s="552">
        <f t="shared" si="201"/>
        <v>180910</v>
      </c>
      <c r="BB368" s="152">
        <v>18091</v>
      </c>
      <c r="BC368" s="152">
        <v>0</v>
      </c>
      <c r="BD368" s="152">
        <v>0</v>
      </c>
      <c r="BE368" s="152">
        <v>0</v>
      </c>
      <c r="BF368" s="152">
        <v>0</v>
      </c>
      <c r="BG368" s="152">
        <v>0</v>
      </c>
      <c r="BH368" s="152">
        <v>0</v>
      </c>
      <c r="BI368" s="152">
        <v>180910</v>
      </c>
      <c r="BJ368" s="145"/>
      <c r="BK368" s="145"/>
      <c r="BL368" s="432"/>
    </row>
    <row r="369" spans="1:64" s="8" customFormat="1" ht="51" x14ac:dyDescent="0.25">
      <c r="A369" s="55" t="s">
        <v>842</v>
      </c>
      <c r="B369" s="55" t="s">
        <v>843</v>
      </c>
      <c r="C369" s="155" t="s">
        <v>844</v>
      </c>
      <c r="D369" s="55">
        <v>1</v>
      </c>
      <c r="E369" s="55" t="s">
        <v>35</v>
      </c>
      <c r="F369" s="55" t="s">
        <v>5</v>
      </c>
      <c r="G369" s="55" t="s">
        <v>2809</v>
      </c>
      <c r="H369" s="45">
        <v>358</v>
      </c>
      <c r="I369" s="45" t="s">
        <v>842</v>
      </c>
      <c r="J369" s="155" t="s">
        <v>148</v>
      </c>
      <c r="K369" s="155" t="s">
        <v>1482</v>
      </c>
      <c r="L369" s="152">
        <v>0</v>
      </c>
      <c r="M369" s="152">
        <v>0</v>
      </c>
      <c r="N369" s="152">
        <v>0</v>
      </c>
      <c r="O369" s="152">
        <v>0</v>
      </c>
      <c r="P369" s="152"/>
      <c r="Q369" s="152"/>
      <c r="R369" s="152">
        <v>0</v>
      </c>
      <c r="S369" s="152"/>
      <c r="T369" s="152"/>
      <c r="U369" s="152">
        <v>0</v>
      </c>
      <c r="V369" s="152"/>
      <c r="W369" s="152"/>
      <c r="X369" s="152">
        <v>0</v>
      </c>
      <c r="Y369" s="152"/>
      <c r="Z369" s="152"/>
      <c r="AA369" s="152">
        <v>0</v>
      </c>
      <c r="AB369" s="152"/>
      <c r="AC369" s="152"/>
      <c r="AD369" s="152">
        <v>0</v>
      </c>
      <c r="AE369" s="152"/>
      <c r="AF369" s="152"/>
      <c r="AG369" s="152">
        <v>0</v>
      </c>
      <c r="AH369" s="152"/>
      <c r="AI369" s="152"/>
      <c r="AJ369" s="152">
        <v>0</v>
      </c>
      <c r="AK369" s="152"/>
      <c r="AL369" s="152"/>
      <c r="AM369" s="152">
        <v>0</v>
      </c>
      <c r="AN369" s="41">
        <v>162819</v>
      </c>
      <c r="AO369" s="41">
        <f t="shared" si="200"/>
        <v>162819</v>
      </c>
      <c r="AP369" s="152">
        <v>0</v>
      </c>
      <c r="AQ369" s="41">
        <f>IFERROR(VLOOKUP(G369,'10'!A:B,2,0),0)</f>
        <v>0</v>
      </c>
      <c r="AR369" s="41">
        <f t="shared" si="191"/>
        <v>0</v>
      </c>
      <c r="AS369" s="41">
        <f t="shared" si="196"/>
        <v>0</v>
      </c>
      <c r="AT369" s="41">
        <f t="shared" si="199"/>
        <v>162819</v>
      </c>
      <c r="AU369" s="41">
        <f t="shared" si="195"/>
        <v>162819</v>
      </c>
      <c r="AV369" s="459">
        <v>0</v>
      </c>
      <c r="AW369" s="152">
        <v>162819</v>
      </c>
      <c r="AX369" s="152">
        <v>0</v>
      </c>
      <c r="AY369" s="41">
        <f t="shared" si="198"/>
        <v>162819</v>
      </c>
      <c r="AZ369" s="41">
        <f>VLOOKUP(G369,'2017'!A:B,2,0)</f>
        <v>343729</v>
      </c>
      <c r="BA369" s="552">
        <f t="shared" si="201"/>
        <v>180910</v>
      </c>
      <c r="BB369" s="152">
        <v>18091</v>
      </c>
      <c r="BC369" s="152">
        <v>0</v>
      </c>
      <c r="BD369" s="152">
        <v>0</v>
      </c>
      <c r="BE369" s="152">
        <v>0</v>
      </c>
      <c r="BF369" s="152">
        <v>0</v>
      </c>
      <c r="BG369" s="152">
        <v>0</v>
      </c>
      <c r="BH369" s="152">
        <v>0</v>
      </c>
      <c r="BI369" s="152">
        <v>180910</v>
      </c>
      <c r="BJ369" s="145"/>
      <c r="BK369" s="145"/>
      <c r="BL369" s="432"/>
    </row>
    <row r="370" spans="1:64" s="8" customFormat="1" ht="51" x14ac:dyDescent="0.25">
      <c r="A370" s="55" t="s">
        <v>842</v>
      </c>
      <c r="B370" s="55" t="s">
        <v>843</v>
      </c>
      <c r="C370" s="155" t="s">
        <v>844</v>
      </c>
      <c r="D370" s="55">
        <v>1</v>
      </c>
      <c r="E370" s="55" t="s">
        <v>35</v>
      </c>
      <c r="F370" s="55" t="s">
        <v>5</v>
      </c>
      <c r="G370" s="55" t="s">
        <v>2794</v>
      </c>
      <c r="H370" s="45">
        <v>359</v>
      </c>
      <c r="I370" s="45" t="s">
        <v>842</v>
      </c>
      <c r="J370" s="155" t="s">
        <v>148</v>
      </c>
      <c r="K370" s="155" t="s">
        <v>1483</v>
      </c>
      <c r="L370" s="152">
        <v>0</v>
      </c>
      <c r="M370" s="152">
        <v>0</v>
      </c>
      <c r="N370" s="152">
        <v>0</v>
      </c>
      <c r="O370" s="152">
        <v>0</v>
      </c>
      <c r="P370" s="152"/>
      <c r="Q370" s="152"/>
      <c r="R370" s="152">
        <v>0</v>
      </c>
      <c r="S370" s="152"/>
      <c r="T370" s="152"/>
      <c r="U370" s="152">
        <v>0</v>
      </c>
      <c r="V370" s="152"/>
      <c r="W370" s="152"/>
      <c r="X370" s="152">
        <v>0</v>
      </c>
      <c r="Y370" s="152"/>
      <c r="Z370" s="152"/>
      <c r="AA370" s="152">
        <v>0</v>
      </c>
      <c r="AB370" s="152"/>
      <c r="AC370" s="152"/>
      <c r="AD370" s="152">
        <v>0</v>
      </c>
      <c r="AE370" s="152"/>
      <c r="AF370" s="152"/>
      <c r="AG370" s="152">
        <v>0</v>
      </c>
      <c r="AH370" s="152"/>
      <c r="AI370" s="152"/>
      <c r="AJ370" s="152">
        <v>0</v>
      </c>
      <c r="AK370" s="152"/>
      <c r="AL370" s="152"/>
      <c r="AM370" s="152">
        <v>0</v>
      </c>
      <c r="AN370" s="41">
        <v>162819</v>
      </c>
      <c r="AO370" s="41">
        <f t="shared" si="200"/>
        <v>162819</v>
      </c>
      <c r="AP370" s="152">
        <v>0</v>
      </c>
      <c r="AQ370" s="41">
        <f>IFERROR(VLOOKUP(G370,'10'!A:B,2,0),0)</f>
        <v>0</v>
      </c>
      <c r="AR370" s="41">
        <f t="shared" si="191"/>
        <v>0</v>
      </c>
      <c r="AS370" s="41">
        <f t="shared" si="196"/>
        <v>0</v>
      </c>
      <c r="AT370" s="41">
        <f t="shared" si="199"/>
        <v>162819</v>
      </c>
      <c r="AU370" s="41">
        <f t="shared" si="195"/>
        <v>162819</v>
      </c>
      <c r="AV370" s="459">
        <v>0</v>
      </c>
      <c r="AW370" s="152">
        <v>162819</v>
      </c>
      <c r="AX370" s="152">
        <v>0</v>
      </c>
      <c r="AY370" s="41">
        <f t="shared" si="198"/>
        <v>162819</v>
      </c>
      <c r="AZ370" s="41">
        <f>VLOOKUP(G370,'2017'!A:B,2,0)</f>
        <v>343729</v>
      </c>
      <c r="BA370" s="552">
        <f t="shared" si="201"/>
        <v>180910</v>
      </c>
      <c r="BB370" s="152">
        <v>18091</v>
      </c>
      <c r="BC370" s="152">
        <v>0</v>
      </c>
      <c r="BD370" s="152">
        <v>0</v>
      </c>
      <c r="BE370" s="152">
        <v>0</v>
      </c>
      <c r="BF370" s="152">
        <v>0</v>
      </c>
      <c r="BG370" s="152">
        <v>0</v>
      </c>
      <c r="BH370" s="152">
        <v>0</v>
      </c>
      <c r="BI370" s="152">
        <v>180910</v>
      </c>
      <c r="BJ370" s="145"/>
      <c r="BK370" s="145"/>
      <c r="BL370" s="432"/>
    </row>
    <row r="371" spans="1:64" s="8" customFormat="1" ht="51" x14ac:dyDescent="0.25">
      <c r="A371" s="55" t="s">
        <v>842</v>
      </c>
      <c r="B371" s="55" t="s">
        <v>843</v>
      </c>
      <c r="C371" s="155" t="s">
        <v>844</v>
      </c>
      <c r="D371" s="55">
        <v>1</v>
      </c>
      <c r="E371" s="55" t="s">
        <v>35</v>
      </c>
      <c r="F371" s="55" t="s">
        <v>5</v>
      </c>
      <c r="G371" s="55" t="s">
        <v>2781</v>
      </c>
      <c r="H371" s="45">
        <v>360</v>
      </c>
      <c r="I371" s="45" t="s">
        <v>842</v>
      </c>
      <c r="J371" s="155" t="s">
        <v>148</v>
      </c>
      <c r="K371" s="155" t="s">
        <v>1484</v>
      </c>
      <c r="L371" s="152">
        <v>0</v>
      </c>
      <c r="M371" s="152">
        <v>0</v>
      </c>
      <c r="N371" s="152">
        <v>0</v>
      </c>
      <c r="O371" s="152">
        <v>0</v>
      </c>
      <c r="P371" s="152"/>
      <c r="Q371" s="152"/>
      <c r="R371" s="152">
        <v>0</v>
      </c>
      <c r="S371" s="152"/>
      <c r="T371" s="152"/>
      <c r="U371" s="152">
        <v>0</v>
      </c>
      <c r="V371" s="152"/>
      <c r="W371" s="152"/>
      <c r="X371" s="152">
        <v>0</v>
      </c>
      <c r="Y371" s="152"/>
      <c r="Z371" s="152"/>
      <c r="AA371" s="152">
        <v>0</v>
      </c>
      <c r="AB371" s="152"/>
      <c r="AC371" s="152"/>
      <c r="AD371" s="152">
        <v>0</v>
      </c>
      <c r="AE371" s="152"/>
      <c r="AF371" s="152"/>
      <c r="AG371" s="152">
        <v>0</v>
      </c>
      <c r="AH371" s="152"/>
      <c r="AI371" s="152"/>
      <c r="AJ371" s="152">
        <v>0</v>
      </c>
      <c r="AK371" s="152"/>
      <c r="AL371" s="152"/>
      <c r="AM371" s="152">
        <v>0</v>
      </c>
      <c r="AN371" s="41">
        <v>162819</v>
      </c>
      <c r="AO371" s="41">
        <f t="shared" si="200"/>
        <v>162819</v>
      </c>
      <c r="AP371" s="152">
        <v>0</v>
      </c>
      <c r="AQ371" s="41">
        <f>IFERROR(VLOOKUP(G371,'10'!A:B,2,0),0)</f>
        <v>0</v>
      </c>
      <c r="AR371" s="41">
        <f t="shared" si="191"/>
        <v>0</v>
      </c>
      <c r="AS371" s="41">
        <f t="shared" si="196"/>
        <v>0</v>
      </c>
      <c r="AT371" s="41">
        <f t="shared" si="199"/>
        <v>162819</v>
      </c>
      <c r="AU371" s="41">
        <f t="shared" si="195"/>
        <v>162819</v>
      </c>
      <c r="AV371" s="459">
        <v>0</v>
      </c>
      <c r="AW371" s="152">
        <v>162819</v>
      </c>
      <c r="AX371" s="152">
        <v>0</v>
      </c>
      <c r="AY371" s="41">
        <f t="shared" si="198"/>
        <v>162819</v>
      </c>
      <c r="AZ371" s="41">
        <f>VLOOKUP(G371,'2017'!A:B,2,0)</f>
        <v>343729</v>
      </c>
      <c r="BA371" s="552">
        <f t="shared" si="201"/>
        <v>180910</v>
      </c>
      <c r="BB371" s="152">
        <v>18091</v>
      </c>
      <c r="BC371" s="152">
        <v>0</v>
      </c>
      <c r="BD371" s="152">
        <v>0</v>
      </c>
      <c r="BE371" s="152">
        <v>0</v>
      </c>
      <c r="BF371" s="152">
        <v>0</v>
      </c>
      <c r="BG371" s="152">
        <v>0</v>
      </c>
      <c r="BH371" s="152">
        <v>0</v>
      </c>
      <c r="BI371" s="152">
        <v>180910</v>
      </c>
      <c r="BJ371" s="145"/>
      <c r="BK371" s="145"/>
      <c r="BL371" s="432"/>
    </row>
    <row r="372" spans="1:64" s="8" customFormat="1" ht="51" x14ac:dyDescent="0.25">
      <c r="A372" s="55" t="s">
        <v>842</v>
      </c>
      <c r="B372" s="55" t="s">
        <v>843</v>
      </c>
      <c r="C372" s="155" t="s">
        <v>844</v>
      </c>
      <c r="D372" s="55">
        <v>1</v>
      </c>
      <c r="E372" s="55" t="s">
        <v>35</v>
      </c>
      <c r="F372" s="55" t="s">
        <v>5</v>
      </c>
      <c r="G372" s="55" t="s">
        <v>2810</v>
      </c>
      <c r="H372" s="45">
        <v>361</v>
      </c>
      <c r="I372" s="45" t="s">
        <v>842</v>
      </c>
      <c r="J372" s="155" t="s">
        <v>148</v>
      </c>
      <c r="K372" s="155" t="s">
        <v>1485</v>
      </c>
      <c r="L372" s="152">
        <v>0</v>
      </c>
      <c r="M372" s="152">
        <v>0</v>
      </c>
      <c r="N372" s="152">
        <v>0</v>
      </c>
      <c r="O372" s="152">
        <v>0</v>
      </c>
      <c r="P372" s="152"/>
      <c r="Q372" s="152"/>
      <c r="R372" s="152">
        <v>0</v>
      </c>
      <c r="S372" s="152"/>
      <c r="T372" s="152"/>
      <c r="U372" s="152">
        <v>0</v>
      </c>
      <c r="V372" s="152"/>
      <c r="W372" s="152"/>
      <c r="X372" s="152">
        <v>0</v>
      </c>
      <c r="Y372" s="152"/>
      <c r="Z372" s="152"/>
      <c r="AA372" s="152">
        <v>0</v>
      </c>
      <c r="AB372" s="152"/>
      <c r="AC372" s="152"/>
      <c r="AD372" s="152">
        <v>0</v>
      </c>
      <c r="AE372" s="152"/>
      <c r="AF372" s="152"/>
      <c r="AG372" s="152">
        <v>0</v>
      </c>
      <c r="AH372" s="152"/>
      <c r="AI372" s="152"/>
      <c r="AJ372" s="152">
        <v>0</v>
      </c>
      <c r="AK372" s="152"/>
      <c r="AL372" s="152"/>
      <c r="AM372" s="152">
        <v>0</v>
      </c>
      <c r="AN372" s="41">
        <v>162819</v>
      </c>
      <c r="AO372" s="41">
        <f t="shared" si="200"/>
        <v>162819</v>
      </c>
      <c r="AP372" s="152">
        <v>0</v>
      </c>
      <c r="AQ372" s="41">
        <f>IFERROR(VLOOKUP(G372,'10'!A:B,2,0),0)</f>
        <v>0</v>
      </c>
      <c r="AR372" s="41">
        <f t="shared" si="191"/>
        <v>0</v>
      </c>
      <c r="AS372" s="41">
        <f t="shared" si="196"/>
        <v>0</v>
      </c>
      <c r="AT372" s="41">
        <f t="shared" si="199"/>
        <v>162819</v>
      </c>
      <c r="AU372" s="41">
        <f t="shared" si="195"/>
        <v>162819</v>
      </c>
      <c r="AV372" s="459">
        <v>0</v>
      </c>
      <c r="AW372" s="152">
        <v>162819</v>
      </c>
      <c r="AX372" s="152">
        <v>0</v>
      </c>
      <c r="AY372" s="41">
        <f t="shared" si="198"/>
        <v>162819</v>
      </c>
      <c r="AZ372" s="41">
        <f>VLOOKUP(G372,'2017'!A:B,2,0)</f>
        <v>343729</v>
      </c>
      <c r="BA372" s="552">
        <f t="shared" si="201"/>
        <v>180910</v>
      </c>
      <c r="BB372" s="152">
        <v>18091</v>
      </c>
      <c r="BC372" s="152">
        <v>0</v>
      </c>
      <c r="BD372" s="152">
        <v>0</v>
      </c>
      <c r="BE372" s="152">
        <v>0</v>
      </c>
      <c r="BF372" s="152">
        <v>0</v>
      </c>
      <c r="BG372" s="152">
        <v>0</v>
      </c>
      <c r="BH372" s="152">
        <v>0</v>
      </c>
      <c r="BI372" s="152">
        <v>180910</v>
      </c>
      <c r="BJ372" s="145"/>
      <c r="BK372" s="145"/>
      <c r="BL372" s="432"/>
    </row>
    <row r="373" spans="1:64" s="8" customFormat="1" ht="51" x14ac:dyDescent="0.25">
      <c r="A373" s="55" t="s">
        <v>842</v>
      </c>
      <c r="B373" s="55" t="s">
        <v>843</v>
      </c>
      <c r="C373" s="155" t="s">
        <v>844</v>
      </c>
      <c r="D373" s="55">
        <v>1</v>
      </c>
      <c r="E373" s="55" t="s">
        <v>35</v>
      </c>
      <c r="F373" s="55" t="s">
        <v>5</v>
      </c>
      <c r="G373" s="55" t="s">
        <v>2787</v>
      </c>
      <c r="H373" s="45">
        <v>362</v>
      </c>
      <c r="I373" s="45" t="s">
        <v>842</v>
      </c>
      <c r="J373" s="155" t="s">
        <v>148</v>
      </c>
      <c r="K373" s="155" t="s">
        <v>1486</v>
      </c>
      <c r="L373" s="152">
        <v>0</v>
      </c>
      <c r="M373" s="152">
        <v>0</v>
      </c>
      <c r="N373" s="152">
        <v>0</v>
      </c>
      <c r="O373" s="152">
        <v>0</v>
      </c>
      <c r="P373" s="152"/>
      <c r="Q373" s="152"/>
      <c r="R373" s="152">
        <v>0</v>
      </c>
      <c r="S373" s="152"/>
      <c r="T373" s="152"/>
      <c r="U373" s="152">
        <v>0</v>
      </c>
      <c r="V373" s="152"/>
      <c r="W373" s="152"/>
      <c r="X373" s="152">
        <v>0</v>
      </c>
      <c r="Y373" s="152"/>
      <c r="Z373" s="152"/>
      <c r="AA373" s="152">
        <v>0</v>
      </c>
      <c r="AB373" s="152"/>
      <c r="AC373" s="152"/>
      <c r="AD373" s="152">
        <v>0</v>
      </c>
      <c r="AE373" s="152"/>
      <c r="AF373" s="152"/>
      <c r="AG373" s="152">
        <v>0</v>
      </c>
      <c r="AH373" s="152"/>
      <c r="AI373" s="152"/>
      <c r="AJ373" s="152">
        <v>0</v>
      </c>
      <c r="AK373" s="152"/>
      <c r="AL373" s="152"/>
      <c r="AM373" s="152">
        <v>0</v>
      </c>
      <c r="AN373" s="41">
        <v>162819</v>
      </c>
      <c r="AO373" s="41">
        <f t="shared" si="200"/>
        <v>162819</v>
      </c>
      <c r="AP373" s="152">
        <v>0</v>
      </c>
      <c r="AQ373" s="41">
        <f>IFERROR(VLOOKUP(G373,'10'!A:B,2,0),0)</f>
        <v>0</v>
      </c>
      <c r="AR373" s="41">
        <f t="shared" si="191"/>
        <v>0</v>
      </c>
      <c r="AS373" s="41">
        <f t="shared" si="196"/>
        <v>0</v>
      </c>
      <c r="AT373" s="41">
        <f t="shared" si="199"/>
        <v>162819</v>
      </c>
      <c r="AU373" s="41">
        <f t="shared" si="195"/>
        <v>162819</v>
      </c>
      <c r="AV373" s="459">
        <v>0</v>
      </c>
      <c r="AW373" s="152">
        <v>162819</v>
      </c>
      <c r="AX373" s="152">
        <v>0</v>
      </c>
      <c r="AY373" s="41">
        <f t="shared" si="198"/>
        <v>162819</v>
      </c>
      <c r="AZ373" s="41">
        <f>VLOOKUP(G373,'2017'!A:B,2,0)</f>
        <v>343729</v>
      </c>
      <c r="BA373" s="552">
        <f t="shared" si="201"/>
        <v>180910</v>
      </c>
      <c r="BB373" s="152">
        <v>18091</v>
      </c>
      <c r="BC373" s="152">
        <v>0</v>
      </c>
      <c r="BD373" s="152">
        <v>0</v>
      </c>
      <c r="BE373" s="152">
        <v>0</v>
      </c>
      <c r="BF373" s="152">
        <v>0</v>
      </c>
      <c r="BG373" s="152">
        <v>0</v>
      </c>
      <c r="BH373" s="152">
        <v>0</v>
      </c>
      <c r="BI373" s="152">
        <v>180910</v>
      </c>
      <c r="BJ373" s="145"/>
      <c r="BK373" s="145"/>
      <c r="BL373" s="462"/>
    </row>
    <row r="374" spans="1:64" s="8" customFormat="1" ht="51" x14ac:dyDescent="0.25">
      <c r="A374" s="55" t="s">
        <v>842</v>
      </c>
      <c r="B374" s="55" t="s">
        <v>843</v>
      </c>
      <c r="C374" s="155" t="s">
        <v>844</v>
      </c>
      <c r="D374" s="55">
        <v>1</v>
      </c>
      <c r="E374" s="55" t="s">
        <v>35</v>
      </c>
      <c r="F374" s="55" t="s">
        <v>5</v>
      </c>
      <c r="G374" s="55" t="s">
        <v>2803</v>
      </c>
      <c r="H374" s="45">
        <v>363</v>
      </c>
      <c r="I374" s="45" t="s">
        <v>842</v>
      </c>
      <c r="J374" s="155" t="s">
        <v>148</v>
      </c>
      <c r="K374" s="155" t="s">
        <v>1457</v>
      </c>
      <c r="L374" s="152">
        <v>0</v>
      </c>
      <c r="M374" s="152">
        <v>0</v>
      </c>
      <c r="N374" s="152">
        <v>0</v>
      </c>
      <c r="O374" s="152">
        <v>0</v>
      </c>
      <c r="P374" s="152"/>
      <c r="Q374" s="152"/>
      <c r="R374" s="152">
        <v>0</v>
      </c>
      <c r="S374" s="152"/>
      <c r="T374" s="152"/>
      <c r="U374" s="152">
        <v>0</v>
      </c>
      <c r="V374" s="152"/>
      <c r="W374" s="152"/>
      <c r="X374" s="152">
        <v>0</v>
      </c>
      <c r="Y374" s="152"/>
      <c r="Z374" s="152"/>
      <c r="AA374" s="152">
        <v>0</v>
      </c>
      <c r="AB374" s="152"/>
      <c r="AC374" s="152"/>
      <c r="AD374" s="152">
        <v>0</v>
      </c>
      <c r="AE374" s="152"/>
      <c r="AF374" s="152"/>
      <c r="AG374" s="152">
        <v>0</v>
      </c>
      <c r="AH374" s="152"/>
      <c r="AI374" s="152"/>
      <c r="AJ374" s="152">
        <v>0</v>
      </c>
      <c r="AK374" s="152"/>
      <c r="AL374" s="152"/>
      <c r="AM374" s="152">
        <v>0</v>
      </c>
      <c r="AN374" s="41">
        <v>194078.65</v>
      </c>
      <c r="AO374" s="41">
        <f t="shared" si="200"/>
        <v>194078.65</v>
      </c>
      <c r="AP374" s="152">
        <v>0</v>
      </c>
      <c r="AQ374" s="41">
        <f>IFERROR(VLOOKUP(G374,'10'!A:B,2,0),0)</f>
        <v>0</v>
      </c>
      <c r="AR374" s="41">
        <f t="shared" si="191"/>
        <v>0</v>
      </c>
      <c r="AS374" s="41">
        <f t="shared" si="196"/>
        <v>0</v>
      </c>
      <c r="AT374" s="41">
        <f t="shared" si="199"/>
        <v>194078.65</v>
      </c>
      <c r="AU374" s="41">
        <f t="shared" si="195"/>
        <v>194078.65</v>
      </c>
      <c r="AV374" s="459">
        <v>0</v>
      </c>
      <c r="AW374" s="152">
        <v>194079</v>
      </c>
      <c r="AX374" s="152">
        <v>0</v>
      </c>
      <c r="AY374" s="41">
        <f t="shared" si="198"/>
        <v>194079</v>
      </c>
      <c r="AZ374" s="41">
        <f>VLOOKUP(G374,'2017'!A:B,2,0)</f>
        <v>409721.58999999997</v>
      </c>
      <c r="BA374" s="552">
        <f t="shared" si="201"/>
        <v>215642.58999999997</v>
      </c>
      <c r="BB374" s="152">
        <v>21564</v>
      </c>
      <c r="BC374" s="152">
        <v>0</v>
      </c>
      <c r="BD374" s="152">
        <v>0</v>
      </c>
      <c r="BE374" s="152">
        <v>0</v>
      </c>
      <c r="BF374" s="152">
        <v>0</v>
      </c>
      <c r="BG374" s="152">
        <v>0</v>
      </c>
      <c r="BH374" s="152">
        <v>0</v>
      </c>
      <c r="BI374" s="152">
        <v>215643</v>
      </c>
      <c r="BJ374" s="145"/>
      <c r="BK374" s="145"/>
      <c r="BL374" s="432"/>
    </row>
    <row r="375" spans="1:64" s="8" customFormat="1" ht="51" x14ac:dyDescent="0.25">
      <c r="A375" s="55" t="s">
        <v>842</v>
      </c>
      <c r="B375" s="55" t="s">
        <v>843</v>
      </c>
      <c r="C375" s="155" t="s">
        <v>844</v>
      </c>
      <c r="D375" s="55">
        <v>1</v>
      </c>
      <c r="E375" s="55" t="s">
        <v>35</v>
      </c>
      <c r="F375" s="55" t="s">
        <v>5</v>
      </c>
      <c r="G375" s="55" t="s">
        <v>2798</v>
      </c>
      <c r="H375" s="45">
        <v>364</v>
      </c>
      <c r="I375" s="45" t="s">
        <v>842</v>
      </c>
      <c r="J375" s="155" t="s">
        <v>148</v>
      </c>
      <c r="K375" s="155" t="s">
        <v>1458</v>
      </c>
      <c r="L375" s="152">
        <v>0</v>
      </c>
      <c r="M375" s="152">
        <v>0</v>
      </c>
      <c r="N375" s="152">
        <v>0</v>
      </c>
      <c r="O375" s="152">
        <v>0</v>
      </c>
      <c r="P375" s="152"/>
      <c r="Q375" s="152"/>
      <c r="R375" s="152">
        <v>0</v>
      </c>
      <c r="S375" s="152"/>
      <c r="T375" s="152"/>
      <c r="U375" s="152">
        <v>0</v>
      </c>
      <c r="V375" s="152"/>
      <c r="W375" s="152"/>
      <c r="X375" s="152">
        <v>0</v>
      </c>
      <c r="Y375" s="152"/>
      <c r="Z375" s="152"/>
      <c r="AA375" s="152">
        <v>0</v>
      </c>
      <c r="AB375" s="152"/>
      <c r="AC375" s="152"/>
      <c r="AD375" s="152">
        <v>0</v>
      </c>
      <c r="AE375" s="152"/>
      <c r="AF375" s="152"/>
      <c r="AG375" s="152">
        <v>0</v>
      </c>
      <c r="AH375" s="152"/>
      <c r="AI375" s="152"/>
      <c r="AJ375" s="152">
        <v>0</v>
      </c>
      <c r="AK375" s="152"/>
      <c r="AL375" s="152"/>
      <c r="AM375" s="152">
        <v>0</v>
      </c>
      <c r="AN375" s="41">
        <v>194078.65</v>
      </c>
      <c r="AO375" s="41">
        <f t="shared" si="200"/>
        <v>194078.65</v>
      </c>
      <c r="AP375" s="152">
        <v>0</v>
      </c>
      <c r="AQ375" s="41">
        <f>IFERROR(VLOOKUP(G375,'10'!A:B,2,0),0)</f>
        <v>0</v>
      </c>
      <c r="AR375" s="41">
        <f t="shared" si="191"/>
        <v>0</v>
      </c>
      <c r="AS375" s="41">
        <f t="shared" si="196"/>
        <v>0</v>
      </c>
      <c r="AT375" s="41">
        <f t="shared" si="199"/>
        <v>194078.65</v>
      </c>
      <c r="AU375" s="41">
        <f t="shared" si="195"/>
        <v>194078.65</v>
      </c>
      <c r="AV375" s="459">
        <v>0</v>
      </c>
      <c r="AW375" s="152">
        <v>194079</v>
      </c>
      <c r="AX375" s="152">
        <v>0</v>
      </c>
      <c r="AY375" s="41">
        <f t="shared" si="198"/>
        <v>194079</v>
      </c>
      <c r="AZ375" s="41">
        <f>VLOOKUP(G375,'2017'!A:B,2,0)</f>
        <v>409721.58999999997</v>
      </c>
      <c r="BA375" s="552">
        <f t="shared" si="201"/>
        <v>215642.58999999997</v>
      </c>
      <c r="BB375" s="152">
        <v>21564</v>
      </c>
      <c r="BC375" s="152">
        <v>0</v>
      </c>
      <c r="BD375" s="152">
        <v>0</v>
      </c>
      <c r="BE375" s="152">
        <v>0</v>
      </c>
      <c r="BF375" s="152">
        <v>0</v>
      </c>
      <c r="BG375" s="152">
        <v>0</v>
      </c>
      <c r="BH375" s="152">
        <v>0</v>
      </c>
      <c r="BI375" s="152">
        <v>215643</v>
      </c>
      <c r="BJ375" s="145"/>
      <c r="BK375" s="145"/>
      <c r="BL375" s="432"/>
    </row>
    <row r="376" spans="1:64" s="8" customFormat="1" ht="51" x14ac:dyDescent="0.25">
      <c r="A376" s="55" t="s">
        <v>842</v>
      </c>
      <c r="B376" s="55" t="s">
        <v>843</v>
      </c>
      <c r="C376" s="155" t="s">
        <v>844</v>
      </c>
      <c r="D376" s="55">
        <v>1</v>
      </c>
      <c r="E376" s="55" t="s">
        <v>35</v>
      </c>
      <c r="F376" s="55" t="s">
        <v>5</v>
      </c>
      <c r="G376" s="55" t="s">
        <v>2802</v>
      </c>
      <c r="H376" s="45">
        <v>365</v>
      </c>
      <c r="I376" s="45" t="s">
        <v>842</v>
      </c>
      <c r="J376" s="155" t="s">
        <v>148</v>
      </c>
      <c r="K376" s="155" t="s">
        <v>1459</v>
      </c>
      <c r="L376" s="152">
        <v>0</v>
      </c>
      <c r="M376" s="152">
        <v>0</v>
      </c>
      <c r="N376" s="152">
        <v>0</v>
      </c>
      <c r="O376" s="152">
        <v>0</v>
      </c>
      <c r="P376" s="152"/>
      <c r="Q376" s="152"/>
      <c r="R376" s="152">
        <v>0</v>
      </c>
      <c r="S376" s="152"/>
      <c r="T376" s="152"/>
      <c r="U376" s="152">
        <v>0</v>
      </c>
      <c r="V376" s="152"/>
      <c r="W376" s="152"/>
      <c r="X376" s="152">
        <v>0</v>
      </c>
      <c r="Y376" s="152"/>
      <c r="Z376" s="152"/>
      <c r="AA376" s="152">
        <v>0</v>
      </c>
      <c r="AB376" s="152"/>
      <c r="AC376" s="152"/>
      <c r="AD376" s="152">
        <v>0</v>
      </c>
      <c r="AE376" s="152"/>
      <c r="AF376" s="152"/>
      <c r="AG376" s="152">
        <v>0</v>
      </c>
      <c r="AH376" s="152"/>
      <c r="AI376" s="152"/>
      <c r="AJ376" s="152">
        <v>0</v>
      </c>
      <c r="AK376" s="152"/>
      <c r="AL376" s="152"/>
      <c r="AM376" s="152">
        <v>0</v>
      </c>
      <c r="AN376" s="41">
        <v>194078.66</v>
      </c>
      <c r="AO376" s="41">
        <f t="shared" si="200"/>
        <v>194078.66</v>
      </c>
      <c r="AP376" s="152">
        <v>0</v>
      </c>
      <c r="AQ376" s="41">
        <f>IFERROR(VLOOKUP(G376,'10'!A:B,2,0),0)</f>
        <v>0</v>
      </c>
      <c r="AR376" s="41">
        <f t="shared" si="191"/>
        <v>0</v>
      </c>
      <c r="AS376" s="41">
        <f t="shared" si="196"/>
        <v>0</v>
      </c>
      <c r="AT376" s="41">
        <f t="shared" si="199"/>
        <v>194078.66</v>
      </c>
      <c r="AU376" s="41">
        <f t="shared" si="195"/>
        <v>194078.66</v>
      </c>
      <c r="AV376" s="459">
        <v>0</v>
      </c>
      <c r="AW376" s="152">
        <v>194079</v>
      </c>
      <c r="AX376" s="152">
        <v>0</v>
      </c>
      <c r="AY376" s="41">
        <f t="shared" si="198"/>
        <v>194079</v>
      </c>
      <c r="AZ376" s="41">
        <f>VLOOKUP(G376,'2017'!A:B,2,0)</f>
        <v>409721.61</v>
      </c>
      <c r="BA376" s="552">
        <f t="shared" si="201"/>
        <v>215642.61</v>
      </c>
      <c r="BB376" s="152">
        <v>21564</v>
      </c>
      <c r="BC376" s="152">
        <v>0</v>
      </c>
      <c r="BD376" s="152">
        <v>0</v>
      </c>
      <c r="BE376" s="152">
        <v>0</v>
      </c>
      <c r="BF376" s="152">
        <v>0</v>
      </c>
      <c r="BG376" s="152">
        <v>0</v>
      </c>
      <c r="BH376" s="152">
        <v>0</v>
      </c>
      <c r="BI376" s="152">
        <v>215643</v>
      </c>
      <c r="BJ376" s="145"/>
      <c r="BK376" s="145"/>
      <c r="BL376" s="432"/>
    </row>
    <row r="377" spans="1:64" s="8" customFormat="1" ht="51" x14ac:dyDescent="0.25">
      <c r="A377" s="55" t="s">
        <v>842</v>
      </c>
      <c r="B377" s="55" t="s">
        <v>843</v>
      </c>
      <c r="C377" s="155" t="s">
        <v>844</v>
      </c>
      <c r="D377" s="55">
        <v>1</v>
      </c>
      <c r="E377" s="55" t="s">
        <v>35</v>
      </c>
      <c r="F377" s="55" t="s">
        <v>5</v>
      </c>
      <c r="G377" s="55" t="s">
        <v>2799</v>
      </c>
      <c r="H377" s="45">
        <v>366</v>
      </c>
      <c r="I377" s="45" t="s">
        <v>842</v>
      </c>
      <c r="J377" s="155" t="s">
        <v>148</v>
      </c>
      <c r="K377" s="155" t="s">
        <v>1460</v>
      </c>
      <c r="L377" s="152">
        <v>0</v>
      </c>
      <c r="M377" s="152">
        <v>0</v>
      </c>
      <c r="N377" s="152">
        <v>0</v>
      </c>
      <c r="O377" s="152">
        <v>0</v>
      </c>
      <c r="P377" s="152"/>
      <c r="Q377" s="152"/>
      <c r="R377" s="152">
        <v>0</v>
      </c>
      <c r="S377" s="152"/>
      <c r="T377" s="152"/>
      <c r="U377" s="152">
        <v>0</v>
      </c>
      <c r="V377" s="152"/>
      <c r="W377" s="152"/>
      <c r="X377" s="152">
        <v>0</v>
      </c>
      <c r="Y377" s="152"/>
      <c r="Z377" s="152"/>
      <c r="AA377" s="152">
        <v>0</v>
      </c>
      <c r="AB377" s="152"/>
      <c r="AC377" s="152"/>
      <c r="AD377" s="152">
        <v>0</v>
      </c>
      <c r="AE377" s="152"/>
      <c r="AF377" s="152"/>
      <c r="AG377" s="152">
        <v>0</v>
      </c>
      <c r="AH377" s="152"/>
      <c r="AI377" s="152"/>
      <c r="AJ377" s="152">
        <v>0</v>
      </c>
      <c r="AK377" s="152"/>
      <c r="AL377" s="152"/>
      <c r="AM377" s="152">
        <v>0</v>
      </c>
      <c r="AN377" s="41">
        <v>194078.66</v>
      </c>
      <c r="AO377" s="41">
        <f t="shared" si="200"/>
        <v>194078.66</v>
      </c>
      <c r="AP377" s="152">
        <v>0</v>
      </c>
      <c r="AQ377" s="41">
        <f>IFERROR(VLOOKUP(G377,'10'!A:B,2,0),0)</f>
        <v>0</v>
      </c>
      <c r="AR377" s="41">
        <f t="shared" si="191"/>
        <v>0</v>
      </c>
      <c r="AS377" s="41">
        <f t="shared" si="196"/>
        <v>0</v>
      </c>
      <c r="AT377" s="41">
        <f t="shared" si="199"/>
        <v>194078.66</v>
      </c>
      <c r="AU377" s="41">
        <f t="shared" si="195"/>
        <v>194078.66</v>
      </c>
      <c r="AV377" s="459">
        <v>0</v>
      </c>
      <c r="AW377" s="152">
        <v>194079</v>
      </c>
      <c r="AX377" s="152">
        <v>0</v>
      </c>
      <c r="AY377" s="41">
        <f t="shared" si="198"/>
        <v>194079</v>
      </c>
      <c r="AZ377" s="41">
        <f>VLOOKUP(G377,'2017'!A:B,2,0)</f>
        <v>409721.61</v>
      </c>
      <c r="BA377" s="552">
        <f t="shared" si="201"/>
        <v>215642.61</v>
      </c>
      <c r="BB377" s="152">
        <v>21564</v>
      </c>
      <c r="BC377" s="152">
        <v>0</v>
      </c>
      <c r="BD377" s="152">
        <v>0</v>
      </c>
      <c r="BE377" s="152">
        <v>0</v>
      </c>
      <c r="BF377" s="152">
        <v>0</v>
      </c>
      <c r="BG377" s="152">
        <v>0</v>
      </c>
      <c r="BH377" s="152">
        <v>0</v>
      </c>
      <c r="BI377" s="152">
        <v>215643</v>
      </c>
      <c r="BJ377" s="145"/>
      <c r="BK377" s="145"/>
      <c r="BL377" s="432"/>
    </row>
    <row r="378" spans="1:64" s="8" customFormat="1" ht="51" x14ac:dyDescent="0.25">
      <c r="A378" s="55" t="s">
        <v>842</v>
      </c>
      <c r="B378" s="55" t="s">
        <v>843</v>
      </c>
      <c r="C378" s="155" t="s">
        <v>844</v>
      </c>
      <c r="D378" s="55">
        <v>1</v>
      </c>
      <c r="E378" s="55" t="s">
        <v>35</v>
      </c>
      <c r="F378" s="55" t="s">
        <v>5</v>
      </c>
      <c r="G378" s="55" t="s">
        <v>2800</v>
      </c>
      <c r="H378" s="45">
        <v>367</v>
      </c>
      <c r="I378" s="45" t="s">
        <v>842</v>
      </c>
      <c r="J378" s="155" t="s">
        <v>148</v>
      </c>
      <c r="K378" s="155" t="s">
        <v>1461</v>
      </c>
      <c r="L378" s="152">
        <v>0</v>
      </c>
      <c r="M378" s="152">
        <v>0</v>
      </c>
      <c r="N378" s="152">
        <v>0</v>
      </c>
      <c r="O378" s="152">
        <v>0</v>
      </c>
      <c r="P378" s="152"/>
      <c r="Q378" s="152"/>
      <c r="R378" s="152">
        <v>0</v>
      </c>
      <c r="S378" s="152"/>
      <c r="T378" s="152"/>
      <c r="U378" s="152">
        <v>0</v>
      </c>
      <c r="V378" s="152"/>
      <c r="W378" s="152"/>
      <c r="X378" s="152">
        <v>0</v>
      </c>
      <c r="Y378" s="152"/>
      <c r="Z378" s="152"/>
      <c r="AA378" s="152">
        <v>0</v>
      </c>
      <c r="AB378" s="152"/>
      <c r="AC378" s="152"/>
      <c r="AD378" s="152">
        <v>0</v>
      </c>
      <c r="AE378" s="152"/>
      <c r="AF378" s="152"/>
      <c r="AG378" s="152">
        <v>0</v>
      </c>
      <c r="AH378" s="152"/>
      <c r="AI378" s="152"/>
      <c r="AJ378" s="152">
        <v>0</v>
      </c>
      <c r="AK378" s="152"/>
      <c r="AL378" s="152"/>
      <c r="AM378" s="152">
        <v>0</v>
      </c>
      <c r="AN378" s="41">
        <v>194078.66</v>
      </c>
      <c r="AO378" s="41">
        <f t="shared" si="200"/>
        <v>194078.66</v>
      </c>
      <c r="AP378" s="152">
        <v>0</v>
      </c>
      <c r="AQ378" s="41">
        <f>IFERROR(VLOOKUP(G378,'10'!A:B,2,0),0)</f>
        <v>0</v>
      </c>
      <c r="AR378" s="41">
        <f t="shared" si="191"/>
        <v>0</v>
      </c>
      <c r="AS378" s="41">
        <f t="shared" si="196"/>
        <v>0</v>
      </c>
      <c r="AT378" s="41">
        <f t="shared" si="199"/>
        <v>194078.66</v>
      </c>
      <c r="AU378" s="41">
        <f t="shared" si="195"/>
        <v>194078.66</v>
      </c>
      <c r="AV378" s="459">
        <v>0</v>
      </c>
      <c r="AW378" s="152">
        <v>194079</v>
      </c>
      <c r="AX378" s="152">
        <v>0</v>
      </c>
      <c r="AY378" s="41">
        <f t="shared" si="198"/>
        <v>194079</v>
      </c>
      <c r="AZ378" s="41">
        <f>VLOOKUP(G378,'2017'!A:B,2,0)</f>
        <v>409721.61</v>
      </c>
      <c r="BA378" s="552">
        <f t="shared" si="201"/>
        <v>215642.61</v>
      </c>
      <c r="BB378" s="152">
        <v>21564</v>
      </c>
      <c r="BC378" s="152">
        <v>0</v>
      </c>
      <c r="BD378" s="152">
        <v>0</v>
      </c>
      <c r="BE378" s="152">
        <v>0</v>
      </c>
      <c r="BF378" s="152">
        <v>0</v>
      </c>
      <c r="BG378" s="152">
        <v>0</v>
      </c>
      <c r="BH378" s="152">
        <v>0</v>
      </c>
      <c r="BI378" s="152">
        <v>215643</v>
      </c>
      <c r="BJ378" s="145"/>
      <c r="BK378" s="145"/>
      <c r="BL378" s="432"/>
    </row>
    <row r="379" spans="1:64" s="8" customFormat="1" ht="51" x14ac:dyDescent="0.25">
      <c r="A379" s="55" t="s">
        <v>842</v>
      </c>
      <c r="B379" s="55" t="s">
        <v>843</v>
      </c>
      <c r="C379" s="155" t="s">
        <v>844</v>
      </c>
      <c r="D379" s="55">
        <v>1</v>
      </c>
      <c r="E379" s="55" t="s">
        <v>35</v>
      </c>
      <c r="F379" s="55" t="s">
        <v>5</v>
      </c>
      <c r="G379" s="55" t="s">
        <v>2801</v>
      </c>
      <c r="H379" s="45">
        <v>368</v>
      </c>
      <c r="I379" s="45" t="s">
        <v>842</v>
      </c>
      <c r="J379" s="155" t="s">
        <v>148</v>
      </c>
      <c r="K379" s="155" t="s">
        <v>1462</v>
      </c>
      <c r="L379" s="152">
        <v>0</v>
      </c>
      <c r="M379" s="152">
        <v>0</v>
      </c>
      <c r="N379" s="152">
        <v>0</v>
      </c>
      <c r="O379" s="152">
        <v>0</v>
      </c>
      <c r="P379" s="152"/>
      <c r="Q379" s="152"/>
      <c r="R379" s="152">
        <v>0</v>
      </c>
      <c r="S379" s="152"/>
      <c r="T379" s="152"/>
      <c r="U379" s="152">
        <v>0</v>
      </c>
      <c r="V379" s="152"/>
      <c r="W379" s="152"/>
      <c r="X379" s="152">
        <v>0</v>
      </c>
      <c r="Y379" s="152"/>
      <c r="Z379" s="152"/>
      <c r="AA379" s="152">
        <v>0</v>
      </c>
      <c r="AB379" s="152"/>
      <c r="AC379" s="152"/>
      <c r="AD379" s="152">
        <v>0</v>
      </c>
      <c r="AE379" s="152"/>
      <c r="AF379" s="152"/>
      <c r="AG379" s="152">
        <v>0</v>
      </c>
      <c r="AH379" s="152"/>
      <c r="AI379" s="152"/>
      <c r="AJ379" s="152">
        <v>0</v>
      </c>
      <c r="AK379" s="152"/>
      <c r="AL379" s="152"/>
      <c r="AM379" s="152">
        <v>0</v>
      </c>
      <c r="AN379" s="41">
        <v>194078.66</v>
      </c>
      <c r="AO379" s="41">
        <f t="shared" si="200"/>
        <v>194078.66</v>
      </c>
      <c r="AP379" s="152">
        <v>0</v>
      </c>
      <c r="AQ379" s="41">
        <f>IFERROR(VLOOKUP(G379,'10'!A:B,2,0),0)</f>
        <v>0</v>
      </c>
      <c r="AR379" s="41">
        <f t="shared" si="191"/>
        <v>0</v>
      </c>
      <c r="AS379" s="41">
        <f t="shared" si="196"/>
        <v>0</v>
      </c>
      <c r="AT379" s="41">
        <f t="shared" si="199"/>
        <v>194078.66</v>
      </c>
      <c r="AU379" s="41">
        <f t="shared" si="195"/>
        <v>194078.66</v>
      </c>
      <c r="AV379" s="459">
        <v>0</v>
      </c>
      <c r="AW379" s="152">
        <v>194079</v>
      </c>
      <c r="AX379" s="152">
        <v>0</v>
      </c>
      <c r="AY379" s="41">
        <f t="shared" si="198"/>
        <v>194079</v>
      </c>
      <c r="AZ379" s="41">
        <f>VLOOKUP(G379,'2017'!A:B,2,0)</f>
        <v>409721.61</v>
      </c>
      <c r="BA379" s="552">
        <f t="shared" si="201"/>
        <v>215642.61</v>
      </c>
      <c r="BB379" s="152">
        <v>21564</v>
      </c>
      <c r="BC379" s="152">
        <v>0</v>
      </c>
      <c r="BD379" s="152">
        <v>0</v>
      </c>
      <c r="BE379" s="152">
        <v>0</v>
      </c>
      <c r="BF379" s="152">
        <v>0</v>
      </c>
      <c r="BG379" s="152">
        <v>0</v>
      </c>
      <c r="BH379" s="152">
        <v>0</v>
      </c>
      <c r="BI379" s="152">
        <v>215643</v>
      </c>
      <c r="BJ379" s="145"/>
      <c r="BK379" s="145"/>
      <c r="BL379" s="432"/>
    </row>
    <row r="380" spans="1:64" s="8" customFormat="1" ht="25.5" x14ac:dyDescent="0.25">
      <c r="A380" s="18" t="s">
        <v>2233</v>
      </c>
      <c r="B380" s="18" t="s">
        <v>2235</v>
      </c>
      <c r="C380" s="19" t="s">
        <v>2234</v>
      </c>
      <c r="D380" s="18" t="s">
        <v>3</v>
      </c>
      <c r="E380" s="18" t="s">
        <v>4</v>
      </c>
      <c r="F380" s="18" t="s">
        <v>5</v>
      </c>
      <c r="G380" s="18" t="s">
        <v>2258</v>
      </c>
      <c r="H380" s="45">
        <v>369</v>
      </c>
      <c r="I380" s="45" t="s">
        <v>2233</v>
      </c>
      <c r="J380" s="19" t="s">
        <v>2259</v>
      </c>
      <c r="K380" s="365" t="s">
        <v>2260</v>
      </c>
      <c r="L380" s="145">
        <v>0</v>
      </c>
      <c r="M380" s="145">
        <v>0</v>
      </c>
      <c r="N380" s="145">
        <v>0</v>
      </c>
      <c r="O380" s="145">
        <f>N380+M380+L380</f>
        <v>0</v>
      </c>
      <c r="P380" s="145"/>
      <c r="Q380" s="145"/>
      <c r="R380" s="145">
        <v>0</v>
      </c>
      <c r="S380" s="145"/>
      <c r="T380" s="145"/>
      <c r="U380" s="145">
        <v>0</v>
      </c>
      <c r="V380" s="145"/>
      <c r="W380" s="145"/>
      <c r="X380" s="145">
        <v>0</v>
      </c>
      <c r="Y380" s="145"/>
      <c r="Z380" s="145"/>
      <c r="AA380" s="145">
        <v>0</v>
      </c>
      <c r="AB380" s="145"/>
      <c r="AC380" s="145"/>
      <c r="AD380" s="145">
        <v>0</v>
      </c>
      <c r="AE380" s="145"/>
      <c r="AF380" s="145"/>
      <c r="AG380" s="145">
        <v>0</v>
      </c>
      <c r="AH380" s="145"/>
      <c r="AI380" s="145"/>
      <c r="AJ380" s="145">
        <v>0</v>
      </c>
      <c r="AK380" s="145"/>
      <c r="AL380" s="145"/>
      <c r="AM380" s="145">
        <v>0</v>
      </c>
      <c r="AN380" s="145"/>
      <c r="AO380" s="145"/>
      <c r="AP380" s="145">
        <v>0</v>
      </c>
      <c r="AQ380" s="41">
        <f>IFERROR(VLOOKUP(G380,'10'!A:B,2,0),0)</f>
        <v>208795.25</v>
      </c>
      <c r="AR380" s="41">
        <f t="shared" si="191"/>
        <v>208795.25</v>
      </c>
      <c r="AS380" s="41">
        <f t="shared" si="196"/>
        <v>0</v>
      </c>
      <c r="AT380" s="41">
        <f t="shared" si="199"/>
        <v>208795.25</v>
      </c>
      <c r="AU380" s="41">
        <f t="shared" si="195"/>
        <v>208795.25</v>
      </c>
      <c r="AV380" s="459">
        <v>0</v>
      </c>
      <c r="AW380" s="145">
        <v>0</v>
      </c>
      <c r="AX380" s="145">
        <v>0</v>
      </c>
      <c r="AY380" s="41">
        <f t="shared" si="198"/>
        <v>0</v>
      </c>
      <c r="AZ380" s="41"/>
      <c r="BA380" s="145"/>
      <c r="BB380" s="145">
        <f>SUM(R380:AX380)</f>
        <v>835181</v>
      </c>
      <c r="BC380" s="145">
        <v>262515.7</v>
      </c>
      <c r="BD380" s="145">
        <v>0</v>
      </c>
      <c r="BE380" s="145">
        <v>0</v>
      </c>
      <c r="BF380" s="145">
        <v>0</v>
      </c>
      <c r="BG380" s="145">
        <v>0</v>
      </c>
      <c r="BH380" s="145">
        <v>0</v>
      </c>
      <c r="BI380" s="145">
        <v>262515.7</v>
      </c>
      <c r="BJ380" s="144"/>
      <c r="BK380" s="152"/>
      <c r="BL380" s="518"/>
    </row>
    <row r="381" spans="1:64" s="8" customFormat="1" ht="63" x14ac:dyDescent="0.25">
      <c r="A381" s="472" t="s">
        <v>106</v>
      </c>
      <c r="B381" s="473" t="s">
        <v>107</v>
      </c>
      <c r="C381" s="472" t="s">
        <v>108</v>
      </c>
      <c r="D381" s="472">
        <v>1</v>
      </c>
      <c r="E381" s="472" t="s">
        <v>109</v>
      </c>
      <c r="F381" s="472" t="s">
        <v>5</v>
      </c>
      <c r="G381" s="344" t="s">
        <v>736</v>
      </c>
      <c r="H381" s="45">
        <v>370</v>
      </c>
      <c r="I381" s="45" t="s">
        <v>106</v>
      </c>
      <c r="J381" s="475" t="s">
        <v>111</v>
      </c>
      <c r="K381" s="485" t="s">
        <v>737</v>
      </c>
      <c r="L381" s="41">
        <v>0</v>
      </c>
      <c r="M381" s="41">
        <v>0</v>
      </c>
      <c r="N381" s="41">
        <v>0</v>
      </c>
      <c r="O381" s="41">
        <v>0</v>
      </c>
      <c r="P381" s="41">
        <v>0</v>
      </c>
      <c r="Q381" s="41">
        <f>P381-O381</f>
        <v>0</v>
      </c>
      <c r="R381" s="41">
        <v>0</v>
      </c>
      <c r="S381" s="41">
        <v>0</v>
      </c>
      <c r="T381" s="41">
        <f>S381-R381</f>
        <v>0</v>
      </c>
      <c r="U381" s="41">
        <v>0</v>
      </c>
      <c r="V381" s="41">
        <v>0</v>
      </c>
      <c r="W381" s="41">
        <f>V381-U381</f>
        <v>0</v>
      </c>
      <c r="X381" s="41">
        <v>0</v>
      </c>
      <c r="Y381" s="41">
        <v>0</v>
      </c>
      <c r="Z381" s="41">
        <f>Y381-X381</f>
        <v>0</v>
      </c>
      <c r="AA381" s="41">
        <v>0</v>
      </c>
      <c r="AB381" s="41">
        <v>37582.410000000003</v>
      </c>
      <c r="AC381" s="41">
        <f>AB381-AA381</f>
        <v>37582.410000000003</v>
      </c>
      <c r="AD381" s="41">
        <v>0</v>
      </c>
      <c r="AE381" s="41">
        <v>0</v>
      </c>
      <c r="AF381" s="41">
        <f>AE381-AD381</f>
        <v>0</v>
      </c>
      <c r="AG381" s="41"/>
      <c r="AH381" s="41">
        <v>0</v>
      </c>
      <c r="AI381" s="41">
        <f t="shared" ref="AI381:AI387" si="202">AH381-AG381</f>
        <v>0</v>
      </c>
      <c r="AJ381" s="41"/>
      <c r="AK381" s="41">
        <v>7599</v>
      </c>
      <c r="AL381" s="41">
        <f t="shared" ref="AL381:AL389" si="203">AK381-AJ381</f>
        <v>7599</v>
      </c>
      <c r="AM381" s="41"/>
      <c r="AN381" s="41">
        <v>6949.29</v>
      </c>
      <c r="AO381" s="41">
        <f t="shared" ref="AO381:AO389" si="204">AN381-AM381</f>
        <v>6949.29</v>
      </c>
      <c r="AP381" s="41"/>
      <c r="AQ381" s="41">
        <f>IFERROR(VLOOKUP(G381,'10'!A:B,2,0),0)</f>
        <v>171360</v>
      </c>
      <c r="AR381" s="41">
        <f t="shared" si="191"/>
        <v>171360</v>
      </c>
      <c r="AS381" s="41">
        <f t="shared" si="196"/>
        <v>0</v>
      </c>
      <c r="AT381" s="41">
        <f t="shared" si="199"/>
        <v>223490.7</v>
      </c>
      <c r="AU381" s="41">
        <f t="shared" si="195"/>
        <v>223490.7</v>
      </c>
      <c r="AV381" s="459">
        <v>0</v>
      </c>
      <c r="AW381" s="41"/>
      <c r="AX381" s="39"/>
      <c r="AY381" s="41">
        <f t="shared" si="198"/>
        <v>0</v>
      </c>
      <c r="AZ381" s="41"/>
      <c r="BA381" s="36">
        <f>AZ381-AY381</f>
        <v>0</v>
      </c>
      <c r="BB381" s="41">
        <v>812387.54</v>
      </c>
      <c r="BC381" s="41">
        <v>0</v>
      </c>
      <c r="BD381" s="41">
        <v>0</v>
      </c>
      <c r="BE381" s="41">
        <v>0</v>
      </c>
      <c r="BF381" s="41">
        <v>0</v>
      </c>
      <c r="BG381" s="41">
        <v>0</v>
      </c>
      <c r="BH381" s="41">
        <v>0</v>
      </c>
      <c r="BI381" s="41">
        <v>812387.54</v>
      </c>
      <c r="BJ381" s="75"/>
      <c r="BK381" s="27"/>
    </row>
    <row r="382" spans="1:64" s="8" customFormat="1" ht="63" x14ac:dyDescent="0.25">
      <c r="A382" s="472" t="s">
        <v>106</v>
      </c>
      <c r="B382" s="473" t="s">
        <v>107</v>
      </c>
      <c r="C382" s="472" t="s">
        <v>108</v>
      </c>
      <c r="D382" s="472">
        <v>1</v>
      </c>
      <c r="E382" s="472" t="s">
        <v>109</v>
      </c>
      <c r="F382" s="472" t="s">
        <v>5</v>
      </c>
      <c r="G382" s="474" t="s">
        <v>738</v>
      </c>
      <c r="H382" s="45">
        <v>371</v>
      </c>
      <c r="I382" s="45" t="s">
        <v>106</v>
      </c>
      <c r="J382" s="475" t="s">
        <v>111</v>
      </c>
      <c r="K382" s="475" t="s">
        <v>739</v>
      </c>
      <c r="L382" s="41">
        <v>0</v>
      </c>
      <c r="M382" s="41">
        <v>0</v>
      </c>
      <c r="N382" s="41">
        <v>0</v>
      </c>
      <c r="O382" s="41">
        <v>0</v>
      </c>
      <c r="P382" s="41">
        <v>0</v>
      </c>
      <c r="Q382" s="41">
        <f>P382-O382</f>
        <v>0</v>
      </c>
      <c r="R382" s="41">
        <v>0</v>
      </c>
      <c r="S382" s="41">
        <v>0</v>
      </c>
      <c r="T382" s="41">
        <f>S382-R382</f>
        <v>0</v>
      </c>
      <c r="U382" s="41">
        <v>0</v>
      </c>
      <c r="V382" s="41">
        <v>0</v>
      </c>
      <c r="W382" s="41">
        <f>V382-U382</f>
        <v>0</v>
      </c>
      <c r="X382" s="41">
        <v>0</v>
      </c>
      <c r="Y382" s="41">
        <v>0</v>
      </c>
      <c r="Z382" s="41">
        <f>Y382-X382</f>
        <v>0</v>
      </c>
      <c r="AA382" s="41">
        <v>0</v>
      </c>
      <c r="AB382" s="41">
        <v>66891.59</v>
      </c>
      <c r="AC382" s="41">
        <f>AB382-AA382</f>
        <v>66891.59</v>
      </c>
      <c r="AD382" s="41">
        <v>0</v>
      </c>
      <c r="AE382" s="41">
        <v>0</v>
      </c>
      <c r="AF382" s="41">
        <f>AE382-AD382</f>
        <v>0</v>
      </c>
      <c r="AG382" s="41"/>
      <c r="AH382" s="41">
        <v>0</v>
      </c>
      <c r="AI382" s="41">
        <f t="shared" si="202"/>
        <v>0</v>
      </c>
      <c r="AJ382" s="41"/>
      <c r="AK382" s="41">
        <v>14276.57</v>
      </c>
      <c r="AL382" s="41">
        <f t="shared" si="203"/>
        <v>14276.57</v>
      </c>
      <c r="AM382" s="41"/>
      <c r="AN382" s="41">
        <v>0</v>
      </c>
      <c r="AO382" s="41">
        <f t="shared" si="204"/>
        <v>0</v>
      </c>
      <c r="AP382" s="41"/>
      <c r="AQ382" s="41">
        <f>IFERROR(VLOOKUP(G382,'10'!A:B,2,0),0)</f>
        <v>144585</v>
      </c>
      <c r="AR382" s="41">
        <f t="shared" si="191"/>
        <v>144585</v>
      </c>
      <c r="AS382" s="41">
        <f t="shared" si="196"/>
        <v>0</v>
      </c>
      <c r="AT382" s="41">
        <f t="shared" si="199"/>
        <v>225753.16</v>
      </c>
      <c r="AU382" s="41">
        <f t="shared" si="195"/>
        <v>225753.16</v>
      </c>
      <c r="AV382" s="459">
        <v>0</v>
      </c>
      <c r="AW382" s="41"/>
      <c r="AX382" s="41"/>
      <c r="AY382" s="41">
        <f t="shared" si="198"/>
        <v>0</v>
      </c>
      <c r="AZ382" s="41"/>
      <c r="BA382" s="36">
        <f>AZ382-AY382</f>
        <v>0</v>
      </c>
      <c r="BB382" s="41">
        <v>1335174.6800000002</v>
      </c>
      <c r="BC382" s="41">
        <v>0</v>
      </c>
      <c r="BD382" s="41">
        <v>0</v>
      </c>
      <c r="BE382" s="41">
        <v>0</v>
      </c>
      <c r="BF382" s="41">
        <v>0</v>
      </c>
      <c r="BG382" s="41">
        <v>0</v>
      </c>
      <c r="BH382" s="41">
        <v>0</v>
      </c>
      <c r="BI382" s="41">
        <v>1335174.6800000002</v>
      </c>
      <c r="BJ382" s="75"/>
      <c r="BK382" s="24"/>
      <c r="BL382" s="161"/>
    </row>
    <row r="383" spans="1:64" s="8" customFormat="1" ht="31.5" x14ac:dyDescent="0.25">
      <c r="A383" s="486" t="s">
        <v>119</v>
      </c>
      <c r="B383" s="486" t="s">
        <v>120</v>
      </c>
      <c r="C383" s="487" t="s">
        <v>574</v>
      </c>
      <c r="D383" s="486">
        <v>1</v>
      </c>
      <c r="E383" s="486" t="s">
        <v>35</v>
      </c>
      <c r="F383" s="486" t="s">
        <v>102</v>
      </c>
      <c r="G383" s="488" t="s">
        <v>692</v>
      </c>
      <c r="H383" s="45">
        <v>372</v>
      </c>
      <c r="I383" s="45" t="s">
        <v>119</v>
      </c>
      <c r="J383" s="489" t="s">
        <v>693</v>
      </c>
      <c r="K383" s="489" t="s">
        <v>694</v>
      </c>
      <c r="L383" s="40">
        <v>0</v>
      </c>
      <c r="M383" s="40">
        <v>0</v>
      </c>
      <c r="N383" s="40">
        <v>0</v>
      </c>
      <c r="O383" s="40">
        <v>0</v>
      </c>
      <c r="P383" s="40">
        <v>0</v>
      </c>
      <c r="Q383" s="41">
        <f>P383-O383</f>
        <v>0</v>
      </c>
      <c r="R383" s="40">
        <v>0</v>
      </c>
      <c r="S383" s="40">
        <v>0</v>
      </c>
      <c r="T383" s="41">
        <f>S383-R383</f>
        <v>0</v>
      </c>
      <c r="U383" s="40">
        <v>0</v>
      </c>
      <c r="V383" s="40">
        <v>0</v>
      </c>
      <c r="W383" s="41">
        <f>V383-U383</f>
        <v>0</v>
      </c>
      <c r="X383" s="40">
        <v>0</v>
      </c>
      <c r="Y383" s="40">
        <v>0</v>
      </c>
      <c r="Z383" s="41">
        <f>Y383-X383</f>
        <v>0</v>
      </c>
      <c r="AA383" s="40">
        <v>327998.21000000002</v>
      </c>
      <c r="AB383" s="40">
        <v>0</v>
      </c>
      <c r="AC383" s="41">
        <f>AB383-AA383</f>
        <v>-327998.21000000002</v>
      </c>
      <c r="AD383" s="40">
        <v>0</v>
      </c>
      <c r="AE383" s="41">
        <v>0</v>
      </c>
      <c r="AF383" s="41">
        <f>AE383-AD383</f>
        <v>0</v>
      </c>
      <c r="AG383" s="40">
        <v>0</v>
      </c>
      <c r="AH383" s="41">
        <v>0</v>
      </c>
      <c r="AI383" s="41">
        <f t="shared" si="202"/>
        <v>0</v>
      </c>
      <c r="AJ383" s="40">
        <v>0</v>
      </c>
      <c r="AK383" s="41">
        <v>576455.05000000005</v>
      </c>
      <c r="AL383" s="41">
        <f t="shared" si="203"/>
        <v>576455.05000000005</v>
      </c>
      <c r="AM383" s="40">
        <v>0</v>
      </c>
      <c r="AN383" s="41">
        <v>0</v>
      </c>
      <c r="AO383" s="41">
        <f t="shared" si="204"/>
        <v>0</v>
      </c>
      <c r="AP383" s="40">
        <v>0</v>
      </c>
      <c r="AQ383" s="41">
        <f>IFERROR(VLOOKUP(G383,'10'!A:B,2,0),0)</f>
        <v>0</v>
      </c>
      <c r="AR383" s="41">
        <f t="shared" si="191"/>
        <v>0</v>
      </c>
      <c r="AS383" s="41">
        <f t="shared" si="196"/>
        <v>327998.21000000002</v>
      </c>
      <c r="AT383" s="41">
        <f t="shared" si="199"/>
        <v>576455.05000000005</v>
      </c>
      <c r="AU383" s="41">
        <f t="shared" si="195"/>
        <v>248456.84000000003</v>
      </c>
      <c r="AV383" s="459">
        <f>AT383/AS383</f>
        <v>1.7574944997413249</v>
      </c>
      <c r="AW383" s="40">
        <v>0</v>
      </c>
      <c r="AX383" s="40">
        <v>0</v>
      </c>
      <c r="AY383" s="41">
        <f t="shared" si="198"/>
        <v>327998.21000000002</v>
      </c>
      <c r="AZ383" s="41">
        <f>VLOOKUP(G383,'2017'!A:B,2,0)</f>
        <v>576455.05000000005</v>
      </c>
      <c r="BA383" s="552">
        <v>0</v>
      </c>
      <c r="BB383" s="40">
        <v>6855129.9100000001</v>
      </c>
      <c r="BC383" s="40">
        <v>7824401.0499999998</v>
      </c>
      <c r="BD383" s="40">
        <v>6491669.1600000001</v>
      </c>
      <c r="BE383" s="40">
        <v>2480896.14</v>
      </c>
      <c r="BF383" s="40">
        <v>0</v>
      </c>
      <c r="BG383" s="40">
        <v>0</v>
      </c>
      <c r="BH383" s="40">
        <v>0</v>
      </c>
      <c r="BI383" s="40">
        <v>23980094.469999999</v>
      </c>
      <c r="BJ383" s="542"/>
      <c r="BK383" s="461"/>
      <c r="BL383" s="432"/>
    </row>
    <row r="384" spans="1:64" s="8" customFormat="1" ht="63" x14ac:dyDescent="0.25">
      <c r="A384" s="470" t="s">
        <v>842</v>
      </c>
      <c r="B384" s="470" t="s">
        <v>843</v>
      </c>
      <c r="C384" s="471" t="s">
        <v>844</v>
      </c>
      <c r="D384" s="470">
        <v>1</v>
      </c>
      <c r="E384" s="470" t="s">
        <v>35</v>
      </c>
      <c r="F384" s="470" t="s">
        <v>5</v>
      </c>
      <c r="G384" s="470" t="s">
        <v>904</v>
      </c>
      <c r="H384" s="45">
        <v>373</v>
      </c>
      <c r="I384" s="45" t="s">
        <v>842</v>
      </c>
      <c r="J384" s="471" t="s">
        <v>893</v>
      </c>
      <c r="K384" s="471" t="s">
        <v>905</v>
      </c>
      <c r="L384" s="43">
        <v>0</v>
      </c>
      <c r="M384" s="43">
        <v>0</v>
      </c>
      <c r="N384" s="43">
        <v>0</v>
      </c>
      <c r="O384" s="43">
        <v>0</v>
      </c>
      <c r="P384" s="43"/>
      <c r="Q384" s="43"/>
      <c r="R384" s="43">
        <v>0</v>
      </c>
      <c r="S384" s="43"/>
      <c r="T384" s="43"/>
      <c r="U384" s="43">
        <v>0</v>
      </c>
      <c r="V384" s="43"/>
      <c r="W384" s="43"/>
      <c r="X384" s="43">
        <v>0</v>
      </c>
      <c r="Y384" s="43"/>
      <c r="Z384" s="43"/>
      <c r="AA384" s="43">
        <v>0</v>
      </c>
      <c r="AB384" s="43"/>
      <c r="AC384" s="43"/>
      <c r="AD384" s="43">
        <v>0</v>
      </c>
      <c r="AE384" s="43"/>
      <c r="AF384" s="43"/>
      <c r="AG384" s="43">
        <v>0</v>
      </c>
      <c r="AH384" s="41">
        <v>209625</v>
      </c>
      <c r="AI384" s="41">
        <f t="shared" si="202"/>
        <v>209625</v>
      </c>
      <c r="AJ384" s="41">
        <v>0</v>
      </c>
      <c r="AK384" s="41">
        <v>0</v>
      </c>
      <c r="AL384" s="41">
        <f t="shared" si="203"/>
        <v>0</v>
      </c>
      <c r="AM384" s="41">
        <v>0</v>
      </c>
      <c r="AN384" s="41">
        <v>0</v>
      </c>
      <c r="AO384" s="41">
        <f t="shared" si="204"/>
        <v>0</v>
      </c>
      <c r="AP384" s="41">
        <v>0</v>
      </c>
      <c r="AQ384" s="41">
        <f>IFERROR(VLOOKUP(G384,'10'!A:B,2,0),0)</f>
        <v>51836.24</v>
      </c>
      <c r="AR384" s="41">
        <f t="shared" si="191"/>
        <v>51836.24</v>
      </c>
      <c r="AS384" s="41">
        <f t="shared" si="196"/>
        <v>0</v>
      </c>
      <c r="AT384" s="41">
        <f t="shared" si="199"/>
        <v>261461.24</v>
      </c>
      <c r="AU384" s="41">
        <f t="shared" si="195"/>
        <v>261461.24</v>
      </c>
      <c r="AV384" s="459">
        <v>0</v>
      </c>
      <c r="AW384" s="41">
        <v>0</v>
      </c>
      <c r="AX384" s="41">
        <v>0</v>
      </c>
      <c r="AY384" s="41">
        <v>52102</v>
      </c>
      <c r="AZ384" s="41"/>
      <c r="BA384" s="552">
        <f t="shared" ref="BA384:BA389" si="205">AZ384-AY384</f>
        <v>-52102</v>
      </c>
      <c r="BB384" s="41">
        <v>398170.56</v>
      </c>
      <c r="BC384" s="41">
        <v>0</v>
      </c>
      <c r="BD384" s="41">
        <v>0</v>
      </c>
      <c r="BE384" s="41">
        <v>0</v>
      </c>
      <c r="BF384" s="41">
        <v>0</v>
      </c>
      <c r="BG384" s="41">
        <v>0</v>
      </c>
      <c r="BH384" s="41">
        <v>0</v>
      </c>
      <c r="BI384" s="41">
        <v>398170.56</v>
      </c>
      <c r="BJ384" s="540"/>
      <c r="BK384" s="461"/>
      <c r="BL384" s="432"/>
    </row>
    <row r="385" spans="1:64" s="8" customFormat="1" ht="78.75" x14ac:dyDescent="0.25">
      <c r="A385" s="52" t="s">
        <v>57</v>
      </c>
      <c r="B385" s="52" t="s">
        <v>58</v>
      </c>
      <c r="C385" s="476" t="s">
        <v>569</v>
      </c>
      <c r="D385" s="52">
        <v>2</v>
      </c>
      <c r="E385" s="52" t="s">
        <v>35</v>
      </c>
      <c r="F385" s="52" t="s">
        <v>5</v>
      </c>
      <c r="G385" s="52" t="s">
        <v>859</v>
      </c>
      <c r="H385" s="45">
        <v>374</v>
      </c>
      <c r="I385" s="45" t="s">
        <v>57</v>
      </c>
      <c r="J385" s="477" t="s">
        <v>63</v>
      </c>
      <c r="K385" s="477" t="s">
        <v>860</v>
      </c>
      <c r="L385" s="431"/>
      <c r="M385" s="37">
        <v>0</v>
      </c>
      <c r="N385" s="37">
        <v>0</v>
      </c>
      <c r="O385" s="37">
        <v>0</v>
      </c>
      <c r="P385" s="37"/>
      <c r="Q385" s="37"/>
      <c r="R385" s="37">
        <v>0</v>
      </c>
      <c r="S385" s="37"/>
      <c r="T385" s="37"/>
      <c r="U385" s="37">
        <v>0</v>
      </c>
      <c r="V385" s="37"/>
      <c r="W385" s="37"/>
      <c r="X385" s="37">
        <v>0</v>
      </c>
      <c r="Y385" s="37">
        <v>259606.92</v>
      </c>
      <c r="Z385" s="41">
        <f>Y385-X385</f>
        <v>259606.92</v>
      </c>
      <c r="AA385" s="37">
        <v>0</v>
      </c>
      <c r="AB385" s="37"/>
      <c r="AC385" s="37"/>
      <c r="AD385" s="37">
        <v>0</v>
      </c>
      <c r="AE385" s="37"/>
      <c r="AF385" s="37"/>
      <c r="AG385" s="37">
        <v>129804.48</v>
      </c>
      <c r="AH385" s="41">
        <v>208250.26</v>
      </c>
      <c r="AI385" s="41">
        <f t="shared" si="202"/>
        <v>78445.780000000013</v>
      </c>
      <c r="AJ385" s="37">
        <v>0</v>
      </c>
      <c r="AK385" s="41">
        <v>0</v>
      </c>
      <c r="AL385" s="41">
        <f t="shared" si="203"/>
        <v>0</v>
      </c>
      <c r="AM385" s="37">
        <v>0</v>
      </c>
      <c r="AN385" s="41">
        <v>0</v>
      </c>
      <c r="AO385" s="41">
        <f t="shared" si="204"/>
        <v>0</v>
      </c>
      <c r="AP385" s="37">
        <v>129804.48</v>
      </c>
      <c r="AQ385" s="41">
        <f>IFERROR(VLOOKUP(G385,'10'!A:B,2,0),0)</f>
        <v>80203.740000000005</v>
      </c>
      <c r="AR385" s="41">
        <f t="shared" si="191"/>
        <v>-49600.739999999991</v>
      </c>
      <c r="AS385" s="41">
        <f t="shared" si="196"/>
        <v>259608.95999999999</v>
      </c>
      <c r="AT385" s="41">
        <f>AN385+AK385+AH385+AE385+AB385+Y385+V385+S385+P385+AQ385</f>
        <v>548060.92000000004</v>
      </c>
      <c r="AU385" s="41">
        <f t="shared" si="195"/>
        <v>288451.96000000002</v>
      </c>
      <c r="AV385" s="459">
        <f>AT385/AS385</f>
        <v>2.1111017123600049</v>
      </c>
      <c r="AW385" s="37">
        <v>0</v>
      </c>
      <c r="AX385" s="37">
        <v>28843.18</v>
      </c>
      <c r="AY385" s="41">
        <f t="shared" ref="AY385:AY416" si="206">AX385+AW385+AP385+AM385+AJ385+AG385+AA385+X385+U385+R385+O385+AD385</f>
        <v>288452.14</v>
      </c>
      <c r="AZ385" s="41">
        <f>VLOOKUP(G385,'2017'!A:B,2,0)</f>
        <v>548059.06000000006</v>
      </c>
      <c r="BA385" s="552">
        <f t="shared" si="205"/>
        <v>259606.92000000004</v>
      </c>
      <c r="BB385" s="37">
        <v>0</v>
      </c>
      <c r="BC385" s="37">
        <v>0</v>
      </c>
      <c r="BD385" s="37">
        <v>0</v>
      </c>
      <c r="BE385" s="37">
        <v>0</v>
      </c>
      <c r="BF385" s="37">
        <v>0</v>
      </c>
      <c r="BG385" s="37">
        <v>0</v>
      </c>
      <c r="BH385" s="37">
        <v>0</v>
      </c>
      <c r="BI385" s="37">
        <v>288452.14</v>
      </c>
      <c r="BJ385" s="544">
        <v>0</v>
      </c>
      <c r="BK385" s="461"/>
    </row>
    <row r="386" spans="1:64" s="8" customFormat="1" ht="63" x14ac:dyDescent="0.25">
      <c r="A386" s="470" t="s">
        <v>842</v>
      </c>
      <c r="B386" s="470" t="s">
        <v>843</v>
      </c>
      <c r="C386" s="471" t="s">
        <v>844</v>
      </c>
      <c r="D386" s="470">
        <v>2</v>
      </c>
      <c r="E386" s="470" t="s">
        <v>35</v>
      </c>
      <c r="F386" s="470" t="s">
        <v>5</v>
      </c>
      <c r="G386" s="43" t="s">
        <v>775</v>
      </c>
      <c r="H386" s="45">
        <v>375</v>
      </c>
      <c r="I386" s="45" t="s">
        <v>842</v>
      </c>
      <c r="J386" s="475" t="s">
        <v>668</v>
      </c>
      <c r="K386" s="475" t="s">
        <v>845</v>
      </c>
      <c r="L386" s="41">
        <v>0</v>
      </c>
      <c r="M386" s="41">
        <v>0</v>
      </c>
      <c r="N386" s="41">
        <v>0</v>
      </c>
      <c r="O386" s="40">
        <v>0</v>
      </c>
      <c r="P386" s="40">
        <v>0</v>
      </c>
      <c r="Q386" s="41">
        <f>P386-O386</f>
        <v>0</v>
      </c>
      <c r="R386" s="40">
        <v>0</v>
      </c>
      <c r="S386" s="40">
        <v>0</v>
      </c>
      <c r="T386" s="41">
        <f>S386-R386</f>
        <v>0</v>
      </c>
      <c r="U386" s="40">
        <v>0</v>
      </c>
      <c r="V386" s="40">
        <v>0</v>
      </c>
      <c r="W386" s="41">
        <f>V386-U386</f>
        <v>0</v>
      </c>
      <c r="X386" s="40">
        <v>0</v>
      </c>
      <c r="Y386" s="40">
        <v>0</v>
      </c>
      <c r="Z386" s="41">
        <f>Y386-X386</f>
        <v>0</v>
      </c>
      <c r="AA386" s="40">
        <v>0</v>
      </c>
      <c r="AB386" s="40">
        <v>0</v>
      </c>
      <c r="AC386" s="41">
        <f>AB386-AA386</f>
        <v>0</v>
      </c>
      <c r="AD386" s="41">
        <v>0</v>
      </c>
      <c r="AE386" s="41">
        <v>139968.95999999999</v>
      </c>
      <c r="AF386" s="41">
        <f>AE386-AD386</f>
        <v>139968.95999999999</v>
      </c>
      <c r="AG386" s="40">
        <v>0</v>
      </c>
      <c r="AH386" s="41">
        <v>0</v>
      </c>
      <c r="AI386" s="41">
        <f t="shared" si="202"/>
        <v>0</v>
      </c>
      <c r="AJ386" s="40">
        <v>0</v>
      </c>
      <c r="AK386" s="41">
        <v>154968.57</v>
      </c>
      <c r="AL386" s="41">
        <f t="shared" si="203"/>
        <v>154968.57</v>
      </c>
      <c r="AM386" s="40">
        <v>0</v>
      </c>
      <c r="AN386" s="41">
        <v>0</v>
      </c>
      <c r="AO386" s="41">
        <f t="shared" si="204"/>
        <v>0</v>
      </c>
      <c r="AP386" s="40">
        <v>0</v>
      </c>
      <c r="AQ386" s="41">
        <f>IFERROR(VLOOKUP(G386,'10'!A:B,2,0),0)</f>
        <v>0</v>
      </c>
      <c r="AR386" s="41">
        <f t="shared" si="191"/>
        <v>0</v>
      </c>
      <c r="AS386" s="41">
        <f t="shared" si="196"/>
        <v>0</v>
      </c>
      <c r="AT386" s="41">
        <f t="shared" ref="AT386:AT392" si="207">AN386+AK386+AH386+AE386+AB386+-Y386+V386+S386+P386+AQ386</f>
        <v>294937.53000000003</v>
      </c>
      <c r="AU386" s="41">
        <f t="shared" si="195"/>
        <v>294937.53000000003</v>
      </c>
      <c r="AV386" s="459">
        <v>0</v>
      </c>
      <c r="AW386" s="40">
        <v>0</v>
      </c>
      <c r="AX386" s="40">
        <v>0</v>
      </c>
      <c r="AY386" s="41">
        <f t="shared" si="206"/>
        <v>0</v>
      </c>
      <c r="AZ386" s="41"/>
      <c r="BA386" s="36">
        <f t="shared" si="205"/>
        <v>0</v>
      </c>
      <c r="BB386" s="41">
        <v>155521.07</v>
      </c>
      <c r="BC386" s="41">
        <v>0</v>
      </c>
      <c r="BD386" s="41">
        <v>0</v>
      </c>
      <c r="BE386" s="41">
        <v>0</v>
      </c>
      <c r="BF386" s="41">
        <v>0</v>
      </c>
      <c r="BG386" s="41">
        <v>0</v>
      </c>
      <c r="BH386" s="41">
        <v>0</v>
      </c>
      <c r="BI386" s="41">
        <v>155521.07</v>
      </c>
      <c r="BJ386" s="539"/>
      <c r="BK386" s="461"/>
      <c r="BL386" s="432"/>
    </row>
    <row r="387" spans="1:64" s="8" customFormat="1" ht="47.25" x14ac:dyDescent="0.25">
      <c r="A387" s="55" t="s">
        <v>57</v>
      </c>
      <c r="B387" s="55" t="s">
        <v>58</v>
      </c>
      <c r="C387" s="155" t="s">
        <v>569</v>
      </c>
      <c r="D387" s="55">
        <v>2</v>
      </c>
      <c r="E387" s="55" t="s">
        <v>35</v>
      </c>
      <c r="F387" s="55" t="s">
        <v>5</v>
      </c>
      <c r="G387" s="55" t="s">
        <v>943</v>
      </c>
      <c r="H387" s="45">
        <v>376</v>
      </c>
      <c r="I387" s="45" t="s">
        <v>57</v>
      </c>
      <c r="J387" s="479" t="s">
        <v>894</v>
      </c>
      <c r="K387" s="479" t="s">
        <v>895</v>
      </c>
      <c r="L387" s="35">
        <v>0</v>
      </c>
      <c r="M387" s="35">
        <v>0</v>
      </c>
      <c r="N387" s="35">
        <v>0</v>
      </c>
      <c r="O387" s="35">
        <f>N387+M387+L387</f>
        <v>0</v>
      </c>
      <c r="P387" s="35"/>
      <c r="Q387" s="35"/>
      <c r="R387" s="35">
        <v>0</v>
      </c>
      <c r="S387" s="35"/>
      <c r="T387" s="35"/>
      <c r="U387" s="35">
        <v>0</v>
      </c>
      <c r="V387" s="35"/>
      <c r="W387" s="35"/>
      <c r="X387" s="35">
        <v>0</v>
      </c>
      <c r="Y387" s="35"/>
      <c r="Z387" s="35"/>
      <c r="AA387" s="35">
        <v>0</v>
      </c>
      <c r="AB387" s="35"/>
      <c r="AC387" s="35"/>
      <c r="AD387" s="35">
        <v>0</v>
      </c>
      <c r="AE387" s="35"/>
      <c r="AF387" s="35"/>
      <c r="AG387" s="35">
        <v>0</v>
      </c>
      <c r="AH387" s="41">
        <v>200000</v>
      </c>
      <c r="AI387" s="41">
        <f t="shared" si="202"/>
        <v>200000</v>
      </c>
      <c r="AJ387" s="35">
        <v>0</v>
      </c>
      <c r="AK387" s="41">
        <v>0</v>
      </c>
      <c r="AL387" s="41">
        <f t="shared" si="203"/>
        <v>0</v>
      </c>
      <c r="AM387" s="35">
        <v>0</v>
      </c>
      <c r="AN387" s="41">
        <v>0</v>
      </c>
      <c r="AO387" s="41">
        <f t="shared" si="204"/>
        <v>0</v>
      </c>
      <c r="AP387" s="35">
        <v>0</v>
      </c>
      <c r="AQ387" s="41">
        <f>IFERROR(VLOOKUP(G387,'10'!A:B,2,0),0)</f>
        <v>100000</v>
      </c>
      <c r="AR387" s="41">
        <f t="shared" si="191"/>
        <v>100000</v>
      </c>
      <c r="AS387" s="41">
        <f t="shared" si="196"/>
        <v>0</v>
      </c>
      <c r="AT387" s="41">
        <f t="shared" si="207"/>
        <v>300000</v>
      </c>
      <c r="AU387" s="41">
        <f t="shared" si="195"/>
        <v>300000</v>
      </c>
      <c r="AV387" s="459">
        <v>0</v>
      </c>
      <c r="AW387" s="35">
        <v>0</v>
      </c>
      <c r="AX387" s="35">
        <v>100000</v>
      </c>
      <c r="AY387" s="41">
        <f t="shared" si="206"/>
        <v>100000</v>
      </c>
      <c r="AZ387" s="41">
        <f>VLOOKUP(G387,'2017'!A:B,2,0)</f>
        <v>629475.86</v>
      </c>
      <c r="BA387" s="552">
        <f t="shared" si="205"/>
        <v>529475.86</v>
      </c>
      <c r="BB387" s="35">
        <v>373855.61</v>
      </c>
      <c r="BC387" s="35">
        <v>0</v>
      </c>
      <c r="BD387" s="35">
        <v>0</v>
      </c>
      <c r="BE387" s="35">
        <v>0</v>
      </c>
      <c r="BF387" s="35">
        <v>0</v>
      </c>
      <c r="BG387" s="35">
        <v>0</v>
      </c>
      <c r="BH387" s="35">
        <v>0</v>
      </c>
      <c r="BI387" s="35">
        <v>473855.61</v>
      </c>
      <c r="BJ387" s="540"/>
      <c r="BK387" s="461"/>
      <c r="BL387" s="432"/>
    </row>
    <row r="388" spans="1:64" s="8" customFormat="1" ht="47.25" x14ac:dyDescent="0.25">
      <c r="A388" s="439" t="s">
        <v>138</v>
      </c>
      <c r="B388" s="439" t="s">
        <v>139</v>
      </c>
      <c r="C388" s="440" t="s">
        <v>576</v>
      </c>
      <c r="D388" s="439">
        <v>2</v>
      </c>
      <c r="E388" s="439" t="s">
        <v>35</v>
      </c>
      <c r="F388" s="439" t="s">
        <v>5</v>
      </c>
      <c r="G388" s="439" t="s">
        <v>1896</v>
      </c>
      <c r="H388" s="45">
        <v>377</v>
      </c>
      <c r="I388" s="45" t="s">
        <v>138</v>
      </c>
      <c r="J388" s="440" t="s">
        <v>724</v>
      </c>
      <c r="K388" s="440" t="s">
        <v>1897</v>
      </c>
      <c r="L388" s="441">
        <v>0</v>
      </c>
      <c r="M388" s="441">
        <v>0</v>
      </c>
      <c r="N388" s="441">
        <v>0</v>
      </c>
      <c r="O388" s="441">
        <f>N388+M388+L388</f>
        <v>0</v>
      </c>
      <c r="P388" s="441"/>
      <c r="Q388" s="441"/>
      <c r="R388" s="441">
        <v>0</v>
      </c>
      <c r="S388" s="441"/>
      <c r="T388" s="441"/>
      <c r="U388" s="441">
        <v>0</v>
      </c>
      <c r="V388" s="441"/>
      <c r="W388" s="441"/>
      <c r="X388" s="441">
        <v>0</v>
      </c>
      <c r="Y388" s="441"/>
      <c r="Z388" s="441"/>
      <c r="AA388" s="441">
        <v>0</v>
      </c>
      <c r="AB388" s="441"/>
      <c r="AC388" s="441"/>
      <c r="AD388" s="441">
        <v>0</v>
      </c>
      <c r="AE388" s="441"/>
      <c r="AF388" s="441"/>
      <c r="AG388" s="441">
        <v>0</v>
      </c>
      <c r="AH388" s="441"/>
      <c r="AI388" s="441"/>
      <c r="AJ388" s="441">
        <v>0</v>
      </c>
      <c r="AK388" s="41">
        <v>200000</v>
      </c>
      <c r="AL388" s="41">
        <f t="shared" si="203"/>
        <v>200000</v>
      </c>
      <c r="AM388" s="441">
        <v>0</v>
      </c>
      <c r="AN388" s="41">
        <v>21161.19</v>
      </c>
      <c r="AO388" s="41">
        <f t="shared" si="204"/>
        <v>21161.19</v>
      </c>
      <c r="AP388" s="441">
        <v>0</v>
      </c>
      <c r="AQ388" s="41">
        <f>IFERROR(VLOOKUP(G388,'10'!A:B,2,0),0)</f>
        <v>79633.960000000006</v>
      </c>
      <c r="AR388" s="41">
        <f t="shared" si="191"/>
        <v>79633.960000000006</v>
      </c>
      <c r="AS388" s="41">
        <f t="shared" si="196"/>
        <v>0</v>
      </c>
      <c r="AT388" s="41">
        <f t="shared" si="207"/>
        <v>300795.15000000002</v>
      </c>
      <c r="AU388" s="41">
        <f t="shared" si="195"/>
        <v>300795.15000000002</v>
      </c>
      <c r="AV388" s="459">
        <v>0</v>
      </c>
      <c r="AW388" s="441">
        <v>0</v>
      </c>
      <c r="AX388" s="441">
        <v>0</v>
      </c>
      <c r="AY388" s="41">
        <f t="shared" si="206"/>
        <v>0</v>
      </c>
      <c r="AZ388" s="41"/>
      <c r="BA388" s="40">
        <f t="shared" si="205"/>
        <v>0</v>
      </c>
      <c r="BB388" s="441">
        <v>453826.1</v>
      </c>
      <c r="BC388" s="441">
        <v>0</v>
      </c>
      <c r="BD388" s="441">
        <v>0</v>
      </c>
      <c r="BE388" s="441">
        <v>0</v>
      </c>
      <c r="BF388" s="441">
        <v>0</v>
      </c>
      <c r="BG388" s="441">
        <v>0</v>
      </c>
      <c r="BH388" s="441">
        <v>0</v>
      </c>
      <c r="BI388" s="441">
        <v>523413.21</v>
      </c>
      <c r="BJ388" s="323"/>
      <c r="BK388" s="461"/>
      <c r="BL388" s="432"/>
    </row>
    <row r="389" spans="1:64" s="8" customFormat="1" ht="47.25" x14ac:dyDescent="0.25">
      <c r="A389" s="472" t="s">
        <v>57</v>
      </c>
      <c r="B389" s="472" t="s">
        <v>58</v>
      </c>
      <c r="C389" s="473" t="s">
        <v>569</v>
      </c>
      <c r="D389" s="472">
        <v>3</v>
      </c>
      <c r="E389" s="472" t="s">
        <v>35</v>
      </c>
      <c r="F389" s="472" t="s">
        <v>5</v>
      </c>
      <c r="G389" s="474" t="s">
        <v>680</v>
      </c>
      <c r="H389" s="45">
        <v>378</v>
      </c>
      <c r="I389" s="45" t="s">
        <v>57</v>
      </c>
      <c r="J389" s="475" t="s">
        <v>446</v>
      </c>
      <c r="K389" s="475" t="s">
        <v>681</v>
      </c>
      <c r="L389" s="41">
        <v>0</v>
      </c>
      <c r="M389" s="41">
        <v>0</v>
      </c>
      <c r="N389" s="41">
        <v>0</v>
      </c>
      <c r="O389" s="41">
        <v>0</v>
      </c>
      <c r="P389" s="41">
        <v>0</v>
      </c>
      <c r="Q389" s="41">
        <f>P389-O389</f>
        <v>0</v>
      </c>
      <c r="R389" s="41">
        <v>0</v>
      </c>
      <c r="S389" s="41">
        <v>0</v>
      </c>
      <c r="T389" s="41">
        <f>S389-R389</f>
        <v>0</v>
      </c>
      <c r="U389" s="41">
        <v>0</v>
      </c>
      <c r="V389" s="41">
        <v>0</v>
      </c>
      <c r="W389" s="41">
        <f>V389-U389</f>
        <v>0</v>
      </c>
      <c r="X389" s="41">
        <v>0</v>
      </c>
      <c r="Y389" s="41">
        <v>0</v>
      </c>
      <c r="Z389" s="41">
        <f>Y389-X389</f>
        <v>0</v>
      </c>
      <c r="AA389" s="41">
        <v>5878.69</v>
      </c>
      <c r="AB389" s="41">
        <v>0</v>
      </c>
      <c r="AC389" s="41">
        <f>AB389-AA389</f>
        <v>-5878.69</v>
      </c>
      <c r="AD389" s="41">
        <v>0</v>
      </c>
      <c r="AE389" s="41">
        <v>270000</v>
      </c>
      <c r="AF389" s="41">
        <f>AE389-AD389</f>
        <v>270000</v>
      </c>
      <c r="AG389" s="41">
        <v>0</v>
      </c>
      <c r="AH389" s="41">
        <v>0</v>
      </c>
      <c r="AI389" s="41">
        <f>AH389-AG389</f>
        <v>0</v>
      </c>
      <c r="AJ389" s="41">
        <v>0</v>
      </c>
      <c r="AK389" s="41">
        <v>0</v>
      </c>
      <c r="AL389" s="41">
        <f t="shared" si="203"/>
        <v>0</v>
      </c>
      <c r="AM389" s="41">
        <v>0</v>
      </c>
      <c r="AN389" s="41">
        <v>37506.99</v>
      </c>
      <c r="AO389" s="41">
        <f t="shared" si="204"/>
        <v>37506.99</v>
      </c>
      <c r="AP389" s="41">
        <v>0</v>
      </c>
      <c r="AQ389" s="41">
        <f>IFERROR(VLOOKUP(G389,'10'!A:B,2,0),0)</f>
        <v>0</v>
      </c>
      <c r="AR389" s="41">
        <f t="shared" si="191"/>
        <v>0</v>
      </c>
      <c r="AS389" s="41">
        <f t="shared" si="196"/>
        <v>5878.69</v>
      </c>
      <c r="AT389" s="41">
        <f t="shared" si="207"/>
        <v>307506.99</v>
      </c>
      <c r="AU389" s="41">
        <f t="shared" si="195"/>
        <v>301628.3</v>
      </c>
      <c r="AV389" s="459">
        <f>AT389/AS389</f>
        <v>52.308760965453189</v>
      </c>
      <c r="AW389" s="41">
        <v>0</v>
      </c>
      <c r="AX389" s="41">
        <v>0</v>
      </c>
      <c r="AY389" s="41">
        <f t="shared" si="206"/>
        <v>5878.69</v>
      </c>
      <c r="AZ389" s="41">
        <f>VLOOKUP(G389,'2017'!A:B,2,0)</f>
        <v>573450</v>
      </c>
      <c r="BA389" s="552">
        <f t="shared" si="205"/>
        <v>567571.31000000006</v>
      </c>
      <c r="BB389" s="41">
        <v>297571.31</v>
      </c>
      <c r="BC389" s="41">
        <v>0</v>
      </c>
      <c r="BD389" s="41">
        <v>0</v>
      </c>
      <c r="BE389" s="41">
        <v>0</v>
      </c>
      <c r="BF389" s="41">
        <v>0</v>
      </c>
      <c r="BG389" s="41">
        <v>0</v>
      </c>
      <c r="BH389" s="41">
        <v>0</v>
      </c>
      <c r="BI389" s="41">
        <v>303450</v>
      </c>
      <c r="BJ389" s="539"/>
      <c r="BK389" s="461"/>
      <c r="BL389" s="432"/>
    </row>
    <row r="390" spans="1:64" s="8" customFormat="1" ht="25.5" x14ac:dyDescent="0.25">
      <c r="A390" s="18" t="s">
        <v>89</v>
      </c>
      <c r="B390" s="18" t="s">
        <v>846</v>
      </c>
      <c r="C390" s="19" t="s">
        <v>847</v>
      </c>
      <c r="D390" s="18" t="s">
        <v>3</v>
      </c>
      <c r="E390" s="18" t="s">
        <v>11</v>
      </c>
      <c r="F390" s="18" t="s">
        <v>5</v>
      </c>
      <c r="G390" s="467" t="s">
        <v>2846</v>
      </c>
      <c r="H390" s="45">
        <v>379</v>
      </c>
      <c r="I390" s="45" t="s">
        <v>89</v>
      </c>
      <c r="J390" s="155" t="s">
        <v>2855</v>
      </c>
      <c r="K390" s="493" t="s">
        <v>2856</v>
      </c>
      <c r="L390" s="152">
        <v>0</v>
      </c>
      <c r="M390" s="152">
        <v>0</v>
      </c>
      <c r="N390" s="152">
        <v>0</v>
      </c>
      <c r="O390" s="152">
        <v>0</v>
      </c>
      <c r="P390" s="152"/>
      <c r="Q390" s="152"/>
      <c r="R390" s="152">
        <v>0</v>
      </c>
      <c r="S390" s="152"/>
      <c r="T390" s="152"/>
      <c r="U390" s="152">
        <v>0</v>
      </c>
      <c r="V390" s="152"/>
      <c r="W390" s="152"/>
      <c r="X390" s="152">
        <v>0</v>
      </c>
      <c r="Y390" s="152"/>
      <c r="Z390" s="152"/>
      <c r="AA390" s="152">
        <v>0</v>
      </c>
      <c r="AB390" s="152"/>
      <c r="AC390" s="152"/>
      <c r="AD390" s="152">
        <v>0</v>
      </c>
      <c r="AE390" s="152"/>
      <c r="AF390" s="152"/>
      <c r="AG390" s="152">
        <v>0</v>
      </c>
      <c r="AH390" s="152"/>
      <c r="AI390" s="152"/>
      <c r="AJ390" s="152">
        <v>0</v>
      </c>
      <c r="AK390" s="152"/>
      <c r="AL390" s="152"/>
      <c r="AM390" s="152">
        <v>0</v>
      </c>
      <c r="AN390" s="152"/>
      <c r="AO390" s="152"/>
      <c r="AP390" s="152">
        <v>0</v>
      </c>
      <c r="AQ390" s="41">
        <f>IFERROR(VLOOKUP(G390,'10'!A:B,2,0),0)</f>
        <v>332734.46000000002</v>
      </c>
      <c r="AR390" s="41">
        <f t="shared" si="191"/>
        <v>332734.46000000002</v>
      </c>
      <c r="AS390" s="41">
        <f t="shared" si="196"/>
        <v>0</v>
      </c>
      <c r="AT390" s="41">
        <f t="shared" si="207"/>
        <v>332734.46000000002</v>
      </c>
      <c r="AU390" s="41">
        <f t="shared" si="195"/>
        <v>332734.46000000002</v>
      </c>
      <c r="AV390" s="459">
        <v>0</v>
      </c>
      <c r="AW390" s="152">
        <v>0</v>
      </c>
      <c r="AX390" s="152">
        <v>0</v>
      </c>
      <c r="AY390" s="41">
        <f t="shared" si="206"/>
        <v>0</v>
      </c>
      <c r="AZ390" s="41"/>
      <c r="BA390" s="152"/>
      <c r="BB390" s="152">
        <v>0</v>
      </c>
      <c r="BC390" s="152">
        <v>0</v>
      </c>
      <c r="BD390" s="152">
        <v>0</v>
      </c>
      <c r="BE390" s="152">
        <v>0</v>
      </c>
      <c r="BF390" s="152">
        <v>0</v>
      </c>
      <c r="BG390" s="152">
        <v>0</v>
      </c>
      <c r="BH390" s="152">
        <v>0</v>
      </c>
      <c r="BI390" s="152">
        <v>511700</v>
      </c>
      <c r="BJ390" s="518"/>
      <c r="BK390" s="518"/>
      <c r="BL390" s="518"/>
    </row>
    <row r="391" spans="1:64" s="8" customFormat="1" ht="63" x14ac:dyDescent="0.25">
      <c r="A391" s="470" t="s">
        <v>842</v>
      </c>
      <c r="B391" s="470" t="s">
        <v>843</v>
      </c>
      <c r="C391" s="471" t="s">
        <v>844</v>
      </c>
      <c r="D391" s="470">
        <v>1</v>
      </c>
      <c r="E391" s="470" t="s">
        <v>35</v>
      </c>
      <c r="F391" s="470" t="s">
        <v>5</v>
      </c>
      <c r="G391" s="470" t="s">
        <v>907</v>
      </c>
      <c r="H391" s="45">
        <v>380</v>
      </c>
      <c r="I391" s="45" t="s">
        <v>842</v>
      </c>
      <c r="J391" s="471" t="s">
        <v>893</v>
      </c>
      <c r="K391" s="471" t="s">
        <v>908</v>
      </c>
      <c r="L391" s="43">
        <v>0</v>
      </c>
      <c r="M391" s="43">
        <v>0</v>
      </c>
      <c r="N391" s="43">
        <v>0</v>
      </c>
      <c r="O391" s="43">
        <v>0</v>
      </c>
      <c r="P391" s="43"/>
      <c r="Q391" s="43"/>
      <c r="R391" s="43">
        <v>0</v>
      </c>
      <c r="S391" s="43"/>
      <c r="T391" s="43"/>
      <c r="U391" s="43">
        <v>0</v>
      </c>
      <c r="V391" s="43"/>
      <c r="W391" s="43"/>
      <c r="X391" s="43">
        <v>0</v>
      </c>
      <c r="Y391" s="43"/>
      <c r="Z391" s="43"/>
      <c r="AA391" s="43">
        <v>0</v>
      </c>
      <c r="AB391" s="43"/>
      <c r="AC391" s="43"/>
      <c r="AD391" s="43">
        <v>0</v>
      </c>
      <c r="AE391" s="43"/>
      <c r="AF391" s="43"/>
      <c r="AG391" s="43">
        <v>0</v>
      </c>
      <c r="AH391" s="41">
        <v>341567</v>
      </c>
      <c r="AI391" s="41">
        <f>AH391-AG391</f>
        <v>341567</v>
      </c>
      <c r="AJ391" s="41">
        <v>0</v>
      </c>
      <c r="AK391" s="41">
        <v>0</v>
      </c>
      <c r="AL391" s="41">
        <f>AK391-AJ391</f>
        <v>0</v>
      </c>
      <c r="AM391" s="41">
        <v>0</v>
      </c>
      <c r="AN391" s="41">
        <v>0</v>
      </c>
      <c r="AO391" s="41">
        <f>AN391-AM391</f>
        <v>0</v>
      </c>
      <c r="AP391" s="41">
        <v>0</v>
      </c>
      <c r="AQ391" s="41">
        <f>IFERROR(VLOOKUP(G391,'10'!A:B,2,0),0)</f>
        <v>0</v>
      </c>
      <c r="AR391" s="41">
        <f t="shared" si="191"/>
        <v>0</v>
      </c>
      <c r="AS391" s="41">
        <f t="shared" si="196"/>
        <v>0</v>
      </c>
      <c r="AT391" s="41">
        <f t="shared" si="207"/>
        <v>341567</v>
      </c>
      <c r="AU391" s="41">
        <f t="shared" si="195"/>
        <v>341567</v>
      </c>
      <c r="AV391" s="459">
        <v>0</v>
      </c>
      <c r="AW391" s="41">
        <v>0</v>
      </c>
      <c r="AX391" s="41">
        <v>0</v>
      </c>
      <c r="AY391" s="41">
        <f t="shared" si="206"/>
        <v>0</v>
      </c>
      <c r="AZ391" s="41"/>
      <c r="BA391" s="36">
        <f>AZ391-AY391</f>
        <v>0</v>
      </c>
      <c r="BB391" s="41">
        <v>691644.25</v>
      </c>
      <c r="BC391" s="41">
        <v>0</v>
      </c>
      <c r="BD391" s="41">
        <v>0</v>
      </c>
      <c r="BE391" s="41">
        <v>0</v>
      </c>
      <c r="BF391" s="41">
        <v>0</v>
      </c>
      <c r="BG391" s="41">
        <v>0</v>
      </c>
      <c r="BH391" s="41">
        <v>0</v>
      </c>
      <c r="BI391" s="41">
        <v>610611.13</v>
      </c>
      <c r="BJ391" s="543"/>
      <c r="BK391" s="461"/>
      <c r="BL391" s="432"/>
    </row>
    <row r="392" spans="1:64" s="8" customFormat="1" ht="94.5" x14ac:dyDescent="0.25">
      <c r="A392" s="439" t="s">
        <v>618</v>
      </c>
      <c r="B392" s="439" t="s">
        <v>619</v>
      </c>
      <c r="C392" s="440" t="s">
        <v>620</v>
      </c>
      <c r="D392" s="439">
        <v>2</v>
      </c>
      <c r="E392" s="439" t="s">
        <v>35</v>
      </c>
      <c r="F392" s="439" t="s">
        <v>5</v>
      </c>
      <c r="G392" s="439" t="s">
        <v>1613</v>
      </c>
      <c r="H392" s="45">
        <v>381</v>
      </c>
      <c r="I392" s="45" t="s">
        <v>618</v>
      </c>
      <c r="J392" s="440" t="s">
        <v>69</v>
      </c>
      <c r="K392" s="440" t="s">
        <v>1614</v>
      </c>
      <c r="L392" s="441">
        <v>0</v>
      </c>
      <c r="M392" s="441">
        <v>0</v>
      </c>
      <c r="N392" s="441">
        <v>0</v>
      </c>
      <c r="O392" s="441">
        <f>N392+M392+L392</f>
        <v>0</v>
      </c>
      <c r="P392" s="441"/>
      <c r="Q392" s="441"/>
      <c r="R392" s="441">
        <v>0</v>
      </c>
      <c r="S392" s="441"/>
      <c r="T392" s="441"/>
      <c r="U392" s="441">
        <v>0</v>
      </c>
      <c r="V392" s="441"/>
      <c r="W392" s="441"/>
      <c r="X392" s="441">
        <v>0</v>
      </c>
      <c r="Y392" s="441"/>
      <c r="Z392" s="441"/>
      <c r="AA392" s="441">
        <v>0</v>
      </c>
      <c r="AB392" s="441"/>
      <c r="AC392" s="441"/>
      <c r="AD392" s="441">
        <v>0</v>
      </c>
      <c r="AE392" s="441"/>
      <c r="AF392" s="441"/>
      <c r="AG392" s="441">
        <v>0</v>
      </c>
      <c r="AH392" s="441"/>
      <c r="AI392" s="441"/>
      <c r="AJ392" s="441">
        <v>0</v>
      </c>
      <c r="AK392" s="41">
        <v>341915.49</v>
      </c>
      <c r="AL392" s="41">
        <f>AK392-AJ392</f>
        <v>341915.49</v>
      </c>
      <c r="AM392" s="441">
        <v>0</v>
      </c>
      <c r="AN392" s="41">
        <v>0</v>
      </c>
      <c r="AO392" s="41">
        <f>AN392-AM392</f>
        <v>0</v>
      </c>
      <c r="AP392" s="441">
        <v>0</v>
      </c>
      <c r="AQ392" s="41">
        <f>IFERROR(VLOOKUP(G392,'10'!A:B,2,0),0)</f>
        <v>0</v>
      </c>
      <c r="AR392" s="41">
        <f t="shared" si="191"/>
        <v>0</v>
      </c>
      <c r="AS392" s="41">
        <f t="shared" si="196"/>
        <v>0</v>
      </c>
      <c r="AT392" s="41">
        <f t="shared" si="207"/>
        <v>341915.49</v>
      </c>
      <c r="AU392" s="41">
        <f t="shared" si="195"/>
        <v>341915.49</v>
      </c>
      <c r="AV392" s="459">
        <v>0</v>
      </c>
      <c r="AW392" s="441">
        <v>0</v>
      </c>
      <c r="AX392" s="441">
        <v>0</v>
      </c>
      <c r="AY392" s="41">
        <f t="shared" si="206"/>
        <v>0</v>
      </c>
      <c r="AZ392" s="41"/>
      <c r="BA392" s="40">
        <f>AZ392-AY392</f>
        <v>0</v>
      </c>
      <c r="BB392" s="441">
        <v>3213000</v>
      </c>
      <c r="BC392" s="441">
        <v>357000</v>
      </c>
      <c r="BD392" s="441">
        <v>0</v>
      </c>
      <c r="BE392" s="441">
        <v>0</v>
      </c>
      <c r="BF392" s="441">
        <v>0</v>
      </c>
      <c r="BG392" s="441">
        <v>0</v>
      </c>
      <c r="BH392" s="441">
        <v>0</v>
      </c>
      <c r="BI392" s="441">
        <v>3570000</v>
      </c>
      <c r="BJ392" s="323"/>
      <c r="BK392" s="461"/>
      <c r="BL392" s="432"/>
    </row>
    <row r="393" spans="1:64" s="8" customFormat="1" ht="63" x14ac:dyDescent="0.25">
      <c r="A393" s="11" t="s">
        <v>233</v>
      </c>
      <c r="B393" s="11" t="s">
        <v>234</v>
      </c>
      <c r="C393" s="14" t="s">
        <v>583</v>
      </c>
      <c r="D393" s="11">
        <v>1</v>
      </c>
      <c r="E393" s="11" t="s">
        <v>4</v>
      </c>
      <c r="F393" s="11" t="s">
        <v>5</v>
      </c>
      <c r="G393" s="44" t="s">
        <v>241</v>
      </c>
      <c r="H393" s="45">
        <v>382</v>
      </c>
      <c r="I393" s="45" t="s">
        <v>233</v>
      </c>
      <c r="J393" s="46" t="s">
        <v>242</v>
      </c>
      <c r="K393" s="46" t="s">
        <v>243</v>
      </c>
      <c r="L393" s="41">
        <v>0</v>
      </c>
      <c r="M393" s="41">
        <v>0</v>
      </c>
      <c r="N393" s="41">
        <v>0</v>
      </c>
      <c r="O393" s="41">
        <v>0</v>
      </c>
      <c r="P393" s="41">
        <v>0</v>
      </c>
      <c r="Q393" s="41">
        <f>P393-O393</f>
        <v>0</v>
      </c>
      <c r="R393" s="41">
        <v>17875.64</v>
      </c>
      <c r="S393" s="41">
        <v>17875.650000000001</v>
      </c>
      <c r="T393" s="41">
        <f>S393-R393</f>
        <v>1.0000000002037268E-2</v>
      </c>
      <c r="U393" s="41">
        <v>0</v>
      </c>
      <c r="V393" s="41">
        <v>0</v>
      </c>
      <c r="W393" s="41">
        <f>V393-U393</f>
        <v>0</v>
      </c>
      <c r="X393" s="41">
        <v>10329.91</v>
      </c>
      <c r="Y393" s="41">
        <v>10327.24</v>
      </c>
      <c r="Z393" s="41">
        <f>Y393-X393</f>
        <v>-2.6700000000000728</v>
      </c>
      <c r="AA393" s="41">
        <v>0</v>
      </c>
      <c r="AB393" s="41">
        <v>0</v>
      </c>
      <c r="AC393" s="41">
        <f>AB393-AA393</f>
        <v>0</v>
      </c>
      <c r="AD393" s="41">
        <v>0</v>
      </c>
      <c r="AE393" s="41">
        <v>0</v>
      </c>
      <c r="AF393" s="41">
        <f>AE393-AD393</f>
        <v>0</v>
      </c>
      <c r="AG393" s="41">
        <v>45182.6</v>
      </c>
      <c r="AH393" s="41">
        <v>15157.02</v>
      </c>
      <c r="AI393" s="41">
        <f>AH393-AG393</f>
        <v>-30025.579999999998</v>
      </c>
      <c r="AJ393" s="41">
        <v>0</v>
      </c>
      <c r="AK393" s="41">
        <v>0</v>
      </c>
      <c r="AL393" s="41">
        <f>AK393-AJ393</f>
        <v>0</v>
      </c>
      <c r="AM393" s="41">
        <v>0</v>
      </c>
      <c r="AN393" s="41">
        <v>0</v>
      </c>
      <c r="AO393" s="41">
        <f>AN393-AM393</f>
        <v>0</v>
      </c>
      <c r="AP393" s="41">
        <v>9989.7900000000009</v>
      </c>
      <c r="AQ393" s="41">
        <f>IFERROR(VLOOKUP(G393,'10'!A:B,2,0),0)</f>
        <v>382163.52</v>
      </c>
      <c r="AR393" s="41">
        <f t="shared" si="191"/>
        <v>372173.73000000004</v>
      </c>
      <c r="AS393" s="41">
        <f t="shared" si="196"/>
        <v>83377.94</v>
      </c>
      <c r="AT393" s="41">
        <f>AN393+AK393+AH393+AE393+AB393+Y393+V393+S393+P393+AQ393</f>
        <v>425523.43000000005</v>
      </c>
      <c r="AU393" s="41">
        <f t="shared" si="195"/>
        <v>342145.49000000005</v>
      </c>
      <c r="AV393" s="459">
        <f>AT393/AS393</f>
        <v>5.1035493321135066</v>
      </c>
      <c r="AW393" s="41">
        <v>0</v>
      </c>
      <c r="AX393" s="41">
        <v>0</v>
      </c>
      <c r="AY393" s="41">
        <f t="shared" si="206"/>
        <v>83377.94</v>
      </c>
      <c r="AZ393" s="41">
        <f>VLOOKUP(G393,'2017'!A:B,2,0)</f>
        <v>93183.97</v>
      </c>
      <c r="BA393" s="552">
        <f>AZ393-AY393</f>
        <v>9806.0299999999988</v>
      </c>
      <c r="BB393" s="41">
        <v>2238482.1100000003</v>
      </c>
      <c r="BC393" s="41">
        <v>1894383.0499999998</v>
      </c>
      <c r="BD393" s="41">
        <v>0</v>
      </c>
      <c r="BE393" s="41">
        <v>0</v>
      </c>
      <c r="BF393" s="41">
        <v>0</v>
      </c>
      <c r="BG393" s="41">
        <v>0</v>
      </c>
      <c r="BH393" s="41">
        <v>0</v>
      </c>
      <c r="BI393" s="41">
        <v>4216243.0999999996</v>
      </c>
      <c r="BJ393" s="539"/>
      <c r="BK393" s="547"/>
      <c r="BL393" s="10"/>
    </row>
    <row r="394" spans="1:64" s="8" customFormat="1" ht="47.25" x14ac:dyDescent="0.25">
      <c r="A394" s="439" t="s">
        <v>842</v>
      </c>
      <c r="B394" s="439" t="s">
        <v>843</v>
      </c>
      <c r="C394" s="440" t="s">
        <v>844</v>
      </c>
      <c r="D394" s="439">
        <v>2</v>
      </c>
      <c r="E394" s="439" t="s">
        <v>35</v>
      </c>
      <c r="F394" s="439" t="s">
        <v>5</v>
      </c>
      <c r="G394" s="439" t="s">
        <v>1574</v>
      </c>
      <c r="H394" s="45">
        <v>383</v>
      </c>
      <c r="I394" s="45" t="s">
        <v>842</v>
      </c>
      <c r="J394" s="440" t="s">
        <v>724</v>
      </c>
      <c r="K394" s="440" t="s">
        <v>1575</v>
      </c>
      <c r="L394" s="441">
        <v>0</v>
      </c>
      <c r="M394" s="441">
        <v>0</v>
      </c>
      <c r="N394" s="441">
        <v>0</v>
      </c>
      <c r="O394" s="441">
        <f>N394+M394+L394</f>
        <v>0</v>
      </c>
      <c r="P394" s="441"/>
      <c r="Q394" s="441"/>
      <c r="R394" s="441">
        <v>0</v>
      </c>
      <c r="S394" s="441"/>
      <c r="T394" s="441"/>
      <c r="U394" s="441">
        <v>0</v>
      </c>
      <c r="V394" s="441"/>
      <c r="W394" s="441"/>
      <c r="X394" s="441">
        <v>0</v>
      </c>
      <c r="Y394" s="441"/>
      <c r="Z394" s="441"/>
      <c r="AA394" s="441">
        <v>0</v>
      </c>
      <c r="AB394" s="441"/>
      <c r="AC394" s="441"/>
      <c r="AD394" s="441">
        <v>0</v>
      </c>
      <c r="AE394" s="441"/>
      <c r="AF394" s="441"/>
      <c r="AG394" s="441">
        <v>0</v>
      </c>
      <c r="AH394" s="441"/>
      <c r="AI394" s="441"/>
      <c r="AJ394" s="441">
        <v>0</v>
      </c>
      <c r="AK394" s="41">
        <v>95000</v>
      </c>
      <c r="AL394" s="41">
        <f>AK394-AJ394</f>
        <v>95000</v>
      </c>
      <c r="AM394" s="441">
        <v>0</v>
      </c>
      <c r="AN394" s="41">
        <v>0</v>
      </c>
      <c r="AO394" s="41">
        <f>AN394-AM394</f>
        <v>0</v>
      </c>
      <c r="AP394" s="441">
        <v>0</v>
      </c>
      <c r="AQ394" s="41">
        <f>IFERROR(VLOOKUP(G394,'10'!A:B,2,0),0)</f>
        <v>264621.07</v>
      </c>
      <c r="AR394" s="41">
        <f t="shared" si="191"/>
        <v>264621.07</v>
      </c>
      <c r="AS394" s="41">
        <f t="shared" si="196"/>
        <v>0</v>
      </c>
      <c r="AT394" s="41">
        <f t="shared" ref="AT394:AT413" si="208">AN394+AK394+AH394+AE394+AB394+-Y394+V394+S394+P394+AQ394</f>
        <v>359621.07</v>
      </c>
      <c r="AU394" s="41">
        <f t="shared" si="195"/>
        <v>359621.07</v>
      </c>
      <c r="AV394" s="459">
        <v>0</v>
      </c>
      <c r="AW394" s="441">
        <v>0</v>
      </c>
      <c r="AX394" s="441">
        <v>0</v>
      </c>
      <c r="AY394" s="41">
        <f t="shared" si="206"/>
        <v>0</v>
      </c>
      <c r="AZ394" s="41"/>
      <c r="BA394" s="40">
        <f>AZ394-AY394</f>
        <v>0</v>
      </c>
      <c r="BB394" s="441">
        <v>241785.81</v>
      </c>
      <c r="BC394" s="441">
        <v>0</v>
      </c>
      <c r="BD394" s="441">
        <v>0</v>
      </c>
      <c r="BE394" s="441">
        <v>0</v>
      </c>
      <c r="BF394" s="441">
        <v>0</v>
      </c>
      <c r="BG394" s="441">
        <v>0</v>
      </c>
      <c r="BH394" s="441">
        <v>0</v>
      </c>
      <c r="BI394" s="441">
        <v>235580.36</v>
      </c>
      <c r="BJ394" s="323"/>
      <c r="BK394" s="461"/>
    </row>
    <row r="395" spans="1:64" s="8" customFormat="1" ht="38.25" x14ac:dyDescent="0.25">
      <c r="A395" s="55" t="s">
        <v>57</v>
      </c>
      <c r="B395" s="55" t="s">
        <v>58</v>
      </c>
      <c r="C395" s="155" t="s">
        <v>569</v>
      </c>
      <c r="D395" s="55">
        <v>3</v>
      </c>
      <c r="E395" s="55" t="s">
        <v>35</v>
      </c>
      <c r="F395" s="55" t="s">
        <v>5</v>
      </c>
      <c r="G395" s="55" t="s">
        <v>2780</v>
      </c>
      <c r="H395" s="45">
        <v>384</v>
      </c>
      <c r="I395" s="45" t="s">
        <v>57</v>
      </c>
      <c r="J395" s="155" t="s">
        <v>1304</v>
      </c>
      <c r="K395" s="155" t="s">
        <v>1308</v>
      </c>
      <c r="L395" s="152">
        <v>0</v>
      </c>
      <c r="M395" s="152">
        <v>0</v>
      </c>
      <c r="N395" s="152">
        <v>0</v>
      </c>
      <c r="O395" s="152">
        <v>0</v>
      </c>
      <c r="P395" s="152"/>
      <c r="Q395" s="152"/>
      <c r="R395" s="152">
        <v>0</v>
      </c>
      <c r="S395" s="152"/>
      <c r="T395" s="152"/>
      <c r="U395" s="152">
        <v>0</v>
      </c>
      <c r="V395" s="152"/>
      <c r="W395" s="152"/>
      <c r="X395" s="152">
        <v>0</v>
      </c>
      <c r="Y395" s="152"/>
      <c r="Z395" s="152"/>
      <c r="AA395" s="152">
        <v>0</v>
      </c>
      <c r="AB395" s="152"/>
      <c r="AC395" s="152"/>
      <c r="AD395" s="152">
        <v>0</v>
      </c>
      <c r="AE395" s="152"/>
      <c r="AF395" s="152"/>
      <c r="AG395" s="152">
        <v>0</v>
      </c>
      <c r="AH395" s="152"/>
      <c r="AI395" s="152"/>
      <c r="AJ395" s="152">
        <v>0</v>
      </c>
      <c r="AK395" s="152"/>
      <c r="AL395" s="152"/>
      <c r="AM395" s="152">
        <v>0</v>
      </c>
      <c r="AN395" s="41">
        <v>0</v>
      </c>
      <c r="AO395" s="41">
        <f>AN395-AM395</f>
        <v>0</v>
      </c>
      <c r="AP395" s="152">
        <v>0</v>
      </c>
      <c r="AQ395" s="41">
        <f>IFERROR(VLOOKUP(G395,'10'!A:B,2,0),0)</f>
        <v>383000</v>
      </c>
      <c r="AR395" s="41">
        <f t="shared" si="191"/>
        <v>383000</v>
      </c>
      <c r="AS395" s="41">
        <f t="shared" si="196"/>
        <v>0</v>
      </c>
      <c r="AT395" s="41">
        <f t="shared" si="208"/>
        <v>383000</v>
      </c>
      <c r="AU395" s="41">
        <f t="shared" si="195"/>
        <v>383000</v>
      </c>
      <c r="AV395" s="459">
        <v>0</v>
      </c>
      <c r="AW395" s="152">
        <v>0</v>
      </c>
      <c r="AX395" s="152">
        <v>0</v>
      </c>
      <c r="AY395" s="41">
        <f t="shared" si="206"/>
        <v>0</v>
      </c>
      <c r="AZ395" s="41"/>
      <c r="BA395" s="152"/>
      <c r="BB395" s="152">
        <v>426020</v>
      </c>
      <c r="BC395" s="152">
        <v>0</v>
      </c>
      <c r="BD395" s="152">
        <v>0</v>
      </c>
      <c r="BE395" s="152">
        <v>0</v>
      </c>
      <c r="BF395" s="152">
        <v>0</v>
      </c>
      <c r="BG395" s="152">
        <v>0</v>
      </c>
      <c r="BH395" s="152">
        <v>0</v>
      </c>
      <c r="BI395" s="152">
        <v>426020</v>
      </c>
      <c r="BJ395" s="465"/>
      <c r="BK395" s="465"/>
      <c r="BL395" s="432"/>
    </row>
    <row r="396" spans="1:64" s="8" customFormat="1" ht="38.25" x14ac:dyDescent="0.25">
      <c r="A396" s="18" t="s">
        <v>57</v>
      </c>
      <c r="B396" s="18" t="s">
        <v>58</v>
      </c>
      <c r="C396" s="19" t="s">
        <v>569</v>
      </c>
      <c r="D396" s="18">
        <v>3</v>
      </c>
      <c r="E396" s="18" t="s">
        <v>35</v>
      </c>
      <c r="F396" s="18" t="s">
        <v>5</v>
      </c>
      <c r="G396" s="18" t="s">
        <v>1336</v>
      </c>
      <c r="H396" s="45">
        <v>385</v>
      </c>
      <c r="I396" s="45" t="s">
        <v>57</v>
      </c>
      <c r="J396" s="19" t="s">
        <v>1337</v>
      </c>
      <c r="K396" s="19" t="s">
        <v>1338</v>
      </c>
      <c r="L396" s="145">
        <v>0</v>
      </c>
      <c r="M396" s="145">
        <v>0</v>
      </c>
      <c r="N396" s="145">
        <v>0</v>
      </c>
      <c r="O396" s="145">
        <f>N396+M396+L396</f>
        <v>0</v>
      </c>
      <c r="P396" s="145"/>
      <c r="Q396" s="145"/>
      <c r="R396" s="145">
        <v>0</v>
      </c>
      <c r="S396" s="145"/>
      <c r="T396" s="145"/>
      <c r="U396" s="145">
        <v>0</v>
      </c>
      <c r="V396" s="145"/>
      <c r="W396" s="145"/>
      <c r="X396" s="145">
        <v>0</v>
      </c>
      <c r="Y396" s="145"/>
      <c r="Z396" s="145"/>
      <c r="AA396" s="145">
        <v>0</v>
      </c>
      <c r="AB396" s="145"/>
      <c r="AC396" s="145"/>
      <c r="AD396" s="145">
        <v>0</v>
      </c>
      <c r="AE396" s="145"/>
      <c r="AF396" s="145"/>
      <c r="AG396" s="145">
        <v>0</v>
      </c>
      <c r="AH396" s="145"/>
      <c r="AI396" s="145"/>
      <c r="AJ396" s="145">
        <v>0</v>
      </c>
      <c r="AK396" s="145"/>
      <c r="AL396" s="145"/>
      <c r="AM396" s="145">
        <v>0</v>
      </c>
      <c r="AN396" s="145"/>
      <c r="AO396" s="145"/>
      <c r="AP396" s="145">
        <v>0</v>
      </c>
      <c r="AQ396" s="41">
        <f>IFERROR(VLOOKUP(G396,'10'!A:B,2,0),0)</f>
        <v>384218.1</v>
      </c>
      <c r="AR396" s="41">
        <f t="shared" ref="AR396:AR441" si="209">AQ396-AP396</f>
        <v>384218.1</v>
      </c>
      <c r="AS396" s="41">
        <f t="shared" si="196"/>
        <v>0</v>
      </c>
      <c r="AT396" s="41">
        <f t="shared" si="208"/>
        <v>384218.1</v>
      </c>
      <c r="AU396" s="41">
        <f t="shared" si="195"/>
        <v>384218.1</v>
      </c>
      <c r="AV396" s="459">
        <v>0</v>
      </c>
      <c r="AW396" s="145">
        <v>0</v>
      </c>
      <c r="AX396" s="145">
        <v>0</v>
      </c>
      <c r="AY396" s="41">
        <f t="shared" si="206"/>
        <v>0</v>
      </c>
      <c r="AZ396" s="41"/>
      <c r="BA396" s="145"/>
      <c r="BB396" s="145">
        <f>SUM(R396:AX396)</f>
        <v>1536872.4</v>
      </c>
      <c r="BC396" s="145">
        <v>426909</v>
      </c>
      <c r="BD396" s="145">
        <v>0</v>
      </c>
      <c r="BE396" s="145">
        <v>0</v>
      </c>
      <c r="BF396" s="145">
        <v>0</v>
      </c>
      <c r="BG396" s="145">
        <v>0</v>
      </c>
      <c r="BH396" s="145">
        <v>0</v>
      </c>
      <c r="BI396" s="145">
        <v>426909</v>
      </c>
      <c r="BJ396" s="538"/>
      <c r="BK396" s="518"/>
      <c r="BL396" s="518"/>
    </row>
    <row r="397" spans="1:64" s="8" customFormat="1" ht="63" x14ac:dyDescent="0.25">
      <c r="A397" s="439" t="s">
        <v>57</v>
      </c>
      <c r="B397" s="439" t="s">
        <v>58</v>
      </c>
      <c r="C397" s="440" t="s">
        <v>569</v>
      </c>
      <c r="D397" s="439">
        <v>2</v>
      </c>
      <c r="E397" s="439" t="s">
        <v>35</v>
      </c>
      <c r="F397" s="439" t="s">
        <v>5</v>
      </c>
      <c r="G397" s="439" t="s">
        <v>1237</v>
      </c>
      <c r="H397" s="45">
        <v>386</v>
      </c>
      <c r="I397" s="45" t="s">
        <v>57</v>
      </c>
      <c r="J397" s="440" t="s">
        <v>896</v>
      </c>
      <c r="K397" s="440" t="s">
        <v>1238</v>
      </c>
      <c r="L397" s="441">
        <v>0</v>
      </c>
      <c r="M397" s="441">
        <v>0</v>
      </c>
      <c r="N397" s="441">
        <v>0</v>
      </c>
      <c r="O397" s="441">
        <f>N397+M397+L397</f>
        <v>0</v>
      </c>
      <c r="P397" s="441"/>
      <c r="Q397" s="441"/>
      <c r="R397" s="441">
        <v>0</v>
      </c>
      <c r="S397" s="441"/>
      <c r="T397" s="441"/>
      <c r="U397" s="441">
        <v>0</v>
      </c>
      <c r="V397" s="441"/>
      <c r="W397" s="441"/>
      <c r="X397" s="441">
        <v>0</v>
      </c>
      <c r="Y397" s="441"/>
      <c r="Z397" s="441"/>
      <c r="AA397" s="441">
        <v>0</v>
      </c>
      <c r="AB397" s="441"/>
      <c r="AC397" s="441"/>
      <c r="AD397" s="441">
        <v>0</v>
      </c>
      <c r="AE397" s="441"/>
      <c r="AF397" s="441"/>
      <c r="AG397" s="441">
        <v>0</v>
      </c>
      <c r="AH397" s="441"/>
      <c r="AI397" s="441"/>
      <c r="AJ397" s="441">
        <v>0</v>
      </c>
      <c r="AK397" s="41">
        <v>384494.3</v>
      </c>
      <c r="AL397" s="41">
        <f>AK397-AJ397</f>
        <v>384494.3</v>
      </c>
      <c r="AM397" s="441">
        <v>0</v>
      </c>
      <c r="AN397" s="41">
        <v>0</v>
      </c>
      <c r="AO397" s="41">
        <f>AN397-AM397</f>
        <v>0</v>
      </c>
      <c r="AP397" s="441">
        <v>0</v>
      </c>
      <c r="AQ397" s="41">
        <f>IFERROR(VLOOKUP(G397,'10'!A:B,2,0),0)</f>
        <v>0</v>
      </c>
      <c r="AR397" s="41">
        <f t="shared" si="209"/>
        <v>0</v>
      </c>
      <c r="AS397" s="41">
        <f t="shared" si="196"/>
        <v>0</v>
      </c>
      <c r="AT397" s="41">
        <f t="shared" si="208"/>
        <v>384494.3</v>
      </c>
      <c r="AU397" s="41">
        <f t="shared" ref="AU397:AU441" si="210">AO397+AL397+AI397+AF397+AC397+Z397+W397+T397+Q397+AR397</f>
        <v>384494.3</v>
      </c>
      <c r="AV397" s="459">
        <v>0</v>
      </c>
      <c r="AW397" s="441">
        <v>0</v>
      </c>
      <c r="AX397" s="441">
        <v>0</v>
      </c>
      <c r="AY397" s="41">
        <f t="shared" si="206"/>
        <v>0</v>
      </c>
      <c r="AZ397" s="41"/>
      <c r="BA397" s="40">
        <f>AZ397-AY397</f>
        <v>0</v>
      </c>
      <c r="BB397" s="441">
        <v>427215.89</v>
      </c>
      <c r="BC397" s="441">
        <v>0</v>
      </c>
      <c r="BD397" s="441">
        <v>0</v>
      </c>
      <c r="BE397" s="441">
        <v>0</v>
      </c>
      <c r="BF397" s="441">
        <v>0</v>
      </c>
      <c r="BG397" s="441">
        <v>0</v>
      </c>
      <c r="BH397" s="441">
        <v>0</v>
      </c>
      <c r="BI397" s="441">
        <v>427215.89</v>
      </c>
      <c r="BJ397" s="538"/>
      <c r="BK397" s="461"/>
      <c r="BL397" s="432"/>
    </row>
    <row r="398" spans="1:64" s="8" customFormat="1" ht="94.5" x14ac:dyDescent="0.25">
      <c r="A398" s="11" t="s">
        <v>172</v>
      </c>
      <c r="B398" s="11" t="s">
        <v>173</v>
      </c>
      <c r="C398" s="14" t="s">
        <v>579</v>
      </c>
      <c r="D398" s="11" t="s">
        <v>3</v>
      </c>
      <c r="E398" s="11" t="s">
        <v>29</v>
      </c>
      <c r="F398" s="11" t="s">
        <v>5</v>
      </c>
      <c r="G398" s="44" t="s">
        <v>204</v>
      </c>
      <c r="H398" s="45">
        <v>387</v>
      </c>
      <c r="I398" s="45" t="s">
        <v>172</v>
      </c>
      <c r="J398" s="46" t="s">
        <v>98</v>
      </c>
      <c r="K398" s="46" t="s">
        <v>205</v>
      </c>
      <c r="L398" s="41">
        <v>0</v>
      </c>
      <c r="M398" s="41">
        <v>0</v>
      </c>
      <c r="N398" s="41">
        <v>0</v>
      </c>
      <c r="O398" s="41">
        <v>11935.73</v>
      </c>
      <c r="P398" s="41">
        <v>11935.73</v>
      </c>
      <c r="Q398" s="41">
        <f>P398-O398</f>
        <v>0</v>
      </c>
      <c r="R398" s="41">
        <v>0</v>
      </c>
      <c r="S398" s="41">
        <v>0</v>
      </c>
      <c r="T398" s="41">
        <f>S398-R398</f>
        <v>0</v>
      </c>
      <c r="U398" s="41">
        <v>0</v>
      </c>
      <c r="V398" s="41">
        <v>0</v>
      </c>
      <c r="W398" s="41">
        <f>V398-U398</f>
        <v>0</v>
      </c>
      <c r="X398" s="41"/>
      <c r="Y398" s="41">
        <v>0</v>
      </c>
      <c r="Z398" s="41">
        <f>Y398-X398</f>
        <v>0</v>
      </c>
      <c r="AA398" s="41">
        <v>0</v>
      </c>
      <c r="AB398" s="41">
        <v>0</v>
      </c>
      <c r="AC398" s="41">
        <f>AB398-AA398</f>
        <v>0</v>
      </c>
      <c r="AD398" s="41">
        <v>0</v>
      </c>
      <c r="AE398" s="41">
        <v>0</v>
      </c>
      <c r="AF398" s="41">
        <f>AE398-AD398</f>
        <v>0</v>
      </c>
      <c r="AG398" s="41">
        <v>1433538.6</v>
      </c>
      <c r="AH398" s="41">
        <v>1068495.69</v>
      </c>
      <c r="AI398" s="41">
        <f>AH398-AG398</f>
        <v>-365042.91000000015</v>
      </c>
      <c r="AJ398" s="41">
        <v>0</v>
      </c>
      <c r="AK398" s="41">
        <v>0</v>
      </c>
      <c r="AL398" s="41">
        <f>AK398-AJ398</f>
        <v>0</v>
      </c>
      <c r="AM398" s="41">
        <v>0</v>
      </c>
      <c r="AN398" s="41">
        <v>0</v>
      </c>
      <c r="AO398" s="41">
        <f>AN398-AM398</f>
        <v>0</v>
      </c>
      <c r="AP398" s="41">
        <v>1095854</v>
      </c>
      <c r="AQ398" s="41">
        <f>IFERROR(VLOOKUP(G398,'10'!A:B,2,0),0)</f>
        <v>1870819.9</v>
      </c>
      <c r="AR398" s="41">
        <f t="shared" si="209"/>
        <v>774965.89999999991</v>
      </c>
      <c r="AS398" s="41">
        <f t="shared" si="196"/>
        <v>2541328.33</v>
      </c>
      <c r="AT398" s="41">
        <f t="shared" si="208"/>
        <v>2951251.32</v>
      </c>
      <c r="AU398" s="41">
        <f t="shared" si="210"/>
        <v>409922.98999999976</v>
      </c>
      <c r="AV398" s="459">
        <f>AT398/AS398</f>
        <v>1.1613026483673599</v>
      </c>
      <c r="AW398" s="41">
        <v>0</v>
      </c>
      <c r="AX398" s="41">
        <v>0</v>
      </c>
      <c r="AY398" s="41">
        <f t="shared" si="206"/>
        <v>2541328.33</v>
      </c>
      <c r="AZ398" s="41">
        <f>VLOOKUP(G398,'2017'!A:B,2,0)</f>
        <v>2951251.32</v>
      </c>
      <c r="BA398" s="552">
        <f>AZ398-AY398</f>
        <v>409922.98999999976</v>
      </c>
      <c r="BB398" s="41">
        <v>2127234.8200000003</v>
      </c>
      <c r="BC398" s="41">
        <v>1407111.54</v>
      </c>
      <c r="BD398" s="41">
        <v>0</v>
      </c>
      <c r="BE398" s="41">
        <v>0</v>
      </c>
      <c r="BF398" s="41">
        <v>0</v>
      </c>
      <c r="BG398" s="41">
        <v>0</v>
      </c>
      <c r="BH398" s="41">
        <v>0</v>
      </c>
      <c r="BI398" s="41">
        <v>6075674.6900000004</v>
      </c>
      <c r="BJ398" s="541" t="s">
        <v>2712</v>
      </c>
      <c r="BK398" s="546" t="s">
        <v>2712</v>
      </c>
      <c r="BL398" s="10"/>
    </row>
    <row r="399" spans="1:64" s="8" customFormat="1" ht="38.25" x14ac:dyDescent="0.25">
      <c r="A399" s="55" t="s">
        <v>2639</v>
      </c>
      <c r="B399" s="55" t="s">
        <v>2641</v>
      </c>
      <c r="C399" s="155" t="s">
        <v>2640</v>
      </c>
      <c r="D399" s="55" t="s">
        <v>2642</v>
      </c>
      <c r="E399" s="55" t="s">
        <v>402</v>
      </c>
      <c r="F399" s="55" t="s">
        <v>5</v>
      </c>
      <c r="G399" s="55" t="s">
        <v>2854</v>
      </c>
      <c r="H399" s="45">
        <v>388</v>
      </c>
      <c r="I399" s="45" t="s">
        <v>2639</v>
      </c>
      <c r="J399" s="344" t="s">
        <v>2659</v>
      </c>
      <c r="K399" s="155" t="s">
        <v>2660</v>
      </c>
      <c r="L399" s="152">
        <v>0</v>
      </c>
      <c r="M399" s="152">
        <v>0</v>
      </c>
      <c r="N399" s="152">
        <v>0</v>
      </c>
      <c r="O399" s="152">
        <f t="shared" ref="O399:AM399" si="211">N399+M399+L399</f>
        <v>0</v>
      </c>
      <c r="P399" s="152">
        <f t="shared" si="211"/>
        <v>0</v>
      </c>
      <c r="Q399" s="152">
        <f t="shared" si="211"/>
        <v>0</v>
      </c>
      <c r="R399" s="152">
        <f t="shared" si="211"/>
        <v>0</v>
      </c>
      <c r="S399" s="152">
        <f t="shared" si="211"/>
        <v>0</v>
      </c>
      <c r="T399" s="152">
        <f t="shared" si="211"/>
        <v>0</v>
      </c>
      <c r="U399" s="152">
        <f t="shared" si="211"/>
        <v>0</v>
      </c>
      <c r="V399" s="152">
        <f t="shared" si="211"/>
        <v>0</v>
      </c>
      <c r="W399" s="152">
        <f t="shared" si="211"/>
        <v>0</v>
      </c>
      <c r="X399" s="152">
        <f t="shared" si="211"/>
        <v>0</v>
      </c>
      <c r="Y399" s="152">
        <f t="shared" si="211"/>
        <v>0</v>
      </c>
      <c r="Z399" s="152">
        <f t="shared" si="211"/>
        <v>0</v>
      </c>
      <c r="AA399" s="152">
        <f t="shared" si="211"/>
        <v>0</v>
      </c>
      <c r="AB399" s="152">
        <f t="shared" si="211"/>
        <v>0</v>
      </c>
      <c r="AC399" s="152">
        <f t="shared" si="211"/>
        <v>0</v>
      </c>
      <c r="AD399" s="152">
        <f t="shared" si="211"/>
        <v>0</v>
      </c>
      <c r="AE399" s="152">
        <f t="shared" si="211"/>
        <v>0</v>
      </c>
      <c r="AF399" s="152">
        <f t="shared" si="211"/>
        <v>0</v>
      </c>
      <c r="AG399" s="152">
        <f t="shared" si="211"/>
        <v>0</v>
      </c>
      <c r="AH399" s="152">
        <f t="shared" si="211"/>
        <v>0</v>
      </c>
      <c r="AI399" s="152">
        <f t="shared" si="211"/>
        <v>0</v>
      </c>
      <c r="AJ399" s="152">
        <f t="shared" si="211"/>
        <v>0</v>
      </c>
      <c r="AK399" s="152">
        <f t="shared" si="211"/>
        <v>0</v>
      </c>
      <c r="AL399" s="152">
        <f t="shared" si="211"/>
        <v>0</v>
      </c>
      <c r="AM399" s="152">
        <f t="shared" si="211"/>
        <v>0</v>
      </c>
      <c r="AN399" s="152">
        <v>0</v>
      </c>
      <c r="AO399" s="152">
        <f>AN399+AM399+AL399</f>
        <v>0</v>
      </c>
      <c r="AP399" s="152">
        <v>79842.460000000006</v>
      </c>
      <c r="AQ399" s="41">
        <f>IFERROR(VLOOKUP(G399,'10'!A:B,2,0),0)</f>
        <v>506019.53</v>
      </c>
      <c r="AR399" s="41">
        <f t="shared" si="209"/>
        <v>426177.07</v>
      </c>
      <c r="AS399" s="41">
        <f t="shared" ref="AS399:AS441" si="212">AM399+AJ399+AG399+AD399+AA399+X399+U399+R399+O399+AP399</f>
        <v>79842.460000000006</v>
      </c>
      <c r="AT399" s="41">
        <f t="shared" si="208"/>
        <v>506019.53</v>
      </c>
      <c r="AU399" s="41">
        <f t="shared" si="210"/>
        <v>426177.07</v>
      </c>
      <c r="AV399" s="459">
        <f>AT399/AS399</f>
        <v>6.3377246893444914</v>
      </c>
      <c r="AW399" s="152">
        <v>0</v>
      </c>
      <c r="AX399" s="152">
        <v>0</v>
      </c>
      <c r="AY399" s="41">
        <f t="shared" si="206"/>
        <v>79842.460000000006</v>
      </c>
      <c r="AZ399" s="41">
        <f>VLOOKUP(G399,'2017'!A:B,2,0)</f>
        <v>509842.46</v>
      </c>
      <c r="BA399" s="552">
        <f t="shared" ref="BA399:BA400" si="213">AZ399-AY399</f>
        <v>430000</v>
      </c>
      <c r="BB399" s="152">
        <v>1744781.1400000001</v>
      </c>
      <c r="BC399" s="152">
        <v>0</v>
      </c>
      <c r="BD399" s="152">
        <v>0</v>
      </c>
      <c r="BE399" s="152">
        <v>0</v>
      </c>
      <c r="BF399" s="152">
        <v>0</v>
      </c>
      <c r="BG399" s="152">
        <v>0</v>
      </c>
      <c r="BH399" s="152">
        <v>0</v>
      </c>
      <c r="BI399" s="152">
        <v>1824623.6</v>
      </c>
      <c r="BJ399" s="463"/>
      <c r="BK399" s="432"/>
      <c r="BL399" s="432"/>
    </row>
    <row r="400" spans="1:64" s="8" customFormat="1" ht="38.25" x14ac:dyDescent="0.25">
      <c r="A400" s="55" t="s">
        <v>618</v>
      </c>
      <c r="B400" s="55" t="s">
        <v>619</v>
      </c>
      <c r="C400" s="155" t="s">
        <v>620</v>
      </c>
      <c r="D400" s="55">
        <v>2</v>
      </c>
      <c r="E400" s="55" t="s">
        <v>35</v>
      </c>
      <c r="F400" s="55" t="s">
        <v>5</v>
      </c>
      <c r="G400" s="55" t="s">
        <v>2812</v>
      </c>
      <c r="H400" s="45">
        <v>389</v>
      </c>
      <c r="I400" s="45" t="s">
        <v>618</v>
      </c>
      <c r="J400" s="155" t="s">
        <v>1617</v>
      </c>
      <c r="K400" s="155" t="s">
        <v>1618</v>
      </c>
      <c r="L400" s="152"/>
      <c r="M400" s="152">
        <v>0</v>
      </c>
      <c r="N400" s="152">
        <v>0</v>
      </c>
      <c r="O400" s="152">
        <v>0</v>
      </c>
      <c r="P400" s="152"/>
      <c r="Q400" s="152"/>
      <c r="R400" s="152">
        <v>0</v>
      </c>
      <c r="S400" s="152"/>
      <c r="T400" s="152"/>
      <c r="U400" s="152">
        <v>0</v>
      </c>
      <c r="V400" s="152"/>
      <c r="W400" s="152"/>
      <c r="X400" s="152">
        <v>0</v>
      </c>
      <c r="Y400" s="152"/>
      <c r="Z400" s="152"/>
      <c r="AA400" s="152">
        <v>0</v>
      </c>
      <c r="AB400" s="152"/>
      <c r="AC400" s="152"/>
      <c r="AD400" s="152">
        <v>0</v>
      </c>
      <c r="AE400" s="152"/>
      <c r="AF400" s="152"/>
      <c r="AG400" s="152">
        <v>0</v>
      </c>
      <c r="AH400" s="152"/>
      <c r="AI400" s="152"/>
      <c r="AJ400" s="152">
        <v>0</v>
      </c>
      <c r="AK400" s="152"/>
      <c r="AL400" s="152"/>
      <c r="AM400" s="152">
        <v>0</v>
      </c>
      <c r="AN400" s="41">
        <v>445795.06</v>
      </c>
      <c r="AO400" s="41">
        <f>AN400-AM400</f>
        <v>445795.06</v>
      </c>
      <c r="AP400" s="152">
        <v>0</v>
      </c>
      <c r="AQ400" s="41">
        <f>IFERROR(VLOOKUP(G400,'10'!A:B,2,0),0)</f>
        <v>0</v>
      </c>
      <c r="AR400" s="41">
        <f t="shared" si="209"/>
        <v>0</v>
      </c>
      <c r="AS400" s="41">
        <f t="shared" si="212"/>
        <v>0</v>
      </c>
      <c r="AT400" s="41">
        <f t="shared" si="208"/>
        <v>445795.06</v>
      </c>
      <c r="AU400" s="41">
        <f t="shared" si="210"/>
        <v>445795.06</v>
      </c>
      <c r="AV400" s="459">
        <v>0</v>
      </c>
      <c r="AW400" s="152">
        <v>50350</v>
      </c>
      <c r="AX400" s="152">
        <v>85000</v>
      </c>
      <c r="AY400" s="41">
        <f t="shared" si="206"/>
        <v>135350</v>
      </c>
      <c r="AZ400" s="41">
        <f>VLOOKUP(G400,'2017'!A:B,2,0)</f>
        <v>646933.11</v>
      </c>
      <c r="BA400" s="552">
        <f t="shared" si="213"/>
        <v>511583.11</v>
      </c>
      <c r="BB400" s="152">
        <v>1350636</v>
      </c>
      <c r="BC400" s="152">
        <v>0</v>
      </c>
      <c r="BD400" s="152">
        <v>0</v>
      </c>
      <c r="BE400" s="152">
        <v>0</v>
      </c>
      <c r="BF400" s="152">
        <v>0</v>
      </c>
      <c r="BG400" s="152">
        <v>0</v>
      </c>
      <c r="BH400" s="152">
        <v>0</v>
      </c>
      <c r="BI400" s="152">
        <v>1485986</v>
      </c>
      <c r="BJ400" s="465"/>
      <c r="BK400" s="465"/>
      <c r="BL400" s="432"/>
    </row>
    <row r="401" spans="1:67" s="8" customFormat="1" ht="47.25" x14ac:dyDescent="0.25">
      <c r="A401" s="490" t="s">
        <v>119</v>
      </c>
      <c r="B401" s="490" t="s">
        <v>120</v>
      </c>
      <c r="C401" s="491" t="s">
        <v>574</v>
      </c>
      <c r="D401" s="490">
        <v>1</v>
      </c>
      <c r="E401" s="490" t="s">
        <v>35</v>
      </c>
      <c r="F401" s="490" t="s">
        <v>102</v>
      </c>
      <c r="G401" s="478" t="s">
        <v>776</v>
      </c>
      <c r="H401" s="45">
        <v>390</v>
      </c>
      <c r="I401" s="45" t="s">
        <v>119</v>
      </c>
      <c r="J401" s="489" t="s">
        <v>802</v>
      </c>
      <c r="K401" s="489" t="s">
        <v>803</v>
      </c>
      <c r="L401" s="40">
        <v>0</v>
      </c>
      <c r="M401" s="40">
        <v>0</v>
      </c>
      <c r="N401" s="40">
        <v>0</v>
      </c>
      <c r="O401" s="40">
        <v>0</v>
      </c>
      <c r="P401" s="40">
        <v>0</v>
      </c>
      <c r="Q401" s="41">
        <f>P401-O401</f>
        <v>0</v>
      </c>
      <c r="R401" s="40">
        <v>0</v>
      </c>
      <c r="S401" s="40">
        <v>0</v>
      </c>
      <c r="T401" s="41">
        <f>S401-R401</f>
        <v>0</v>
      </c>
      <c r="U401" s="40">
        <v>0</v>
      </c>
      <c r="V401" s="40">
        <v>0</v>
      </c>
      <c r="W401" s="41">
        <f>V401-U401</f>
        <v>0</v>
      </c>
      <c r="X401" s="40">
        <v>0</v>
      </c>
      <c r="Y401" s="40">
        <v>0</v>
      </c>
      <c r="Z401" s="41">
        <f>Y401-X401</f>
        <v>0</v>
      </c>
      <c r="AA401" s="40">
        <v>0</v>
      </c>
      <c r="AB401" s="40">
        <v>0</v>
      </c>
      <c r="AC401" s="41">
        <f>AB401-AA401</f>
        <v>0</v>
      </c>
      <c r="AD401" s="40">
        <v>0</v>
      </c>
      <c r="AE401" s="41">
        <v>276726</v>
      </c>
      <c r="AF401" s="41">
        <f>AE401-AD401</f>
        <v>276726</v>
      </c>
      <c r="AG401" s="40">
        <v>0</v>
      </c>
      <c r="AH401" s="41">
        <v>0</v>
      </c>
      <c r="AI401" s="41">
        <f>AH401-AG401</f>
        <v>0</v>
      </c>
      <c r="AJ401" s="40">
        <v>0</v>
      </c>
      <c r="AK401" s="41">
        <v>0</v>
      </c>
      <c r="AL401" s="41">
        <f>AK401-AJ401</f>
        <v>0</v>
      </c>
      <c r="AM401" s="40">
        <v>0</v>
      </c>
      <c r="AN401" s="41">
        <v>172171.12</v>
      </c>
      <c r="AO401" s="41">
        <f>AN401-AM401</f>
        <v>172171.12</v>
      </c>
      <c r="AP401" s="40">
        <v>0</v>
      </c>
      <c r="AQ401" s="41">
        <f>IFERROR(VLOOKUP(G401,'10'!A:B,2,0),0)</f>
        <v>36516.1</v>
      </c>
      <c r="AR401" s="41">
        <f t="shared" si="209"/>
        <v>36516.1</v>
      </c>
      <c r="AS401" s="41">
        <f t="shared" si="212"/>
        <v>0</v>
      </c>
      <c r="AT401" s="41">
        <f t="shared" si="208"/>
        <v>485413.22</v>
      </c>
      <c r="AU401" s="41">
        <f t="shared" si="210"/>
        <v>485413.22</v>
      </c>
      <c r="AV401" s="459">
        <v>0</v>
      </c>
      <c r="AW401" s="40">
        <v>0</v>
      </c>
      <c r="AX401" s="40">
        <v>0</v>
      </c>
      <c r="AY401" s="41">
        <f t="shared" si="206"/>
        <v>0</v>
      </c>
      <c r="AZ401" s="41"/>
      <c r="BA401" s="36">
        <f>AZ401-AY401</f>
        <v>0</v>
      </c>
      <c r="BB401" s="40">
        <v>922420</v>
      </c>
      <c r="BC401" s="40">
        <v>0</v>
      </c>
      <c r="BD401" s="40">
        <v>0</v>
      </c>
      <c r="BE401" s="40">
        <v>0</v>
      </c>
      <c r="BF401" s="40">
        <v>0</v>
      </c>
      <c r="BG401" s="40">
        <v>0</v>
      </c>
      <c r="BH401" s="40">
        <v>0</v>
      </c>
      <c r="BI401" s="40">
        <v>922420</v>
      </c>
      <c r="BJ401" s="539"/>
      <c r="BK401" s="461"/>
      <c r="BL401" s="432"/>
    </row>
    <row r="402" spans="1:67" s="8" customFormat="1" ht="25.5" x14ac:dyDescent="0.25">
      <c r="A402" s="18" t="s">
        <v>1776</v>
      </c>
      <c r="B402" s="18" t="s">
        <v>1779</v>
      </c>
      <c r="C402" s="19" t="s">
        <v>1777</v>
      </c>
      <c r="D402" s="18">
        <v>1</v>
      </c>
      <c r="E402" s="18" t="s">
        <v>807</v>
      </c>
      <c r="F402" s="18" t="s">
        <v>5</v>
      </c>
      <c r="G402" s="18" t="s">
        <v>2848</v>
      </c>
      <c r="H402" s="45">
        <v>391</v>
      </c>
      <c r="I402" s="45" t="s">
        <v>1776</v>
      </c>
      <c r="J402" s="19" t="s">
        <v>1788</v>
      </c>
      <c r="K402" s="19" t="s">
        <v>1789</v>
      </c>
      <c r="L402" s="145">
        <v>0</v>
      </c>
      <c r="M402" s="145">
        <v>0</v>
      </c>
      <c r="N402" s="145">
        <v>0</v>
      </c>
      <c r="O402" s="145">
        <f>N402+M402+L402</f>
        <v>0</v>
      </c>
      <c r="P402" s="145"/>
      <c r="Q402" s="145"/>
      <c r="R402" s="145">
        <v>0</v>
      </c>
      <c r="S402" s="145"/>
      <c r="T402" s="145"/>
      <c r="U402" s="145">
        <v>0</v>
      </c>
      <c r="V402" s="145"/>
      <c r="W402" s="145"/>
      <c r="X402" s="145">
        <v>0</v>
      </c>
      <c r="Y402" s="145"/>
      <c r="Z402" s="145"/>
      <c r="AA402" s="145">
        <v>0</v>
      </c>
      <c r="AB402" s="145"/>
      <c r="AC402" s="145"/>
      <c r="AD402" s="145">
        <v>0</v>
      </c>
      <c r="AE402" s="145"/>
      <c r="AF402" s="145"/>
      <c r="AG402" s="145">
        <v>0</v>
      </c>
      <c r="AH402" s="145"/>
      <c r="AI402" s="145"/>
      <c r="AJ402" s="145">
        <v>0</v>
      </c>
      <c r="AK402" s="145"/>
      <c r="AL402" s="145"/>
      <c r="AM402" s="145">
        <v>0</v>
      </c>
      <c r="AN402" s="145"/>
      <c r="AO402" s="145"/>
      <c r="AP402" s="145">
        <v>0</v>
      </c>
      <c r="AQ402" s="41">
        <f>IFERROR(VLOOKUP(G402,'10'!A:B,2,0),0)</f>
        <v>486239.14</v>
      </c>
      <c r="AR402" s="41">
        <f t="shared" si="209"/>
        <v>486239.14</v>
      </c>
      <c r="AS402" s="41">
        <f t="shared" si="212"/>
        <v>0</v>
      </c>
      <c r="AT402" s="41">
        <f t="shared" si="208"/>
        <v>486239.14</v>
      </c>
      <c r="AU402" s="41">
        <f t="shared" si="210"/>
        <v>486239.14</v>
      </c>
      <c r="AV402" s="459">
        <v>0</v>
      </c>
      <c r="AW402" s="145">
        <v>0</v>
      </c>
      <c r="AX402" s="145">
        <v>0</v>
      </c>
      <c r="AY402" s="41">
        <f t="shared" si="206"/>
        <v>0</v>
      </c>
      <c r="AZ402" s="41"/>
      <c r="BA402" s="145"/>
      <c r="BB402" s="145">
        <f>SUM(R402:AX402)</f>
        <v>1944956.56</v>
      </c>
      <c r="BC402" s="145">
        <v>1718760.1199999999</v>
      </c>
      <c r="BD402" s="145">
        <v>159240</v>
      </c>
      <c r="BE402" s="145">
        <v>0</v>
      </c>
      <c r="BF402" s="145">
        <v>0</v>
      </c>
      <c r="BG402" s="145">
        <v>0</v>
      </c>
      <c r="BH402" s="145">
        <v>0</v>
      </c>
      <c r="BI402" s="145">
        <v>1878000</v>
      </c>
      <c r="BJ402" s="323"/>
      <c r="BK402" s="518"/>
      <c r="BL402" s="518"/>
    </row>
    <row r="403" spans="1:67" s="8" customFormat="1" ht="31.5" x14ac:dyDescent="0.25">
      <c r="A403" s="439" t="s">
        <v>842</v>
      </c>
      <c r="B403" s="439" t="s">
        <v>843</v>
      </c>
      <c r="C403" s="440" t="s">
        <v>844</v>
      </c>
      <c r="D403" s="439">
        <v>1</v>
      </c>
      <c r="E403" s="439" t="s">
        <v>35</v>
      </c>
      <c r="F403" s="439" t="s">
        <v>5</v>
      </c>
      <c r="G403" s="439" t="s">
        <v>1446</v>
      </c>
      <c r="H403" s="45">
        <v>392</v>
      </c>
      <c r="I403" s="45" t="s">
        <v>842</v>
      </c>
      <c r="J403" s="440" t="s">
        <v>1212</v>
      </c>
      <c r="K403" s="440" t="s">
        <v>1447</v>
      </c>
      <c r="L403" s="441">
        <v>0</v>
      </c>
      <c r="M403" s="441">
        <v>0</v>
      </c>
      <c r="N403" s="441">
        <v>0</v>
      </c>
      <c r="O403" s="441">
        <f>N403+M403+L403</f>
        <v>0</v>
      </c>
      <c r="P403" s="441"/>
      <c r="Q403" s="441"/>
      <c r="R403" s="441">
        <v>0</v>
      </c>
      <c r="S403" s="441"/>
      <c r="T403" s="441"/>
      <c r="U403" s="441">
        <v>0</v>
      </c>
      <c r="V403" s="441"/>
      <c r="W403" s="441"/>
      <c r="X403" s="441">
        <v>0</v>
      </c>
      <c r="Y403" s="441"/>
      <c r="Z403" s="441"/>
      <c r="AA403" s="441">
        <v>0</v>
      </c>
      <c r="AB403" s="441"/>
      <c r="AC403" s="441"/>
      <c r="AD403" s="441">
        <v>0</v>
      </c>
      <c r="AE403" s="441"/>
      <c r="AF403" s="441"/>
      <c r="AG403" s="441">
        <v>0</v>
      </c>
      <c r="AH403" s="441"/>
      <c r="AI403" s="441"/>
      <c r="AJ403" s="441">
        <v>0</v>
      </c>
      <c r="AK403" s="41">
        <v>437421.36</v>
      </c>
      <c r="AL403" s="41">
        <f>AK403-AJ403</f>
        <v>437421.36</v>
      </c>
      <c r="AM403" s="441">
        <v>0</v>
      </c>
      <c r="AN403" s="41">
        <v>0</v>
      </c>
      <c r="AO403" s="41">
        <f t="shared" ref="AO403:AO408" si="214">AN403-AM403</f>
        <v>0</v>
      </c>
      <c r="AP403" s="441">
        <v>0</v>
      </c>
      <c r="AQ403" s="41">
        <f>IFERROR(VLOOKUP(G403,'10'!A:B,2,0),0)</f>
        <v>54677.67</v>
      </c>
      <c r="AR403" s="41">
        <f t="shared" si="209"/>
        <v>54677.67</v>
      </c>
      <c r="AS403" s="41">
        <f t="shared" si="212"/>
        <v>0</v>
      </c>
      <c r="AT403" s="41">
        <f t="shared" si="208"/>
        <v>492099.02999999997</v>
      </c>
      <c r="AU403" s="41">
        <f t="shared" si="210"/>
        <v>492099.02999999997</v>
      </c>
      <c r="AV403" s="459">
        <v>0</v>
      </c>
      <c r="AW403" s="441">
        <v>0</v>
      </c>
      <c r="AX403" s="441">
        <v>0</v>
      </c>
      <c r="AY403" s="41">
        <f t="shared" si="206"/>
        <v>0</v>
      </c>
      <c r="AZ403" s="41"/>
      <c r="BA403" s="40">
        <f>AZ403-AY403</f>
        <v>0</v>
      </c>
      <c r="BB403" s="441">
        <v>546776.69999999995</v>
      </c>
      <c r="BC403" s="441">
        <v>0</v>
      </c>
      <c r="BD403" s="441">
        <v>0</v>
      </c>
      <c r="BE403" s="441">
        <v>0</v>
      </c>
      <c r="BF403" s="441">
        <v>0</v>
      </c>
      <c r="BG403" s="441">
        <v>0</v>
      </c>
      <c r="BH403" s="441">
        <v>0</v>
      </c>
      <c r="BI403" s="441">
        <v>546776.69999999995</v>
      </c>
      <c r="BJ403" s="323"/>
      <c r="BK403" s="461"/>
      <c r="BL403" s="432"/>
    </row>
    <row r="404" spans="1:67" s="8" customFormat="1" ht="31.5" x14ac:dyDescent="0.25">
      <c r="A404" s="470" t="s">
        <v>138</v>
      </c>
      <c r="B404" s="470" t="s">
        <v>139</v>
      </c>
      <c r="C404" s="471" t="s">
        <v>576</v>
      </c>
      <c r="D404" s="470">
        <v>2</v>
      </c>
      <c r="E404" s="470" t="s">
        <v>35</v>
      </c>
      <c r="F404" s="470" t="s">
        <v>5</v>
      </c>
      <c r="G404" s="43" t="s">
        <v>781</v>
      </c>
      <c r="H404" s="45">
        <v>393</v>
      </c>
      <c r="I404" s="45" t="s">
        <v>138</v>
      </c>
      <c r="J404" s="475" t="s">
        <v>708</v>
      </c>
      <c r="K404" s="475" t="s">
        <v>813</v>
      </c>
      <c r="L404" s="41">
        <v>0</v>
      </c>
      <c r="M404" s="41">
        <v>0</v>
      </c>
      <c r="N404" s="41">
        <v>0</v>
      </c>
      <c r="O404" s="40">
        <v>0</v>
      </c>
      <c r="P404" s="40">
        <v>0</v>
      </c>
      <c r="Q404" s="41">
        <f>P404-O404</f>
        <v>0</v>
      </c>
      <c r="R404" s="40">
        <v>0</v>
      </c>
      <c r="S404" s="40">
        <v>0</v>
      </c>
      <c r="T404" s="41">
        <f>S404-R404</f>
        <v>0</v>
      </c>
      <c r="U404" s="40">
        <v>0</v>
      </c>
      <c r="V404" s="40">
        <v>0</v>
      </c>
      <c r="W404" s="41">
        <f>V404-U404</f>
        <v>0</v>
      </c>
      <c r="X404" s="40">
        <v>0</v>
      </c>
      <c r="Y404" s="40">
        <v>0</v>
      </c>
      <c r="Z404" s="41">
        <f>Y404-X404</f>
        <v>0</v>
      </c>
      <c r="AA404" s="40">
        <v>0</v>
      </c>
      <c r="AB404" s="40">
        <v>0</v>
      </c>
      <c r="AC404" s="41">
        <f>AB404-AA404</f>
        <v>0</v>
      </c>
      <c r="AD404" s="41">
        <v>0</v>
      </c>
      <c r="AE404" s="41">
        <v>364912.77</v>
      </c>
      <c r="AF404" s="41">
        <f>AE404-AD404</f>
        <v>364912.77</v>
      </c>
      <c r="AG404" s="41">
        <v>0</v>
      </c>
      <c r="AH404" s="41">
        <v>0</v>
      </c>
      <c r="AI404" s="41">
        <f>AH404-AG404</f>
        <v>0</v>
      </c>
      <c r="AJ404" s="41">
        <v>0</v>
      </c>
      <c r="AK404" s="41">
        <v>0</v>
      </c>
      <c r="AL404" s="41">
        <f>AK404-AJ404</f>
        <v>0</v>
      </c>
      <c r="AM404" s="41">
        <v>0</v>
      </c>
      <c r="AN404" s="41">
        <v>128109.31</v>
      </c>
      <c r="AO404" s="41">
        <f t="shared" si="214"/>
        <v>128109.31</v>
      </c>
      <c r="AP404" s="41">
        <v>0</v>
      </c>
      <c r="AQ404" s="41">
        <f>IFERROR(VLOOKUP(G404,'10'!A:B,2,0),0)</f>
        <v>0</v>
      </c>
      <c r="AR404" s="41">
        <f t="shared" si="209"/>
        <v>0</v>
      </c>
      <c r="AS404" s="41">
        <f t="shared" si="212"/>
        <v>0</v>
      </c>
      <c r="AT404" s="41">
        <f t="shared" si="208"/>
        <v>493022.08</v>
      </c>
      <c r="AU404" s="41">
        <f t="shared" si="210"/>
        <v>493022.08</v>
      </c>
      <c r="AV404" s="459">
        <v>0</v>
      </c>
      <c r="AW404" s="41">
        <v>0</v>
      </c>
      <c r="AX404" s="41">
        <v>0</v>
      </c>
      <c r="AY404" s="41">
        <f t="shared" si="206"/>
        <v>0</v>
      </c>
      <c r="AZ404" s="41"/>
      <c r="BA404" s="36">
        <f>AZ404-AY404</f>
        <v>0</v>
      </c>
      <c r="BB404" s="41">
        <v>729825.54</v>
      </c>
      <c r="BC404" s="41">
        <v>0</v>
      </c>
      <c r="BD404" s="41">
        <v>0</v>
      </c>
      <c r="BE404" s="41">
        <v>0</v>
      </c>
      <c r="BF404" s="41">
        <v>0</v>
      </c>
      <c r="BG404" s="41">
        <v>0</v>
      </c>
      <c r="BH404" s="41">
        <v>0</v>
      </c>
      <c r="BI404" s="41">
        <v>729825.54</v>
      </c>
      <c r="BJ404" s="423"/>
      <c r="BK404" s="461"/>
      <c r="BL404" s="432"/>
      <c r="BO404" s="74"/>
    </row>
    <row r="405" spans="1:67" s="8" customFormat="1" ht="94.5" x14ac:dyDescent="0.25">
      <c r="A405" s="20" t="s">
        <v>758</v>
      </c>
      <c r="B405" s="20" t="s">
        <v>759</v>
      </c>
      <c r="C405" s="21" t="s">
        <v>760</v>
      </c>
      <c r="D405" s="52" t="s">
        <v>3</v>
      </c>
      <c r="E405" s="52" t="s">
        <v>29</v>
      </c>
      <c r="F405" s="52" t="s">
        <v>102</v>
      </c>
      <c r="G405" s="52" t="s">
        <v>942</v>
      </c>
      <c r="H405" s="45">
        <v>394</v>
      </c>
      <c r="I405" s="45" t="s">
        <v>758</v>
      </c>
      <c r="J405" s="34" t="s">
        <v>861</v>
      </c>
      <c r="K405" s="34" t="s">
        <v>862</v>
      </c>
      <c r="L405" s="59">
        <v>42867</v>
      </c>
      <c r="M405" s="37">
        <v>0</v>
      </c>
      <c r="N405" s="37">
        <v>0</v>
      </c>
      <c r="O405" s="37">
        <v>0</v>
      </c>
      <c r="P405" s="37"/>
      <c r="Q405" s="37"/>
      <c r="R405" s="37">
        <v>0</v>
      </c>
      <c r="S405" s="37"/>
      <c r="T405" s="37"/>
      <c r="U405" s="37">
        <v>0</v>
      </c>
      <c r="V405" s="37"/>
      <c r="W405" s="37"/>
      <c r="X405" s="37">
        <v>0</v>
      </c>
      <c r="Y405" s="37"/>
      <c r="Z405" s="37"/>
      <c r="AA405" s="37">
        <v>0</v>
      </c>
      <c r="AB405" s="37"/>
      <c r="AC405" s="37"/>
      <c r="AD405" s="37">
        <v>0</v>
      </c>
      <c r="AE405" s="37"/>
      <c r="AF405" s="37"/>
      <c r="AG405" s="428">
        <v>245999.99999999997</v>
      </c>
      <c r="AH405" s="41">
        <v>0</v>
      </c>
      <c r="AI405" s="41">
        <f>AH405-AG405</f>
        <v>-245999.99999999997</v>
      </c>
      <c r="AJ405" s="37">
        <v>0</v>
      </c>
      <c r="AK405" s="41">
        <v>0</v>
      </c>
      <c r="AL405" s="41">
        <f>AK405-AJ405</f>
        <v>0</v>
      </c>
      <c r="AM405" s="37">
        <v>0</v>
      </c>
      <c r="AN405" s="41">
        <v>0</v>
      </c>
      <c r="AO405" s="41">
        <f t="shared" si="214"/>
        <v>0</v>
      </c>
      <c r="AP405" s="37">
        <v>0</v>
      </c>
      <c r="AQ405" s="41">
        <f>IFERROR(VLOOKUP(G405,'10'!A:B,2,0),0)</f>
        <v>767000</v>
      </c>
      <c r="AR405" s="41">
        <f t="shared" si="209"/>
        <v>767000</v>
      </c>
      <c r="AS405" s="41">
        <f t="shared" si="212"/>
        <v>245999.99999999997</v>
      </c>
      <c r="AT405" s="41">
        <f t="shared" si="208"/>
        <v>767000</v>
      </c>
      <c r="AU405" s="41">
        <f t="shared" si="210"/>
        <v>521000</v>
      </c>
      <c r="AV405" s="459">
        <f>AT405/AS405</f>
        <v>3.1178861788617889</v>
      </c>
      <c r="AW405" s="37">
        <v>0</v>
      </c>
      <c r="AX405" s="427">
        <v>983999.99999999988</v>
      </c>
      <c r="AY405" s="41">
        <f t="shared" si="206"/>
        <v>1229999.9999999998</v>
      </c>
      <c r="AZ405" s="41"/>
      <c r="BA405" s="554">
        <v>0</v>
      </c>
      <c r="BB405" s="428">
        <v>3935999.9999999995</v>
      </c>
      <c r="BC405" s="37">
        <v>0</v>
      </c>
      <c r="BD405" s="37">
        <v>0</v>
      </c>
      <c r="BE405" s="37">
        <v>0</v>
      </c>
      <c r="BF405" s="37">
        <v>0</v>
      </c>
      <c r="BG405" s="37">
        <v>0</v>
      </c>
      <c r="BH405" s="37">
        <v>0</v>
      </c>
      <c r="BI405" s="37">
        <v>5094278.79</v>
      </c>
      <c r="BJ405" s="452" t="s">
        <v>954</v>
      </c>
      <c r="BK405" s="546" t="s">
        <v>2763</v>
      </c>
      <c r="BL405" s="10"/>
      <c r="BO405" s="74"/>
    </row>
    <row r="406" spans="1:67" s="8" customFormat="1" ht="25.5" x14ac:dyDescent="0.25">
      <c r="A406" s="55" t="s">
        <v>2107</v>
      </c>
      <c r="B406" s="55" t="s">
        <v>2109</v>
      </c>
      <c r="C406" s="155" t="s">
        <v>2108</v>
      </c>
      <c r="D406" s="55" t="s">
        <v>3</v>
      </c>
      <c r="E406" s="55" t="s">
        <v>4</v>
      </c>
      <c r="F406" s="55" t="s">
        <v>5</v>
      </c>
      <c r="G406" s="55" t="s">
        <v>2813</v>
      </c>
      <c r="H406" s="45">
        <v>395</v>
      </c>
      <c r="I406" s="45" t="s">
        <v>2107</v>
      </c>
      <c r="J406" s="155" t="s">
        <v>1053</v>
      </c>
      <c r="K406" s="155"/>
      <c r="L406" s="152"/>
      <c r="M406" s="152">
        <v>0</v>
      </c>
      <c r="N406" s="152">
        <v>0</v>
      </c>
      <c r="O406" s="152">
        <v>0</v>
      </c>
      <c r="P406" s="152"/>
      <c r="Q406" s="152"/>
      <c r="R406" s="152">
        <v>0</v>
      </c>
      <c r="S406" s="152"/>
      <c r="T406" s="152"/>
      <c r="U406" s="152">
        <v>0</v>
      </c>
      <c r="V406" s="152"/>
      <c r="W406" s="152"/>
      <c r="X406" s="152">
        <v>0</v>
      </c>
      <c r="Y406" s="152"/>
      <c r="Z406" s="152"/>
      <c r="AA406" s="152">
        <v>0</v>
      </c>
      <c r="AB406" s="152"/>
      <c r="AC406" s="152"/>
      <c r="AD406" s="152">
        <v>0</v>
      </c>
      <c r="AE406" s="152"/>
      <c r="AF406" s="152"/>
      <c r="AG406" s="152">
        <v>0</v>
      </c>
      <c r="AH406" s="152"/>
      <c r="AI406" s="152"/>
      <c r="AJ406" s="152">
        <v>0</v>
      </c>
      <c r="AK406" s="152"/>
      <c r="AL406" s="152"/>
      <c r="AM406" s="152">
        <v>0</v>
      </c>
      <c r="AN406" s="41">
        <v>41590.28</v>
      </c>
      <c r="AO406" s="41">
        <f t="shared" si="214"/>
        <v>41590.28</v>
      </c>
      <c r="AP406" s="152">
        <v>0</v>
      </c>
      <c r="AQ406" s="41">
        <f>IFERROR(VLOOKUP(G406,'10'!A:B,2,0),0)</f>
        <v>517843.12</v>
      </c>
      <c r="AR406" s="41">
        <f t="shared" si="209"/>
        <v>517843.12</v>
      </c>
      <c r="AS406" s="41">
        <f t="shared" si="212"/>
        <v>0</v>
      </c>
      <c r="AT406" s="41">
        <f t="shared" si="208"/>
        <v>559433.4</v>
      </c>
      <c r="AU406" s="41">
        <f t="shared" si="210"/>
        <v>559433.4</v>
      </c>
      <c r="AV406" s="459">
        <v>0</v>
      </c>
      <c r="AW406" s="152">
        <v>519444.35</v>
      </c>
      <c r="AX406" s="152">
        <v>62406.15</v>
      </c>
      <c r="AY406" s="41">
        <f t="shared" si="206"/>
        <v>581850.5</v>
      </c>
      <c r="AZ406" s="41">
        <f>VLOOKUP(G406,'2017'!A:B,2,0)</f>
        <v>784176.57000000007</v>
      </c>
      <c r="BA406" s="552">
        <f>AZ406-AY406</f>
        <v>202326.07000000007</v>
      </c>
      <c r="BB406" s="152">
        <v>3311919.6</v>
      </c>
      <c r="BC406" s="152">
        <v>3039420.65</v>
      </c>
      <c r="BD406" s="152">
        <v>1991000.9000000001</v>
      </c>
      <c r="BE406" s="152">
        <v>434222.5</v>
      </c>
      <c r="BF406" s="152">
        <v>0</v>
      </c>
      <c r="BG406" s="152">
        <v>0</v>
      </c>
      <c r="BH406" s="152">
        <v>0</v>
      </c>
      <c r="BI406" s="495">
        <v>9358414.1500000004</v>
      </c>
      <c r="BJ406" s="145"/>
      <c r="BK406" s="465"/>
      <c r="BO406" s="74"/>
    </row>
    <row r="407" spans="1:67" s="8" customFormat="1" ht="31.5" x14ac:dyDescent="0.25">
      <c r="A407" s="472" t="s">
        <v>100</v>
      </c>
      <c r="B407" s="472" t="s">
        <v>101</v>
      </c>
      <c r="C407" s="473" t="s">
        <v>573</v>
      </c>
      <c r="D407" s="472" t="s">
        <v>3</v>
      </c>
      <c r="E407" s="472" t="s">
        <v>29</v>
      </c>
      <c r="F407" s="472" t="s">
        <v>102</v>
      </c>
      <c r="G407" s="531" t="s">
        <v>103</v>
      </c>
      <c r="H407" s="45">
        <v>396</v>
      </c>
      <c r="I407" s="45" t="s">
        <v>100</v>
      </c>
      <c r="J407" s="535" t="s">
        <v>104</v>
      </c>
      <c r="K407" s="535" t="s">
        <v>105</v>
      </c>
      <c r="L407" s="432"/>
      <c r="M407" s="432"/>
      <c r="N407" s="432"/>
      <c r="O407" s="432"/>
      <c r="P407" s="432">
        <v>0</v>
      </c>
      <c r="Q407" s="432">
        <f>P407-O407</f>
        <v>0</v>
      </c>
      <c r="R407" s="432"/>
      <c r="S407" s="432">
        <v>0</v>
      </c>
      <c r="T407" s="432">
        <f>S407-R407</f>
        <v>0</v>
      </c>
      <c r="U407" s="432">
        <v>440405.35</v>
      </c>
      <c r="V407" s="432">
        <v>440405.35</v>
      </c>
      <c r="W407" s="432">
        <f>V407-U407</f>
        <v>0</v>
      </c>
      <c r="X407" s="432"/>
      <c r="Y407" s="432">
        <v>0</v>
      </c>
      <c r="Z407" s="432">
        <f>Y407-X407</f>
        <v>0</v>
      </c>
      <c r="AA407" s="432"/>
      <c r="AB407" s="432">
        <v>0</v>
      </c>
      <c r="AC407" s="432">
        <f>AB407-AA407</f>
        <v>0</v>
      </c>
      <c r="AD407" s="432">
        <v>0</v>
      </c>
      <c r="AE407" s="432">
        <v>0</v>
      </c>
      <c r="AF407" s="432">
        <f>AE407-AD407</f>
        <v>0</v>
      </c>
      <c r="AG407" s="432">
        <v>171441</v>
      </c>
      <c r="AH407" s="432">
        <v>314824.65000000002</v>
      </c>
      <c r="AI407" s="432">
        <f>AH407-AG407</f>
        <v>143383.65000000002</v>
      </c>
      <c r="AJ407" s="432">
        <v>440405.35</v>
      </c>
      <c r="AK407" s="432">
        <v>626445.54</v>
      </c>
      <c r="AL407" s="432">
        <f>AK407-AJ407</f>
        <v>186040.19000000006</v>
      </c>
      <c r="AM407" s="432">
        <v>625959</v>
      </c>
      <c r="AN407" s="432">
        <v>814376.76</v>
      </c>
      <c r="AO407" s="432">
        <f t="shared" si="214"/>
        <v>188417.76</v>
      </c>
      <c r="AP407" s="432">
        <v>655703.35</v>
      </c>
      <c r="AQ407" s="41">
        <f>IFERROR(VLOOKUP(G407,'10'!A:B,2,0),0)</f>
        <v>704024.5</v>
      </c>
      <c r="AR407" s="41">
        <f t="shared" si="209"/>
        <v>48321.150000000023</v>
      </c>
      <c r="AS407" s="41">
        <f t="shared" si="212"/>
        <v>2333914.0500000003</v>
      </c>
      <c r="AT407" s="41">
        <f t="shared" si="208"/>
        <v>2900076.8000000003</v>
      </c>
      <c r="AU407" s="41">
        <f t="shared" si="210"/>
        <v>566162.75000000012</v>
      </c>
      <c r="AV407" s="459">
        <f>AT407/AS407</f>
        <v>1.2425808054071228</v>
      </c>
      <c r="AW407" s="432">
        <v>717660</v>
      </c>
      <c r="AX407" s="432">
        <v>558180</v>
      </c>
      <c r="AY407" s="41">
        <f t="shared" si="206"/>
        <v>3609754.0500000003</v>
      </c>
      <c r="AZ407" s="432">
        <f>VLOOKUP(G407,'2017'!A:B,2,0)</f>
        <v>3367353.2</v>
      </c>
      <c r="BA407" s="560">
        <f>AZ407-AY407</f>
        <v>-242400.85000000009</v>
      </c>
      <c r="BB407" s="432">
        <v>11402493.65</v>
      </c>
      <c r="BC407" s="432">
        <v>3743089.41</v>
      </c>
      <c r="BD407" s="432">
        <v>0</v>
      </c>
      <c r="BE407" s="432">
        <v>0</v>
      </c>
      <c r="BF407" s="432">
        <v>0</v>
      </c>
      <c r="BG407" s="432">
        <v>0</v>
      </c>
      <c r="BH407" s="432">
        <v>0</v>
      </c>
      <c r="BI407" s="432">
        <v>12195529.41</v>
      </c>
      <c r="BJ407" s="539"/>
      <c r="BK407" s="545"/>
      <c r="BL407" s="432"/>
      <c r="BO407" s="74"/>
    </row>
    <row r="408" spans="1:67" s="8" customFormat="1" ht="47.25" x14ac:dyDescent="0.25">
      <c r="A408" s="470" t="s">
        <v>138</v>
      </c>
      <c r="B408" s="470" t="s">
        <v>139</v>
      </c>
      <c r="C408" s="471" t="s">
        <v>576</v>
      </c>
      <c r="D408" s="470">
        <v>2</v>
      </c>
      <c r="E408" s="470" t="s">
        <v>35</v>
      </c>
      <c r="F408" s="470" t="s">
        <v>5</v>
      </c>
      <c r="G408" s="43" t="s">
        <v>779</v>
      </c>
      <c r="H408" s="45">
        <v>397</v>
      </c>
      <c r="I408" s="45" t="s">
        <v>138</v>
      </c>
      <c r="J408" s="475" t="s">
        <v>810</v>
      </c>
      <c r="K408" s="475" t="s">
        <v>811</v>
      </c>
      <c r="L408" s="41">
        <v>0</v>
      </c>
      <c r="M408" s="41">
        <v>0</v>
      </c>
      <c r="N408" s="41">
        <v>0</v>
      </c>
      <c r="O408" s="40">
        <v>0</v>
      </c>
      <c r="P408" s="40">
        <v>0</v>
      </c>
      <c r="Q408" s="41">
        <f>P408-O408</f>
        <v>0</v>
      </c>
      <c r="R408" s="40">
        <v>0</v>
      </c>
      <c r="S408" s="40">
        <v>0</v>
      </c>
      <c r="T408" s="41">
        <f>S408-R408</f>
        <v>0</v>
      </c>
      <c r="U408" s="40">
        <v>0</v>
      </c>
      <c r="V408" s="40">
        <v>0</v>
      </c>
      <c r="W408" s="41">
        <f>V408-U408</f>
        <v>0</v>
      </c>
      <c r="X408" s="40">
        <v>0</v>
      </c>
      <c r="Y408" s="40">
        <v>0</v>
      </c>
      <c r="Z408" s="41">
        <f>Y408-X408</f>
        <v>0</v>
      </c>
      <c r="AA408" s="40">
        <v>0</v>
      </c>
      <c r="AB408" s="40">
        <v>0</v>
      </c>
      <c r="AC408" s="41">
        <f>AB408-AA408</f>
        <v>0</v>
      </c>
      <c r="AD408" s="41">
        <v>0</v>
      </c>
      <c r="AE408" s="41">
        <v>326431.49</v>
      </c>
      <c r="AF408" s="41">
        <f>AE408-AD408</f>
        <v>326431.49</v>
      </c>
      <c r="AG408" s="41">
        <v>0</v>
      </c>
      <c r="AH408" s="41">
        <v>0</v>
      </c>
      <c r="AI408" s="41">
        <f>AH408-AG408</f>
        <v>0</v>
      </c>
      <c r="AJ408" s="41">
        <v>0</v>
      </c>
      <c r="AK408" s="41">
        <v>0</v>
      </c>
      <c r="AL408" s="41">
        <f>AK408-AJ408</f>
        <v>0</v>
      </c>
      <c r="AM408" s="41">
        <v>0</v>
      </c>
      <c r="AN408" s="41">
        <v>278707.18</v>
      </c>
      <c r="AO408" s="41">
        <f t="shared" si="214"/>
        <v>278707.18</v>
      </c>
      <c r="AP408" s="41">
        <v>0</v>
      </c>
      <c r="AQ408" s="41">
        <f>IFERROR(VLOOKUP(G408,'10'!A:B,2,0),0)</f>
        <v>0</v>
      </c>
      <c r="AR408" s="41">
        <f t="shared" si="209"/>
        <v>0</v>
      </c>
      <c r="AS408" s="41">
        <f t="shared" si="212"/>
        <v>0</v>
      </c>
      <c r="AT408" s="41">
        <f t="shared" si="208"/>
        <v>605138.66999999993</v>
      </c>
      <c r="AU408" s="41">
        <f t="shared" si="210"/>
        <v>605138.66999999993</v>
      </c>
      <c r="AV408" s="459">
        <v>0</v>
      </c>
      <c r="AW408" s="41">
        <v>0</v>
      </c>
      <c r="AX408" s="41">
        <v>0</v>
      </c>
      <c r="AY408" s="41">
        <f t="shared" si="206"/>
        <v>0</v>
      </c>
      <c r="AZ408" s="41"/>
      <c r="BA408" s="36">
        <f>AZ408-AY408</f>
        <v>0</v>
      </c>
      <c r="BB408" s="41">
        <v>340576.86</v>
      </c>
      <c r="BC408" s="41">
        <v>0</v>
      </c>
      <c r="BD408" s="41">
        <v>0</v>
      </c>
      <c r="BE408" s="41">
        <v>0</v>
      </c>
      <c r="BF408" s="41">
        <v>0</v>
      </c>
      <c r="BG408" s="41">
        <v>0</v>
      </c>
      <c r="BH408" s="41">
        <v>0</v>
      </c>
      <c r="BI408" s="41">
        <v>340576.86</v>
      </c>
      <c r="BJ408" s="423"/>
      <c r="BK408" s="548"/>
      <c r="BL408" s="432"/>
      <c r="BO408" s="74"/>
    </row>
    <row r="409" spans="1:67" s="8" customFormat="1" ht="63.75" x14ac:dyDescent="0.25">
      <c r="A409" s="55" t="s">
        <v>2639</v>
      </c>
      <c r="B409" s="55" t="s">
        <v>2641</v>
      </c>
      <c r="C409" s="155" t="s">
        <v>2640</v>
      </c>
      <c r="D409" s="55" t="s">
        <v>2642</v>
      </c>
      <c r="E409" s="55" t="s">
        <v>402</v>
      </c>
      <c r="F409" s="55" t="s">
        <v>5</v>
      </c>
      <c r="G409" s="55" t="s">
        <v>2822</v>
      </c>
      <c r="H409" s="45">
        <v>398</v>
      </c>
      <c r="I409" s="45" t="s">
        <v>2639</v>
      </c>
      <c r="J409" s="344" t="s">
        <v>2651</v>
      </c>
      <c r="K409" s="344" t="s">
        <v>2652</v>
      </c>
      <c r="L409" s="152">
        <v>0</v>
      </c>
      <c r="M409" s="152">
        <v>0</v>
      </c>
      <c r="N409" s="152">
        <v>0</v>
      </c>
      <c r="O409" s="152">
        <f t="shared" ref="O409:AM409" si="215">N409+M409+L409</f>
        <v>0</v>
      </c>
      <c r="P409" s="152">
        <f t="shared" si="215"/>
        <v>0</v>
      </c>
      <c r="Q409" s="152">
        <f t="shared" si="215"/>
        <v>0</v>
      </c>
      <c r="R409" s="152">
        <f t="shared" si="215"/>
        <v>0</v>
      </c>
      <c r="S409" s="152">
        <f t="shared" si="215"/>
        <v>0</v>
      </c>
      <c r="T409" s="152">
        <f t="shared" si="215"/>
        <v>0</v>
      </c>
      <c r="U409" s="152">
        <f t="shared" si="215"/>
        <v>0</v>
      </c>
      <c r="V409" s="152">
        <f t="shared" si="215"/>
        <v>0</v>
      </c>
      <c r="W409" s="152">
        <f t="shared" si="215"/>
        <v>0</v>
      </c>
      <c r="X409" s="152">
        <f t="shared" si="215"/>
        <v>0</v>
      </c>
      <c r="Y409" s="152">
        <f t="shared" si="215"/>
        <v>0</v>
      </c>
      <c r="Z409" s="152">
        <f t="shared" si="215"/>
        <v>0</v>
      </c>
      <c r="AA409" s="152">
        <f t="shared" si="215"/>
        <v>0</v>
      </c>
      <c r="AB409" s="152">
        <f t="shared" si="215"/>
        <v>0</v>
      </c>
      <c r="AC409" s="152">
        <f t="shared" si="215"/>
        <v>0</v>
      </c>
      <c r="AD409" s="152">
        <f t="shared" si="215"/>
        <v>0</v>
      </c>
      <c r="AE409" s="152">
        <f t="shared" si="215"/>
        <v>0</v>
      </c>
      <c r="AF409" s="152">
        <f t="shared" si="215"/>
        <v>0</v>
      </c>
      <c r="AG409" s="152">
        <f t="shared" si="215"/>
        <v>0</v>
      </c>
      <c r="AH409" s="152">
        <f t="shared" si="215"/>
        <v>0</v>
      </c>
      <c r="AI409" s="152">
        <f t="shared" si="215"/>
        <v>0</v>
      </c>
      <c r="AJ409" s="152">
        <f t="shared" si="215"/>
        <v>0</v>
      </c>
      <c r="AK409" s="152">
        <f t="shared" si="215"/>
        <v>0</v>
      </c>
      <c r="AL409" s="152">
        <f t="shared" si="215"/>
        <v>0</v>
      </c>
      <c r="AM409" s="152">
        <f t="shared" si="215"/>
        <v>0</v>
      </c>
      <c r="AN409" s="152">
        <v>0</v>
      </c>
      <c r="AO409" s="152">
        <f>AN409+AM409+AL409</f>
        <v>0</v>
      </c>
      <c r="AP409" s="152">
        <v>42304.5</v>
      </c>
      <c r="AQ409" s="41">
        <f>IFERROR(VLOOKUP(G409,'10'!A:B,2,0),0)</f>
        <v>703302.1</v>
      </c>
      <c r="AR409" s="41">
        <f t="shared" si="209"/>
        <v>660997.6</v>
      </c>
      <c r="AS409" s="41">
        <f t="shared" si="212"/>
        <v>42304.5</v>
      </c>
      <c r="AT409" s="41">
        <f t="shared" si="208"/>
        <v>703302.1</v>
      </c>
      <c r="AU409" s="41">
        <f t="shared" si="210"/>
        <v>660997.6</v>
      </c>
      <c r="AV409" s="459">
        <f>AT409/AS409</f>
        <v>16.624758595421291</v>
      </c>
      <c r="AW409" s="152">
        <v>0</v>
      </c>
      <c r="AX409" s="152">
        <v>0</v>
      </c>
      <c r="AY409" s="41">
        <f t="shared" si="206"/>
        <v>42304.5</v>
      </c>
      <c r="AZ409" s="41">
        <f>VLOOKUP(G409,'2017'!A:B,2,0)</f>
        <v>637238.27</v>
      </c>
      <c r="BA409" s="552">
        <f>AZ409-AY409</f>
        <v>594933.77</v>
      </c>
      <c r="BB409" s="152">
        <v>1478215.45</v>
      </c>
      <c r="BC409" s="152">
        <v>0</v>
      </c>
      <c r="BD409" s="152">
        <v>0</v>
      </c>
      <c r="BE409" s="152">
        <v>0</v>
      </c>
      <c r="BF409" s="152">
        <v>0</v>
      </c>
      <c r="BG409" s="152">
        <v>0</v>
      </c>
      <c r="BH409" s="152">
        <v>0</v>
      </c>
      <c r="BI409" s="152">
        <v>1520519.95</v>
      </c>
      <c r="BJ409" s="459"/>
      <c r="BK409" s="432"/>
      <c r="BL409" s="432"/>
      <c r="BO409" s="74"/>
    </row>
    <row r="410" spans="1:67" s="8" customFormat="1" ht="47.25" x14ac:dyDescent="0.25">
      <c r="A410" s="55" t="s">
        <v>842</v>
      </c>
      <c r="B410" s="55" t="s">
        <v>843</v>
      </c>
      <c r="C410" s="155" t="s">
        <v>844</v>
      </c>
      <c r="D410" s="55">
        <v>1</v>
      </c>
      <c r="E410" s="55" t="s">
        <v>35</v>
      </c>
      <c r="F410" s="55" t="s">
        <v>5</v>
      </c>
      <c r="G410" s="55" t="s">
        <v>909</v>
      </c>
      <c r="H410" s="45">
        <v>399</v>
      </c>
      <c r="I410" s="45" t="s">
        <v>842</v>
      </c>
      <c r="J410" s="479" t="s">
        <v>893</v>
      </c>
      <c r="K410" s="479" t="s">
        <v>910</v>
      </c>
      <c r="L410" s="35">
        <v>0</v>
      </c>
      <c r="M410" s="35">
        <v>0</v>
      </c>
      <c r="N410" s="35">
        <v>0</v>
      </c>
      <c r="O410" s="35">
        <f>N410+M410+L410</f>
        <v>0</v>
      </c>
      <c r="P410" s="35"/>
      <c r="Q410" s="35"/>
      <c r="R410" s="35">
        <v>0</v>
      </c>
      <c r="S410" s="35"/>
      <c r="T410" s="35"/>
      <c r="U410" s="35">
        <v>0</v>
      </c>
      <c r="V410" s="35"/>
      <c r="W410" s="35"/>
      <c r="X410" s="35">
        <v>0</v>
      </c>
      <c r="Y410" s="35"/>
      <c r="Z410" s="35"/>
      <c r="AA410" s="35">
        <v>0</v>
      </c>
      <c r="AB410" s="35"/>
      <c r="AC410" s="35"/>
      <c r="AD410" s="35">
        <v>0</v>
      </c>
      <c r="AE410" s="35"/>
      <c r="AF410" s="35"/>
      <c r="AG410" s="35">
        <v>0</v>
      </c>
      <c r="AH410" s="41">
        <v>271295</v>
      </c>
      <c r="AI410" s="41">
        <f>AH410-AG410</f>
        <v>271295</v>
      </c>
      <c r="AJ410" s="35">
        <v>0</v>
      </c>
      <c r="AK410" s="41">
        <v>0</v>
      </c>
      <c r="AL410" s="41">
        <f t="shared" ref="AL410:AL418" si="216">AK410-AJ410</f>
        <v>0</v>
      </c>
      <c r="AM410" s="35">
        <v>0</v>
      </c>
      <c r="AN410" s="41">
        <v>395976.72</v>
      </c>
      <c r="AO410" s="41">
        <f t="shared" ref="AO410:AO418" si="217">AN410-AM410</f>
        <v>395976.72</v>
      </c>
      <c r="AP410" s="35">
        <v>0</v>
      </c>
      <c r="AQ410" s="41">
        <f>IFERROR(VLOOKUP(G410,'10'!A:B,2,0),0)</f>
        <v>0</v>
      </c>
      <c r="AR410" s="41">
        <f t="shared" si="209"/>
        <v>0</v>
      </c>
      <c r="AS410" s="41">
        <f t="shared" si="212"/>
        <v>0</v>
      </c>
      <c r="AT410" s="41">
        <f t="shared" si="208"/>
        <v>667271.72</v>
      </c>
      <c r="AU410" s="41">
        <f t="shared" si="210"/>
        <v>667271.72</v>
      </c>
      <c r="AV410" s="459">
        <v>0</v>
      </c>
      <c r="AW410" s="35">
        <v>0</v>
      </c>
      <c r="AX410" s="35">
        <v>0</v>
      </c>
      <c r="AY410" s="41">
        <f t="shared" si="206"/>
        <v>0</v>
      </c>
      <c r="AZ410" s="41"/>
      <c r="BA410" s="36">
        <f>AZ410-AY410</f>
        <v>0</v>
      </c>
      <c r="BB410" s="35">
        <v>555711.18999999994</v>
      </c>
      <c r="BC410" s="35">
        <v>0</v>
      </c>
      <c r="BD410" s="35">
        <v>0</v>
      </c>
      <c r="BE410" s="35">
        <v>0</v>
      </c>
      <c r="BF410" s="35">
        <v>0</v>
      </c>
      <c r="BG410" s="35">
        <v>0</v>
      </c>
      <c r="BH410" s="35">
        <v>0</v>
      </c>
      <c r="BI410" s="35">
        <v>555711.18999999994</v>
      </c>
      <c r="BJ410" s="78"/>
      <c r="BK410" s="461"/>
      <c r="BL410" s="432"/>
      <c r="BO410" s="74"/>
    </row>
    <row r="411" spans="1:67" s="8" customFormat="1" ht="47.25" x14ac:dyDescent="0.25">
      <c r="A411" s="472" t="s">
        <v>57</v>
      </c>
      <c r="B411" s="472" t="s">
        <v>58</v>
      </c>
      <c r="C411" s="473" t="s">
        <v>569</v>
      </c>
      <c r="D411" s="472">
        <v>3</v>
      </c>
      <c r="E411" s="472" t="s">
        <v>35</v>
      </c>
      <c r="F411" s="472" t="s">
        <v>5</v>
      </c>
      <c r="G411" s="474" t="s">
        <v>667</v>
      </c>
      <c r="H411" s="45">
        <v>400</v>
      </c>
      <c r="I411" s="45" t="s">
        <v>57</v>
      </c>
      <c r="J411" s="475" t="s">
        <v>668</v>
      </c>
      <c r="K411" s="475" t="s">
        <v>669</v>
      </c>
      <c r="L411" s="41">
        <v>0</v>
      </c>
      <c r="M411" s="41">
        <v>0</v>
      </c>
      <c r="N411" s="41">
        <v>0</v>
      </c>
      <c r="O411" s="41">
        <v>0</v>
      </c>
      <c r="P411" s="41">
        <v>0</v>
      </c>
      <c r="Q411" s="41">
        <f>P411-O411</f>
        <v>0</v>
      </c>
      <c r="R411" s="41">
        <v>0</v>
      </c>
      <c r="S411" s="41">
        <v>0</v>
      </c>
      <c r="T411" s="41">
        <f>S411-R411</f>
        <v>0</v>
      </c>
      <c r="U411" s="41">
        <v>0</v>
      </c>
      <c r="V411" s="41">
        <v>0</v>
      </c>
      <c r="W411" s="41">
        <f>V411-U411</f>
        <v>0</v>
      </c>
      <c r="X411" s="41">
        <v>0</v>
      </c>
      <c r="Y411" s="41">
        <v>0</v>
      </c>
      <c r="Z411" s="41">
        <f>Y411-X411</f>
        <v>0</v>
      </c>
      <c r="AA411" s="41">
        <v>18894.48</v>
      </c>
      <c r="AB411" s="41">
        <v>0</v>
      </c>
      <c r="AC411" s="41">
        <f>AB411-AA411</f>
        <v>-18894.48</v>
      </c>
      <c r="AD411" s="41">
        <v>0</v>
      </c>
      <c r="AE411" s="41">
        <v>0</v>
      </c>
      <c r="AF411" s="41">
        <f>AE411-AD411</f>
        <v>0</v>
      </c>
      <c r="AG411" s="41">
        <v>0</v>
      </c>
      <c r="AH411" s="41">
        <v>0</v>
      </c>
      <c r="AI411" s="41">
        <f>AH411-AG411</f>
        <v>0</v>
      </c>
      <c r="AJ411" s="41">
        <v>0</v>
      </c>
      <c r="AK411" s="41">
        <v>355558</v>
      </c>
      <c r="AL411" s="41">
        <f t="shared" si="216"/>
        <v>355558</v>
      </c>
      <c r="AM411" s="41">
        <v>0</v>
      </c>
      <c r="AN411" s="41">
        <v>0</v>
      </c>
      <c r="AO411" s="41">
        <f t="shared" si="217"/>
        <v>0</v>
      </c>
      <c r="AP411" s="41">
        <v>0</v>
      </c>
      <c r="AQ411" s="41">
        <f>IFERROR(VLOOKUP(G411,'10'!A:B,2,0),0)</f>
        <v>338134.66</v>
      </c>
      <c r="AR411" s="41">
        <f t="shared" si="209"/>
        <v>338134.66</v>
      </c>
      <c r="AS411" s="41">
        <f t="shared" si="212"/>
        <v>18894.48</v>
      </c>
      <c r="AT411" s="41">
        <f t="shared" si="208"/>
        <v>693692.65999999992</v>
      </c>
      <c r="AU411" s="41">
        <f t="shared" si="210"/>
        <v>674798.17999999993</v>
      </c>
      <c r="AV411" s="459">
        <f>AT411/AS411</f>
        <v>36.714038174112225</v>
      </c>
      <c r="AW411" s="41">
        <v>0</v>
      </c>
      <c r="AX411" s="41">
        <v>0</v>
      </c>
      <c r="AY411" s="41">
        <f t="shared" si="206"/>
        <v>18894.48</v>
      </c>
      <c r="AZ411" s="41">
        <f>VLOOKUP(G411,'2017'!A:B,2,0)</f>
        <v>750622.45</v>
      </c>
      <c r="BA411" s="552">
        <v>0</v>
      </c>
      <c r="BB411" s="41">
        <v>372331.88</v>
      </c>
      <c r="BC411" s="41">
        <v>0</v>
      </c>
      <c r="BD411" s="41">
        <v>0</v>
      </c>
      <c r="BE411" s="41">
        <v>0</v>
      </c>
      <c r="BF411" s="41">
        <v>0</v>
      </c>
      <c r="BG411" s="41">
        <v>0</v>
      </c>
      <c r="BH411" s="41">
        <v>0</v>
      </c>
      <c r="BI411" s="41">
        <v>391226.36</v>
      </c>
      <c r="BJ411" s="75"/>
      <c r="BK411" s="461"/>
      <c r="BL411" s="432"/>
      <c r="BO411" s="74"/>
    </row>
    <row r="412" spans="1:67" s="8" customFormat="1" ht="63" x14ac:dyDescent="0.25">
      <c r="A412" s="439" t="s">
        <v>57</v>
      </c>
      <c r="B412" s="439" t="s">
        <v>58</v>
      </c>
      <c r="C412" s="440" t="s">
        <v>569</v>
      </c>
      <c r="D412" s="439">
        <v>3</v>
      </c>
      <c r="E412" s="439" t="s">
        <v>35</v>
      </c>
      <c r="F412" s="439" t="s">
        <v>5</v>
      </c>
      <c r="G412" s="439" t="s">
        <v>1255</v>
      </c>
      <c r="H412" s="45">
        <v>401</v>
      </c>
      <c r="I412" s="45" t="s">
        <v>57</v>
      </c>
      <c r="J412" s="440" t="s">
        <v>413</v>
      </c>
      <c r="K412" s="440" t="s">
        <v>1256</v>
      </c>
      <c r="L412" s="441">
        <v>0</v>
      </c>
      <c r="M412" s="441">
        <v>0</v>
      </c>
      <c r="N412" s="441">
        <v>0</v>
      </c>
      <c r="O412" s="441">
        <f>N412+M412+L412</f>
        <v>0</v>
      </c>
      <c r="P412" s="441"/>
      <c r="Q412" s="441"/>
      <c r="R412" s="441">
        <v>0</v>
      </c>
      <c r="S412" s="441"/>
      <c r="T412" s="441"/>
      <c r="U412" s="441">
        <v>0</v>
      </c>
      <c r="V412" s="441"/>
      <c r="W412" s="441"/>
      <c r="X412" s="441">
        <v>0</v>
      </c>
      <c r="Y412" s="441"/>
      <c r="Z412" s="441"/>
      <c r="AA412" s="441">
        <v>0</v>
      </c>
      <c r="AB412" s="441"/>
      <c r="AC412" s="441"/>
      <c r="AD412" s="441">
        <v>0</v>
      </c>
      <c r="AE412" s="441"/>
      <c r="AF412" s="441"/>
      <c r="AG412" s="441">
        <v>0</v>
      </c>
      <c r="AH412" s="441"/>
      <c r="AI412" s="441"/>
      <c r="AJ412" s="441">
        <v>0</v>
      </c>
      <c r="AK412" s="41">
        <v>675650</v>
      </c>
      <c r="AL412" s="41">
        <f t="shared" si="216"/>
        <v>675650</v>
      </c>
      <c r="AM412" s="441">
        <v>0</v>
      </c>
      <c r="AN412" s="41">
        <v>0</v>
      </c>
      <c r="AO412" s="41">
        <f t="shared" si="217"/>
        <v>0</v>
      </c>
      <c r="AP412" s="441">
        <v>0</v>
      </c>
      <c r="AQ412" s="41">
        <f>IFERROR(VLOOKUP(G412,'10'!A:B,2,0),0)</f>
        <v>0</v>
      </c>
      <c r="AR412" s="41">
        <f t="shared" si="209"/>
        <v>0</v>
      </c>
      <c r="AS412" s="41">
        <f t="shared" si="212"/>
        <v>0</v>
      </c>
      <c r="AT412" s="41">
        <f t="shared" si="208"/>
        <v>675650</v>
      </c>
      <c r="AU412" s="41">
        <f t="shared" si="210"/>
        <v>675650</v>
      </c>
      <c r="AV412" s="459">
        <v>0</v>
      </c>
      <c r="AW412" s="441">
        <v>0</v>
      </c>
      <c r="AX412" s="441">
        <v>0</v>
      </c>
      <c r="AY412" s="41">
        <f t="shared" si="206"/>
        <v>0</v>
      </c>
      <c r="AZ412" s="41"/>
      <c r="BA412" s="40">
        <f>AZ412-AY412</f>
        <v>0</v>
      </c>
      <c r="BB412" s="441">
        <v>1700900.1400000001</v>
      </c>
      <c r="BC412" s="441">
        <v>0</v>
      </c>
      <c r="BD412" s="441">
        <v>0</v>
      </c>
      <c r="BE412" s="441">
        <v>0</v>
      </c>
      <c r="BF412" s="441">
        <v>0</v>
      </c>
      <c r="BG412" s="441">
        <v>0</v>
      </c>
      <c r="BH412" s="441">
        <v>0</v>
      </c>
      <c r="BI412" s="441">
        <v>1700900.1400000001</v>
      </c>
      <c r="BJ412" s="201"/>
      <c r="BK412" s="461"/>
      <c r="BL412" s="432"/>
      <c r="BO412" s="74"/>
    </row>
    <row r="413" spans="1:67" s="8" customFormat="1" ht="31.5" x14ac:dyDescent="0.25">
      <c r="A413" s="439" t="s">
        <v>33</v>
      </c>
      <c r="B413" s="439" t="s">
        <v>34</v>
      </c>
      <c r="C413" s="440" t="s">
        <v>566</v>
      </c>
      <c r="D413" s="439">
        <v>1</v>
      </c>
      <c r="E413" s="439" t="s">
        <v>35</v>
      </c>
      <c r="F413" s="439" t="s">
        <v>5</v>
      </c>
      <c r="G413" s="439" t="s">
        <v>1097</v>
      </c>
      <c r="H413" s="45">
        <v>402</v>
      </c>
      <c r="I413" s="45" t="s">
        <v>33</v>
      </c>
      <c r="J413" s="440" t="s">
        <v>741</v>
      </c>
      <c r="K413" s="440" t="s">
        <v>1098</v>
      </c>
      <c r="L413" s="441">
        <v>0</v>
      </c>
      <c r="M413" s="441">
        <v>0</v>
      </c>
      <c r="N413" s="441">
        <v>0</v>
      </c>
      <c r="O413" s="441">
        <f>N413+M413+L413</f>
        <v>0</v>
      </c>
      <c r="P413" s="441"/>
      <c r="Q413" s="441"/>
      <c r="R413" s="441">
        <v>0</v>
      </c>
      <c r="S413" s="441"/>
      <c r="T413" s="441"/>
      <c r="U413" s="441">
        <v>0</v>
      </c>
      <c r="V413" s="441"/>
      <c r="W413" s="441"/>
      <c r="X413" s="441">
        <v>0</v>
      </c>
      <c r="Y413" s="441"/>
      <c r="Z413" s="441"/>
      <c r="AA413" s="441">
        <v>0</v>
      </c>
      <c r="AB413" s="441"/>
      <c r="AC413" s="441"/>
      <c r="AD413" s="441">
        <v>0</v>
      </c>
      <c r="AE413" s="441"/>
      <c r="AF413" s="441"/>
      <c r="AG413" s="441">
        <v>0</v>
      </c>
      <c r="AH413" s="441"/>
      <c r="AI413" s="441"/>
      <c r="AJ413" s="441">
        <v>0</v>
      </c>
      <c r="AK413" s="41">
        <v>238835.59</v>
      </c>
      <c r="AL413" s="41">
        <f t="shared" si="216"/>
        <v>238835.59</v>
      </c>
      <c r="AM413" s="441">
        <v>0</v>
      </c>
      <c r="AN413" s="41">
        <v>0</v>
      </c>
      <c r="AO413" s="41">
        <f t="shared" si="217"/>
        <v>0</v>
      </c>
      <c r="AP413" s="441">
        <v>0</v>
      </c>
      <c r="AQ413" s="41">
        <f>IFERROR(VLOOKUP(G413,'10'!A:B,2,0),0)</f>
        <v>471623.27</v>
      </c>
      <c r="AR413" s="41">
        <f t="shared" si="209"/>
        <v>471623.27</v>
      </c>
      <c r="AS413" s="41">
        <f t="shared" si="212"/>
        <v>0</v>
      </c>
      <c r="AT413" s="41">
        <f t="shared" si="208"/>
        <v>710458.86</v>
      </c>
      <c r="AU413" s="41">
        <f t="shared" si="210"/>
        <v>710458.86</v>
      </c>
      <c r="AV413" s="459">
        <v>0</v>
      </c>
      <c r="AW413" s="441">
        <v>0</v>
      </c>
      <c r="AX413" s="441">
        <v>0</v>
      </c>
      <c r="AY413" s="41">
        <f t="shared" si="206"/>
        <v>0</v>
      </c>
      <c r="AZ413" s="41"/>
      <c r="BA413" s="40">
        <f>AZ413-AY413</f>
        <v>0</v>
      </c>
      <c r="BB413" s="441">
        <v>2529248.9500000002</v>
      </c>
      <c r="BC413" s="441">
        <v>996183.85</v>
      </c>
      <c r="BD413" s="441">
        <v>299567.2</v>
      </c>
      <c r="BE413" s="441">
        <v>0</v>
      </c>
      <c r="BF413" s="441">
        <v>0</v>
      </c>
      <c r="BG413" s="441">
        <v>0</v>
      </c>
      <c r="BH413" s="441">
        <v>0</v>
      </c>
      <c r="BI413" s="441">
        <v>3825000.0000000005</v>
      </c>
      <c r="BJ413" s="24"/>
      <c r="BK413" s="461"/>
      <c r="BL413" s="432"/>
      <c r="BO413" s="74"/>
    </row>
    <row r="414" spans="1:67" s="8" customFormat="1" ht="63" x14ac:dyDescent="0.25">
      <c r="A414" s="470" t="s">
        <v>150</v>
      </c>
      <c r="B414" s="470" t="s">
        <v>151</v>
      </c>
      <c r="C414" s="471" t="s">
        <v>578</v>
      </c>
      <c r="D414" s="470" t="s">
        <v>3</v>
      </c>
      <c r="E414" s="470" t="s">
        <v>29</v>
      </c>
      <c r="F414" s="470" t="s">
        <v>102</v>
      </c>
      <c r="G414" s="43" t="s">
        <v>170</v>
      </c>
      <c r="H414" s="45">
        <v>403</v>
      </c>
      <c r="I414" s="45" t="s">
        <v>150</v>
      </c>
      <c r="J414" s="475" t="s">
        <v>98</v>
      </c>
      <c r="K414" s="475" t="s">
        <v>171</v>
      </c>
      <c r="L414" s="41">
        <v>0</v>
      </c>
      <c r="M414" s="41">
        <v>0</v>
      </c>
      <c r="N414" s="41">
        <v>0</v>
      </c>
      <c r="O414" s="41">
        <v>0</v>
      </c>
      <c r="P414" s="41">
        <v>0</v>
      </c>
      <c r="Q414" s="41">
        <f>P414-O414</f>
        <v>0</v>
      </c>
      <c r="R414" s="41">
        <v>0</v>
      </c>
      <c r="S414" s="41">
        <v>0</v>
      </c>
      <c r="T414" s="41">
        <f>S414-R414</f>
        <v>0</v>
      </c>
      <c r="U414" s="41">
        <v>0</v>
      </c>
      <c r="V414" s="41">
        <v>0</v>
      </c>
      <c r="W414" s="41">
        <f>V414-U414</f>
        <v>0</v>
      </c>
      <c r="X414" s="41">
        <v>2448000</v>
      </c>
      <c r="Y414" s="41">
        <v>3751532.79</v>
      </c>
      <c r="Z414" s="41">
        <f>Y414-X414</f>
        <v>1303532.79</v>
      </c>
      <c r="AA414" s="41">
        <v>0</v>
      </c>
      <c r="AB414" s="41">
        <v>0</v>
      </c>
      <c r="AC414" s="41">
        <f>AB414-AA414</f>
        <v>0</v>
      </c>
      <c r="AD414" s="41">
        <v>0</v>
      </c>
      <c r="AE414" s="41">
        <v>0</v>
      </c>
      <c r="AF414" s="41">
        <f>AE414-AD414</f>
        <v>0</v>
      </c>
      <c r="AG414" s="41">
        <v>952000</v>
      </c>
      <c r="AH414" s="41">
        <v>0</v>
      </c>
      <c r="AI414" s="41">
        <f>AH414-AG414</f>
        <v>-952000</v>
      </c>
      <c r="AJ414" s="41">
        <v>0</v>
      </c>
      <c r="AK414" s="41">
        <v>1919925.06</v>
      </c>
      <c r="AL414" s="41">
        <f t="shared" si="216"/>
        <v>1919925.06</v>
      </c>
      <c r="AM414" s="41">
        <v>0</v>
      </c>
      <c r="AN414" s="41">
        <v>0</v>
      </c>
      <c r="AO414" s="41">
        <f t="shared" si="217"/>
        <v>0</v>
      </c>
      <c r="AP414" s="41">
        <v>4080000</v>
      </c>
      <c r="AQ414" s="41">
        <f>IFERROR(VLOOKUP(G414,'10'!A:B,2,0),0)</f>
        <v>2521218.39</v>
      </c>
      <c r="AR414" s="41">
        <f t="shared" si="209"/>
        <v>-1558781.6099999999</v>
      </c>
      <c r="AS414" s="41">
        <f t="shared" si="212"/>
        <v>7480000</v>
      </c>
      <c r="AT414" s="41">
        <f>AN414+AK414+AH414+AE414+AB414+Y414+V414+S414+P414+AQ414</f>
        <v>8192676.2400000002</v>
      </c>
      <c r="AU414" s="41">
        <f t="shared" si="210"/>
        <v>712676.24000000022</v>
      </c>
      <c r="AV414" s="459">
        <f>AT414/AS414</f>
        <v>1.0952775721925134</v>
      </c>
      <c r="AW414" s="41">
        <v>0</v>
      </c>
      <c r="AX414" s="41">
        <v>0</v>
      </c>
      <c r="AY414" s="41">
        <f t="shared" si="206"/>
        <v>7480000</v>
      </c>
      <c r="AZ414" s="41">
        <f>VLOOKUP(G414,'2017'!A:B,2,0)</f>
        <v>8192676.2400000002</v>
      </c>
      <c r="BA414" s="552">
        <f>AZ414-AY414</f>
        <v>712676.24000000022</v>
      </c>
      <c r="BB414" s="41">
        <v>6201015.2000000002</v>
      </c>
      <c r="BC414" s="41">
        <v>0</v>
      </c>
      <c r="BD414" s="41">
        <v>0</v>
      </c>
      <c r="BE414" s="41">
        <v>0</v>
      </c>
      <c r="BF414" s="41">
        <v>0</v>
      </c>
      <c r="BG414" s="41">
        <v>0</v>
      </c>
      <c r="BH414" s="41">
        <v>0</v>
      </c>
      <c r="BI414" s="41">
        <v>13681015.199999999</v>
      </c>
      <c r="BJ414" s="423"/>
      <c r="BK414" s="461"/>
      <c r="BL414" s="432"/>
      <c r="BO414" s="74"/>
    </row>
    <row r="415" spans="1:67" s="8" customFormat="1" ht="47.25" x14ac:dyDescent="0.25">
      <c r="A415" s="470" t="s">
        <v>138</v>
      </c>
      <c r="B415" s="470" t="s">
        <v>139</v>
      </c>
      <c r="C415" s="471" t="s">
        <v>576</v>
      </c>
      <c r="D415" s="470">
        <v>2</v>
      </c>
      <c r="E415" s="470" t="s">
        <v>35</v>
      </c>
      <c r="F415" s="470" t="s">
        <v>5</v>
      </c>
      <c r="G415" s="470" t="s">
        <v>923</v>
      </c>
      <c r="H415" s="45">
        <v>404</v>
      </c>
      <c r="I415" s="45" t="s">
        <v>138</v>
      </c>
      <c r="J415" s="471" t="s">
        <v>897</v>
      </c>
      <c r="K415" s="471" t="s">
        <v>924</v>
      </c>
      <c r="L415" s="43">
        <v>0</v>
      </c>
      <c r="M415" s="43">
        <v>0</v>
      </c>
      <c r="N415" s="43">
        <v>0</v>
      </c>
      <c r="O415" s="43">
        <v>0</v>
      </c>
      <c r="P415" s="43"/>
      <c r="Q415" s="43"/>
      <c r="R415" s="43">
        <v>0</v>
      </c>
      <c r="S415" s="43"/>
      <c r="T415" s="43"/>
      <c r="U415" s="43">
        <v>0</v>
      </c>
      <c r="V415" s="43"/>
      <c r="W415" s="43"/>
      <c r="X415" s="43">
        <v>0</v>
      </c>
      <c r="Y415" s="43"/>
      <c r="Z415" s="41">
        <f>Y415-X415</f>
        <v>0</v>
      </c>
      <c r="AA415" s="43">
        <v>0</v>
      </c>
      <c r="AB415" s="43"/>
      <c r="AC415" s="43"/>
      <c r="AD415" s="43">
        <v>0</v>
      </c>
      <c r="AE415" s="43"/>
      <c r="AF415" s="43"/>
      <c r="AG415" s="43">
        <v>0</v>
      </c>
      <c r="AH415" s="41">
        <v>445747.51</v>
      </c>
      <c r="AI415" s="41">
        <f>AH415-AG415</f>
        <v>445747.51</v>
      </c>
      <c r="AJ415" s="41">
        <v>0</v>
      </c>
      <c r="AK415" s="41">
        <v>0</v>
      </c>
      <c r="AL415" s="41">
        <f t="shared" si="216"/>
        <v>0</v>
      </c>
      <c r="AM415" s="41">
        <v>0</v>
      </c>
      <c r="AN415" s="41">
        <v>307693.07</v>
      </c>
      <c r="AO415" s="41">
        <f t="shared" si="217"/>
        <v>307693.07</v>
      </c>
      <c r="AP415" s="41">
        <v>0</v>
      </c>
      <c r="AQ415" s="41">
        <f>IFERROR(VLOOKUP(G415,'10'!A:B,2,0),0)</f>
        <v>0</v>
      </c>
      <c r="AR415" s="41">
        <f t="shared" si="209"/>
        <v>0</v>
      </c>
      <c r="AS415" s="41">
        <f t="shared" si="212"/>
        <v>0</v>
      </c>
      <c r="AT415" s="41">
        <f>AN415+AK415+AH415+AE415+AB415+Y415+V415+S415+P415+AQ415</f>
        <v>753440.58000000007</v>
      </c>
      <c r="AU415" s="41">
        <f t="shared" si="210"/>
        <v>753440.58000000007</v>
      </c>
      <c r="AV415" s="459">
        <v>0</v>
      </c>
      <c r="AW415" s="41">
        <v>0</v>
      </c>
      <c r="AX415" s="41">
        <v>0</v>
      </c>
      <c r="AY415" s="41">
        <f t="shared" si="206"/>
        <v>0</v>
      </c>
      <c r="AZ415" s="41"/>
      <c r="BA415" s="36">
        <f>AZ415-AY415</f>
        <v>0</v>
      </c>
      <c r="BB415" s="41">
        <v>495503.21</v>
      </c>
      <c r="BC415" s="41">
        <v>0</v>
      </c>
      <c r="BD415" s="41">
        <v>0</v>
      </c>
      <c r="BE415" s="41">
        <v>0</v>
      </c>
      <c r="BF415" s="41">
        <v>0</v>
      </c>
      <c r="BG415" s="41">
        <v>0</v>
      </c>
      <c r="BH415" s="41">
        <v>0</v>
      </c>
      <c r="BI415" s="41">
        <v>495503.21</v>
      </c>
      <c r="BJ415" s="424"/>
      <c r="BK415" s="461"/>
      <c r="BL415" s="432"/>
      <c r="BO415" s="74"/>
    </row>
    <row r="416" spans="1:67" s="8" customFormat="1" ht="31.5" x14ac:dyDescent="0.25">
      <c r="A416" s="470" t="s">
        <v>138</v>
      </c>
      <c r="B416" s="470" t="s">
        <v>139</v>
      </c>
      <c r="C416" s="471" t="s">
        <v>576</v>
      </c>
      <c r="D416" s="470">
        <v>2</v>
      </c>
      <c r="E416" s="470" t="s">
        <v>35</v>
      </c>
      <c r="F416" s="470" t="s">
        <v>5</v>
      </c>
      <c r="G416" s="43" t="s">
        <v>705</v>
      </c>
      <c r="H416" s="45">
        <v>405</v>
      </c>
      <c r="I416" s="45" t="s">
        <v>138</v>
      </c>
      <c r="J416" s="475" t="s">
        <v>662</v>
      </c>
      <c r="K416" s="475" t="s">
        <v>706</v>
      </c>
      <c r="L416" s="41">
        <v>0</v>
      </c>
      <c r="M416" s="41">
        <v>0</v>
      </c>
      <c r="N416" s="41">
        <v>0</v>
      </c>
      <c r="O416" s="41">
        <v>0</v>
      </c>
      <c r="P416" s="41">
        <v>0</v>
      </c>
      <c r="Q416" s="41">
        <f>P416-O416</f>
        <v>0</v>
      </c>
      <c r="R416" s="41">
        <v>0</v>
      </c>
      <c r="S416" s="41">
        <v>0</v>
      </c>
      <c r="T416" s="41">
        <f>S416-R416</f>
        <v>0</v>
      </c>
      <c r="U416" s="41">
        <v>0</v>
      </c>
      <c r="V416" s="41">
        <v>0</v>
      </c>
      <c r="W416" s="41">
        <f>V416-U416</f>
        <v>0</v>
      </c>
      <c r="X416" s="41">
        <v>0</v>
      </c>
      <c r="Y416" s="41">
        <v>0</v>
      </c>
      <c r="Z416" s="41">
        <f>Y416-X416</f>
        <v>0</v>
      </c>
      <c r="AA416" s="41">
        <v>121696</v>
      </c>
      <c r="AB416" s="41">
        <v>485980</v>
      </c>
      <c r="AC416" s="41">
        <f>AB416-AA416</f>
        <v>364284</v>
      </c>
      <c r="AD416" s="41">
        <v>0</v>
      </c>
      <c r="AE416" s="41">
        <v>0</v>
      </c>
      <c r="AF416" s="41">
        <f>AE416-AD416</f>
        <v>0</v>
      </c>
      <c r="AG416" s="41">
        <v>0</v>
      </c>
      <c r="AH416" s="41">
        <v>164565.84</v>
      </c>
      <c r="AI416" s="41">
        <f>AH416-AG416</f>
        <v>164565.84</v>
      </c>
      <c r="AJ416" s="41">
        <v>0</v>
      </c>
      <c r="AK416" s="41">
        <v>0</v>
      </c>
      <c r="AL416" s="41">
        <f t="shared" si="216"/>
        <v>0</v>
      </c>
      <c r="AM416" s="41">
        <v>0</v>
      </c>
      <c r="AN416" s="41">
        <v>0</v>
      </c>
      <c r="AO416" s="41">
        <f t="shared" si="217"/>
        <v>0</v>
      </c>
      <c r="AP416" s="41">
        <v>0</v>
      </c>
      <c r="AQ416" s="41">
        <f>IFERROR(VLOOKUP(G416,'10'!A:B,2,0),0)</f>
        <v>239521.88</v>
      </c>
      <c r="AR416" s="41">
        <f t="shared" si="209"/>
        <v>239521.88</v>
      </c>
      <c r="AS416" s="41">
        <f t="shared" si="212"/>
        <v>121696</v>
      </c>
      <c r="AT416" s="41">
        <f>AN416+AK416+AH416+AE416+AB416+-Y416+V416+S416+P416+AQ416</f>
        <v>890067.72</v>
      </c>
      <c r="AU416" s="41">
        <f t="shared" si="210"/>
        <v>768371.72</v>
      </c>
      <c r="AV416" s="459">
        <f>AT416/AS416</f>
        <v>7.3138617538785171</v>
      </c>
      <c r="AW416" s="41">
        <v>0</v>
      </c>
      <c r="AX416" s="41">
        <v>0</v>
      </c>
      <c r="AY416" s="41">
        <f t="shared" si="206"/>
        <v>121696</v>
      </c>
      <c r="AZ416" s="41">
        <f>VLOOKUP(G416,'2017'!A:B,2,0)</f>
        <v>971960.04</v>
      </c>
      <c r="BA416" s="552">
        <f>AZ416-AY416</f>
        <v>850264.04</v>
      </c>
      <c r="BB416" s="41">
        <v>477015</v>
      </c>
      <c r="BC416" s="41">
        <v>0</v>
      </c>
      <c r="BD416" s="41">
        <v>0</v>
      </c>
      <c r="BE416" s="41">
        <v>0</v>
      </c>
      <c r="BF416" s="41">
        <v>0</v>
      </c>
      <c r="BG416" s="41">
        <v>0</v>
      </c>
      <c r="BH416" s="41">
        <v>0</v>
      </c>
      <c r="BI416" s="41">
        <v>598711</v>
      </c>
      <c r="BJ416" s="423"/>
      <c r="BK416" s="461"/>
      <c r="BL416" s="432"/>
      <c r="BO416" s="74"/>
    </row>
    <row r="417" spans="1:67" s="8" customFormat="1" ht="47.25" x14ac:dyDescent="0.25">
      <c r="A417" s="472" t="s">
        <v>138</v>
      </c>
      <c r="B417" s="472" t="s">
        <v>139</v>
      </c>
      <c r="C417" s="473" t="s">
        <v>576</v>
      </c>
      <c r="D417" s="472">
        <v>2</v>
      </c>
      <c r="E417" s="472" t="s">
        <v>35</v>
      </c>
      <c r="F417" s="472" t="s">
        <v>5</v>
      </c>
      <c r="G417" s="474" t="s">
        <v>707</v>
      </c>
      <c r="H417" s="45">
        <v>406</v>
      </c>
      <c r="I417" s="45" t="s">
        <v>138</v>
      </c>
      <c r="J417" s="475" t="s">
        <v>708</v>
      </c>
      <c r="K417" s="475" t="s">
        <v>709</v>
      </c>
      <c r="L417" s="41">
        <v>0</v>
      </c>
      <c r="M417" s="41">
        <v>0</v>
      </c>
      <c r="N417" s="41">
        <v>0</v>
      </c>
      <c r="O417" s="41">
        <v>0</v>
      </c>
      <c r="P417" s="41">
        <v>0</v>
      </c>
      <c r="Q417" s="41">
        <f>P417-O417</f>
        <v>0</v>
      </c>
      <c r="R417" s="41">
        <v>0</v>
      </c>
      <c r="S417" s="41">
        <v>0</v>
      </c>
      <c r="T417" s="41">
        <f>S417-R417</f>
        <v>0</v>
      </c>
      <c r="U417" s="41">
        <v>0</v>
      </c>
      <c r="V417" s="41">
        <v>0</v>
      </c>
      <c r="W417" s="41">
        <f>V417-U417</f>
        <v>0</v>
      </c>
      <c r="X417" s="41">
        <v>0</v>
      </c>
      <c r="Y417" s="41">
        <v>0</v>
      </c>
      <c r="Z417" s="41">
        <f>Y417-X417</f>
        <v>0</v>
      </c>
      <c r="AA417" s="41">
        <v>11627.5</v>
      </c>
      <c r="AB417" s="41">
        <v>0</v>
      </c>
      <c r="AC417" s="41">
        <f>AB417-AA417</f>
        <v>-11627.5</v>
      </c>
      <c r="AD417" s="41">
        <v>0</v>
      </c>
      <c r="AE417" s="41">
        <v>0</v>
      </c>
      <c r="AF417" s="41">
        <f>AE417-AD417</f>
        <v>0</v>
      </c>
      <c r="AG417" s="41">
        <v>0</v>
      </c>
      <c r="AH417" s="41">
        <v>0</v>
      </c>
      <c r="AI417" s="41">
        <f>AH417-AG417</f>
        <v>0</v>
      </c>
      <c r="AJ417" s="41">
        <v>0</v>
      </c>
      <c r="AK417" s="41">
        <v>500000</v>
      </c>
      <c r="AL417" s="41">
        <f t="shared" si="216"/>
        <v>500000</v>
      </c>
      <c r="AM417" s="41">
        <v>0</v>
      </c>
      <c r="AN417" s="41">
        <v>0</v>
      </c>
      <c r="AO417" s="41">
        <f t="shared" si="217"/>
        <v>0</v>
      </c>
      <c r="AP417" s="41">
        <v>0</v>
      </c>
      <c r="AQ417" s="41">
        <f>IFERROR(VLOOKUP(G417,'10'!A:B,2,0),0)</f>
        <v>299646.46000000002</v>
      </c>
      <c r="AR417" s="41">
        <f t="shared" si="209"/>
        <v>299646.46000000002</v>
      </c>
      <c r="AS417" s="41">
        <f t="shared" si="212"/>
        <v>11627.5</v>
      </c>
      <c r="AT417" s="41">
        <f>AN417+AK417+AH417+AE417+AB417+-Y417+V417+S417+P417+AQ417</f>
        <v>799646.46</v>
      </c>
      <c r="AU417" s="41">
        <f t="shared" si="210"/>
        <v>788018.96</v>
      </c>
      <c r="AV417" s="459">
        <f>AT417/AS417</f>
        <v>68.772002580090302</v>
      </c>
      <c r="AW417" s="41">
        <v>0</v>
      </c>
      <c r="AX417" s="41">
        <v>0</v>
      </c>
      <c r="AY417" s="41">
        <f t="shared" ref="AY417:AY441" si="218">AX417+AW417+AP417+AM417+AJ417+AG417+AA417+X417+U417+R417+O417+AD417</f>
        <v>11627.5</v>
      </c>
      <c r="AZ417" s="41">
        <f>VLOOKUP(G417,'2017'!A:B,2,0)</f>
        <v>799646.48</v>
      </c>
      <c r="BA417" s="552">
        <v>0</v>
      </c>
      <c r="BB417" s="41">
        <v>2329615.9</v>
      </c>
      <c r="BC417" s="41">
        <v>425000</v>
      </c>
      <c r="BD417" s="41">
        <v>0</v>
      </c>
      <c r="BE417" s="41">
        <v>0</v>
      </c>
      <c r="BF417" s="41">
        <v>0</v>
      </c>
      <c r="BG417" s="41">
        <v>0</v>
      </c>
      <c r="BH417" s="41">
        <v>0</v>
      </c>
      <c r="BI417" s="41">
        <v>2766243.4</v>
      </c>
      <c r="BJ417" s="75"/>
      <c r="BK417" s="461"/>
      <c r="BL417" s="432"/>
      <c r="BO417" s="74"/>
    </row>
    <row r="418" spans="1:67" s="8" customFormat="1" ht="31.5" x14ac:dyDescent="0.25">
      <c r="A418" s="470" t="s">
        <v>89</v>
      </c>
      <c r="B418" s="470" t="s">
        <v>846</v>
      </c>
      <c r="C418" s="471" t="s">
        <v>847</v>
      </c>
      <c r="D418" s="470" t="s">
        <v>3</v>
      </c>
      <c r="E418" s="470" t="s">
        <v>11</v>
      </c>
      <c r="F418" s="470" t="s">
        <v>5</v>
      </c>
      <c r="G418" s="43" t="s">
        <v>774</v>
      </c>
      <c r="H418" s="45">
        <v>407</v>
      </c>
      <c r="I418" s="45" t="s">
        <v>89</v>
      </c>
      <c r="J418" s="475" t="s">
        <v>850</v>
      </c>
      <c r="K418" s="475" t="s">
        <v>851</v>
      </c>
      <c r="L418" s="41">
        <v>0</v>
      </c>
      <c r="M418" s="41">
        <v>0</v>
      </c>
      <c r="N418" s="41">
        <v>0</v>
      </c>
      <c r="O418" s="40">
        <v>0</v>
      </c>
      <c r="P418" s="40">
        <v>0</v>
      </c>
      <c r="Q418" s="41">
        <f>P418-O418</f>
        <v>0</v>
      </c>
      <c r="R418" s="40">
        <v>0</v>
      </c>
      <c r="S418" s="40">
        <v>0</v>
      </c>
      <c r="T418" s="41">
        <f>S418-R418</f>
        <v>0</v>
      </c>
      <c r="U418" s="40">
        <v>0</v>
      </c>
      <c r="V418" s="40">
        <v>0</v>
      </c>
      <c r="W418" s="41">
        <f>V418-U418</f>
        <v>0</v>
      </c>
      <c r="X418" s="40">
        <v>0</v>
      </c>
      <c r="Y418" s="40">
        <v>0</v>
      </c>
      <c r="Z418" s="41">
        <f>Y418-X418</f>
        <v>0</v>
      </c>
      <c r="AA418" s="40">
        <v>0</v>
      </c>
      <c r="AB418" s="40">
        <v>0</v>
      </c>
      <c r="AC418" s="41">
        <f>AB418-AA418</f>
        <v>0</v>
      </c>
      <c r="AD418" s="41">
        <v>0</v>
      </c>
      <c r="AE418" s="41">
        <v>573750</v>
      </c>
      <c r="AF418" s="41">
        <f>AE418-AD418</f>
        <v>573750</v>
      </c>
      <c r="AG418" s="40">
        <v>0</v>
      </c>
      <c r="AH418" s="41">
        <v>0</v>
      </c>
      <c r="AI418" s="41">
        <f>AH418-AG418</f>
        <v>0</v>
      </c>
      <c r="AJ418" s="40">
        <v>0</v>
      </c>
      <c r="AK418" s="41">
        <v>0</v>
      </c>
      <c r="AL418" s="41">
        <f t="shared" si="216"/>
        <v>0</v>
      </c>
      <c r="AM418" s="40">
        <v>0</v>
      </c>
      <c r="AN418" s="41">
        <v>230569.92</v>
      </c>
      <c r="AO418" s="41">
        <f t="shared" si="217"/>
        <v>230569.92</v>
      </c>
      <c r="AP418" s="40">
        <v>0</v>
      </c>
      <c r="AQ418" s="41">
        <f>IFERROR(VLOOKUP(G418,'10'!A:B,2,0),0)</f>
        <v>0</v>
      </c>
      <c r="AR418" s="41">
        <f t="shared" si="209"/>
        <v>0</v>
      </c>
      <c r="AS418" s="41">
        <f t="shared" si="212"/>
        <v>0</v>
      </c>
      <c r="AT418" s="41">
        <f>AN418+AK418+AH418+AE418+AB418+-Y418+V418+S418+P418+AQ418</f>
        <v>804319.92</v>
      </c>
      <c r="AU418" s="41">
        <f t="shared" si="210"/>
        <v>804319.92</v>
      </c>
      <c r="AV418" s="459">
        <v>0</v>
      </c>
      <c r="AW418" s="40">
        <v>0</v>
      </c>
      <c r="AX418" s="40">
        <v>0</v>
      </c>
      <c r="AY418" s="41">
        <f t="shared" si="218"/>
        <v>0</v>
      </c>
      <c r="AZ418" s="41"/>
      <c r="BA418" s="36">
        <f>AZ418-AY418</f>
        <v>0</v>
      </c>
      <c r="BB418" s="41">
        <v>637500</v>
      </c>
      <c r="BC418" s="41">
        <v>0</v>
      </c>
      <c r="BD418" s="41">
        <v>0</v>
      </c>
      <c r="BE418" s="41">
        <v>0</v>
      </c>
      <c r="BF418" s="41">
        <v>0</v>
      </c>
      <c r="BG418" s="41">
        <v>0</v>
      </c>
      <c r="BH418" s="41">
        <v>0</v>
      </c>
      <c r="BI418" s="41">
        <v>637500</v>
      </c>
      <c r="BJ418" s="423"/>
      <c r="BK418" s="461"/>
      <c r="BL418" s="432"/>
      <c r="BO418" s="74"/>
    </row>
    <row r="419" spans="1:67" s="8" customFormat="1" ht="38.25" x14ac:dyDescent="0.25">
      <c r="A419" s="18" t="s">
        <v>57</v>
      </c>
      <c r="B419" s="18" t="s">
        <v>58</v>
      </c>
      <c r="C419" s="19" t="s">
        <v>569</v>
      </c>
      <c r="D419" s="18">
        <v>1</v>
      </c>
      <c r="E419" s="18" t="s">
        <v>35</v>
      </c>
      <c r="F419" s="18" t="s">
        <v>5</v>
      </c>
      <c r="G419" s="18" t="s">
        <v>1206</v>
      </c>
      <c r="H419" s="45">
        <v>408</v>
      </c>
      <c r="I419" s="45" t="s">
        <v>57</v>
      </c>
      <c r="J419" s="19" t="s">
        <v>1207</v>
      </c>
      <c r="K419" s="19" t="s">
        <v>1208</v>
      </c>
      <c r="L419" s="145">
        <v>0</v>
      </c>
      <c r="M419" s="145">
        <v>0</v>
      </c>
      <c r="N419" s="145">
        <v>0</v>
      </c>
      <c r="O419" s="145">
        <f>N419+M419+L419</f>
        <v>0</v>
      </c>
      <c r="P419" s="145"/>
      <c r="Q419" s="145"/>
      <c r="R419" s="145">
        <v>0</v>
      </c>
      <c r="S419" s="145"/>
      <c r="T419" s="145"/>
      <c r="U419" s="145">
        <v>0</v>
      </c>
      <c r="V419" s="145"/>
      <c r="W419" s="145"/>
      <c r="X419" s="145">
        <v>0</v>
      </c>
      <c r="Y419" s="145"/>
      <c r="Z419" s="145"/>
      <c r="AA419" s="145">
        <v>0</v>
      </c>
      <c r="AB419" s="145"/>
      <c r="AC419" s="145"/>
      <c r="AD419" s="145">
        <v>0</v>
      </c>
      <c r="AE419" s="145"/>
      <c r="AF419" s="145"/>
      <c r="AG419" s="145">
        <v>0</v>
      </c>
      <c r="AH419" s="145"/>
      <c r="AI419" s="145"/>
      <c r="AJ419" s="145">
        <v>0</v>
      </c>
      <c r="AK419" s="145"/>
      <c r="AL419" s="145"/>
      <c r="AM419" s="145">
        <v>0</v>
      </c>
      <c r="AN419" s="145"/>
      <c r="AO419" s="145"/>
      <c r="AP419" s="145">
        <v>0</v>
      </c>
      <c r="AQ419" s="41">
        <f>IFERROR(VLOOKUP(G419,'10'!A:B,2,0),0)</f>
        <v>822325.78</v>
      </c>
      <c r="AR419" s="41">
        <f t="shared" si="209"/>
        <v>822325.78</v>
      </c>
      <c r="AS419" s="41">
        <f t="shared" si="212"/>
        <v>0</v>
      </c>
      <c r="AT419" s="41">
        <f>AN419+AK419+AH419+AE419+AB419+-Y419+V419+S419+P419+AQ419</f>
        <v>822325.78</v>
      </c>
      <c r="AU419" s="41">
        <f t="shared" si="210"/>
        <v>822325.78</v>
      </c>
      <c r="AV419" s="459">
        <v>0</v>
      </c>
      <c r="AW419" s="145">
        <v>0</v>
      </c>
      <c r="AX419" s="145">
        <v>0</v>
      </c>
      <c r="AY419" s="41">
        <f t="shared" si="218"/>
        <v>0</v>
      </c>
      <c r="AZ419" s="41"/>
      <c r="BA419" s="145"/>
      <c r="BB419" s="145">
        <f>SUM(R419:AX419)</f>
        <v>3289303.12</v>
      </c>
      <c r="BC419" s="145">
        <v>1466926</v>
      </c>
      <c r="BD419" s="145">
        <v>0</v>
      </c>
      <c r="BE419" s="145">
        <v>0</v>
      </c>
      <c r="BF419" s="145">
        <v>0</v>
      </c>
      <c r="BG419" s="145">
        <v>0</v>
      </c>
      <c r="BH419" s="145">
        <v>0</v>
      </c>
      <c r="BI419" s="145">
        <v>1443013.29</v>
      </c>
      <c r="BJ419" s="201"/>
      <c r="BK419" s="518"/>
      <c r="BL419" s="518"/>
      <c r="BO419" s="74"/>
    </row>
    <row r="420" spans="1:67" s="8" customFormat="1" ht="63" x14ac:dyDescent="0.25">
      <c r="A420" s="447" t="s">
        <v>57</v>
      </c>
      <c r="B420" s="447" t="s">
        <v>58</v>
      </c>
      <c r="C420" s="437" t="s">
        <v>569</v>
      </c>
      <c r="D420" s="447">
        <v>3</v>
      </c>
      <c r="E420" s="447" t="s">
        <v>35</v>
      </c>
      <c r="F420" s="447" t="s">
        <v>5</v>
      </c>
      <c r="G420" s="447" t="s">
        <v>1279</v>
      </c>
      <c r="H420" s="45">
        <v>409</v>
      </c>
      <c r="I420" s="45" t="s">
        <v>57</v>
      </c>
      <c r="J420" s="437" t="s">
        <v>898</v>
      </c>
      <c r="K420" s="437" t="s">
        <v>1280</v>
      </c>
      <c r="L420" s="447">
        <v>0</v>
      </c>
      <c r="M420" s="447">
        <v>0</v>
      </c>
      <c r="N420" s="447">
        <v>0</v>
      </c>
      <c r="O420" s="447">
        <v>0</v>
      </c>
      <c r="P420" s="447"/>
      <c r="Q420" s="447"/>
      <c r="R420" s="447">
        <v>0</v>
      </c>
      <c r="S420" s="447"/>
      <c r="T420" s="447"/>
      <c r="U420" s="447">
        <v>0</v>
      </c>
      <c r="V420" s="447"/>
      <c r="W420" s="447"/>
      <c r="X420" s="447">
        <v>0</v>
      </c>
      <c r="Y420" s="447">
        <v>627474.54</v>
      </c>
      <c r="Z420" s="41">
        <f>Y420-X420</f>
        <v>627474.54</v>
      </c>
      <c r="AA420" s="447">
        <v>0</v>
      </c>
      <c r="AB420" s="447"/>
      <c r="AC420" s="447"/>
      <c r="AD420" s="447">
        <v>0</v>
      </c>
      <c r="AE420" s="447"/>
      <c r="AF420" s="447"/>
      <c r="AG420" s="447">
        <v>0</v>
      </c>
      <c r="AH420" s="447"/>
      <c r="AI420" s="447"/>
      <c r="AJ420" s="447">
        <v>0</v>
      </c>
      <c r="AK420" s="41">
        <v>290517.99</v>
      </c>
      <c r="AL420" s="41">
        <f>AK420-AJ420</f>
        <v>290517.99</v>
      </c>
      <c r="AM420" s="447">
        <v>0</v>
      </c>
      <c r="AN420" s="41">
        <v>0</v>
      </c>
      <c r="AO420" s="41">
        <f t="shared" ref="AO420:AO426" si="219">AN420-AM420</f>
        <v>0</v>
      </c>
      <c r="AP420" s="447">
        <v>0</v>
      </c>
      <c r="AQ420" s="41">
        <f>IFERROR(VLOOKUP(G420,'10'!A:B,2,0),0)</f>
        <v>0</v>
      </c>
      <c r="AR420" s="41">
        <f t="shared" si="209"/>
        <v>0</v>
      </c>
      <c r="AS420" s="41">
        <f t="shared" si="212"/>
        <v>0</v>
      </c>
      <c r="AT420" s="41">
        <f>AN420+AK420+AH420+AE420+AB420+Y420+V420+S420+P420+AQ420</f>
        <v>917992.53</v>
      </c>
      <c r="AU420" s="41">
        <f t="shared" si="210"/>
        <v>917992.53</v>
      </c>
      <c r="AV420" s="459">
        <v>0</v>
      </c>
      <c r="AW420" s="447">
        <v>0</v>
      </c>
      <c r="AX420" s="447">
        <v>0</v>
      </c>
      <c r="AY420" s="41">
        <f t="shared" si="218"/>
        <v>0</v>
      </c>
      <c r="AZ420" s="41"/>
      <c r="BA420" s="40">
        <f>AZ420-AY420</f>
        <v>0</v>
      </c>
      <c r="BB420" s="447">
        <v>697193.93</v>
      </c>
      <c r="BC420" s="447">
        <v>0</v>
      </c>
      <c r="BD420" s="447">
        <v>0</v>
      </c>
      <c r="BE420" s="447">
        <v>0</v>
      </c>
      <c r="BF420" s="447">
        <v>0</v>
      </c>
      <c r="BG420" s="447">
        <v>0</v>
      </c>
      <c r="BH420" s="447">
        <v>0</v>
      </c>
      <c r="BI420" s="447">
        <v>697193.93</v>
      </c>
      <c r="BJ420" s="24"/>
      <c r="BK420" s="461"/>
      <c r="BL420" s="432"/>
      <c r="BO420" s="74"/>
    </row>
    <row r="421" spans="1:67" s="8" customFormat="1" ht="25.5" x14ac:dyDescent="0.25">
      <c r="A421" s="55" t="s">
        <v>2639</v>
      </c>
      <c r="B421" s="55" t="s">
        <v>2641</v>
      </c>
      <c r="C421" s="155" t="s">
        <v>2640</v>
      </c>
      <c r="D421" s="55" t="s">
        <v>2642</v>
      </c>
      <c r="E421" s="55" t="s">
        <v>402</v>
      </c>
      <c r="F421" s="55" t="s">
        <v>5</v>
      </c>
      <c r="G421" s="55" t="s">
        <v>2814</v>
      </c>
      <c r="H421" s="45">
        <v>410</v>
      </c>
      <c r="I421" s="45" t="s">
        <v>2639</v>
      </c>
      <c r="J421" s="155" t="s">
        <v>2816</v>
      </c>
      <c r="K421" s="155" t="s">
        <v>2646</v>
      </c>
      <c r="L421" s="335"/>
      <c r="M421" s="497">
        <v>0</v>
      </c>
      <c r="N421" s="497">
        <v>0</v>
      </c>
      <c r="O421" s="497">
        <v>0</v>
      </c>
      <c r="P421" s="497"/>
      <c r="Q421" s="497"/>
      <c r="R421" s="497">
        <v>0</v>
      </c>
      <c r="S421" s="497"/>
      <c r="T421" s="497"/>
      <c r="U421" s="497">
        <v>0</v>
      </c>
      <c r="V421" s="497"/>
      <c r="W421" s="497"/>
      <c r="X421" s="497">
        <v>0</v>
      </c>
      <c r="Y421" s="497"/>
      <c r="Z421" s="497"/>
      <c r="AA421" s="497">
        <v>0</v>
      </c>
      <c r="AB421" s="497"/>
      <c r="AC421" s="497"/>
      <c r="AD421" s="497">
        <v>0</v>
      </c>
      <c r="AE421" s="497"/>
      <c r="AF421" s="497"/>
      <c r="AG421" s="497">
        <v>0</v>
      </c>
      <c r="AH421" s="497"/>
      <c r="AI421" s="497"/>
      <c r="AJ421" s="497">
        <v>0</v>
      </c>
      <c r="AK421" s="497"/>
      <c r="AL421" s="497"/>
      <c r="AM421" s="497">
        <v>0</v>
      </c>
      <c r="AN421" s="41">
        <v>1000000</v>
      </c>
      <c r="AO421" s="41">
        <f t="shared" si="219"/>
        <v>1000000</v>
      </c>
      <c r="AP421" s="497">
        <v>0</v>
      </c>
      <c r="AQ421" s="41">
        <f>IFERROR(VLOOKUP(G421,'10'!A:B,2,0),0)</f>
        <v>0</v>
      </c>
      <c r="AR421" s="41">
        <f t="shared" si="209"/>
        <v>0</v>
      </c>
      <c r="AS421" s="41">
        <f t="shared" si="212"/>
        <v>0</v>
      </c>
      <c r="AT421" s="41">
        <f t="shared" ref="AT421:AT432" si="220">AN421+AK421+AH421+AE421+AB421+-Y421+V421+S421+P421+AQ421</f>
        <v>1000000</v>
      </c>
      <c r="AU421" s="41">
        <f t="shared" si="210"/>
        <v>1000000</v>
      </c>
      <c r="AV421" s="459">
        <v>0</v>
      </c>
      <c r="AW421" s="497">
        <v>0</v>
      </c>
      <c r="AX421" s="497">
        <v>0</v>
      </c>
      <c r="AY421" s="41">
        <f t="shared" si="218"/>
        <v>0</v>
      </c>
      <c r="AZ421" s="41"/>
      <c r="BA421" s="152"/>
      <c r="BB421" s="497">
        <v>3465679.36</v>
      </c>
      <c r="BC421" s="497">
        <v>4843034.2300000004</v>
      </c>
      <c r="BD421" s="497">
        <v>1174857.96</v>
      </c>
      <c r="BE421" s="497">
        <v>0</v>
      </c>
      <c r="BF421" s="497">
        <v>0</v>
      </c>
      <c r="BG421" s="497">
        <v>0</v>
      </c>
      <c r="BH421" s="497">
        <v>0</v>
      </c>
      <c r="BI421" s="497">
        <v>9483571.5500000007</v>
      </c>
      <c r="BJ421" s="145"/>
      <c r="BK421" s="465"/>
      <c r="BL421" s="432"/>
      <c r="BO421" s="74"/>
    </row>
    <row r="422" spans="1:67" s="8" customFormat="1" ht="94.5" x14ac:dyDescent="0.25">
      <c r="A422" s="439" t="s">
        <v>2134</v>
      </c>
      <c r="B422" s="439" t="s">
        <v>2136</v>
      </c>
      <c r="C422" s="440" t="s">
        <v>2135</v>
      </c>
      <c r="D422" s="439">
        <v>2</v>
      </c>
      <c r="E422" s="439" t="s">
        <v>4</v>
      </c>
      <c r="F422" s="439" t="s">
        <v>5</v>
      </c>
      <c r="G422" s="492" t="s">
        <v>2681</v>
      </c>
      <c r="H422" s="45">
        <v>411</v>
      </c>
      <c r="I422" s="45" t="s">
        <v>2134</v>
      </c>
      <c r="J422" s="440" t="s">
        <v>2175</v>
      </c>
      <c r="K422" s="440" t="s">
        <v>2176</v>
      </c>
      <c r="L422" s="441">
        <v>0</v>
      </c>
      <c r="M422" s="441">
        <v>0</v>
      </c>
      <c r="N422" s="441">
        <v>0</v>
      </c>
      <c r="O422" s="441">
        <f>N422+M422+L422</f>
        <v>0</v>
      </c>
      <c r="P422" s="441"/>
      <c r="Q422" s="441"/>
      <c r="R422" s="441">
        <v>0</v>
      </c>
      <c r="S422" s="441"/>
      <c r="T422" s="441"/>
      <c r="U422" s="441">
        <v>0</v>
      </c>
      <c r="V422" s="441"/>
      <c r="W422" s="441"/>
      <c r="X422" s="441">
        <v>0</v>
      </c>
      <c r="Y422" s="441"/>
      <c r="Z422" s="441"/>
      <c r="AA422" s="441">
        <v>0</v>
      </c>
      <c r="AB422" s="441"/>
      <c r="AC422" s="441"/>
      <c r="AD422" s="441">
        <v>0</v>
      </c>
      <c r="AE422" s="441"/>
      <c r="AF422" s="441"/>
      <c r="AG422" s="441">
        <v>0</v>
      </c>
      <c r="AH422" s="441"/>
      <c r="AI422" s="441"/>
      <c r="AJ422" s="441">
        <v>0</v>
      </c>
      <c r="AK422" s="41">
        <v>1050817.05</v>
      </c>
      <c r="AL422" s="41">
        <f>AK422-AJ422</f>
        <v>1050817.05</v>
      </c>
      <c r="AM422" s="441">
        <v>0</v>
      </c>
      <c r="AN422" s="41">
        <v>0</v>
      </c>
      <c r="AO422" s="41">
        <f t="shared" si="219"/>
        <v>0</v>
      </c>
      <c r="AP422" s="441">
        <v>0</v>
      </c>
      <c r="AQ422" s="41">
        <f>IFERROR(VLOOKUP(G422,'10'!A:B,2,0),0)</f>
        <v>0</v>
      </c>
      <c r="AR422" s="41">
        <f t="shared" si="209"/>
        <v>0</v>
      </c>
      <c r="AS422" s="41">
        <f t="shared" si="212"/>
        <v>0</v>
      </c>
      <c r="AT422" s="41">
        <f t="shared" si="220"/>
        <v>1050817.05</v>
      </c>
      <c r="AU422" s="41">
        <f t="shared" si="210"/>
        <v>1050817.05</v>
      </c>
      <c r="AV422" s="459">
        <v>0</v>
      </c>
      <c r="AW422" s="441">
        <v>0</v>
      </c>
      <c r="AX422" s="441">
        <v>0</v>
      </c>
      <c r="AY422" s="41">
        <f t="shared" si="218"/>
        <v>0</v>
      </c>
      <c r="AZ422" s="41"/>
      <c r="BA422" s="40">
        <f>AZ422-AY422</f>
        <v>0</v>
      </c>
      <c r="BB422" s="441">
        <v>1437228</v>
      </c>
      <c r="BC422" s="441">
        <v>0</v>
      </c>
      <c r="BD422" s="441">
        <v>0</v>
      </c>
      <c r="BE422" s="441">
        <v>0</v>
      </c>
      <c r="BF422" s="441">
        <v>0</v>
      </c>
      <c r="BG422" s="441">
        <v>0</v>
      </c>
      <c r="BH422" s="441">
        <v>0</v>
      </c>
      <c r="BI422" s="441">
        <v>1437228</v>
      </c>
      <c r="BJ422" s="144"/>
      <c r="BK422" s="461"/>
      <c r="BL422" s="432"/>
      <c r="BO422" s="74"/>
    </row>
    <row r="423" spans="1:67" s="8" customFormat="1" ht="38.25" x14ac:dyDescent="0.25">
      <c r="A423" s="55" t="s">
        <v>57</v>
      </c>
      <c r="B423" s="55" t="s">
        <v>58</v>
      </c>
      <c r="C423" s="155" t="s">
        <v>569</v>
      </c>
      <c r="D423" s="55">
        <v>3</v>
      </c>
      <c r="E423" s="55" t="s">
        <v>35</v>
      </c>
      <c r="F423" s="55" t="s">
        <v>5</v>
      </c>
      <c r="G423" s="55" t="s">
        <v>1303</v>
      </c>
      <c r="H423" s="45">
        <v>412</v>
      </c>
      <c r="I423" s="45" t="s">
        <v>57</v>
      </c>
      <c r="J423" s="155" t="s">
        <v>1304</v>
      </c>
      <c r="K423" s="155" t="s">
        <v>1305</v>
      </c>
      <c r="L423" s="152">
        <v>0</v>
      </c>
      <c r="M423" s="152">
        <v>0</v>
      </c>
      <c r="N423" s="152">
        <v>0</v>
      </c>
      <c r="O423" s="152">
        <v>0</v>
      </c>
      <c r="P423" s="152"/>
      <c r="Q423" s="152"/>
      <c r="R423" s="152">
        <v>0</v>
      </c>
      <c r="S423" s="152"/>
      <c r="T423" s="152"/>
      <c r="U423" s="152">
        <v>0</v>
      </c>
      <c r="V423" s="152"/>
      <c r="W423" s="152"/>
      <c r="X423" s="152">
        <v>0</v>
      </c>
      <c r="Y423" s="152"/>
      <c r="Z423" s="152"/>
      <c r="AA423" s="152">
        <v>0</v>
      </c>
      <c r="AB423" s="152"/>
      <c r="AC423" s="152"/>
      <c r="AD423" s="152">
        <v>0</v>
      </c>
      <c r="AE423" s="152"/>
      <c r="AF423" s="152"/>
      <c r="AG423" s="152">
        <v>0</v>
      </c>
      <c r="AH423" s="152"/>
      <c r="AI423" s="152"/>
      <c r="AJ423" s="152">
        <v>0</v>
      </c>
      <c r="AK423" s="152"/>
      <c r="AL423" s="152"/>
      <c r="AM423" s="152">
        <v>0</v>
      </c>
      <c r="AN423" s="41">
        <v>706900</v>
      </c>
      <c r="AO423" s="41">
        <f t="shared" si="219"/>
        <v>706900</v>
      </c>
      <c r="AP423" s="152">
        <v>0</v>
      </c>
      <c r="AQ423" s="41">
        <f>IFERROR(VLOOKUP(G423,'10'!A:B,2,0),0)</f>
        <v>408623.45</v>
      </c>
      <c r="AR423" s="41">
        <f t="shared" si="209"/>
        <v>408623.45</v>
      </c>
      <c r="AS423" s="41">
        <f t="shared" si="212"/>
        <v>0</v>
      </c>
      <c r="AT423" s="41">
        <f t="shared" si="220"/>
        <v>1115523.45</v>
      </c>
      <c r="AU423" s="41">
        <f t="shared" si="210"/>
        <v>1115523.45</v>
      </c>
      <c r="AV423" s="459">
        <v>0</v>
      </c>
      <c r="AW423" s="152">
        <v>0</v>
      </c>
      <c r="AX423" s="152">
        <v>0</v>
      </c>
      <c r="AY423" s="41">
        <f t="shared" si="218"/>
        <v>0</v>
      </c>
      <c r="AZ423" s="41"/>
      <c r="BA423" s="152"/>
      <c r="BB423" s="152">
        <v>1592155</v>
      </c>
      <c r="BC423" s="152">
        <v>0</v>
      </c>
      <c r="BD423" s="152">
        <v>0</v>
      </c>
      <c r="BE423" s="152">
        <v>0</v>
      </c>
      <c r="BF423" s="152">
        <v>0</v>
      </c>
      <c r="BG423" s="152">
        <v>0</v>
      </c>
      <c r="BH423" s="152">
        <v>0</v>
      </c>
      <c r="BI423" s="152">
        <v>1592155</v>
      </c>
      <c r="BJ423" s="145"/>
      <c r="BK423" s="465"/>
      <c r="BL423" s="432"/>
      <c r="BO423" s="74"/>
    </row>
    <row r="424" spans="1:67" s="8" customFormat="1" ht="63" x14ac:dyDescent="0.25">
      <c r="A424" s="72" t="s">
        <v>57</v>
      </c>
      <c r="B424" s="72" t="s">
        <v>58</v>
      </c>
      <c r="C424" s="479" t="s">
        <v>569</v>
      </c>
      <c r="D424" s="72">
        <v>3</v>
      </c>
      <c r="E424" s="72" t="s">
        <v>35</v>
      </c>
      <c r="F424" s="72" t="s">
        <v>5</v>
      </c>
      <c r="G424" s="72" t="s">
        <v>899</v>
      </c>
      <c r="H424" s="45">
        <v>413</v>
      </c>
      <c r="I424" s="45" t="s">
        <v>57</v>
      </c>
      <c r="J424" s="479" t="s">
        <v>900</v>
      </c>
      <c r="K424" s="479" t="s">
        <v>901</v>
      </c>
      <c r="L424" s="35">
        <v>0</v>
      </c>
      <c r="M424" s="35">
        <v>0</v>
      </c>
      <c r="N424" s="35">
        <v>0</v>
      </c>
      <c r="O424" s="35">
        <f>N424+M424+L424</f>
        <v>0</v>
      </c>
      <c r="P424" s="35"/>
      <c r="Q424" s="35"/>
      <c r="R424" s="35">
        <v>0</v>
      </c>
      <c r="S424" s="35"/>
      <c r="T424" s="35"/>
      <c r="U424" s="35">
        <v>0</v>
      </c>
      <c r="V424" s="35"/>
      <c r="W424" s="35"/>
      <c r="X424" s="35">
        <v>0</v>
      </c>
      <c r="Y424" s="35"/>
      <c r="Z424" s="35"/>
      <c r="AA424" s="35">
        <v>0</v>
      </c>
      <c r="AB424" s="35"/>
      <c r="AC424" s="35"/>
      <c r="AD424" s="35">
        <v>0</v>
      </c>
      <c r="AE424" s="35"/>
      <c r="AF424" s="35"/>
      <c r="AG424" s="35">
        <v>0</v>
      </c>
      <c r="AH424" s="41">
        <v>1075121</v>
      </c>
      <c r="AI424" s="41">
        <f>AH424-AG424</f>
        <v>1075121</v>
      </c>
      <c r="AJ424" s="35">
        <v>0</v>
      </c>
      <c r="AK424" s="41">
        <v>0</v>
      </c>
      <c r="AL424" s="41">
        <f>AK424-AJ424</f>
        <v>0</v>
      </c>
      <c r="AM424" s="35">
        <v>0</v>
      </c>
      <c r="AN424" s="41">
        <v>0</v>
      </c>
      <c r="AO424" s="41">
        <f t="shared" si="219"/>
        <v>0</v>
      </c>
      <c r="AP424" s="35">
        <v>0</v>
      </c>
      <c r="AQ424" s="41">
        <f>IFERROR(VLOOKUP(G424,'10'!A:B,2,0),0)</f>
        <v>143875.67000000001</v>
      </c>
      <c r="AR424" s="41">
        <f t="shared" si="209"/>
        <v>143875.67000000001</v>
      </c>
      <c r="AS424" s="41">
        <f t="shared" si="212"/>
        <v>0</v>
      </c>
      <c r="AT424" s="41">
        <f t="shared" si="220"/>
        <v>1218996.67</v>
      </c>
      <c r="AU424" s="41">
        <f t="shared" si="210"/>
        <v>1218996.67</v>
      </c>
      <c r="AV424" s="459">
        <v>0</v>
      </c>
      <c r="AW424" s="35">
        <v>0</v>
      </c>
      <c r="AX424" s="35">
        <v>0</v>
      </c>
      <c r="AY424" s="41">
        <f t="shared" si="218"/>
        <v>0</v>
      </c>
      <c r="AZ424" s="41"/>
      <c r="BA424" s="36">
        <f>AZ424-AY424</f>
        <v>0</v>
      </c>
      <c r="BB424" s="35">
        <v>1501600</v>
      </c>
      <c r="BC424" s="35">
        <v>0</v>
      </c>
      <c r="BD424" s="35">
        <v>0</v>
      </c>
      <c r="BE424" s="35">
        <v>0</v>
      </c>
      <c r="BF424" s="35">
        <v>0</v>
      </c>
      <c r="BG424" s="35">
        <v>0</v>
      </c>
      <c r="BH424" s="35">
        <v>0</v>
      </c>
      <c r="BI424" s="35">
        <v>1501600</v>
      </c>
      <c r="BJ424" s="424"/>
      <c r="BK424" s="461"/>
      <c r="BL424" s="432"/>
      <c r="BO424" s="74"/>
    </row>
    <row r="425" spans="1:67" s="8" customFormat="1" ht="25.5" x14ac:dyDescent="0.25">
      <c r="A425" s="52" t="s">
        <v>0</v>
      </c>
      <c r="B425" s="52" t="s">
        <v>1027</v>
      </c>
      <c r="C425" s="476" t="s">
        <v>1028</v>
      </c>
      <c r="D425" s="52" t="s">
        <v>3</v>
      </c>
      <c r="E425" s="52" t="s">
        <v>4</v>
      </c>
      <c r="F425" s="52" t="s">
        <v>5</v>
      </c>
      <c r="G425" s="52" t="s">
        <v>2779</v>
      </c>
      <c r="H425" s="45">
        <v>414</v>
      </c>
      <c r="I425" s="45" t="s">
        <v>0</v>
      </c>
      <c r="J425" s="476" t="s">
        <v>1053</v>
      </c>
      <c r="K425" s="476"/>
      <c r="L425" s="189"/>
      <c r="M425" s="189">
        <v>0</v>
      </c>
      <c r="N425" s="189">
        <v>0</v>
      </c>
      <c r="O425" s="189">
        <v>0</v>
      </c>
      <c r="P425" s="189"/>
      <c r="Q425" s="189"/>
      <c r="R425" s="189">
        <v>0</v>
      </c>
      <c r="S425" s="189"/>
      <c r="T425" s="189"/>
      <c r="U425" s="189">
        <v>0</v>
      </c>
      <c r="V425" s="189"/>
      <c r="W425" s="189"/>
      <c r="X425" s="189">
        <v>0</v>
      </c>
      <c r="Y425" s="189"/>
      <c r="Z425" s="189"/>
      <c r="AA425" s="189">
        <v>0</v>
      </c>
      <c r="AB425" s="189"/>
      <c r="AC425" s="189"/>
      <c r="AD425" s="189">
        <v>0</v>
      </c>
      <c r="AE425" s="189"/>
      <c r="AF425" s="189"/>
      <c r="AG425" s="189">
        <v>0</v>
      </c>
      <c r="AH425" s="189"/>
      <c r="AI425" s="189"/>
      <c r="AJ425" s="189">
        <v>0</v>
      </c>
      <c r="AK425" s="189"/>
      <c r="AL425" s="189"/>
      <c r="AM425" s="189">
        <v>0</v>
      </c>
      <c r="AN425" s="40">
        <v>90166.62</v>
      </c>
      <c r="AO425" s="41">
        <f t="shared" si="219"/>
        <v>90166.62</v>
      </c>
      <c r="AP425" s="189">
        <v>0</v>
      </c>
      <c r="AQ425" s="41">
        <f>IFERROR(VLOOKUP(G425,'10'!A:B,2,0),0)</f>
        <v>1248797.07</v>
      </c>
      <c r="AR425" s="41">
        <f t="shared" si="209"/>
        <v>1248797.07</v>
      </c>
      <c r="AS425" s="41">
        <f t="shared" si="212"/>
        <v>0</v>
      </c>
      <c r="AT425" s="41">
        <f t="shared" si="220"/>
        <v>1338963.69</v>
      </c>
      <c r="AU425" s="41">
        <f t="shared" si="210"/>
        <v>1338963.69</v>
      </c>
      <c r="AV425" s="459">
        <v>0</v>
      </c>
      <c r="AW425" s="189">
        <v>1208767.1500000001</v>
      </c>
      <c r="AX425" s="189">
        <v>151578.79999999999</v>
      </c>
      <c r="AY425" s="41">
        <f t="shared" si="218"/>
        <v>1360345.9500000002</v>
      </c>
      <c r="AZ425" s="41">
        <f>VLOOKUP(G425,'2017'!A:B,2,0)</f>
        <v>1853843.9300000002</v>
      </c>
      <c r="BA425" s="552">
        <f>AZ425-AY425</f>
        <v>493497.98</v>
      </c>
      <c r="BB425" s="189">
        <v>10106114.1</v>
      </c>
      <c r="BC425" s="189">
        <v>6696725</v>
      </c>
      <c r="BD425" s="189">
        <v>2822137.7</v>
      </c>
      <c r="BE425" s="189">
        <v>460557.19999999995</v>
      </c>
      <c r="BF425" s="189">
        <v>0</v>
      </c>
      <c r="BG425" s="189">
        <v>0</v>
      </c>
      <c r="BH425" s="189">
        <v>0</v>
      </c>
      <c r="BI425" s="189">
        <v>21445879.949999999</v>
      </c>
      <c r="BJ425" s="153"/>
      <c r="BK425" s="384"/>
      <c r="BO425" s="74"/>
    </row>
    <row r="426" spans="1:67" s="8" customFormat="1" ht="47.25" x14ac:dyDescent="0.25">
      <c r="A426" s="470" t="s">
        <v>842</v>
      </c>
      <c r="B426" s="470" t="s">
        <v>843</v>
      </c>
      <c r="C426" s="471" t="s">
        <v>844</v>
      </c>
      <c r="D426" s="470">
        <v>1</v>
      </c>
      <c r="E426" s="470" t="s">
        <v>35</v>
      </c>
      <c r="F426" s="470" t="s">
        <v>5</v>
      </c>
      <c r="G426" s="470" t="s">
        <v>944</v>
      </c>
      <c r="H426" s="45">
        <v>415</v>
      </c>
      <c r="I426" s="45" t="s">
        <v>842</v>
      </c>
      <c r="J426" s="471" t="s">
        <v>893</v>
      </c>
      <c r="K426" s="471" t="s">
        <v>906</v>
      </c>
      <c r="L426" s="43">
        <v>0</v>
      </c>
      <c r="M426" s="43">
        <v>0</v>
      </c>
      <c r="N426" s="43">
        <v>0</v>
      </c>
      <c r="O426" s="43">
        <v>0</v>
      </c>
      <c r="P426" s="43"/>
      <c r="Q426" s="43"/>
      <c r="R426" s="43">
        <v>0</v>
      </c>
      <c r="S426" s="43"/>
      <c r="T426" s="43"/>
      <c r="U426" s="43">
        <v>0</v>
      </c>
      <c r="V426" s="43"/>
      <c r="W426" s="43"/>
      <c r="X426" s="43">
        <v>0</v>
      </c>
      <c r="Y426" s="43"/>
      <c r="Z426" s="43"/>
      <c r="AA426" s="43">
        <v>0</v>
      </c>
      <c r="AB426" s="43"/>
      <c r="AC426" s="43"/>
      <c r="AD426" s="43">
        <v>0</v>
      </c>
      <c r="AE426" s="43"/>
      <c r="AF426" s="43"/>
      <c r="AG426" s="43">
        <v>0</v>
      </c>
      <c r="AH426" s="41">
        <v>935000</v>
      </c>
      <c r="AI426" s="41">
        <f>AH426-AG426</f>
        <v>935000</v>
      </c>
      <c r="AJ426" s="41">
        <v>0</v>
      </c>
      <c r="AK426" s="41">
        <v>0</v>
      </c>
      <c r="AL426" s="41">
        <f>AK426-AJ426</f>
        <v>0</v>
      </c>
      <c r="AM426" s="41">
        <v>0</v>
      </c>
      <c r="AN426" s="41">
        <v>413348.56</v>
      </c>
      <c r="AO426" s="41">
        <f t="shared" si="219"/>
        <v>413348.56</v>
      </c>
      <c r="AP426" s="41">
        <v>0</v>
      </c>
      <c r="AQ426" s="41">
        <f>IFERROR(VLOOKUP(G426,'10'!A:B,2,0),0)</f>
        <v>0</v>
      </c>
      <c r="AR426" s="41">
        <f t="shared" si="209"/>
        <v>0</v>
      </c>
      <c r="AS426" s="41">
        <f t="shared" si="212"/>
        <v>0</v>
      </c>
      <c r="AT426" s="41">
        <f t="shared" si="220"/>
        <v>1348348.56</v>
      </c>
      <c r="AU426" s="41">
        <f t="shared" si="210"/>
        <v>1348348.56</v>
      </c>
      <c r="AV426" s="459">
        <v>0</v>
      </c>
      <c r="AW426" s="41">
        <v>0</v>
      </c>
      <c r="AX426" s="41">
        <v>0</v>
      </c>
      <c r="AY426" s="41">
        <f t="shared" si="218"/>
        <v>0</v>
      </c>
      <c r="AZ426" s="41"/>
      <c r="BA426" s="36">
        <f>AZ426-AY426</f>
        <v>0</v>
      </c>
      <c r="BB426" s="41">
        <v>1795627.85</v>
      </c>
      <c r="BC426" s="41">
        <v>0</v>
      </c>
      <c r="BD426" s="41">
        <v>0</v>
      </c>
      <c r="BE426" s="41">
        <v>0</v>
      </c>
      <c r="BF426" s="41">
        <v>0</v>
      </c>
      <c r="BG426" s="41">
        <v>0</v>
      </c>
      <c r="BH426" s="41">
        <v>0</v>
      </c>
      <c r="BI426" s="41">
        <v>1795627.85</v>
      </c>
      <c r="BJ426" s="424"/>
      <c r="BK426" s="461"/>
      <c r="BL426" s="432"/>
      <c r="BO426" s="74"/>
    </row>
    <row r="427" spans="1:67" s="8" customFormat="1" ht="51" x14ac:dyDescent="0.25">
      <c r="A427" s="18" t="s">
        <v>1976</v>
      </c>
      <c r="B427" s="18" t="s">
        <v>1984</v>
      </c>
      <c r="C427" s="21" t="s">
        <v>1985</v>
      </c>
      <c r="D427" s="18" t="s">
        <v>3</v>
      </c>
      <c r="E427" s="18" t="s">
        <v>29</v>
      </c>
      <c r="F427" s="18" t="s">
        <v>102</v>
      </c>
      <c r="G427" s="18" t="s">
        <v>1991</v>
      </c>
      <c r="H427" s="45">
        <v>416</v>
      </c>
      <c r="I427" s="45" t="s">
        <v>1976</v>
      </c>
      <c r="J427" s="19" t="s">
        <v>499</v>
      </c>
      <c r="K427" s="19" t="s">
        <v>1992</v>
      </c>
      <c r="L427" s="145">
        <v>0</v>
      </c>
      <c r="M427" s="145">
        <v>0</v>
      </c>
      <c r="N427" s="145">
        <v>0</v>
      </c>
      <c r="O427" s="145">
        <f>N427+M427+L427</f>
        <v>0</v>
      </c>
      <c r="P427" s="145"/>
      <c r="Q427" s="145"/>
      <c r="R427" s="145">
        <v>0</v>
      </c>
      <c r="S427" s="145"/>
      <c r="T427" s="145"/>
      <c r="U427" s="145">
        <v>0</v>
      </c>
      <c r="V427" s="145"/>
      <c r="W427" s="145"/>
      <c r="X427" s="145">
        <v>0</v>
      </c>
      <c r="Y427" s="145"/>
      <c r="Z427" s="145"/>
      <c r="AA427" s="145">
        <v>0</v>
      </c>
      <c r="AB427" s="145"/>
      <c r="AC427" s="145"/>
      <c r="AD427" s="145">
        <v>0</v>
      </c>
      <c r="AE427" s="145"/>
      <c r="AF427" s="145"/>
      <c r="AG427" s="145">
        <v>0</v>
      </c>
      <c r="AH427" s="145"/>
      <c r="AI427" s="145"/>
      <c r="AJ427" s="145">
        <v>0</v>
      </c>
      <c r="AK427" s="145"/>
      <c r="AL427" s="145"/>
      <c r="AM427" s="145">
        <v>0</v>
      </c>
      <c r="AN427" s="145"/>
      <c r="AO427" s="145"/>
      <c r="AP427" s="145">
        <v>0</v>
      </c>
      <c r="AQ427" s="41">
        <f>IFERROR(VLOOKUP(G427,'10'!A:B,2,0),0)</f>
        <v>1350717.02</v>
      </c>
      <c r="AR427" s="41">
        <f t="shared" si="209"/>
        <v>1350717.02</v>
      </c>
      <c r="AS427" s="41">
        <f t="shared" si="212"/>
        <v>0</v>
      </c>
      <c r="AT427" s="41">
        <f t="shared" si="220"/>
        <v>1350717.02</v>
      </c>
      <c r="AU427" s="41">
        <f t="shared" si="210"/>
        <v>1350717.02</v>
      </c>
      <c r="AV427" s="459">
        <v>0</v>
      </c>
      <c r="AW427" s="145">
        <v>0</v>
      </c>
      <c r="AX427" s="145">
        <v>0</v>
      </c>
      <c r="AY427" s="41">
        <f t="shared" si="218"/>
        <v>0</v>
      </c>
      <c r="AZ427" s="41"/>
      <c r="BA427" s="145"/>
      <c r="BB427" s="145">
        <f>SUM(R427:AX427)</f>
        <v>5402868.0800000001</v>
      </c>
      <c r="BC427" s="145">
        <v>3988883.7</v>
      </c>
      <c r="BD427" s="145">
        <v>443209.3</v>
      </c>
      <c r="BE427" s="145">
        <v>0</v>
      </c>
      <c r="BF427" s="145">
        <v>0</v>
      </c>
      <c r="BG427" s="145">
        <v>0</v>
      </c>
      <c r="BH427" s="145">
        <v>0</v>
      </c>
      <c r="BI427" s="145">
        <v>4432093</v>
      </c>
      <c r="BJ427" s="144"/>
      <c r="BK427" s="518"/>
      <c r="BL427" s="518"/>
      <c r="BO427" s="74"/>
    </row>
    <row r="428" spans="1:67" s="8" customFormat="1" ht="43.5" customHeight="1" x14ac:dyDescent="0.25">
      <c r="A428" s="18" t="s">
        <v>138</v>
      </c>
      <c r="B428" s="18" t="s">
        <v>139</v>
      </c>
      <c r="C428" s="19" t="s">
        <v>576</v>
      </c>
      <c r="D428" s="18">
        <v>3</v>
      </c>
      <c r="E428" s="18" t="s">
        <v>35</v>
      </c>
      <c r="F428" s="18" t="s">
        <v>5</v>
      </c>
      <c r="G428" s="18" t="s">
        <v>1943</v>
      </c>
      <c r="H428" s="45">
        <v>417</v>
      </c>
      <c r="I428" s="45" t="s">
        <v>138</v>
      </c>
      <c r="J428" s="19" t="s">
        <v>1944</v>
      </c>
      <c r="K428" s="19" t="s">
        <v>1945</v>
      </c>
      <c r="L428" s="145">
        <v>0</v>
      </c>
      <c r="M428" s="145">
        <v>0</v>
      </c>
      <c r="N428" s="145">
        <v>0</v>
      </c>
      <c r="O428" s="145">
        <f>N428+M428+L428</f>
        <v>0</v>
      </c>
      <c r="P428" s="145"/>
      <c r="Q428" s="145"/>
      <c r="R428" s="145">
        <v>0</v>
      </c>
      <c r="S428" s="145"/>
      <c r="T428" s="145"/>
      <c r="U428" s="145">
        <v>0</v>
      </c>
      <c r="V428" s="145"/>
      <c r="W428" s="145"/>
      <c r="X428" s="145">
        <v>0</v>
      </c>
      <c r="Y428" s="145"/>
      <c r="Z428" s="145"/>
      <c r="AA428" s="145">
        <v>0</v>
      </c>
      <c r="AB428" s="145"/>
      <c r="AC428" s="145"/>
      <c r="AD428" s="145">
        <v>0</v>
      </c>
      <c r="AE428" s="145"/>
      <c r="AF428" s="145"/>
      <c r="AG428" s="145">
        <v>0</v>
      </c>
      <c r="AH428" s="145"/>
      <c r="AI428" s="145"/>
      <c r="AJ428" s="145">
        <v>0</v>
      </c>
      <c r="AK428" s="145"/>
      <c r="AL428" s="145"/>
      <c r="AM428" s="145">
        <v>0</v>
      </c>
      <c r="AN428" s="145"/>
      <c r="AO428" s="145"/>
      <c r="AP428" s="145">
        <v>0</v>
      </c>
      <c r="AQ428" s="41">
        <f>IFERROR(VLOOKUP(G428,'10'!A:B,2,0),0)</f>
        <v>1700000</v>
      </c>
      <c r="AR428" s="41">
        <f t="shared" si="209"/>
        <v>1700000</v>
      </c>
      <c r="AS428" s="41">
        <f t="shared" si="212"/>
        <v>0</v>
      </c>
      <c r="AT428" s="41">
        <f t="shared" si="220"/>
        <v>1700000</v>
      </c>
      <c r="AU428" s="41">
        <f t="shared" si="210"/>
        <v>1700000</v>
      </c>
      <c r="AV428" s="459">
        <v>0</v>
      </c>
      <c r="AW428" s="145">
        <v>0</v>
      </c>
      <c r="AX428" s="145">
        <v>0</v>
      </c>
      <c r="AY428" s="41">
        <f t="shared" si="218"/>
        <v>0</v>
      </c>
      <c r="AZ428" s="41"/>
      <c r="BA428" s="145"/>
      <c r="BB428" s="145">
        <f>SUM(R428:AX428)</f>
        <v>6800000</v>
      </c>
      <c r="BC428" s="145">
        <v>9414849.5819767211</v>
      </c>
      <c r="BD428" s="145">
        <v>0</v>
      </c>
      <c r="BE428" s="145">
        <v>0</v>
      </c>
      <c r="BF428" s="145">
        <v>0</v>
      </c>
      <c r="BG428" s="145">
        <v>0</v>
      </c>
      <c r="BH428" s="145">
        <v>0</v>
      </c>
      <c r="BI428" s="145">
        <v>10026413.060000001</v>
      </c>
      <c r="BJ428" s="144"/>
      <c r="BK428" s="518"/>
      <c r="BL428" s="518"/>
      <c r="BO428" s="74"/>
    </row>
    <row r="429" spans="1:67" s="8" customFormat="1" ht="28.5" customHeight="1" x14ac:dyDescent="0.25">
      <c r="A429" s="18" t="s">
        <v>172</v>
      </c>
      <c r="B429" s="18" t="s">
        <v>173</v>
      </c>
      <c r="C429" s="19" t="s">
        <v>579</v>
      </c>
      <c r="D429" s="18" t="s">
        <v>3</v>
      </c>
      <c r="E429" s="18" t="s">
        <v>29</v>
      </c>
      <c r="F429" s="18" t="s">
        <v>5</v>
      </c>
      <c r="G429" s="56" t="s">
        <v>2066</v>
      </c>
      <c r="H429" s="45">
        <v>418</v>
      </c>
      <c r="I429" s="45" t="s">
        <v>172</v>
      </c>
      <c r="J429" s="19" t="s">
        <v>98</v>
      </c>
      <c r="K429" s="344" t="s">
        <v>2067</v>
      </c>
      <c r="L429" s="145">
        <v>0</v>
      </c>
      <c r="M429" s="145">
        <v>0</v>
      </c>
      <c r="N429" s="145">
        <v>0</v>
      </c>
      <c r="O429" s="145">
        <f>N429+M429+L429</f>
        <v>0</v>
      </c>
      <c r="P429" s="145"/>
      <c r="Q429" s="145"/>
      <c r="R429" s="145">
        <v>0</v>
      </c>
      <c r="S429" s="145"/>
      <c r="T429" s="145"/>
      <c r="U429" s="145">
        <v>0</v>
      </c>
      <c r="V429" s="145"/>
      <c r="W429" s="145"/>
      <c r="X429" s="145">
        <v>0</v>
      </c>
      <c r="Y429" s="145"/>
      <c r="Z429" s="145"/>
      <c r="AA429" s="145">
        <v>0</v>
      </c>
      <c r="AB429" s="145"/>
      <c r="AC429" s="145"/>
      <c r="AD429" s="145">
        <v>0</v>
      </c>
      <c r="AE429" s="145"/>
      <c r="AF429" s="145"/>
      <c r="AG429" s="145">
        <v>0</v>
      </c>
      <c r="AH429" s="145"/>
      <c r="AI429" s="145"/>
      <c r="AJ429" s="145">
        <v>0</v>
      </c>
      <c r="AK429" s="145"/>
      <c r="AL429" s="145"/>
      <c r="AM429" s="145">
        <v>0</v>
      </c>
      <c r="AN429" s="145"/>
      <c r="AO429" s="145"/>
      <c r="AP429" s="145">
        <v>0</v>
      </c>
      <c r="AQ429" s="41">
        <f>IFERROR(VLOOKUP(G429,'10'!A:B,2,0),0)</f>
        <v>1713766.95</v>
      </c>
      <c r="AR429" s="41">
        <f t="shared" si="209"/>
        <v>1713766.95</v>
      </c>
      <c r="AS429" s="41">
        <f t="shared" si="212"/>
        <v>0</v>
      </c>
      <c r="AT429" s="41">
        <f t="shared" si="220"/>
        <v>1713766.95</v>
      </c>
      <c r="AU429" s="41">
        <f t="shared" si="210"/>
        <v>1713766.95</v>
      </c>
      <c r="AV429" s="459">
        <v>0</v>
      </c>
      <c r="AW429" s="145">
        <v>0</v>
      </c>
      <c r="AX429" s="145">
        <v>1708869</v>
      </c>
      <c r="AY429" s="41">
        <f t="shared" si="218"/>
        <v>1708869</v>
      </c>
      <c r="AZ429" s="41">
        <f>VLOOKUP(G429,'2017'!A:B,2,0)</f>
        <v>1713766.95</v>
      </c>
      <c r="BA429" s="552">
        <f>AZ429-AY429</f>
        <v>4897.9499999999534</v>
      </c>
      <c r="BB429" s="145">
        <f>SUM(R429:AX429)</f>
        <v>8563936.8000000007</v>
      </c>
      <c r="BC429" s="145">
        <v>6363243</v>
      </c>
      <c r="BD429" s="145">
        <v>472236</v>
      </c>
      <c r="BE429" s="145">
        <v>0</v>
      </c>
      <c r="BF429" s="145">
        <v>0</v>
      </c>
      <c r="BG429" s="145">
        <v>0</v>
      </c>
      <c r="BH429" s="145">
        <v>0</v>
      </c>
      <c r="BI429" s="145">
        <v>8544348.3699999992</v>
      </c>
      <c r="BJ429" s="144"/>
      <c r="BK429" s="518"/>
      <c r="BL429" s="518"/>
      <c r="BO429" s="74"/>
    </row>
    <row r="430" spans="1:67" s="8" customFormat="1" ht="63" x14ac:dyDescent="0.25">
      <c r="A430" s="439" t="s">
        <v>57</v>
      </c>
      <c r="B430" s="439" t="s">
        <v>58</v>
      </c>
      <c r="C430" s="440" t="s">
        <v>569</v>
      </c>
      <c r="D430" s="439">
        <v>3</v>
      </c>
      <c r="E430" s="439" t="s">
        <v>35</v>
      </c>
      <c r="F430" s="439" t="s">
        <v>5</v>
      </c>
      <c r="G430" s="439" t="s">
        <v>1282</v>
      </c>
      <c r="H430" s="45">
        <v>419</v>
      </c>
      <c r="I430" s="45" t="s">
        <v>57</v>
      </c>
      <c r="J430" s="440" t="s">
        <v>898</v>
      </c>
      <c r="K430" s="440" t="s">
        <v>1283</v>
      </c>
      <c r="L430" s="441">
        <v>0</v>
      </c>
      <c r="M430" s="441">
        <v>0</v>
      </c>
      <c r="N430" s="441">
        <v>0</v>
      </c>
      <c r="O430" s="441">
        <f>N430+M430+L430</f>
        <v>0</v>
      </c>
      <c r="P430" s="441"/>
      <c r="Q430" s="441"/>
      <c r="R430" s="441">
        <v>0</v>
      </c>
      <c r="S430" s="441"/>
      <c r="T430" s="441"/>
      <c r="U430" s="441">
        <v>0</v>
      </c>
      <c r="V430" s="441"/>
      <c r="W430" s="441"/>
      <c r="X430" s="441">
        <v>0</v>
      </c>
      <c r="Y430" s="441"/>
      <c r="Z430" s="441"/>
      <c r="AA430" s="441">
        <v>0</v>
      </c>
      <c r="AB430" s="441"/>
      <c r="AC430" s="441"/>
      <c r="AD430" s="441">
        <v>0</v>
      </c>
      <c r="AE430" s="441"/>
      <c r="AF430" s="441"/>
      <c r="AG430" s="441">
        <v>0</v>
      </c>
      <c r="AH430" s="441"/>
      <c r="AI430" s="441"/>
      <c r="AJ430" s="441">
        <v>0</v>
      </c>
      <c r="AK430" s="41">
        <v>1715719.36</v>
      </c>
      <c r="AL430" s="41">
        <f>AK430-AJ430</f>
        <v>1715719.36</v>
      </c>
      <c r="AM430" s="441">
        <v>0</v>
      </c>
      <c r="AN430" s="41">
        <v>0</v>
      </c>
      <c r="AO430" s="41">
        <f>AN430-AM430</f>
        <v>0</v>
      </c>
      <c r="AP430" s="441">
        <v>0</v>
      </c>
      <c r="AQ430" s="41">
        <f>IFERROR(VLOOKUP(G430,'10'!A:B,2,0),0)</f>
        <v>0</v>
      </c>
      <c r="AR430" s="41">
        <f t="shared" si="209"/>
        <v>0</v>
      </c>
      <c r="AS430" s="41">
        <f t="shared" si="212"/>
        <v>0</v>
      </c>
      <c r="AT430" s="41">
        <f t="shared" si="220"/>
        <v>1715719.36</v>
      </c>
      <c r="AU430" s="41">
        <f t="shared" si="210"/>
        <v>1715719.36</v>
      </c>
      <c r="AV430" s="459">
        <v>0</v>
      </c>
      <c r="AW430" s="441">
        <v>0</v>
      </c>
      <c r="AX430" s="441">
        <v>0</v>
      </c>
      <c r="AY430" s="41">
        <f t="shared" si="218"/>
        <v>0</v>
      </c>
      <c r="AZ430" s="41"/>
      <c r="BA430" s="40">
        <f>AZ430-AY430</f>
        <v>0</v>
      </c>
      <c r="BB430" s="441">
        <v>1906354.84</v>
      </c>
      <c r="BC430" s="441">
        <v>0</v>
      </c>
      <c r="BD430" s="441">
        <v>0</v>
      </c>
      <c r="BE430" s="441">
        <v>0</v>
      </c>
      <c r="BF430" s="441">
        <v>0</v>
      </c>
      <c r="BG430" s="441">
        <v>0</v>
      </c>
      <c r="BH430" s="441">
        <v>0</v>
      </c>
      <c r="BI430" s="441">
        <v>1906354.84</v>
      </c>
      <c r="BJ430" s="201"/>
      <c r="BK430" s="461"/>
      <c r="BL430" s="432"/>
      <c r="BO430" s="74"/>
    </row>
    <row r="431" spans="1:67" s="8" customFormat="1" ht="38.25" x14ac:dyDescent="0.25">
      <c r="A431" s="18" t="s">
        <v>172</v>
      </c>
      <c r="B431" s="18" t="s">
        <v>173</v>
      </c>
      <c r="C431" s="19" t="s">
        <v>579</v>
      </c>
      <c r="D431" s="55" t="s">
        <v>3</v>
      </c>
      <c r="E431" s="55" t="s">
        <v>29</v>
      </c>
      <c r="F431" s="55" t="s">
        <v>5</v>
      </c>
      <c r="G431" s="55" t="s">
        <v>2686</v>
      </c>
      <c r="H431" s="45">
        <v>420</v>
      </c>
      <c r="I431" s="45" t="s">
        <v>172</v>
      </c>
      <c r="J431" s="19" t="s">
        <v>98</v>
      </c>
      <c r="K431" s="344" t="s">
        <v>2053</v>
      </c>
      <c r="L431" s="145">
        <v>0</v>
      </c>
      <c r="M431" s="145">
        <v>0</v>
      </c>
      <c r="N431" s="145">
        <v>0</v>
      </c>
      <c r="O431" s="145">
        <f>N431+M431+L431</f>
        <v>0</v>
      </c>
      <c r="P431" s="145"/>
      <c r="Q431" s="145"/>
      <c r="R431" s="145">
        <v>0</v>
      </c>
      <c r="S431" s="145"/>
      <c r="T431" s="145"/>
      <c r="U431" s="145">
        <v>0</v>
      </c>
      <c r="V431" s="145"/>
      <c r="W431" s="145"/>
      <c r="X431" s="145">
        <v>0</v>
      </c>
      <c r="Y431" s="145"/>
      <c r="Z431" s="145"/>
      <c r="AA431" s="145">
        <v>0</v>
      </c>
      <c r="AB431" s="145"/>
      <c r="AC431" s="145"/>
      <c r="AD431" s="145">
        <v>0</v>
      </c>
      <c r="AE431" s="145"/>
      <c r="AF431" s="145"/>
      <c r="AG431" s="145">
        <v>0</v>
      </c>
      <c r="AH431" s="145"/>
      <c r="AI431" s="145"/>
      <c r="AJ431" s="145">
        <v>0</v>
      </c>
      <c r="AK431" s="145"/>
      <c r="AL431" s="145"/>
      <c r="AM431" s="145">
        <v>0</v>
      </c>
      <c r="AN431" s="145"/>
      <c r="AO431" s="145"/>
      <c r="AP431" s="145">
        <v>0</v>
      </c>
      <c r="AQ431" s="41">
        <f>IFERROR(VLOOKUP(G431,'10'!A:B,2,0),0)</f>
        <v>1820536.43</v>
      </c>
      <c r="AR431" s="41">
        <f t="shared" si="209"/>
        <v>1820536.43</v>
      </c>
      <c r="AS431" s="41">
        <f t="shared" si="212"/>
        <v>0</v>
      </c>
      <c r="AT431" s="41">
        <f t="shared" si="220"/>
        <v>1820536.43</v>
      </c>
      <c r="AU431" s="41">
        <f t="shared" si="210"/>
        <v>1820536.43</v>
      </c>
      <c r="AV431" s="459">
        <v>0</v>
      </c>
      <c r="AW431" s="145">
        <v>0</v>
      </c>
      <c r="AX431" s="145">
        <v>1931301</v>
      </c>
      <c r="AY431" s="41">
        <f t="shared" si="218"/>
        <v>1931301</v>
      </c>
      <c r="AZ431" s="41">
        <f>VLOOKUP(G431,'2017'!A:B,2,0)</f>
        <v>1820536.43</v>
      </c>
      <c r="BA431" s="552">
        <f>AZ431-AY431</f>
        <v>-110764.57000000007</v>
      </c>
      <c r="BB431" s="145">
        <f>SUM(R431:AX431)</f>
        <v>9213446.7199999988</v>
      </c>
      <c r="BC431" s="145">
        <v>7725204</v>
      </c>
      <c r="BD431" s="145">
        <v>0</v>
      </c>
      <c r="BE431" s="145">
        <v>0</v>
      </c>
      <c r="BF431" s="145">
        <v>0</v>
      </c>
      <c r="BG431" s="145">
        <v>0</v>
      </c>
      <c r="BH431" s="145">
        <v>0</v>
      </c>
      <c r="BI431" s="145">
        <v>9656505.0500000007</v>
      </c>
      <c r="BJ431" s="145"/>
      <c r="BK431" s="518"/>
      <c r="BL431" s="518"/>
      <c r="BM431" s="74"/>
    </row>
    <row r="432" spans="1:67" s="8" customFormat="1" ht="63" x14ac:dyDescent="0.25">
      <c r="A432" s="470" t="s">
        <v>138</v>
      </c>
      <c r="B432" s="470" t="s">
        <v>139</v>
      </c>
      <c r="C432" s="471" t="s">
        <v>576</v>
      </c>
      <c r="D432" s="470">
        <v>3</v>
      </c>
      <c r="E432" s="470" t="s">
        <v>35</v>
      </c>
      <c r="F432" s="470" t="s">
        <v>5</v>
      </c>
      <c r="G432" s="43" t="s">
        <v>715</v>
      </c>
      <c r="H432" s="45">
        <v>421</v>
      </c>
      <c r="I432" s="45" t="s">
        <v>138</v>
      </c>
      <c r="J432" s="475" t="s">
        <v>665</v>
      </c>
      <c r="K432" s="475" t="s">
        <v>716</v>
      </c>
      <c r="L432" s="41">
        <v>0</v>
      </c>
      <c r="M432" s="41">
        <v>0</v>
      </c>
      <c r="N432" s="41">
        <v>0</v>
      </c>
      <c r="O432" s="41">
        <v>0</v>
      </c>
      <c r="P432" s="41">
        <v>0</v>
      </c>
      <c r="Q432" s="41">
        <f>P432-O432</f>
        <v>0</v>
      </c>
      <c r="R432" s="41">
        <v>0</v>
      </c>
      <c r="S432" s="41">
        <v>0</v>
      </c>
      <c r="T432" s="41">
        <f>S432-R432</f>
        <v>0</v>
      </c>
      <c r="U432" s="41">
        <v>0</v>
      </c>
      <c r="V432" s="41">
        <v>0</v>
      </c>
      <c r="W432" s="41">
        <f>V432-U432</f>
        <v>0</v>
      </c>
      <c r="X432" s="41">
        <v>0</v>
      </c>
      <c r="Y432" s="41">
        <v>0</v>
      </c>
      <c r="Z432" s="41">
        <f>Y432-X432</f>
        <v>0</v>
      </c>
      <c r="AA432" s="41">
        <v>0</v>
      </c>
      <c r="AB432" s="41">
        <v>0</v>
      </c>
      <c r="AC432" s="41">
        <f>AB432-AA432</f>
        <v>0</v>
      </c>
      <c r="AD432" s="41">
        <v>0</v>
      </c>
      <c r="AE432" s="41">
        <v>0</v>
      </c>
      <c r="AF432" s="41">
        <f>AE432-AD432</f>
        <v>0</v>
      </c>
      <c r="AG432" s="41">
        <v>0</v>
      </c>
      <c r="AH432" s="41">
        <v>845856.15</v>
      </c>
      <c r="AI432" s="41">
        <f>AH432-AG432</f>
        <v>845856.15</v>
      </c>
      <c r="AJ432" s="41">
        <v>0</v>
      </c>
      <c r="AK432" s="41">
        <v>0</v>
      </c>
      <c r="AL432" s="41">
        <f>AK432-AJ432</f>
        <v>0</v>
      </c>
      <c r="AM432" s="41">
        <v>0</v>
      </c>
      <c r="AN432" s="41">
        <v>562570.05000000005</v>
      </c>
      <c r="AO432" s="41">
        <f>AN432-AM432</f>
        <v>562570.05000000005</v>
      </c>
      <c r="AP432" s="41">
        <v>0</v>
      </c>
      <c r="AQ432" s="41">
        <f>IFERROR(VLOOKUP(G432,'10'!A:B,2,0),0)</f>
        <v>596583.56000000006</v>
      </c>
      <c r="AR432" s="41">
        <f t="shared" si="209"/>
        <v>596583.56000000006</v>
      </c>
      <c r="AS432" s="41">
        <f t="shared" si="212"/>
        <v>0</v>
      </c>
      <c r="AT432" s="41">
        <f t="shared" si="220"/>
        <v>2005009.7600000002</v>
      </c>
      <c r="AU432" s="41">
        <f t="shared" si="210"/>
        <v>2005009.7600000002</v>
      </c>
      <c r="AV432" s="459">
        <v>0</v>
      </c>
      <c r="AW432" s="41">
        <v>0</v>
      </c>
      <c r="AX432" s="41">
        <v>0</v>
      </c>
      <c r="AY432" s="41">
        <f t="shared" si="218"/>
        <v>0</v>
      </c>
      <c r="AZ432" s="41"/>
      <c r="BA432" s="36">
        <f>AZ432-AY432</f>
        <v>0</v>
      </c>
      <c r="BB432" s="41">
        <v>949954.28</v>
      </c>
      <c r="BC432" s="41">
        <v>0</v>
      </c>
      <c r="BD432" s="41">
        <v>0</v>
      </c>
      <c r="BE432" s="41">
        <v>0</v>
      </c>
      <c r="BF432" s="41">
        <v>0</v>
      </c>
      <c r="BG432" s="41">
        <v>0</v>
      </c>
      <c r="BH432" s="41">
        <v>0</v>
      </c>
      <c r="BI432" s="41">
        <v>1242247.8999999999</v>
      </c>
      <c r="BJ432" s="423"/>
      <c r="BK432" s="461"/>
      <c r="BL432" s="432"/>
      <c r="BO432" s="74"/>
    </row>
    <row r="433" spans="1:73" s="8" customFormat="1" ht="47.25" x14ac:dyDescent="0.25">
      <c r="A433" s="11" t="s">
        <v>172</v>
      </c>
      <c r="B433" s="11" t="s">
        <v>173</v>
      </c>
      <c r="C433" s="14" t="s">
        <v>579</v>
      </c>
      <c r="D433" s="11" t="s">
        <v>3</v>
      </c>
      <c r="E433" s="11" t="s">
        <v>29</v>
      </c>
      <c r="F433" s="11" t="s">
        <v>5</v>
      </c>
      <c r="G433" s="44" t="s">
        <v>206</v>
      </c>
      <c r="H433" s="45">
        <v>422</v>
      </c>
      <c r="I433" s="45" t="s">
        <v>172</v>
      </c>
      <c r="J433" s="46" t="s">
        <v>98</v>
      </c>
      <c r="K433" s="46" t="s">
        <v>207</v>
      </c>
      <c r="L433" s="41">
        <v>0</v>
      </c>
      <c r="M433" s="41">
        <v>0</v>
      </c>
      <c r="N433" s="41">
        <v>0</v>
      </c>
      <c r="O433" s="41">
        <v>193.8</v>
      </c>
      <c r="P433" s="41">
        <v>193.8</v>
      </c>
      <c r="Q433" s="41">
        <f>P433-O433</f>
        <v>0</v>
      </c>
      <c r="R433" s="41">
        <v>0</v>
      </c>
      <c r="S433" s="41">
        <v>0</v>
      </c>
      <c r="T433" s="41">
        <f>S433-R433</f>
        <v>0</v>
      </c>
      <c r="U433" s="41">
        <v>0</v>
      </c>
      <c r="V433" s="41">
        <v>0</v>
      </c>
      <c r="W433" s="41">
        <f>V433-U433</f>
        <v>0</v>
      </c>
      <c r="X433" s="41">
        <v>1622744.43</v>
      </c>
      <c r="Y433" s="41">
        <v>1622744.43</v>
      </c>
      <c r="Z433" s="41">
        <f>Y433-X433</f>
        <v>0</v>
      </c>
      <c r="AA433" s="41">
        <v>0</v>
      </c>
      <c r="AB433" s="41">
        <v>0</v>
      </c>
      <c r="AC433" s="41">
        <f>AB433-AA433</f>
        <v>0</v>
      </c>
      <c r="AD433" s="41">
        <v>0</v>
      </c>
      <c r="AE433" s="41">
        <v>0</v>
      </c>
      <c r="AF433" s="41">
        <f>AE433-AD433</f>
        <v>0</v>
      </c>
      <c r="AG433" s="41">
        <v>1010902.18</v>
      </c>
      <c r="AH433" s="41">
        <v>1010902.18</v>
      </c>
      <c r="AI433" s="41">
        <f>AH433-AG433</f>
        <v>0</v>
      </c>
      <c r="AJ433" s="41">
        <v>0</v>
      </c>
      <c r="AK433" s="41">
        <v>0</v>
      </c>
      <c r="AL433" s="41">
        <f>AK433-AJ433</f>
        <v>0</v>
      </c>
      <c r="AM433" s="41">
        <v>0</v>
      </c>
      <c r="AN433" s="41">
        <v>0</v>
      </c>
      <c r="AO433" s="41">
        <f>AN433-AM433</f>
        <v>0</v>
      </c>
      <c r="AP433" s="41">
        <v>0</v>
      </c>
      <c r="AQ433" s="41">
        <f>IFERROR(VLOOKUP(G433,'10'!A:B,2,0),0)</f>
        <v>2034236.63</v>
      </c>
      <c r="AR433" s="41">
        <f t="shared" si="209"/>
        <v>2034236.63</v>
      </c>
      <c r="AS433" s="41">
        <f t="shared" si="212"/>
        <v>2633840.4099999997</v>
      </c>
      <c r="AT433" s="41">
        <f>AN433+AK433+AH433+AE433+AB433+Y433+V433+S433+P433+AQ433</f>
        <v>4668077.0399999991</v>
      </c>
      <c r="AU433" s="41">
        <f t="shared" si="210"/>
        <v>2034236.63</v>
      </c>
      <c r="AV433" s="459">
        <f>AT433/AS433</f>
        <v>1.7723461992140972</v>
      </c>
      <c r="AW433" s="41">
        <v>0</v>
      </c>
      <c r="AX433" s="41">
        <v>0</v>
      </c>
      <c r="AY433" s="41">
        <f t="shared" si="218"/>
        <v>2633840.4099999997</v>
      </c>
      <c r="AZ433" s="41">
        <f>VLOOKUP(G433,'2017'!A:B,2,0)</f>
        <v>4668077.04</v>
      </c>
      <c r="BA433" s="552">
        <f t="shared" ref="BA433:BA434" si="221">AZ433-AY433</f>
        <v>2034236.6300000004</v>
      </c>
      <c r="BB433" s="41">
        <v>4605863.0500000007</v>
      </c>
      <c r="BC433" s="41">
        <v>0</v>
      </c>
      <c r="BD433" s="41">
        <v>0</v>
      </c>
      <c r="BE433" s="41">
        <v>0</v>
      </c>
      <c r="BF433" s="41">
        <v>0</v>
      </c>
      <c r="BG433" s="41">
        <v>0</v>
      </c>
      <c r="BH433" s="41">
        <v>0</v>
      </c>
      <c r="BI433" s="41">
        <v>8994680.8800000008</v>
      </c>
      <c r="BJ433" s="75"/>
      <c r="BK433" s="547"/>
      <c r="BO433" s="74"/>
    </row>
    <row r="434" spans="1:73" s="8" customFormat="1" ht="31.5" x14ac:dyDescent="0.25">
      <c r="A434" s="470" t="s">
        <v>804</v>
      </c>
      <c r="B434" s="470" t="s">
        <v>805</v>
      </c>
      <c r="C434" s="471" t="s">
        <v>806</v>
      </c>
      <c r="D434" s="470" t="s">
        <v>3</v>
      </c>
      <c r="E434" s="470" t="s">
        <v>807</v>
      </c>
      <c r="F434" s="470" t="s">
        <v>5</v>
      </c>
      <c r="G434" s="43" t="s">
        <v>778</v>
      </c>
      <c r="H434" s="45">
        <v>423</v>
      </c>
      <c r="I434" s="45" t="s">
        <v>804</v>
      </c>
      <c r="J434" s="475" t="s">
        <v>148</v>
      </c>
      <c r="K434" s="485" t="s">
        <v>841</v>
      </c>
      <c r="L434" s="41">
        <v>0</v>
      </c>
      <c r="M434" s="41">
        <v>0</v>
      </c>
      <c r="N434" s="41">
        <v>0</v>
      </c>
      <c r="O434" s="41">
        <v>0</v>
      </c>
      <c r="P434" s="41">
        <v>0</v>
      </c>
      <c r="Q434" s="41">
        <v>0</v>
      </c>
      <c r="R434" s="41">
        <v>0</v>
      </c>
      <c r="S434" s="41">
        <v>0</v>
      </c>
      <c r="T434" s="41">
        <v>0</v>
      </c>
      <c r="U434" s="41">
        <v>0</v>
      </c>
      <c r="V434" s="41">
        <v>0</v>
      </c>
      <c r="W434" s="41">
        <v>0</v>
      </c>
      <c r="X434" s="41"/>
      <c r="Y434" s="41"/>
      <c r="Z434" s="41"/>
      <c r="AA434" s="41"/>
      <c r="AB434" s="41"/>
      <c r="AC434" s="41"/>
      <c r="AD434" s="41">
        <v>1700000</v>
      </c>
      <c r="AE434" s="41">
        <v>3825000</v>
      </c>
      <c r="AF434" s="41">
        <f>AE434-AD434</f>
        <v>2125000</v>
      </c>
      <c r="AG434" s="41">
        <v>0</v>
      </c>
      <c r="AH434" s="41">
        <v>0</v>
      </c>
      <c r="AI434" s="41">
        <f>AH434-AG434</f>
        <v>0</v>
      </c>
      <c r="AJ434" s="41">
        <v>0</v>
      </c>
      <c r="AK434" s="41">
        <v>0</v>
      </c>
      <c r="AL434" s="41">
        <f>AK434-AJ434</f>
        <v>0</v>
      </c>
      <c r="AM434" s="41">
        <v>1700000</v>
      </c>
      <c r="AN434" s="41">
        <v>1471292.38</v>
      </c>
      <c r="AO434" s="41">
        <f>AN434-AM434</f>
        <v>-228707.62000000011</v>
      </c>
      <c r="AP434" s="41">
        <v>0</v>
      </c>
      <c r="AQ434" s="41">
        <f>IFERROR(VLOOKUP(G434,'10'!A:B,2,0),0)</f>
        <v>246361.74</v>
      </c>
      <c r="AR434" s="41">
        <f t="shared" si="209"/>
        <v>246361.74</v>
      </c>
      <c r="AS434" s="41">
        <f t="shared" si="212"/>
        <v>3400000</v>
      </c>
      <c r="AT434" s="41">
        <f>AN434+AK434+AH434+AE434+AB434+-Y434+V434+S434+P434+AQ434</f>
        <v>5542654.1200000001</v>
      </c>
      <c r="AU434" s="41">
        <f t="shared" si="210"/>
        <v>2142654.12</v>
      </c>
      <c r="AV434" s="459">
        <f>AT434/AS434</f>
        <v>1.6301923882352942</v>
      </c>
      <c r="AW434" s="41">
        <v>0</v>
      </c>
      <c r="AX434" s="41">
        <v>850000</v>
      </c>
      <c r="AY434" s="41">
        <f t="shared" si="218"/>
        <v>4250000</v>
      </c>
      <c r="AZ434" s="41">
        <f>VLOOKUP(G434,'2017'!A:B,2,0)</f>
        <v>8075000</v>
      </c>
      <c r="BA434" s="552">
        <f t="shared" si="221"/>
        <v>3825000</v>
      </c>
      <c r="BB434" s="41">
        <v>0</v>
      </c>
      <c r="BC434" s="426">
        <v>0</v>
      </c>
      <c r="BD434" s="41">
        <v>0</v>
      </c>
      <c r="BE434" s="41">
        <v>0</v>
      </c>
      <c r="BF434" s="41">
        <v>0</v>
      </c>
      <c r="BG434" s="41">
        <v>0</v>
      </c>
      <c r="BH434" s="41">
        <v>0</v>
      </c>
      <c r="BI434" s="41">
        <v>4250000</v>
      </c>
      <c r="BJ434" s="423"/>
      <c r="BK434" s="461"/>
      <c r="BL434" s="432"/>
      <c r="BO434" s="74"/>
    </row>
    <row r="435" spans="1:73" s="8" customFormat="1" ht="25.5" x14ac:dyDescent="0.25">
      <c r="A435" s="18" t="s">
        <v>2134</v>
      </c>
      <c r="B435" s="18" t="s">
        <v>2136</v>
      </c>
      <c r="C435" s="19" t="s">
        <v>2135</v>
      </c>
      <c r="D435" s="55">
        <v>2</v>
      </c>
      <c r="E435" s="55" t="s">
        <v>4</v>
      </c>
      <c r="F435" s="55" t="s">
        <v>5</v>
      </c>
      <c r="G435" s="467" t="s">
        <v>2851</v>
      </c>
      <c r="H435" s="45">
        <v>424</v>
      </c>
      <c r="I435" s="45" t="s">
        <v>2134</v>
      </c>
      <c r="J435" s="19" t="s">
        <v>143</v>
      </c>
      <c r="K435" s="19" t="s">
        <v>2178</v>
      </c>
      <c r="L435" s="145">
        <v>0</v>
      </c>
      <c r="M435" s="145">
        <v>0</v>
      </c>
      <c r="N435" s="145">
        <v>0</v>
      </c>
      <c r="O435" s="145">
        <f>N435+M435+L435</f>
        <v>0</v>
      </c>
      <c r="P435" s="145"/>
      <c r="Q435" s="145"/>
      <c r="R435" s="145">
        <v>0</v>
      </c>
      <c r="S435" s="145"/>
      <c r="T435" s="145"/>
      <c r="U435" s="145">
        <v>0</v>
      </c>
      <c r="V435" s="145"/>
      <c r="W435" s="145"/>
      <c r="X435" s="145">
        <v>0</v>
      </c>
      <c r="Y435" s="145"/>
      <c r="Z435" s="145"/>
      <c r="AA435" s="145">
        <v>0</v>
      </c>
      <c r="AB435" s="145"/>
      <c r="AC435" s="145"/>
      <c r="AD435" s="145">
        <v>0</v>
      </c>
      <c r="AE435" s="145"/>
      <c r="AF435" s="145"/>
      <c r="AG435" s="145">
        <v>0</v>
      </c>
      <c r="AH435" s="145"/>
      <c r="AI435" s="145"/>
      <c r="AJ435" s="145">
        <v>0</v>
      </c>
      <c r="AK435" s="145"/>
      <c r="AL435" s="145"/>
      <c r="AM435" s="145">
        <v>0</v>
      </c>
      <c r="AN435" s="145"/>
      <c r="AO435" s="145"/>
      <c r="AP435" s="145">
        <v>0</v>
      </c>
      <c r="AQ435" s="41">
        <f>IFERROR(VLOOKUP(G435,'10'!A:B,2,0),0)</f>
        <v>2207735.91</v>
      </c>
      <c r="AR435" s="41">
        <f t="shared" si="209"/>
        <v>2207735.91</v>
      </c>
      <c r="AS435" s="41">
        <f t="shared" si="212"/>
        <v>0</v>
      </c>
      <c r="AT435" s="41">
        <f>AN435+AK435+AH435+AE435+AB435+-Y435+V435+S435+P435+AQ435</f>
        <v>2207735.91</v>
      </c>
      <c r="AU435" s="41">
        <f t="shared" si="210"/>
        <v>2207735.91</v>
      </c>
      <c r="AV435" s="459">
        <v>0</v>
      </c>
      <c r="AW435" s="145">
        <v>0</v>
      </c>
      <c r="AX435" s="145">
        <v>0</v>
      </c>
      <c r="AY435" s="41">
        <f t="shared" si="218"/>
        <v>0</v>
      </c>
      <c r="AZ435" s="41"/>
      <c r="BA435" s="145"/>
      <c r="BB435" s="145">
        <f>SUM(R435:AX435)</f>
        <v>8830943.6400000006</v>
      </c>
      <c r="BC435" s="145">
        <v>2003858</v>
      </c>
      <c r="BD435" s="145">
        <v>0</v>
      </c>
      <c r="BE435" s="145">
        <v>0</v>
      </c>
      <c r="BF435" s="145">
        <v>0</v>
      </c>
      <c r="BG435" s="145">
        <v>0</v>
      </c>
      <c r="BH435" s="145">
        <v>0</v>
      </c>
      <c r="BI435" s="145">
        <v>2003858</v>
      </c>
      <c r="BJ435" s="145"/>
      <c r="BK435" s="518"/>
      <c r="BL435" s="518"/>
      <c r="BO435" s="74"/>
    </row>
    <row r="436" spans="1:73" s="8" customFormat="1" ht="25.5" x14ac:dyDescent="0.25">
      <c r="A436" s="467" t="s">
        <v>2134</v>
      </c>
      <c r="B436" s="467" t="s">
        <v>2136</v>
      </c>
      <c r="C436" s="516" t="s">
        <v>2135</v>
      </c>
      <c r="D436" s="467" t="s">
        <v>2194</v>
      </c>
      <c r="E436" s="467" t="s">
        <v>4</v>
      </c>
      <c r="F436" s="467" t="s">
        <v>5</v>
      </c>
      <c r="G436" s="467" t="s">
        <v>2202</v>
      </c>
      <c r="H436" s="45">
        <v>425</v>
      </c>
      <c r="I436" s="45" t="s">
        <v>2134</v>
      </c>
      <c r="J436" s="516" t="s">
        <v>2203</v>
      </c>
      <c r="K436" s="516" t="s">
        <v>2815</v>
      </c>
      <c r="L436" s="518">
        <v>0</v>
      </c>
      <c r="M436" s="518">
        <v>0</v>
      </c>
      <c r="N436" s="518">
        <v>0</v>
      </c>
      <c r="O436" s="518">
        <v>0</v>
      </c>
      <c r="P436" s="518"/>
      <c r="Q436" s="518"/>
      <c r="R436" s="518">
        <v>0</v>
      </c>
      <c r="S436" s="518"/>
      <c r="T436" s="518"/>
      <c r="U436" s="518">
        <v>0</v>
      </c>
      <c r="V436" s="518"/>
      <c r="W436" s="518"/>
      <c r="X436" s="518">
        <v>0</v>
      </c>
      <c r="Y436" s="518"/>
      <c r="Z436" s="518"/>
      <c r="AA436" s="518">
        <v>0</v>
      </c>
      <c r="AB436" s="518"/>
      <c r="AC436" s="518"/>
      <c r="AD436" s="518">
        <v>0</v>
      </c>
      <c r="AE436" s="518"/>
      <c r="AF436" s="518"/>
      <c r="AG436" s="518">
        <v>0</v>
      </c>
      <c r="AH436" s="518"/>
      <c r="AI436" s="518"/>
      <c r="AJ436" s="518">
        <v>0</v>
      </c>
      <c r="AK436" s="518"/>
      <c r="AL436" s="518"/>
      <c r="AM436" s="518">
        <v>0</v>
      </c>
      <c r="AN436" s="432">
        <v>2313007</v>
      </c>
      <c r="AO436" s="432">
        <f t="shared" ref="AO436:AO441" si="222">AN436-AM436</f>
        <v>2313007</v>
      </c>
      <c r="AP436" s="518">
        <v>0</v>
      </c>
      <c r="AQ436" s="41">
        <f>IFERROR(VLOOKUP(G436,'10'!A:B,2,0),0)</f>
        <v>0</v>
      </c>
      <c r="AR436" s="41">
        <f t="shared" si="209"/>
        <v>0</v>
      </c>
      <c r="AS436" s="41">
        <f t="shared" si="212"/>
        <v>0</v>
      </c>
      <c r="AT436" s="41">
        <f>AN436+AK436+AH436+AE436+AB436+-Y436+V436+S436+P436+AQ436</f>
        <v>2313007</v>
      </c>
      <c r="AU436" s="41">
        <f t="shared" si="210"/>
        <v>2313007</v>
      </c>
      <c r="AV436" s="459">
        <v>0</v>
      </c>
      <c r="AW436" s="518">
        <v>0</v>
      </c>
      <c r="AX436" s="518">
        <v>0</v>
      </c>
      <c r="AY436" s="432">
        <f t="shared" si="218"/>
        <v>0</v>
      </c>
      <c r="AZ436" s="432"/>
      <c r="BA436" s="518"/>
      <c r="BB436" s="518">
        <v>2387389</v>
      </c>
      <c r="BC436" s="518">
        <v>0</v>
      </c>
      <c r="BD436" s="518">
        <v>0</v>
      </c>
      <c r="BE436" s="518">
        <v>0</v>
      </c>
      <c r="BF436" s="518">
        <v>0</v>
      </c>
      <c r="BG436" s="518">
        <v>0</v>
      </c>
      <c r="BH436" s="518">
        <v>0</v>
      </c>
      <c r="BI436" s="518">
        <v>2387389</v>
      </c>
      <c r="BJ436" s="465"/>
      <c r="BK436" s="465"/>
      <c r="BL436" s="432"/>
    </row>
    <row r="437" spans="1:73" s="8" customFormat="1" ht="63" x14ac:dyDescent="0.25">
      <c r="A437" s="442" t="s">
        <v>1976</v>
      </c>
      <c r="B437" s="442" t="s">
        <v>1984</v>
      </c>
      <c r="C437" s="443" t="s">
        <v>1985</v>
      </c>
      <c r="D437" s="442" t="s">
        <v>3</v>
      </c>
      <c r="E437" s="442" t="s">
        <v>29</v>
      </c>
      <c r="F437" s="442" t="s">
        <v>102</v>
      </c>
      <c r="G437" s="449" t="s">
        <v>1997</v>
      </c>
      <c r="H437" s="45">
        <v>426</v>
      </c>
      <c r="I437" s="45" t="s">
        <v>1976</v>
      </c>
      <c r="J437" s="437" t="s">
        <v>1998</v>
      </c>
      <c r="K437" s="437" t="s">
        <v>1999</v>
      </c>
      <c r="L437" s="444">
        <v>0</v>
      </c>
      <c r="M437" s="444">
        <v>0</v>
      </c>
      <c r="N437" s="444">
        <v>0</v>
      </c>
      <c r="O437" s="441">
        <f>N437+M437+L437</f>
        <v>0</v>
      </c>
      <c r="P437" s="441"/>
      <c r="Q437" s="441"/>
      <c r="R437" s="444">
        <v>0</v>
      </c>
      <c r="S437" s="444"/>
      <c r="T437" s="444"/>
      <c r="U437" s="444">
        <v>0</v>
      </c>
      <c r="V437" s="444"/>
      <c r="W437" s="444"/>
      <c r="X437" s="444">
        <v>0</v>
      </c>
      <c r="Y437" s="444"/>
      <c r="Z437" s="444"/>
      <c r="AA437" s="444">
        <v>0</v>
      </c>
      <c r="AB437" s="444"/>
      <c r="AC437" s="444"/>
      <c r="AD437" s="444">
        <v>0</v>
      </c>
      <c r="AE437" s="444"/>
      <c r="AF437" s="444"/>
      <c r="AG437" s="444">
        <v>0</v>
      </c>
      <c r="AH437" s="444"/>
      <c r="AI437" s="444"/>
      <c r="AJ437" s="444">
        <v>0</v>
      </c>
      <c r="AK437" s="41">
        <v>1514287.08</v>
      </c>
      <c r="AL437" s="41">
        <f>AK437-AJ437</f>
        <v>1514287.08</v>
      </c>
      <c r="AM437" s="444">
        <v>0</v>
      </c>
      <c r="AN437" s="41">
        <v>0</v>
      </c>
      <c r="AO437" s="41">
        <f t="shared" si="222"/>
        <v>0</v>
      </c>
      <c r="AP437" s="444">
        <v>0</v>
      </c>
      <c r="AQ437" s="41">
        <f>IFERROR(VLOOKUP(G437,'10'!A:B,2,0),0)</f>
        <v>899807.75</v>
      </c>
      <c r="AR437" s="41">
        <f t="shared" si="209"/>
        <v>899807.75</v>
      </c>
      <c r="AS437" s="41">
        <f t="shared" si="212"/>
        <v>0</v>
      </c>
      <c r="AT437" s="41">
        <f>AN437+AK437+AH437+AE437+AB437+-Y437+V437+S437+P437+AQ437</f>
        <v>2414094.83</v>
      </c>
      <c r="AU437" s="41">
        <f t="shared" si="210"/>
        <v>2414094.83</v>
      </c>
      <c r="AV437" s="459">
        <v>0</v>
      </c>
      <c r="AW437" s="444">
        <v>0</v>
      </c>
      <c r="AX437" s="444">
        <v>300000</v>
      </c>
      <c r="AY437" s="41">
        <f t="shared" si="218"/>
        <v>300000</v>
      </c>
      <c r="AZ437" s="41">
        <f>VLOOKUP(G437,'2017'!A:B,2,0)</f>
        <v>2414094.83</v>
      </c>
      <c r="BA437" s="552">
        <f>AZ437-AY437</f>
        <v>2114094.83</v>
      </c>
      <c r="BB437" s="444">
        <v>3024825.21</v>
      </c>
      <c r="BC437" s="444">
        <v>1290416.81</v>
      </c>
      <c r="BD437" s="444">
        <v>432383.98</v>
      </c>
      <c r="BE437" s="444">
        <v>0</v>
      </c>
      <c r="BF437" s="444">
        <v>0</v>
      </c>
      <c r="BG437" s="444">
        <v>0</v>
      </c>
      <c r="BH437" s="444">
        <v>0</v>
      </c>
      <c r="BI437" s="444">
        <v>5047626</v>
      </c>
      <c r="BJ437" s="383"/>
      <c r="BK437" s="461"/>
      <c r="BL437" s="432"/>
      <c r="BU437" s="74"/>
    </row>
    <row r="438" spans="1:73" s="8" customFormat="1" ht="31.5" x14ac:dyDescent="0.25">
      <c r="A438" s="470" t="s">
        <v>138</v>
      </c>
      <c r="B438" s="470" t="s">
        <v>139</v>
      </c>
      <c r="C438" s="471" t="s">
        <v>576</v>
      </c>
      <c r="D438" s="470">
        <v>2</v>
      </c>
      <c r="E438" s="470" t="s">
        <v>35</v>
      </c>
      <c r="F438" s="470" t="s">
        <v>5</v>
      </c>
      <c r="G438" s="43" t="s">
        <v>710</v>
      </c>
      <c r="H438" s="45">
        <v>427</v>
      </c>
      <c r="I438" s="45" t="s">
        <v>138</v>
      </c>
      <c r="J438" s="475" t="s">
        <v>711</v>
      </c>
      <c r="K438" s="475" t="s">
        <v>712</v>
      </c>
      <c r="L438" s="41">
        <v>0</v>
      </c>
      <c r="M438" s="41">
        <v>0</v>
      </c>
      <c r="N438" s="41">
        <v>0</v>
      </c>
      <c r="O438" s="41">
        <v>0</v>
      </c>
      <c r="P438" s="41">
        <v>0</v>
      </c>
      <c r="Q438" s="41">
        <f>P438-O438</f>
        <v>0</v>
      </c>
      <c r="R438" s="41">
        <v>0</v>
      </c>
      <c r="S438" s="41">
        <v>0</v>
      </c>
      <c r="T438" s="41">
        <f>S438-R438</f>
        <v>0</v>
      </c>
      <c r="U438" s="41">
        <v>0</v>
      </c>
      <c r="V438" s="41">
        <v>0</v>
      </c>
      <c r="W438" s="41">
        <f>V438-U438</f>
        <v>0</v>
      </c>
      <c r="X438" s="41">
        <v>0</v>
      </c>
      <c r="Y438" s="41">
        <v>0</v>
      </c>
      <c r="Z438" s="41">
        <f>Y438-X438</f>
        <v>0</v>
      </c>
      <c r="AA438" s="41">
        <v>6685.25</v>
      </c>
      <c r="AB438" s="41">
        <v>0</v>
      </c>
      <c r="AC438" s="41">
        <f>AB438-AA438</f>
        <v>-6685.25</v>
      </c>
      <c r="AD438" s="41">
        <v>0</v>
      </c>
      <c r="AE438" s="41">
        <v>0</v>
      </c>
      <c r="AF438" s="41">
        <f>AE438-AD438</f>
        <v>0</v>
      </c>
      <c r="AG438" s="41">
        <v>0</v>
      </c>
      <c r="AH438" s="41">
        <v>1464176.83</v>
      </c>
      <c r="AI438" s="41">
        <f>AH438-AG438</f>
        <v>1464176.83</v>
      </c>
      <c r="AJ438" s="41">
        <v>0</v>
      </c>
      <c r="AK438" s="41">
        <v>600680</v>
      </c>
      <c r="AL438" s="41">
        <f>AK438-AJ438</f>
        <v>600680</v>
      </c>
      <c r="AM438" s="41">
        <v>0</v>
      </c>
      <c r="AN438" s="41">
        <v>0</v>
      </c>
      <c r="AO438" s="41">
        <f t="shared" si="222"/>
        <v>0</v>
      </c>
      <c r="AP438" s="41">
        <v>0</v>
      </c>
      <c r="AQ438" s="41">
        <f>IFERROR(VLOOKUP(G438,'10'!A:B,2,0),0)</f>
        <v>381552.88</v>
      </c>
      <c r="AR438" s="41">
        <f t="shared" si="209"/>
        <v>381552.88</v>
      </c>
      <c r="AS438" s="41">
        <f t="shared" si="212"/>
        <v>6685.25</v>
      </c>
      <c r="AT438" s="41">
        <f>AN438+AK438+AH438+AE438+AB438+-Y438+V438+S438+P438+AQ438</f>
        <v>2446409.71</v>
      </c>
      <c r="AU438" s="41">
        <f t="shared" si="210"/>
        <v>2439724.46</v>
      </c>
      <c r="AV438" s="459">
        <f>AT438/AS438</f>
        <v>365.94139486182269</v>
      </c>
      <c r="AW438" s="41">
        <v>0</v>
      </c>
      <c r="AX438" s="41">
        <v>0</v>
      </c>
      <c r="AY438" s="41">
        <f t="shared" si="218"/>
        <v>6685.25</v>
      </c>
      <c r="AZ438" s="41">
        <f>VLOOKUP(G438,'2017'!A:B,2,0)</f>
        <v>3091039.97</v>
      </c>
      <c r="BA438" s="552">
        <v>0</v>
      </c>
      <c r="BB438" s="41">
        <v>1632243.94</v>
      </c>
      <c r="BC438" s="41">
        <v>0</v>
      </c>
      <c r="BD438" s="41">
        <v>0</v>
      </c>
      <c r="BE438" s="41">
        <v>0</v>
      </c>
      <c r="BF438" s="41">
        <v>0</v>
      </c>
      <c r="BG438" s="41">
        <v>0</v>
      </c>
      <c r="BH438" s="41">
        <v>0</v>
      </c>
      <c r="BI438" s="41">
        <v>1638929.19</v>
      </c>
      <c r="BJ438" s="464"/>
      <c r="BK438" s="461"/>
      <c r="BL438" s="432"/>
      <c r="BU438" s="74"/>
    </row>
    <row r="439" spans="1:73" s="8" customFormat="1" ht="31.5" x14ac:dyDescent="0.25">
      <c r="A439" s="470" t="s">
        <v>51</v>
      </c>
      <c r="B439" s="470" t="s">
        <v>52</v>
      </c>
      <c r="C439" s="471" t="s">
        <v>568</v>
      </c>
      <c r="D439" s="470" t="s">
        <v>3</v>
      </c>
      <c r="E439" s="470" t="s">
        <v>11</v>
      </c>
      <c r="F439" s="470" t="s">
        <v>5</v>
      </c>
      <c r="G439" s="43" t="s">
        <v>53</v>
      </c>
      <c r="H439" s="45">
        <v>428</v>
      </c>
      <c r="I439" s="45" t="s">
        <v>51</v>
      </c>
      <c r="J439" s="475" t="s">
        <v>25</v>
      </c>
      <c r="K439" s="475" t="s">
        <v>54</v>
      </c>
      <c r="L439" s="41">
        <v>0</v>
      </c>
      <c r="M439" s="41">
        <v>0</v>
      </c>
      <c r="N439" s="41">
        <v>3337947.05</v>
      </c>
      <c r="O439" s="41">
        <v>0</v>
      </c>
      <c r="P439" s="41">
        <v>0</v>
      </c>
      <c r="Q439" s="41">
        <f>P439-O439</f>
        <v>0</v>
      </c>
      <c r="R439" s="41">
        <v>2581749.15</v>
      </c>
      <c r="S439" s="41">
        <v>0</v>
      </c>
      <c r="T439" s="41">
        <f>S439-R439</f>
        <v>-2581749.15</v>
      </c>
      <c r="U439" s="41">
        <v>0</v>
      </c>
      <c r="V439" s="41">
        <v>2582052.27</v>
      </c>
      <c r="W439" s="41">
        <f>V439-U439</f>
        <v>2582052.27</v>
      </c>
      <c r="X439" s="41">
        <v>0</v>
      </c>
      <c r="Y439" s="41">
        <v>0</v>
      </c>
      <c r="Z439" s="41">
        <f>Y439-X439</f>
        <v>0</v>
      </c>
      <c r="AA439" s="41">
        <v>1294407.53</v>
      </c>
      <c r="AB439" s="41">
        <v>2781244.06</v>
      </c>
      <c r="AC439" s="41">
        <f>AB439-AA439</f>
        <v>1486836.53</v>
      </c>
      <c r="AD439" s="41">
        <v>0</v>
      </c>
      <c r="AE439" s="41">
        <v>0</v>
      </c>
      <c r="AF439" s="41">
        <f>AE439-AD439</f>
        <v>0</v>
      </c>
      <c r="AG439" s="41">
        <v>0</v>
      </c>
      <c r="AH439" s="41">
        <v>0</v>
      </c>
      <c r="AI439" s="41">
        <f>AH439-AG439</f>
        <v>0</v>
      </c>
      <c r="AJ439" s="41">
        <v>1200000</v>
      </c>
      <c r="AK439" s="41">
        <v>0</v>
      </c>
      <c r="AL439" s="41">
        <f>AK439-AJ439</f>
        <v>-1200000</v>
      </c>
      <c r="AM439" s="41">
        <v>0</v>
      </c>
      <c r="AN439" s="41">
        <v>2369523.5</v>
      </c>
      <c r="AO439" s="41">
        <f t="shared" si="222"/>
        <v>2369523.5</v>
      </c>
      <c r="AP439" s="41">
        <v>0</v>
      </c>
      <c r="AQ439" s="41">
        <f>IFERROR(VLOOKUP(G439,'10'!A:B,2,0),0)</f>
        <v>0</v>
      </c>
      <c r="AR439" s="41">
        <f t="shared" si="209"/>
        <v>0</v>
      </c>
      <c r="AS439" s="41">
        <f t="shared" si="212"/>
        <v>5076156.68</v>
      </c>
      <c r="AT439" s="41">
        <f>AN439+AK439+AH439+AE439+AB439+Y439+V439+S439+P439+AQ439</f>
        <v>7732819.8300000001</v>
      </c>
      <c r="AU439" s="41">
        <f t="shared" si="210"/>
        <v>2656663.1500000008</v>
      </c>
      <c r="AV439" s="459">
        <f>AT439/AS439</f>
        <v>1.5233611406179055</v>
      </c>
      <c r="AW439" s="41">
        <v>1402350.62</v>
      </c>
      <c r="AX439" s="41">
        <v>0</v>
      </c>
      <c r="AY439" s="41">
        <f t="shared" si="218"/>
        <v>6478507.3000000007</v>
      </c>
      <c r="AZ439" s="41">
        <f>VLOOKUP(G439,'2017'!A:B,2,0)</f>
        <v>8980523.4400000013</v>
      </c>
      <c r="BA439" s="554">
        <f>AZ439-AY439</f>
        <v>2502016.1400000006</v>
      </c>
      <c r="BB439" s="41">
        <v>5609402.4800000004</v>
      </c>
      <c r="BC439" s="41">
        <v>5609402.4800000004</v>
      </c>
      <c r="BD439" s="41">
        <v>5609402.4800000004</v>
      </c>
      <c r="BE439" s="41">
        <v>2097712.0100000002</v>
      </c>
      <c r="BF439" s="41">
        <v>927148.53</v>
      </c>
      <c r="BG439" s="41">
        <v>927148.53</v>
      </c>
      <c r="BH439" s="41">
        <v>231787.14</v>
      </c>
      <c r="BI439" s="41">
        <v>30828458.000000007</v>
      </c>
      <c r="BJ439" s="464"/>
      <c r="BK439" s="461"/>
      <c r="BL439" s="432"/>
      <c r="BU439" s="74"/>
    </row>
    <row r="440" spans="1:73" s="8" customFormat="1" ht="31.5" x14ac:dyDescent="0.25">
      <c r="A440" s="72" t="s">
        <v>138</v>
      </c>
      <c r="B440" s="72" t="s">
        <v>139</v>
      </c>
      <c r="C440" s="479" t="s">
        <v>576</v>
      </c>
      <c r="D440" s="72">
        <v>2</v>
      </c>
      <c r="E440" s="72" t="s">
        <v>35</v>
      </c>
      <c r="F440" s="72" t="s">
        <v>5</v>
      </c>
      <c r="G440" s="72" t="s">
        <v>921</v>
      </c>
      <c r="H440" s="45">
        <v>429</v>
      </c>
      <c r="I440" s="45" t="s">
        <v>138</v>
      </c>
      <c r="J440" s="479" t="s">
        <v>896</v>
      </c>
      <c r="K440" s="479" t="s">
        <v>922</v>
      </c>
      <c r="L440" s="35">
        <v>0</v>
      </c>
      <c r="M440" s="35">
        <v>0</v>
      </c>
      <c r="N440" s="35">
        <v>0</v>
      </c>
      <c r="O440" s="35">
        <f>N440+M440+L440</f>
        <v>0</v>
      </c>
      <c r="P440" s="35"/>
      <c r="Q440" s="35"/>
      <c r="R440" s="35">
        <v>0</v>
      </c>
      <c r="S440" s="35"/>
      <c r="T440" s="35"/>
      <c r="U440" s="35">
        <v>0</v>
      </c>
      <c r="V440" s="35"/>
      <c r="W440" s="35"/>
      <c r="X440" s="35">
        <v>0</v>
      </c>
      <c r="Y440" s="35"/>
      <c r="Z440" s="35"/>
      <c r="AA440" s="35">
        <v>0</v>
      </c>
      <c r="AB440" s="35"/>
      <c r="AC440" s="35"/>
      <c r="AD440" s="35">
        <v>0</v>
      </c>
      <c r="AE440" s="35"/>
      <c r="AF440" s="35"/>
      <c r="AG440" s="35">
        <v>0</v>
      </c>
      <c r="AH440" s="41">
        <v>2000000</v>
      </c>
      <c r="AI440" s="41">
        <f>AH440-AG440</f>
        <v>2000000</v>
      </c>
      <c r="AJ440" s="35">
        <v>0</v>
      </c>
      <c r="AK440" s="41">
        <v>0</v>
      </c>
      <c r="AL440" s="41">
        <f>AK440-AJ440</f>
        <v>0</v>
      </c>
      <c r="AM440" s="35">
        <v>0</v>
      </c>
      <c r="AN440" s="41">
        <v>0</v>
      </c>
      <c r="AO440" s="41">
        <f t="shared" si="222"/>
        <v>0</v>
      </c>
      <c r="AP440" s="35">
        <v>0</v>
      </c>
      <c r="AQ440" s="41">
        <f>IFERROR(VLOOKUP(G440,'10'!A:B,2,0),0)</f>
        <v>776965</v>
      </c>
      <c r="AR440" s="41">
        <f t="shared" si="209"/>
        <v>776965</v>
      </c>
      <c r="AS440" s="41">
        <f t="shared" si="212"/>
        <v>0</v>
      </c>
      <c r="AT440" s="41">
        <f>AN440+AK440+AH440+AE440+AB440+-Y440+V440+S440+P440+AQ440</f>
        <v>2776965</v>
      </c>
      <c r="AU440" s="41">
        <f t="shared" si="210"/>
        <v>2776965</v>
      </c>
      <c r="AV440" s="459">
        <v>0</v>
      </c>
      <c r="AW440" s="35">
        <v>0</v>
      </c>
      <c r="AX440" s="35">
        <v>0</v>
      </c>
      <c r="AY440" s="41">
        <f t="shared" si="218"/>
        <v>0</v>
      </c>
      <c r="AZ440" s="41"/>
      <c r="BA440" s="40">
        <f>AZ440-AY440</f>
        <v>0</v>
      </c>
      <c r="BB440" s="35">
        <v>3726593.1</v>
      </c>
      <c r="BC440" s="35">
        <v>0</v>
      </c>
      <c r="BD440" s="35">
        <v>0</v>
      </c>
      <c r="BE440" s="35">
        <v>0</v>
      </c>
      <c r="BF440" s="35">
        <v>0</v>
      </c>
      <c r="BG440" s="35">
        <v>0</v>
      </c>
      <c r="BH440" s="35">
        <v>0</v>
      </c>
      <c r="BI440" s="35">
        <v>3726593.1</v>
      </c>
      <c r="BJ440" s="543"/>
      <c r="BK440" s="461"/>
      <c r="BL440" s="432"/>
      <c r="BU440" s="74"/>
    </row>
    <row r="441" spans="1:73" s="8" customFormat="1" ht="47.25" x14ac:dyDescent="0.25">
      <c r="A441" s="470" t="s">
        <v>138</v>
      </c>
      <c r="B441" s="470" t="s">
        <v>139</v>
      </c>
      <c r="C441" s="471" t="s">
        <v>576</v>
      </c>
      <c r="D441" s="470">
        <v>2</v>
      </c>
      <c r="E441" s="470" t="s">
        <v>35</v>
      </c>
      <c r="F441" s="470" t="s">
        <v>5</v>
      </c>
      <c r="G441" s="43" t="s">
        <v>780</v>
      </c>
      <c r="H441" s="45">
        <v>430</v>
      </c>
      <c r="I441" s="45" t="s">
        <v>138</v>
      </c>
      <c r="J441" s="475" t="s">
        <v>665</v>
      </c>
      <c r="K441" s="475" t="s">
        <v>812</v>
      </c>
      <c r="L441" s="41">
        <v>0</v>
      </c>
      <c r="M441" s="41">
        <v>0</v>
      </c>
      <c r="N441" s="41">
        <v>0</v>
      </c>
      <c r="O441" s="40">
        <v>0</v>
      </c>
      <c r="P441" s="40">
        <v>0</v>
      </c>
      <c r="Q441" s="41">
        <f>P441-O441</f>
        <v>0</v>
      </c>
      <c r="R441" s="40">
        <v>0</v>
      </c>
      <c r="S441" s="40">
        <v>0</v>
      </c>
      <c r="T441" s="41">
        <f>S441-R441</f>
        <v>0</v>
      </c>
      <c r="U441" s="40">
        <v>0</v>
      </c>
      <c r="V441" s="40">
        <v>0</v>
      </c>
      <c r="W441" s="41">
        <f>V441-U441</f>
        <v>0</v>
      </c>
      <c r="X441" s="40">
        <v>0</v>
      </c>
      <c r="Y441" s="40">
        <v>0</v>
      </c>
      <c r="Z441" s="41">
        <f>Y441-X441</f>
        <v>0</v>
      </c>
      <c r="AA441" s="40">
        <v>0</v>
      </c>
      <c r="AB441" s="40">
        <v>0</v>
      </c>
      <c r="AC441" s="41">
        <f>AB441-AA441</f>
        <v>0</v>
      </c>
      <c r="AD441" s="41">
        <v>0</v>
      </c>
      <c r="AE441" s="41">
        <v>1082129.03</v>
      </c>
      <c r="AF441" s="41">
        <f>AE441-AD441</f>
        <v>1082129.03</v>
      </c>
      <c r="AG441" s="41">
        <v>0</v>
      </c>
      <c r="AH441" s="41">
        <v>0</v>
      </c>
      <c r="AI441" s="41">
        <f>AH441-AG441</f>
        <v>0</v>
      </c>
      <c r="AJ441" s="41">
        <v>0</v>
      </c>
      <c r="AK441" s="41">
        <v>811596.77</v>
      </c>
      <c r="AL441" s="41">
        <f>AK441-AJ441</f>
        <v>811596.77</v>
      </c>
      <c r="AM441" s="41">
        <v>0</v>
      </c>
      <c r="AN441" s="41">
        <v>1091357.92</v>
      </c>
      <c r="AO441" s="41">
        <f t="shared" si="222"/>
        <v>1091357.92</v>
      </c>
      <c r="AP441" s="41">
        <v>0</v>
      </c>
      <c r="AQ441" s="41">
        <f>IFERROR(VLOOKUP(G441,'10'!A:B,2,0),0)</f>
        <v>0</v>
      </c>
      <c r="AR441" s="41">
        <f t="shared" si="209"/>
        <v>0</v>
      </c>
      <c r="AS441" s="41">
        <f t="shared" si="212"/>
        <v>0</v>
      </c>
      <c r="AT441" s="41">
        <f>AN441+AK441+AH441+AE441+AB441+-Y441+V441+S441+P441+AQ441</f>
        <v>2985083.7199999997</v>
      </c>
      <c r="AU441" s="41">
        <f t="shared" si="210"/>
        <v>2985083.7199999997</v>
      </c>
      <c r="AV441" s="459">
        <v>0</v>
      </c>
      <c r="AW441" s="41">
        <v>0</v>
      </c>
      <c r="AX441" s="41">
        <v>0</v>
      </c>
      <c r="AY441" s="41">
        <f t="shared" si="218"/>
        <v>0</v>
      </c>
      <c r="AZ441" s="41"/>
      <c r="BA441" s="36">
        <v>0</v>
      </c>
      <c r="BB441" s="41">
        <v>2502401.37</v>
      </c>
      <c r="BC441" s="41">
        <v>714971.83</v>
      </c>
      <c r="BD441" s="41">
        <v>357485.91</v>
      </c>
      <c r="BE441" s="41">
        <v>0</v>
      </c>
      <c r="BF441" s="41">
        <v>0</v>
      </c>
      <c r="BG441" s="41">
        <v>0</v>
      </c>
      <c r="BH441" s="41">
        <v>0</v>
      </c>
      <c r="BI441" s="41">
        <v>3574859.1100000003</v>
      </c>
      <c r="BJ441" s="464"/>
      <c r="BK441" s="461"/>
      <c r="BL441" s="432"/>
      <c r="BU441" s="74"/>
    </row>
    <row r="442" spans="1:73" s="8" customFormat="1" x14ac:dyDescent="0.25">
      <c r="A442" s="523"/>
      <c r="B442" s="523"/>
      <c r="C442" s="524"/>
      <c r="D442" s="523"/>
      <c r="E442" s="523"/>
      <c r="F442" s="523"/>
      <c r="G442" s="523"/>
      <c r="H442" s="524"/>
      <c r="I442" s="524"/>
      <c r="J442" s="525"/>
      <c r="K442" s="526"/>
      <c r="L442" s="323"/>
      <c r="M442" s="323"/>
      <c r="N442" s="465"/>
      <c r="O442" s="465"/>
      <c r="P442" s="465"/>
      <c r="Q442" s="465"/>
      <c r="R442" s="465"/>
      <c r="S442" s="465"/>
      <c r="T442" s="465"/>
      <c r="U442" s="465"/>
      <c r="V442" s="465"/>
      <c r="W442" s="465"/>
      <c r="X442" s="465"/>
      <c r="Y442" s="465"/>
      <c r="Z442" s="465"/>
      <c r="AA442" s="465"/>
      <c r="AB442" s="465"/>
      <c r="AC442" s="465"/>
      <c r="AD442" s="465"/>
      <c r="AE442" s="465"/>
      <c r="AF442" s="465"/>
      <c r="AG442" s="465"/>
      <c r="AH442" s="465"/>
      <c r="AI442" s="465"/>
      <c r="AJ442" s="465"/>
      <c r="AK442" s="323"/>
      <c r="AL442" s="518"/>
      <c r="AM442" s="518"/>
      <c r="AN442" s="518"/>
      <c r="AO442" s="518"/>
      <c r="AP442" s="518"/>
      <c r="AQ442" s="518"/>
      <c r="AR442" s="518"/>
      <c r="AS442" s="518"/>
      <c r="AT442" s="518"/>
      <c r="AU442" s="518"/>
      <c r="AV442" s="518"/>
      <c r="AW442" s="518"/>
      <c r="AX442" s="518"/>
      <c r="AY442" s="432"/>
      <c r="AZ442" s="518"/>
      <c r="BA442" s="561"/>
      <c r="BB442" s="518"/>
      <c r="BC442" s="518"/>
      <c r="BD442" s="518"/>
      <c r="BE442" s="518"/>
      <c r="BF442" s="518"/>
      <c r="BG442" s="518"/>
      <c r="BH442" s="518"/>
      <c r="BI442" s="518"/>
      <c r="BJ442" s="463"/>
      <c r="BK442" s="432"/>
      <c r="BL442" s="432"/>
    </row>
    <row r="443" spans="1:73" s="8" customFormat="1" x14ac:dyDescent="0.25">
      <c r="A443" s="523"/>
      <c r="B443" s="523"/>
      <c r="C443" s="524"/>
      <c r="D443" s="523"/>
      <c r="E443" s="523"/>
      <c r="F443" s="523"/>
      <c r="G443" s="523"/>
      <c r="H443" s="524"/>
      <c r="I443" s="524"/>
      <c r="J443" s="525"/>
      <c r="K443" s="526"/>
      <c r="L443" s="323"/>
      <c r="M443" s="323"/>
      <c r="N443" s="465"/>
      <c r="O443" s="465"/>
      <c r="P443" s="465"/>
      <c r="Q443" s="465"/>
      <c r="R443" s="465"/>
      <c r="S443" s="465"/>
      <c r="T443" s="465"/>
      <c r="U443" s="465"/>
      <c r="V443" s="465"/>
      <c r="W443" s="465"/>
      <c r="X443" s="465"/>
      <c r="Y443" s="465"/>
      <c r="Z443" s="465"/>
      <c r="AA443" s="465"/>
      <c r="AB443" s="465"/>
      <c r="AC443" s="465"/>
      <c r="AD443" s="465"/>
      <c r="AE443" s="465"/>
      <c r="AF443" s="465"/>
      <c r="AG443" s="465"/>
      <c r="AH443" s="465"/>
      <c r="AI443" s="465"/>
      <c r="AJ443" s="465"/>
      <c r="AK443" s="323"/>
      <c r="AL443" s="518"/>
      <c r="AM443" s="518"/>
      <c r="AN443" s="518"/>
      <c r="AO443" s="518"/>
      <c r="AP443" s="518"/>
      <c r="AQ443" s="518"/>
      <c r="AR443" s="518"/>
      <c r="AS443" s="518"/>
      <c r="AT443" s="518"/>
      <c r="AU443" s="518"/>
      <c r="AV443" s="518"/>
      <c r="AW443" s="518"/>
      <c r="AX443" s="518"/>
      <c r="AY443" s="432"/>
      <c r="AZ443" s="518"/>
      <c r="BA443" s="561"/>
      <c r="BB443" s="518"/>
      <c r="BC443" s="518"/>
      <c r="BD443" s="518"/>
      <c r="BE443" s="518"/>
      <c r="BF443" s="518"/>
      <c r="BG443" s="518"/>
      <c r="BH443" s="518"/>
      <c r="BI443" s="518"/>
      <c r="BJ443" s="463"/>
      <c r="BK443" s="432"/>
      <c r="BL443" s="432"/>
    </row>
    <row r="444" spans="1:73" s="8" customFormat="1" x14ac:dyDescent="0.25">
      <c r="A444" s="467"/>
      <c r="B444" s="467"/>
      <c r="C444" s="516"/>
      <c r="D444" s="467"/>
      <c r="E444" s="467"/>
      <c r="F444" s="467"/>
      <c r="G444" s="517"/>
      <c r="H444" s="467"/>
      <c r="I444" s="467"/>
      <c r="J444" s="516"/>
      <c r="K444" s="516"/>
      <c r="L444" s="518"/>
      <c r="M444" s="518"/>
      <c r="N444" s="518"/>
      <c r="O444" s="518"/>
      <c r="P444" s="518"/>
      <c r="Q444" s="518"/>
      <c r="R444" s="518"/>
      <c r="S444" s="518"/>
      <c r="T444" s="518"/>
      <c r="U444" s="518"/>
      <c r="V444" s="518"/>
      <c r="W444" s="518"/>
      <c r="X444" s="518"/>
      <c r="Y444" s="518"/>
      <c r="Z444" s="518"/>
      <c r="AA444" s="518"/>
      <c r="AB444" s="518"/>
      <c r="AC444" s="518"/>
      <c r="AD444" s="518"/>
      <c r="AE444" s="518"/>
      <c r="AF444" s="518"/>
      <c r="AG444" s="518"/>
      <c r="AH444" s="518"/>
      <c r="AI444" s="518"/>
      <c r="AJ444" s="518"/>
      <c r="AK444" s="518"/>
      <c r="AL444" s="518"/>
      <c r="AM444" s="518"/>
      <c r="AN444" s="518"/>
      <c r="AO444" s="518"/>
      <c r="AP444" s="518"/>
      <c r="AQ444" s="518"/>
      <c r="AR444" s="518"/>
      <c r="AS444" s="518"/>
      <c r="AT444" s="518"/>
      <c r="AU444" s="518"/>
      <c r="AV444" s="518"/>
      <c r="AW444" s="518"/>
      <c r="AX444" s="518"/>
      <c r="AY444" s="432"/>
      <c r="AZ444" s="518"/>
      <c r="BA444" s="561"/>
      <c r="BB444" s="518"/>
      <c r="BC444" s="518"/>
      <c r="BD444" s="518"/>
      <c r="BE444" s="518"/>
      <c r="BF444" s="518"/>
      <c r="BG444" s="518"/>
      <c r="BH444" s="518"/>
      <c r="BI444" s="518"/>
      <c r="BJ444" s="463"/>
      <c r="BK444" s="432"/>
      <c r="BL444" s="432"/>
    </row>
    <row r="445" spans="1:73" s="8" customFormat="1" x14ac:dyDescent="0.25">
      <c r="A445" s="467"/>
      <c r="B445" s="467"/>
      <c r="C445" s="516"/>
      <c r="D445" s="467"/>
      <c r="E445" s="467"/>
      <c r="F445" s="467"/>
      <c r="G445" s="517"/>
      <c r="H445" s="467"/>
      <c r="I445" s="467"/>
      <c r="J445" s="516"/>
      <c r="K445" s="516"/>
      <c r="L445" s="518"/>
      <c r="M445" s="518"/>
      <c r="N445" s="518"/>
      <c r="O445" s="518"/>
      <c r="P445" s="518"/>
      <c r="Q445" s="518"/>
      <c r="R445" s="518"/>
      <c r="S445" s="518"/>
      <c r="T445" s="518"/>
      <c r="U445" s="518"/>
      <c r="V445" s="518"/>
      <c r="W445" s="518"/>
      <c r="X445" s="518"/>
      <c r="Y445" s="518"/>
      <c r="Z445" s="518"/>
      <c r="AA445" s="518"/>
      <c r="AB445" s="518"/>
      <c r="AC445" s="518"/>
      <c r="AD445" s="518"/>
      <c r="AE445" s="518"/>
      <c r="AF445" s="518"/>
      <c r="AG445" s="518"/>
      <c r="AH445" s="518"/>
      <c r="AI445" s="518"/>
      <c r="AJ445" s="518"/>
      <c r="AK445" s="518"/>
      <c r="AL445" s="518"/>
      <c r="AM445" s="518"/>
      <c r="AN445" s="518"/>
      <c r="AO445" s="518"/>
      <c r="AP445" s="518"/>
      <c r="AQ445" s="518"/>
      <c r="AR445" s="518"/>
      <c r="AS445" s="518"/>
      <c r="AT445" s="518"/>
      <c r="AU445" s="518"/>
      <c r="AV445" s="518"/>
      <c r="AW445" s="518"/>
      <c r="AX445" s="518"/>
      <c r="AY445" s="432"/>
      <c r="AZ445" s="518"/>
      <c r="BA445" s="561"/>
      <c r="BB445" s="518"/>
      <c r="BC445" s="518"/>
      <c r="BD445" s="518"/>
      <c r="BE445" s="518"/>
      <c r="BF445" s="518"/>
      <c r="BG445" s="518"/>
      <c r="BH445" s="518"/>
      <c r="BI445" s="518"/>
      <c r="BJ445" s="463"/>
      <c r="BK445" s="432"/>
      <c r="BL445" s="432"/>
    </row>
    <row r="446" spans="1:73" x14ac:dyDescent="0.25">
      <c r="H446" s="8" t="s">
        <v>2725</v>
      </c>
    </row>
    <row r="449" spans="8:42" x14ac:dyDescent="0.25">
      <c r="K449" s="12" t="s">
        <v>2728</v>
      </c>
      <c r="AM449" s="8" t="s">
        <v>2729</v>
      </c>
      <c r="AP449" s="8" t="s">
        <v>2729</v>
      </c>
    </row>
    <row r="450" spans="8:42" x14ac:dyDescent="0.25">
      <c r="H450" s="8" t="s">
        <v>2726</v>
      </c>
    </row>
    <row r="451" spans="8:42" x14ac:dyDescent="0.25">
      <c r="H451" s="8" t="s">
        <v>2727</v>
      </c>
    </row>
  </sheetData>
  <autoFilter ref="A11:BL441"/>
  <sortState ref="A12:BO442">
    <sortCondition ref="AR12:AR442"/>
  </sortState>
  <customSheetViews>
    <customSheetView guid="{31BFF91F-CC67-47B5-A533-CBCA2A3DFD88}" scale="70" fitToPage="1" showAutoFilter="1" hiddenColumns="1" state="hidden" topLeftCell="H1">
      <pane xSplit="33" ySplit="11" topLeftCell="AU12" activePane="bottomRight" state="frozen"/>
      <selection pane="bottomRight" activeCell="H90" sqref="H90"/>
      <pageMargins left="0.31496062992125984" right="0.31496062992125984" top="0.74803149606299213" bottom="0.74803149606299213" header="0.31496062992125984" footer="0.31496062992125984"/>
      <pageSetup paperSize="9" scale="36" fitToHeight="0" orientation="landscape" r:id="rId1"/>
      <headerFooter>
        <oddFooter>&amp;C&amp;P no&amp;N</oddFooter>
      </headerFooter>
      <autoFilter ref="A11:BL441"/>
    </customSheetView>
    <customSheetView guid="{1CE1816D-2CE4-45E4-84A5-7ECDB5D0D0D3}" scale="70" showPageBreaks="1" fitToPage="1" showAutoFilter="1" hiddenColumns="1" topLeftCell="H1">
      <pane xSplit="33" ySplit="11" topLeftCell="AP12" activePane="bottomRight" state="frozen"/>
      <selection pane="bottomRight" activeCell="AZ13" sqref="AZ13"/>
      <pageMargins left="0.31496062992125984" right="0.31496062992125984" top="0.74803149606299213" bottom="0.74803149606299213" header="0.31496062992125984" footer="0.31496062992125984"/>
      <pageSetup paperSize="9" scale="48" fitToHeight="0" orientation="landscape" r:id="rId2"/>
      <headerFooter>
        <oddFooter>&amp;C&amp;P no&amp;N</oddFooter>
      </headerFooter>
      <autoFilter ref="A11:BL441"/>
    </customSheetView>
    <customSheetView guid="{C7376C49-7C70-4EE7-9CF7-79151FBD2399}" scale="70" showPageBreaks="1" fitToPage="1" showAutoFilter="1" hiddenColumns="1" topLeftCell="H1">
      <pane xSplit="33" ySplit="11" topLeftCell="AU12" activePane="bottomRight" state="frozen"/>
      <selection pane="bottomRight" activeCell="H90" sqref="H90"/>
      <pageMargins left="0.31496062992125984" right="0.31496062992125984" top="0.74803149606299213" bottom="0.74803149606299213" header="0.31496062992125984" footer="0.31496062992125984"/>
      <pageSetup paperSize="9" scale="36" fitToHeight="0" orientation="landscape" r:id="rId3"/>
      <headerFooter>
        <oddFooter>&amp;C&amp;P no&amp;N</oddFooter>
      </headerFooter>
      <autoFilter ref="A11:BL441"/>
    </customSheetView>
  </customSheetViews>
  <mergeCells count="39">
    <mergeCell ref="AP7:AR7"/>
    <mergeCell ref="L6:BA6"/>
    <mergeCell ref="AJ7:AL7"/>
    <mergeCell ref="I6:I10"/>
    <mergeCell ref="O7:Q7"/>
    <mergeCell ref="R7:T7"/>
    <mergeCell ref="AM7:AO7"/>
    <mergeCell ref="H1:J1"/>
    <mergeCell ref="AD7:AF7"/>
    <mergeCell ref="X7:Z7"/>
    <mergeCell ref="AA7:AC7"/>
    <mergeCell ref="H2:BL2"/>
    <mergeCell ref="BG7:BG8"/>
    <mergeCell ref="BH7:BH8"/>
    <mergeCell ref="AZ7:BA7"/>
    <mergeCell ref="BC7:BC8"/>
    <mergeCell ref="BD7:BD8"/>
    <mergeCell ref="BE7:BE8"/>
    <mergeCell ref="BI6:BI10"/>
    <mergeCell ref="BJ6:BJ10"/>
    <mergeCell ref="BK6:BK10"/>
    <mergeCell ref="BL6:BL10"/>
    <mergeCell ref="AS7:AV7"/>
    <mergeCell ref="B2:E2"/>
    <mergeCell ref="C7:C10"/>
    <mergeCell ref="BF7:BF8"/>
    <mergeCell ref="BB7:BB8"/>
    <mergeCell ref="A7:A10"/>
    <mergeCell ref="U7:W7"/>
    <mergeCell ref="A6:C6"/>
    <mergeCell ref="K6:K7"/>
    <mergeCell ref="F6:F10"/>
    <mergeCell ref="G6:G10"/>
    <mergeCell ref="H6:H10"/>
    <mergeCell ref="J6:J10"/>
    <mergeCell ref="D7:D10"/>
    <mergeCell ref="E7:E10"/>
    <mergeCell ref="AG7:AI7"/>
    <mergeCell ref="B7:B10"/>
  </mergeCells>
  <conditionalFormatting sqref="G446:G1048576 AF11 F290 G5:G59 G62:G72 G74 G76:G92 G94:G262">
    <cfRule type="duplicateValues" dxfId="10" priority="14"/>
  </conditionalFormatting>
  <conditionalFormatting sqref="G446:G1048576 G5:G59 F290 G62:G72 G74 G76:G274">
    <cfRule type="duplicateValues" dxfId="9" priority="24"/>
  </conditionalFormatting>
  <conditionalFormatting sqref="J290">
    <cfRule type="duplicateValues" dxfId="8" priority="25"/>
  </conditionalFormatting>
  <conditionalFormatting sqref="G75">
    <cfRule type="duplicateValues" dxfId="7" priority="3"/>
  </conditionalFormatting>
  <conditionalFormatting sqref="G75">
    <cfRule type="duplicateValues" dxfId="6" priority="4"/>
  </conditionalFormatting>
  <conditionalFormatting sqref="G436:G1048576 G1:G403">
    <cfRule type="duplicateValues" dxfId="5" priority="37"/>
  </conditionalFormatting>
  <pageMargins left="0.31496062992125984" right="0.31496062992125984" top="0.74803149606299213" bottom="0.74803149606299213" header="0.31496062992125984" footer="0.31496062992125984"/>
  <pageSetup paperSize="9" scale="36" fitToHeight="0" orientation="landscape" r:id="rId4"/>
  <headerFooter>
    <oddFooter>&amp;C&amp;P no&amp;N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J103"/>
  <sheetViews>
    <sheetView tabSelected="1" view="pageBreakPreview" topLeftCell="H85" zoomScale="70" zoomScaleNormal="82" zoomScaleSheetLayoutView="70" workbookViewId="0">
      <selection activeCell="AU97" sqref="AU97"/>
    </sheetView>
  </sheetViews>
  <sheetFormatPr defaultRowHeight="15.75" outlineLevelCol="1" x14ac:dyDescent="0.25"/>
  <cols>
    <col min="1" max="6" width="9" style="581" customWidth="1" outlineLevel="1"/>
    <col min="7" max="7" width="15.375" style="581" customWidth="1" outlineLevel="1"/>
    <col min="8" max="8" width="3.5" style="581" customWidth="1"/>
    <col min="9" max="9" width="6.125" style="581" customWidth="1"/>
    <col min="10" max="10" width="19.375" style="581" customWidth="1"/>
    <col min="11" max="11" width="35.375" style="581" customWidth="1"/>
    <col min="12" max="12" width="9" style="508" hidden="1" customWidth="1" outlineLevel="1"/>
    <col min="13" max="13" width="12.5" style="508" hidden="1" customWidth="1" outlineLevel="1"/>
    <col min="14" max="14" width="12" style="508" hidden="1" customWidth="1" outlineLevel="1"/>
    <col min="15" max="15" width="11" style="508" hidden="1" customWidth="1" outlineLevel="1"/>
    <col min="16" max="16" width="10.875" style="508" hidden="1" customWidth="1" outlineLevel="1"/>
    <col min="17" max="17" width="20.125" style="508" hidden="1" customWidth="1" outlineLevel="1"/>
    <col min="18" max="18" width="12.5" style="508" hidden="1" customWidth="1" outlineLevel="1"/>
    <col min="19" max="19" width="10.25" style="508" hidden="1" customWidth="1" outlineLevel="1"/>
    <col min="20" max="20" width="19.125" style="508" hidden="1" customWidth="1" outlineLevel="1"/>
    <col min="21" max="21" width="13.125" style="508" hidden="1" customWidth="1" outlineLevel="1"/>
    <col min="22" max="22" width="10.625" style="508" hidden="1" customWidth="1" outlineLevel="1"/>
    <col min="23" max="23" width="21.25" style="508" hidden="1" customWidth="1" outlineLevel="1"/>
    <col min="24" max="24" width="12.875" style="508" hidden="1" customWidth="1" outlineLevel="1"/>
    <col min="25" max="25" width="9.875" style="508" hidden="1" customWidth="1" outlineLevel="1"/>
    <col min="26" max="26" width="22.375" style="508" hidden="1" customWidth="1" outlineLevel="1"/>
    <col min="27" max="27" width="11.875" style="508" hidden="1" customWidth="1" outlineLevel="1"/>
    <col min="28" max="28" width="10.5" style="508" hidden="1" customWidth="1" outlineLevel="1"/>
    <col min="29" max="29" width="21" style="508" hidden="1" customWidth="1" outlineLevel="1"/>
    <col min="30" max="30" width="12.25" style="508" hidden="1" customWidth="1" outlineLevel="1"/>
    <col min="31" max="31" width="12.5" style="508" hidden="1" customWidth="1" outlineLevel="1"/>
    <col min="32" max="32" width="19.875" style="508" hidden="1" customWidth="1" outlineLevel="1"/>
    <col min="33" max="33" width="10.25" style="508" hidden="1" customWidth="1" outlineLevel="1"/>
    <col min="34" max="34" width="11.375" style="508" hidden="1" customWidth="1" outlineLevel="1"/>
    <col min="35" max="35" width="20.75" style="508" hidden="1" customWidth="1" outlineLevel="1"/>
    <col min="36" max="36" width="12.25" style="508" hidden="1" customWidth="1" outlineLevel="1"/>
    <col min="37" max="37" width="10.25" style="508" hidden="1" customWidth="1" outlineLevel="1"/>
    <col min="38" max="38" width="12.5" style="508" hidden="1" customWidth="1" outlineLevel="1"/>
    <col min="39" max="39" width="14.875" style="508" hidden="1" customWidth="1" outlineLevel="1"/>
    <col min="40" max="40" width="13.625" style="508" hidden="1" customWidth="1" outlineLevel="1"/>
    <col min="41" max="41" width="20.875" style="508" hidden="1" customWidth="1" outlineLevel="1"/>
    <col min="42" max="42" width="16.5" style="508" hidden="1" customWidth="1" outlineLevel="1"/>
    <col min="43" max="43" width="13.375" style="508" hidden="1" customWidth="1" outlineLevel="1"/>
    <col min="44" max="44" width="22.375" style="508" hidden="1" customWidth="1" outlineLevel="1"/>
    <col min="45" max="45" width="15.5" style="508" customWidth="1" collapsed="1"/>
    <col min="46" max="46" width="13.375" style="508" customWidth="1" outlineLevel="1"/>
    <col min="47" max="47" width="22.25" style="508" customWidth="1"/>
    <col min="48" max="48" width="17.75" style="508" customWidth="1"/>
    <col min="49" max="49" width="13.25" style="508" hidden="1" customWidth="1" outlineLevel="1"/>
    <col min="50" max="50" width="12" style="508" hidden="1" customWidth="1" outlineLevel="1"/>
    <col min="51" max="51" width="12.25" style="508" customWidth="1" collapsed="1"/>
    <col min="52" max="52" width="15.75" style="508" customWidth="1"/>
    <col min="53" max="53" width="12" style="508" customWidth="1"/>
    <col min="54" max="54" width="12" style="508" hidden="1" customWidth="1" outlineLevel="1"/>
    <col min="55" max="55" width="14.625" style="508" hidden="1" customWidth="1" outlineLevel="1"/>
    <col min="56" max="56" width="12.875" style="508" hidden="1" customWidth="1" outlineLevel="1"/>
    <col min="57" max="57" width="16.25" style="508" hidden="1" customWidth="1" outlineLevel="1"/>
    <col min="58" max="58" width="13.25" style="512" hidden="1" customWidth="1" outlineLevel="1"/>
    <col min="59" max="60" width="9" style="508" hidden="1" customWidth="1" outlineLevel="1"/>
    <col min="61" max="61" width="15.875" style="508" customWidth="1" collapsed="1"/>
    <col min="62" max="62" width="30.375" style="508" hidden="1" customWidth="1"/>
    <col min="63" max="63" width="2.875" style="508" hidden="1" customWidth="1"/>
    <col min="64" max="64" width="99.125" style="594" customWidth="1"/>
    <col min="65" max="65" width="9" style="594"/>
    <col min="66" max="16384" width="9" style="508"/>
  </cols>
  <sheetData>
    <row r="1" spans="1:65" ht="33.75" customHeight="1" x14ac:dyDescent="0.25">
      <c r="BF1" s="641" t="s">
        <v>2724</v>
      </c>
      <c r="BL1" s="639" t="s">
        <v>2724</v>
      </c>
    </row>
    <row r="2" spans="1:65" s="8" customFormat="1" x14ac:dyDescent="0.25">
      <c r="A2" s="582"/>
      <c r="B2" s="582"/>
      <c r="C2" s="583"/>
      <c r="D2" s="582"/>
      <c r="E2" s="582"/>
      <c r="F2" s="582"/>
      <c r="G2" s="582"/>
      <c r="H2" s="643"/>
      <c r="I2" s="643"/>
      <c r="J2" s="643"/>
      <c r="K2" s="583"/>
      <c r="AZ2" s="67"/>
      <c r="BF2" s="642"/>
      <c r="BL2" s="640"/>
      <c r="BM2" s="593"/>
    </row>
    <row r="3" spans="1:65" s="8" customFormat="1" ht="24" thickBot="1" x14ac:dyDescent="0.4">
      <c r="A3" s="582"/>
      <c r="B3" s="582"/>
      <c r="C3" s="583"/>
      <c r="D3" s="582"/>
      <c r="E3" s="582"/>
      <c r="F3" s="582"/>
      <c r="G3" s="582"/>
      <c r="H3" s="601" t="s">
        <v>2866</v>
      </c>
      <c r="I3" s="584"/>
      <c r="J3" s="584"/>
      <c r="K3" s="584"/>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N3" s="562"/>
      <c r="AO3" s="562"/>
      <c r="AP3" s="562"/>
      <c r="AQ3" s="562"/>
      <c r="AR3" s="562"/>
      <c r="AS3" s="562"/>
      <c r="AT3" s="562"/>
      <c r="AU3" s="562"/>
      <c r="AV3" s="562"/>
      <c r="AW3" s="562"/>
      <c r="AX3" s="562"/>
      <c r="AY3" s="562"/>
      <c r="AZ3" s="562"/>
      <c r="BA3" s="562"/>
      <c r="BB3" s="562"/>
      <c r="BC3" s="562"/>
      <c r="BD3" s="562"/>
      <c r="BE3" s="562"/>
      <c r="BF3" s="562"/>
      <c r="BL3" s="593"/>
      <c r="BM3" s="593"/>
    </row>
    <row r="4" spans="1:65" s="4" customFormat="1" ht="33.75" customHeight="1" x14ac:dyDescent="0.25">
      <c r="A4" s="615" t="s">
        <v>642</v>
      </c>
      <c r="B4" s="616"/>
      <c r="C4" s="617"/>
      <c r="D4" s="578"/>
      <c r="E4" s="578"/>
      <c r="F4" s="618" t="s">
        <v>551</v>
      </c>
      <c r="G4" s="619" t="s">
        <v>552</v>
      </c>
      <c r="H4" s="621" t="s">
        <v>643</v>
      </c>
      <c r="I4" s="621" t="s">
        <v>644</v>
      </c>
      <c r="J4" s="614" t="s">
        <v>553</v>
      </c>
      <c r="K4" s="614" t="s">
        <v>554</v>
      </c>
      <c r="L4" s="636" t="s">
        <v>858</v>
      </c>
      <c r="M4" s="637"/>
      <c r="N4" s="637"/>
      <c r="O4" s="637"/>
      <c r="P4" s="637"/>
      <c r="Q4" s="637"/>
      <c r="R4" s="637"/>
      <c r="S4" s="637"/>
      <c r="T4" s="637"/>
      <c r="U4" s="637"/>
      <c r="V4" s="637"/>
      <c r="W4" s="637"/>
      <c r="X4" s="637"/>
      <c r="Y4" s="637"/>
      <c r="Z4" s="637"/>
      <c r="AA4" s="637"/>
      <c r="AB4" s="637"/>
      <c r="AC4" s="637"/>
      <c r="AD4" s="637"/>
      <c r="AE4" s="637"/>
      <c r="AF4" s="637"/>
      <c r="AG4" s="637"/>
      <c r="AH4" s="637"/>
      <c r="AI4" s="637"/>
      <c r="AJ4" s="637"/>
      <c r="AK4" s="637"/>
      <c r="AL4" s="637"/>
      <c r="AM4" s="637"/>
      <c r="AN4" s="637"/>
      <c r="AO4" s="637"/>
      <c r="AP4" s="637"/>
      <c r="AQ4" s="637"/>
      <c r="AR4" s="637"/>
      <c r="AS4" s="637"/>
      <c r="AT4" s="637"/>
      <c r="AU4" s="637"/>
      <c r="AV4" s="637"/>
      <c r="AW4" s="637"/>
      <c r="AX4" s="637"/>
      <c r="AY4" s="637"/>
      <c r="AZ4" s="637"/>
      <c r="BA4" s="638"/>
      <c r="BB4" s="69"/>
      <c r="BC4" s="69"/>
      <c r="BD4" s="69"/>
      <c r="BE4" s="69"/>
      <c r="BF4" s="69"/>
      <c r="BG4" s="69"/>
      <c r="BH4" s="69"/>
      <c r="BI4" s="610" t="s">
        <v>2770</v>
      </c>
      <c r="BJ4" s="631" t="s">
        <v>2730</v>
      </c>
      <c r="BK4" s="631" t="s">
        <v>2731</v>
      </c>
      <c r="BL4" s="631" t="s">
        <v>2877</v>
      </c>
    </row>
    <row r="5" spans="1:65" s="5" customFormat="1" ht="15.75" customHeight="1" x14ac:dyDescent="0.25">
      <c r="A5" s="611" t="s">
        <v>644</v>
      </c>
      <c r="B5" s="622" t="s">
        <v>549</v>
      </c>
      <c r="C5" s="607" t="s">
        <v>645</v>
      </c>
      <c r="D5" s="622" t="s">
        <v>550</v>
      </c>
      <c r="E5" s="607" t="s">
        <v>646</v>
      </c>
      <c r="F5" s="608"/>
      <c r="G5" s="620"/>
      <c r="H5" s="621"/>
      <c r="I5" s="621"/>
      <c r="J5" s="614"/>
      <c r="K5" s="614"/>
      <c r="L5" s="519">
        <v>2014</v>
      </c>
      <c r="M5" s="519">
        <v>2015</v>
      </c>
      <c r="N5" s="519">
        <v>2016</v>
      </c>
      <c r="O5" s="614" t="s">
        <v>638</v>
      </c>
      <c r="P5" s="614"/>
      <c r="Q5" s="614"/>
      <c r="R5" s="614" t="s">
        <v>639</v>
      </c>
      <c r="S5" s="614"/>
      <c r="T5" s="614"/>
      <c r="U5" s="614" t="s">
        <v>640</v>
      </c>
      <c r="V5" s="614"/>
      <c r="W5" s="614"/>
      <c r="X5" s="614" t="s">
        <v>641</v>
      </c>
      <c r="Y5" s="614"/>
      <c r="Z5" s="614"/>
      <c r="AA5" s="614" t="s">
        <v>652</v>
      </c>
      <c r="AB5" s="614"/>
      <c r="AC5" s="614"/>
      <c r="AD5" s="610" t="s">
        <v>770</v>
      </c>
      <c r="AE5" s="610"/>
      <c r="AF5" s="610"/>
      <c r="AG5" s="625" t="s">
        <v>890</v>
      </c>
      <c r="AH5" s="626"/>
      <c r="AI5" s="627"/>
      <c r="AJ5" s="625" t="s">
        <v>2679</v>
      </c>
      <c r="AK5" s="626"/>
      <c r="AL5" s="627"/>
      <c r="AM5" s="625" t="s">
        <v>2776</v>
      </c>
      <c r="AN5" s="626"/>
      <c r="AO5" s="627"/>
      <c r="AP5" s="633" t="s">
        <v>2844</v>
      </c>
      <c r="AQ5" s="634"/>
      <c r="AR5" s="635"/>
      <c r="AS5" s="632" t="s">
        <v>2878</v>
      </c>
      <c r="AT5" s="632"/>
      <c r="AU5" s="632"/>
      <c r="AV5" s="632"/>
      <c r="AW5" s="520">
        <v>2017</v>
      </c>
      <c r="AX5" s="520">
        <v>2017</v>
      </c>
      <c r="AY5" s="520" t="s">
        <v>555</v>
      </c>
      <c r="AZ5" s="610" t="s">
        <v>555</v>
      </c>
      <c r="BA5" s="631"/>
      <c r="BB5" s="610">
        <v>2018</v>
      </c>
      <c r="BC5" s="610">
        <v>2019</v>
      </c>
      <c r="BD5" s="610">
        <v>2020</v>
      </c>
      <c r="BE5" s="610">
        <v>2021</v>
      </c>
      <c r="BF5" s="610">
        <v>2022</v>
      </c>
      <c r="BG5" s="610">
        <v>2023</v>
      </c>
      <c r="BH5" s="610">
        <v>2024</v>
      </c>
      <c r="BI5" s="610"/>
      <c r="BJ5" s="631"/>
      <c r="BK5" s="631"/>
      <c r="BL5" s="631"/>
    </row>
    <row r="6" spans="1:65" s="6" customFormat="1" ht="47.25" customHeight="1" x14ac:dyDescent="0.25">
      <c r="A6" s="612"/>
      <c r="B6" s="623"/>
      <c r="C6" s="608"/>
      <c r="D6" s="623"/>
      <c r="E6" s="608"/>
      <c r="F6" s="608"/>
      <c r="G6" s="620"/>
      <c r="H6" s="621"/>
      <c r="I6" s="621"/>
      <c r="J6" s="614"/>
      <c r="K6" s="577"/>
      <c r="L6" s="519"/>
      <c r="M6" s="519"/>
      <c r="N6" s="519"/>
      <c r="O6" s="519" t="s">
        <v>637</v>
      </c>
      <c r="P6" s="519" t="s">
        <v>636</v>
      </c>
      <c r="Q6" s="519" t="s">
        <v>653</v>
      </c>
      <c r="R6" s="519" t="s">
        <v>637</v>
      </c>
      <c r="S6" s="519" t="s">
        <v>636</v>
      </c>
      <c r="T6" s="519" t="s">
        <v>653</v>
      </c>
      <c r="U6" s="519" t="s">
        <v>637</v>
      </c>
      <c r="V6" s="519" t="s">
        <v>636</v>
      </c>
      <c r="W6" s="519" t="s">
        <v>653</v>
      </c>
      <c r="X6" s="519" t="s">
        <v>637</v>
      </c>
      <c r="Y6" s="519" t="s">
        <v>636</v>
      </c>
      <c r="Z6" s="519" t="s">
        <v>653</v>
      </c>
      <c r="AA6" s="519" t="s">
        <v>637</v>
      </c>
      <c r="AB6" s="519" t="s">
        <v>636</v>
      </c>
      <c r="AC6" s="519" t="s">
        <v>653</v>
      </c>
      <c r="AD6" s="520" t="s">
        <v>637</v>
      </c>
      <c r="AE6" s="520" t="s">
        <v>636</v>
      </c>
      <c r="AF6" s="520" t="s">
        <v>653</v>
      </c>
      <c r="AG6" s="520" t="s">
        <v>637</v>
      </c>
      <c r="AH6" s="520" t="s">
        <v>636</v>
      </c>
      <c r="AI6" s="520" t="s">
        <v>653</v>
      </c>
      <c r="AJ6" s="520" t="s">
        <v>637</v>
      </c>
      <c r="AK6" s="520" t="s">
        <v>636</v>
      </c>
      <c r="AL6" s="520" t="s">
        <v>653</v>
      </c>
      <c r="AM6" s="520" t="s">
        <v>637</v>
      </c>
      <c r="AN6" s="520" t="s">
        <v>636</v>
      </c>
      <c r="AO6" s="520" t="s">
        <v>653</v>
      </c>
      <c r="AP6" s="522" t="s">
        <v>637</v>
      </c>
      <c r="AQ6" s="522" t="s">
        <v>636</v>
      </c>
      <c r="AR6" s="522" t="s">
        <v>653</v>
      </c>
      <c r="AS6" s="522" t="s">
        <v>637</v>
      </c>
      <c r="AT6" s="522" t="s">
        <v>636</v>
      </c>
      <c r="AU6" s="522" t="s">
        <v>653</v>
      </c>
      <c r="AV6" s="522" t="s">
        <v>647</v>
      </c>
      <c r="AW6" s="520" t="s">
        <v>559</v>
      </c>
      <c r="AX6" s="520" t="s">
        <v>560</v>
      </c>
      <c r="AY6" s="520" t="s">
        <v>561</v>
      </c>
      <c r="AZ6" s="520" t="s">
        <v>2880</v>
      </c>
      <c r="BA6" s="521" t="s">
        <v>649</v>
      </c>
      <c r="BB6" s="610"/>
      <c r="BC6" s="610"/>
      <c r="BD6" s="610"/>
      <c r="BE6" s="610"/>
      <c r="BF6" s="610"/>
      <c r="BG6" s="610"/>
      <c r="BH6" s="610"/>
      <c r="BI6" s="610"/>
      <c r="BJ6" s="631"/>
      <c r="BK6" s="631"/>
      <c r="BL6" s="631"/>
    </row>
    <row r="7" spans="1:65" s="6" customFormat="1" ht="31.5" x14ac:dyDescent="0.25">
      <c r="A7" s="612"/>
      <c r="B7" s="623"/>
      <c r="C7" s="608"/>
      <c r="D7" s="623"/>
      <c r="E7" s="608"/>
      <c r="F7" s="608"/>
      <c r="G7" s="620"/>
      <c r="H7" s="621"/>
      <c r="I7" s="621"/>
      <c r="J7" s="614"/>
      <c r="K7" s="577" t="s">
        <v>2771</v>
      </c>
      <c r="L7" s="519"/>
      <c r="M7" s="520">
        <f>SUM(M10:M3039)</f>
        <v>1938709.9300000002</v>
      </c>
      <c r="N7" s="520">
        <f>SUM(N10:N2319)</f>
        <v>119626786.34999999</v>
      </c>
      <c r="O7" s="520">
        <f>SUM(O10:O3039)</f>
        <v>15535562.83</v>
      </c>
      <c r="P7" s="520">
        <f>SUM(P10:P3039)</f>
        <v>14014230.949999999</v>
      </c>
      <c r="Q7" s="520">
        <f>SUM(Q10:Q3039)</f>
        <v>-1521331.8800000001</v>
      </c>
      <c r="R7" s="520">
        <f t="shared" ref="R7:AA7" si="0">SUM(R10:R3136)</f>
        <v>8766692.1400000006</v>
      </c>
      <c r="S7" s="520">
        <f t="shared" si="0"/>
        <v>7017020.6100000003</v>
      </c>
      <c r="T7" s="520">
        <f t="shared" si="0"/>
        <v>-1749671.5300000005</v>
      </c>
      <c r="U7" s="520">
        <f t="shared" si="0"/>
        <v>17519995.82</v>
      </c>
      <c r="V7" s="520">
        <f t="shared" si="0"/>
        <v>18704907.940000001</v>
      </c>
      <c r="W7" s="520">
        <f t="shared" si="0"/>
        <v>1184912.1199999999</v>
      </c>
      <c r="X7" s="520">
        <f t="shared" si="0"/>
        <v>15008997.359999998</v>
      </c>
      <c r="Y7" s="520">
        <f t="shared" si="0"/>
        <v>11882842.294762904</v>
      </c>
      <c r="Z7" s="520">
        <f t="shared" si="0"/>
        <v>-3126155.0652370965</v>
      </c>
      <c r="AA7" s="520">
        <f t="shared" si="0"/>
        <v>12964947.08</v>
      </c>
      <c r="AB7" s="520">
        <f>SUM(AB10:AB3226)</f>
        <v>5343957.1500000004</v>
      </c>
      <c r="AC7" s="520">
        <f>SUM(AC10:AC3226)</f>
        <v>-7620989.9299999997</v>
      </c>
      <c r="AD7" s="520">
        <f>SUM(AD10:AD3136)</f>
        <v>14339153.860000001</v>
      </c>
      <c r="AE7" s="520">
        <f>SUM(AE10:AE3226)</f>
        <v>12613807.760000002</v>
      </c>
      <c r="AF7" s="520">
        <f>SUM(AF10:AF3136)</f>
        <v>-1725346.1</v>
      </c>
      <c r="AG7" s="520">
        <f>SUM(AG10:AG3136)</f>
        <v>33268550.850000001</v>
      </c>
      <c r="AH7" s="520">
        <f>SUM(AH10:AH3136)</f>
        <v>12422066.509999994</v>
      </c>
      <c r="AI7" s="520">
        <f>SUM(AI10:AI3376)</f>
        <v>-20846484.340000004</v>
      </c>
      <c r="AJ7" s="520">
        <f t="shared" ref="AJ7:AP7" si="1">SUM(AJ10:AJ3270)</f>
        <v>14612162.899999999</v>
      </c>
      <c r="AK7" s="520">
        <f t="shared" si="1"/>
        <v>6089340.0599999996</v>
      </c>
      <c r="AL7" s="520">
        <f t="shared" si="1"/>
        <v>-8522822.8399999999</v>
      </c>
      <c r="AM7" s="520">
        <f t="shared" si="1"/>
        <v>36743869.539999992</v>
      </c>
      <c r="AN7" s="520">
        <f t="shared" si="1"/>
        <v>16768848.370000001</v>
      </c>
      <c r="AO7" s="520">
        <f t="shared" si="1"/>
        <v>-19975021.169999998</v>
      </c>
      <c r="AP7" s="522">
        <f t="shared" si="1"/>
        <v>53826166.516500004</v>
      </c>
      <c r="AQ7" s="522">
        <v>19876802.419999998</v>
      </c>
      <c r="AR7" s="522">
        <f>SUM(AR10:AR3270)</f>
        <v>-33949364.096499994</v>
      </c>
      <c r="AS7" s="522">
        <v>301721650.69650018</v>
      </c>
      <c r="AT7" s="522">
        <v>265221636.16476312</v>
      </c>
      <c r="AU7" s="522">
        <v>-36501204.531737201</v>
      </c>
      <c r="AV7" s="51">
        <f>AT7/AS7</f>
        <v>0.87902752604103906</v>
      </c>
      <c r="AW7" s="520"/>
      <c r="AX7" s="520"/>
      <c r="AY7" s="520"/>
      <c r="AZ7" s="520"/>
      <c r="BA7" s="521"/>
      <c r="BB7" s="520">
        <f t="shared" ref="BB7:BH7" si="2">SUM(BB10:BB3270)</f>
        <v>296267150.62849998</v>
      </c>
      <c r="BC7" s="520">
        <f t="shared" si="2"/>
        <v>179236421.96999994</v>
      </c>
      <c r="BD7" s="520">
        <f t="shared" si="2"/>
        <v>119348119.19000003</v>
      </c>
      <c r="BE7" s="520">
        <f t="shared" si="2"/>
        <v>66852584.470000006</v>
      </c>
      <c r="BF7" s="520">
        <f t="shared" si="2"/>
        <v>47454930.45000001</v>
      </c>
      <c r="BG7" s="520">
        <f t="shared" si="2"/>
        <v>33403781.340000004</v>
      </c>
      <c r="BH7" s="520">
        <f t="shared" si="2"/>
        <v>5450861.3199999994</v>
      </c>
      <c r="BI7" s="610"/>
      <c r="BJ7" s="631"/>
      <c r="BK7" s="631"/>
      <c r="BL7" s="631"/>
    </row>
    <row r="8" spans="1:65" s="7" customFormat="1" ht="31.5" x14ac:dyDescent="0.25">
      <c r="A8" s="613"/>
      <c r="B8" s="624"/>
      <c r="C8" s="609"/>
      <c r="D8" s="624"/>
      <c r="E8" s="609"/>
      <c r="F8" s="609"/>
      <c r="G8" s="620"/>
      <c r="H8" s="621"/>
      <c r="I8" s="621"/>
      <c r="J8" s="614"/>
      <c r="K8" s="577" t="s">
        <v>648</v>
      </c>
      <c r="L8" s="519"/>
      <c r="M8" s="519"/>
      <c r="N8" s="519"/>
      <c r="O8" s="519"/>
      <c r="P8" s="519"/>
      <c r="Q8" s="519"/>
      <c r="R8" s="519"/>
      <c r="S8" s="519"/>
      <c r="T8" s="519"/>
      <c r="U8" s="519"/>
      <c r="V8" s="519"/>
      <c r="W8" s="519"/>
      <c r="X8" s="519"/>
      <c r="Y8" s="519"/>
      <c r="Z8" s="519"/>
      <c r="AA8" s="520"/>
      <c r="AB8" s="520"/>
      <c r="AC8" s="520"/>
      <c r="AD8" s="520"/>
      <c r="AE8" s="520"/>
      <c r="AF8" s="520"/>
      <c r="AG8" s="520"/>
      <c r="AH8" s="520"/>
      <c r="AI8" s="520"/>
      <c r="AJ8" s="520"/>
      <c r="AK8" s="520"/>
      <c r="AL8" s="520"/>
      <c r="AM8" s="520"/>
      <c r="AN8" s="520"/>
      <c r="AO8" s="520"/>
      <c r="AP8" s="522"/>
      <c r="AQ8" s="522"/>
      <c r="AR8" s="522"/>
      <c r="AS8" s="522">
        <f>SUM(AS10:AS70)</f>
        <v>195492698.79650006</v>
      </c>
      <c r="AT8" s="522">
        <f>SUM(AT10:AT70)</f>
        <v>102971092.00476287</v>
      </c>
      <c r="AU8" s="522">
        <f>SUM(AU10:AU88)</f>
        <v>-97822998.021737069</v>
      </c>
      <c r="AV8" s="51">
        <f>AT8/AS8</f>
        <v>0.52672602423864223</v>
      </c>
      <c r="AW8" s="520"/>
      <c r="AX8" s="520"/>
      <c r="AY8" s="520">
        <f>SUM(AY10:AY60)</f>
        <v>215294512.55050004</v>
      </c>
      <c r="AZ8" s="520">
        <v>142875687.04000002</v>
      </c>
      <c r="BA8" s="550">
        <f>SUM(BA10:BA91)</f>
        <v>-78313861.099999994</v>
      </c>
      <c r="BB8" s="520"/>
      <c r="BC8" s="520"/>
      <c r="BD8" s="520"/>
      <c r="BE8" s="520"/>
      <c r="BF8" s="520"/>
      <c r="BG8" s="520"/>
      <c r="BH8" s="520"/>
      <c r="BI8" s="610"/>
      <c r="BJ8" s="631"/>
      <c r="BK8" s="631"/>
      <c r="BL8" s="631"/>
      <c r="BM8" s="598"/>
    </row>
    <row r="9" spans="1:65" s="1" customFormat="1" x14ac:dyDescent="0.2">
      <c r="A9" s="9">
        <v>1</v>
      </c>
      <c r="B9" s="9">
        <v>2</v>
      </c>
      <c r="C9" s="13">
        <v>3</v>
      </c>
      <c r="D9" s="9">
        <v>4</v>
      </c>
      <c r="E9" s="9">
        <v>5</v>
      </c>
      <c r="F9" s="9">
        <v>6</v>
      </c>
      <c r="G9" s="30">
        <v>1</v>
      </c>
      <c r="H9" s="70">
        <v>1</v>
      </c>
      <c r="I9" s="70">
        <v>2</v>
      </c>
      <c r="J9" s="71">
        <v>3</v>
      </c>
      <c r="K9" s="71">
        <v>4</v>
      </c>
      <c r="L9" s="70" t="s">
        <v>891</v>
      </c>
      <c r="M9" s="70" t="s">
        <v>891</v>
      </c>
      <c r="N9" s="70" t="s">
        <v>891</v>
      </c>
      <c r="O9" s="70" t="s">
        <v>891</v>
      </c>
      <c r="P9" s="70" t="s">
        <v>891</v>
      </c>
      <c r="Q9" s="70" t="s">
        <v>891</v>
      </c>
      <c r="R9" s="70" t="s">
        <v>891</v>
      </c>
      <c r="S9" s="70" t="s">
        <v>891</v>
      </c>
      <c r="T9" s="70" t="s">
        <v>891</v>
      </c>
      <c r="U9" s="70" t="s">
        <v>891</v>
      </c>
      <c r="V9" s="70" t="s">
        <v>891</v>
      </c>
      <c r="W9" s="70" t="s">
        <v>891</v>
      </c>
      <c r="X9" s="70" t="s">
        <v>891</v>
      </c>
      <c r="Y9" s="70" t="s">
        <v>891</v>
      </c>
      <c r="Z9" s="70" t="s">
        <v>891</v>
      </c>
      <c r="AA9" s="70" t="s">
        <v>891</v>
      </c>
      <c r="AB9" s="71" t="s">
        <v>891</v>
      </c>
      <c r="AC9" s="70" t="s">
        <v>891</v>
      </c>
      <c r="AD9" s="70" t="s">
        <v>891</v>
      </c>
      <c r="AE9" s="70" t="s">
        <v>891</v>
      </c>
      <c r="AF9" s="70" t="s">
        <v>891</v>
      </c>
      <c r="AG9" s="70" t="s">
        <v>891</v>
      </c>
      <c r="AH9" s="70" t="s">
        <v>891</v>
      </c>
      <c r="AI9" s="70" t="s">
        <v>891</v>
      </c>
      <c r="AJ9" s="70" t="s">
        <v>891</v>
      </c>
      <c r="AK9" s="70" t="s">
        <v>891</v>
      </c>
      <c r="AL9" s="70" t="s">
        <v>891</v>
      </c>
      <c r="AM9" s="70" t="s">
        <v>891</v>
      </c>
      <c r="AN9" s="70" t="s">
        <v>891</v>
      </c>
      <c r="AO9" s="70" t="s">
        <v>891</v>
      </c>
      <c r="AP9" s="70" t="s">
        <v>891</v>
      </c>
      <c r="AQ9" s="70"/>
      <c r="AR9" s="70"/>
      <c r="AS9" s="70">
        <v>5</v>
      </c>
      <c r="AT9" s="70">
        <v>6</v>
      </c>
      <c r="AU9" s="70" t="s">
        <v>2690</v>
      </c>
      <c r="AV9" s="70" t="s">
        <v>2691</v>
      </c>
      <c r="AW9" s="70" t="s">
        <v>891</v>
      </c>
      <c r="AX9" s="70" t="s">
        <v>891</v>
      </c>
      <c r="AY9" s="70">
        <v>9</v>
      </c>
      <c r="AZ9" s="70">
        <v>10</v>
      </c>
      <c r="BA9" s="551">
        <v>11</v>
      </c>
      <c r="BB9" s="70" t="s">
        <v>891</v>
      </c>
      <c r="BC9" s="70" t="s">
        <v>891</v>
      </c>
      <c r="BD9" s="70" t="s">
        <v>891</v>
      </c>
      <c r="BE9" s="70" t="s">
        <v>891</v>
      </c>
      <c r="BF9" s="70" t="s">
        <v>891</v>
      </c>
      <c r="BG9" s="70" t="s">
        <v>891</v>
      </c>
      <c r="BH9" s="70" t="s">
        <v>891</v>
      </c>
      <c r="BI9" s="70">
        <v>12</v>
      </c>
      <c r="BJ9" s="70">
        <v>12</v>
      </c>
      <c r="BK9" s="70">
        <v>12</v>
      </c>
      <c r="BL9" s="70">
        <v>13</v>
      </c>
      <c r="BM9" s="599"/>
    </row>
    <row r="10" spans="1:65" s="10" customFormat="1" ht="219.75" customHeight="1" x14ac:dyDescent="0.25">
      <c r="A10" s="474" t="s">
        <v>89</v>
      </c>
      <c r="B10" s="474" t="s">
        <v>90</v>
      </c>
      <c r="C10" s="344" t="s">
        <v>571</v>
      </c>
      <c r="D10" s="474" t="s">
        <v>3</v>
      </c>
      <c r="E10" s="474" t="s">
        <v>11</v>
      </c>
      <c r="F10" s="474" t="s">
        <v>5</v>
      </c>
      <c r="G10" s="474" t="s">
        <v>93</v>
      </c>
      <c r="H10" s="43">
        <v>1</v>
      </c>
      <c r="I10" s="43" t="s">
        <v>89</v>
      </c>
      <c r="J10" s="475" t="s">
        <v>49</v>
      </c>
      <c r="K10" s="475" t="s">
        <v>94</v>
      </c>
      <c r="L10" s="41">
        <v>0</v>
      </c>
      <c r="M10" s="41">
        <v>0</v>
      </c>
      <c r="N10" s="41">
        <v>0</v>
      </c>
      <c r="O10" s="41">
        <v>0</v>
      </c>
      <c r="P10" s="41">
        <v>0</v>
      </c>
      <c r="Q10" s="41">
        <f t="shared" ref="Q10:Q15" si="3">P10-O10</f>
        <v>0</v>
      </c>
      <c r="R10" s="41">
        <v>0</v>
      </c>
      <c r="S10" s="41">
        <v>0</v>
      </c>
      <c r="T10" s="41">
        <f t="shared" ref="T10:T15" si="4">S10-R10</f>
        <v>0</v>
      </c>
      <c r="U10" s="41"/>
      <c r="V10" s="41">
        <v>0</v>
      </c>
      <c r="W10" s="41">
        <f t="shared" ref="W10:W15" si="5">V10-U10</f>
        <v>0</v>
      </c>
      <c r="X10" s="41">
        <v>350666.58</v>
      </c>
      <c r="Y10" s="41"/>
      <c r="Z10" s="41">
        <f t="shared" ref="Z10:Z15" si="6">Y10-X10</f>
        <v>-350666.58</v>
      </c>
      <c r="AA10" s="41">
        <v>6379500</v>
      </c>
      <c r="AB10" s="41">
        <v>0</v>
      </c>
      <c r="AC10" s="41">
        <f t="shared" ref="AC10:AC15" si="7">AB10-AA10</f>
        <v>-6379500</v>
      </c>
      <c r="AD10" s="41">
        <v>0</v>
      </c>
      <c r="AE10" s="41">
        <v>346720.77</v>
      </c>
      <c r="AF10" s="41">
        <f t="shared" ref="AF10:AF15" si="8">AE10-AD10</f>
        <v>346720.77</v>
      </c>
      <c r="AG10" s="41">
        <v>1191537</v>
      </c>
      <c r="AH10" s="41">
        <v>93398.54</v>
      </c>
      <c r="AI10" s="41">
        <f t="shared" ref="AI10:AI29" si="9">AH10-AG10</f>
        <v>-1098138.46</v>
      </c>
      <c r="AJ10" s="41">
        <v>0</v>
      </c>
      <c r="AK10" s="41">
        <v>0</v>
      </c>
      <c r="AL10" s="41">
        <f t="shared" ref="AL10:AL29" si="10">AK10-AJ10</f>
        <v>0</v>
      </c>
      <c r="AM10" s="41">
        <v>0</v>
      </c>
      <c r="AN10" s="41">
        <v>1791576.25</v>
      </c>
      <c r="AO10" s="41">
        <f t="shared" ref="AO10:AO29" si="11">AN10-AM10</f>
        <v>1791576.25</v>
      </c>
      <c r="AP10" s="41">
        <v>10004144.77</v>
      </c>
      <c r="AQ10" s="41">
        <v>0</v>
      </c>
      <c r="AR10" s="41">
        <f t="shared" ref="AR10:AR41" si="12">AQ10-AP10</f>
        <v>-10004144.77</v>
      </c>
      <c r="AS10" s="41">
        <f t="shared" ref="AS10:AU12" si="13">AM10+AJ10+AG10+AD10+AA10+X10+U10+R10+O10+AP10</f>
        <v>17925848.350000001</v>
      </c>
      <c r="AT10" s="41">
        <f t="shared" si="13"/>
        <v>2231695.56</v>
      </c>
      <c r="AU10" s="522">
        <f t="shared" si="13"/>
        <v>-15694152.789999999</v>
      </c>
      <c r="AV10" s="459">
        <f>AT10/AS10</f>
        <v>0.1244959522375966</v>
      </c>
      <c r="AW10" s="41">
        <v>0</v>
      </c>
      <c r="AX10" s="41">
        <v>0</v>
      </c>
      <c r="AY10" s="41">
        <f t="shared" ref="AY10:AY41" si="14">AX10+AW10+AP10+AM10+AJ10+AG10+AA10+X10+U10+R10+O10+AD10</f>
        <v>17925848.349999998</v>
      </c>
      <c r="AZ10" s="41">
        <v>2567682.56</v>
      </c>
      <c r="BA10" s="550">
        <f t="shared" ref="BA10:BA29" si="15">AZ10-AY10</f>
        <v>-15358165.789999997</v>
      </c>
      <c r="BB10" s="41">
        <v>52171854.43</v>
      </c>
      <c r="BC10" s="41">
        <v>37239329.68</v>
      </c>
      <c r="BD10" s="41">
        <v>17268048.510000002</v>
      </c>
      <c r="BE10" s="41">
        <v>2427223.94</v>
      </c>
      <c r="BF10" s="41">
        <v>0</v>
      </c>
      <c r="BG10" s="41">
        <v>2427223.94</v>
      </c>
      <c r="BH10" s="41">
        <v>0</v>
      </c>
      <c r="BI10" s="41">
        <v>107361816.59</v>
      </c>
      <c r="BJ10" s="451" t="s">
        <v>2688</v>
      </c>
      <c r="BK10" s="25" t="s">
        <v>2740</v>
      </c>
      <c r="BL10" s="588" t="s">
        <v>2962</v>
      </c>
      <c r="BM10" s="591" t="s">
        <v>2901</v>
      </c>
    </row>
    <row r="11" spans="1:65" s="17" customFormat="1" ht="84.75" customHeight="1" x14ac:dyDescent="0.25">
      <c r="A11" s="474" t="s">
        <v>46</v>
      </c>
      <c r="B11" s="474" t="s">
        <v>660</v>
      </c>
      <c r="C11" s="344" t="s">
        <v>47</v>
      </c>
      <c r="D11" s="474" t="s">
        <v>3</v>
      </c>
      <c r="E11" s="474" t="s">
        <v>11</v>
      </c>
      <c r="F11" s="474" t="s">
        <v>5</v>
      </c>
      <c r="G11" s="474" t="s">
        <v>48</v>
      </c>
      <c r="H11" s="43">
        <v>2</v>
      </c>
      <c r="I11" s="43" t="s">
        <v>46</v>
      </c>
      <c r="J11" s="475" t="s">
        <v>49</v>
      </c>
      <c r="K11" s="475" t="s">
        <v>50</v>
      </c>
      <c r="L11" s="41">
        <v>0</v>
      </c>
      <c r="M11" s="41">
        <v>0</v>
      </c>
      <c r="N11" s="41">
        <v>31597272.489999998</v>
      </c>
      <c r="O11" s="41">
        <v>1501559.09</v>
      </c>
      <c r="P11" s="41">
        <v>0</v>
      </c>
      <c r="Q11" s="41">
        <f t="shared" si="3"/>
        <v>-1501559.09</v>
      </c>
      <c r="R11" s="41">
        <v>0</v>
      </c>
      <c r="S11" s="41">
        <v>0</v>
      </c>
      <c r="T11" s="41">
        <f t="shared" si="4"/>
        <v>0</v>
      </c>
      <c r="U11" s="41"/>
      <c r="V11" s="41">
        <v>1501559.09</v>
      </c>
      <c r="W11" s="41">
        <f t="shared" si="5"/>
        <v>1501559.09</v>
      </c>
      <c r="X11" s="41">
        <v>3992857.16</v>
      </c>
      <c r="Y11" s="41">
        <v>1940102.2547629038</v>
      </c>
      <c r="Z11" s="41">
        <f t="shared" si="6"/>
        <v>-2052754.9052370964</v>
      </c>
      <c r="AA11" s="41">
        <v>0</v>
      </c>
      <c r="AB11" s="432">
        <v>0</v>
      </c>
      <c r="AC11" s="41">
        <f t="shared" si="7"/>
        <v>0</v>
      </c>
      <c r="AD11" s="41">
        <v>0</v>
      </c>
      <c r="AE11" s="41">
        <v>0</v>
      </c>
      <c r="AF11" s="41">
        <f t="shared" si="8"/>
        <v>0</v>
      </c>
      <c r="AG11" s="41">
        <v>3992857.16</v>
      </c>
      <c r="AH11" s="41">
        <v>2574239</v>
      </c>
      <c r="AI11" s="41">
        <f t="shared" si="9"/>
        <v>-1418618.1600000001</v>
      </c>
      <c r="AJ11" s="41">
        <v>0</v>
      </c>
      <c r="AK11" s="41">
        <v>0</v>
      </c>
      <c r="AL11" s="41">
        <f t="shared" si="10"/>
        <v>0</v>
      </c>
      <c r="AM11" s="41">
        <v>0</v>
      </c>
      <c r="AN11" s="41">
        <v>0</v>
      </c>
      <c r="AO11" s="41">
        <f t="shared" si="11"/>
        <v>0</v>
      </c>
      <c r="AP11" s="41">
        <v>3992857.16</v>
      </c>
      <c r="AQ11" s="41">
        <v>0</v>
      </c>
      <c r="AR11" s="41">
        <f t="shared" si="12"/>
        <v>-3992857.16</v>
      </c>
      <c r="AS11" s="41">
        <f t="shared" si="13"/>
        <v>13480130.57</v>
      </c>
      <c r="AT11" s="41">
        <f t="shared" si="13"/>
        <v>6015900.3447629036</v>
      </c>
      <c r="AU11" s="522">
        <f t="shared" si="13"/>
        <v>-7464230.2252370967</v>
      </c>
      <c r="AV11" s="459">
        <f t="shared" ref="AV11:AV74" si="16">AT11/AS11</f>
        <v>0.44627908561592688</v>
      </c>
      <c r="AW11" s="41">
        <v>0</v>
      </c>
      <c r="AX11" s="41">
        <v>0</v>
      </c>
      <c r="AY11" s="41">
        <f t="shared" si="14"/>
        <v>13480130.57</v>
      </c>
      <c r="AZ11" s="41">
        <v>9905242.6199999992</v>
      </c>
      <c r="BA11" s="550">
        <f t="shared" si="15"/>
        <v>-3574887.9500000011</v>
      </c>
      <c r="BB11" s="41">
        <v>20906461.890000001</v>
      </c>
      <c r="BC11" s="41">
        <v>22533376.979999997</v>
      </c>
      <c r="BD11" s="41">
        <v>16659423.530000001</v>
      </c>
      <c r="BE11" s="41">
        <v>13537217.08</v>
      </c>
      <c r="BF11" s="41">
        <v>11600459.26</v>
      </c>
      <c r="BG11" s="41">
        <v>13994522.060000001</v>
      </c>
      <c r="BH11" s="41">
        <v>3741136.13</v>
      </c>
      <c r="BI11" s="41">
        <v>118439999.99000001</v>
      </c>
      <c r="BJ11" s="451" t="s">
        <v>2692</v>
      </c>
      <c r="BK11" s="25" t="s">
        <v>2741</v>
      </c>
      <c r="BL11" s="588" t="s">
        <v>2904</v>
      </c>
      <c r="BM11" s="591" t="s">
        <v>2902</v>
      </c>
    </row>
    <row r="12" spans="1:65" s="17" customFormat="1" ht="125.25" customHeight="1" x14ac:dyDescent="0.25">
      <c r="A12" s="474" t="s">
        <v>9</v>
      </c>
      <c r="B12" s="474" t="s">
        <v>15</v>
      </c>
      <c r="C12" s="344" t="s">
        <v>563</v>
      </c>
      <c r="D12" s="474" t="s">
        <v>3</v>
      </c>
      <c r="E12" s="474" t="s">
        <v>11</v>
      </c>
      <c r="F12" s="474" t="s">
        <v>5</v>
      </c>
      <c r="G12" s="474" t="s">
        <v>16</v>
      </c>
      <c r="H12" s="43">
        <v>3</v>
      </c>
      <c r="I12" s="43" t="s">
        <v>9</v>
      </c>
      <c r="J12" s="475" t="s">
        <v>17</v>
      </c>
      <c r="K12" s="475" t="s">
        <v>18</v>
      </c>
      <c r="L12" s="41">
        <v>0</v>
      </c>
      <c r="M12" s="41">
        <v>0</v>
      </c>
      <c r="N12" s="41">
        <v>0</v>
      </c>
      <c r="O12" s="41">
        <v>0</v>
      </c>
      <c r="P12" s="41">
        <v>0</v>
      </c>
      <c r="Q12" s="41">
        <f t="shared" si="3"/>
        <v>0</v>
      </c>
      <c r="R12" s="41">
        <v>0</v>
      </c>
      <c r="S12" s="41">
        <v>0</v>
      </c>
      <c r="T12" s="41">
        <f t="shared" si="4"/>
        <v>0</v>
      </c>
      <c r="U12" s="41">
        <v>0</v>
      </c>
      <c r="V12" s="41">
        <v>0</v>
      </c>
      <c r="W12" s="41">
        <f t="shared" si="5"/>
        <v>0</v>
      </c>
      <c r="X12" s="41">
        <v>75022</v>
      </c>
      <c r="Y12" s="41">
        <v>74073.88</v>
      </c>
      <c r="Z12" s="41">
        <f t="shared" si="6"/>
        <v>-948.11999999999534</v>
      </c>
      <c r="AA12" s="41">
        <v>0</v>
      </c>
      <c r="AB12" s="41">
        <v>0</v>
      </c>
      <c r="AC12" s="41">
        <f t="shared" si="7"/>
        <v>0</v>
      </c>
      <c r="AD12" s="41">
        <v>0</v>
      </c>
      <c r="AE12" s="41">
        <v>0</v>
      </c>
      <c r="AF12" s="41">
        <f t="shared" si="8"/>
        <v>0</v>
      </c>
      <c r="AG12" s="41">
        <v>1602066.61</v>
      </c>
      <c r="AH12" s="41">
        <v>96545.23</v>
      </c>
      <c r="AI12" s="41">
        <f t="shared" si="9"/>
        <v>-1505521.3800000001</v>
      </c>
      <c r="AJ12" s="41">
        <v>0</v>
      </c>
      <c r="AK12" s="41">
        <v>0</v>
      </c>
      <c r="AL12" s="41">
        <f t="shared" si="10"/>
        <v>0</v>
      </c>
      <c r="AM12" s="41">
        <v>1899564.7</v>
      </c>
      <c r="AN12" s="41">
        <v>0</v>
      </c>
      <c r="AO12" s="41">
        <f t="shared" si="11"/>
        <v>-1899564.7</v>
      </c>
      <c r="AP12" s="41">
        <v>0</v>
      </c>
      <c r="AQ12" s="41">
        <v>0</v>
      </c>
      <c r="AR12" s="41">
        <f t="shared" si="12"/>
        <v>0</v>
      </c>
      <c r="AS12" s="41">
        <f t="shared" si="13"/>
        <v>3576653.31</v>
      </c>
      <c r="AT12" s="41">
        <f t="shared" si="13"/>
        <v>170619.11</v>
      </c>
      <c r="AU12" s="522">
        <f t="shared" si="13"/>
        <v>-3406034.2</v>
      </c>
      <c r="AV12" s="459">
        <f t="shared" si="16"/>
        <v>4.7703563977801358E-2</v>
      </c>
      <c r="AW12" s="41">
        <v>0</v>
      </c>
      <c r="AX12" s="41">
        <v>0</v>
      </c>
      <c r="AY12" s="41">
        <f t="shared" si="14"/>
        <v>3576653.31</v>
      </c>
      <c r="AZ12" s="41">
        <v>634824.05000000005</v>
      </c>
      <c r="BA12" s="550">
        <f t="shared" si="15"/>
        <v>-2941829.26</v>
      </c>
      <c r="BB12" s="41">
        <v>4401609.84</v>
      </c>
      <c r="BC12" s="41">
        <v>3382428.76</v>
      </c>
      <c r="BD12" s="41">
        <v>2096360.24</v>
      </c>
      <c r="BE12" s="41">
        <v>1704466.11</v>
      </c>
      <c r="BF12" s="41">
        <v>1672868.98</v>
      </c>
      <c r="BG12" s="41">
        <v>415587.26</v>
      </c>
      <c r="BH12" s="41">
        <v>0</v>
      </c>
      <c r="BI12" s="41">
        <v>17250000</v>
      </c>
      <c r="BJ12" s="451" t="s">
        <v>2698</v>
      </c>
      <c r="BK12" s="25" t="s">
        <v>2698</v>
      </c>
      <c r="BL12" s="588" t="s">
        <v>2915</v>
      </c>
      <c r="BM12" s="591" t="s">
        <v>2901</v>
      </c>
    </row>
    <row r="13" spans="1:65" s="17" customFormat="1" ht="110.25" customHeight="1" x14ac:dyDescent="0.25">
      <c r="A13" s="474" t="s">
        <v>172</v>
      </c>
      <c r="B13" s="474" t="s">
        <v>173</v>
      </c>
      <c r="C13" s="344" t="s">
        <v>579</v>
      </c>
      <c r="D13" s="474" t="s">
        <v>3</v>
      </c>
      <c r="E13" s="474" t="s">
        <v>29</v>
      </c>
      <c r="F13" s="474" t="s">
        <v>5</v>
      </c>
      <c r="G13" s="474" t="s">
        <v>182</v>
      </c>
      <c r="H13" s="43">
        <v>4</v>
      </c>
      <c r="I13" s="43" t="s">
        <v>172</v>
      </c>
      <c r="J13" s="475" t="s">
        <v>98</v>
      </c>
      <c r="K13" s="475" t="s">
        <v>183</v>
      </c>
      <c r="L13" s="41">
        <v>0</v>
      </c>
      <c r="M13" s="41">
        <v>0</v>
      </c>
      <c r="N13" s="41">
        <v>3402729.03</v>
      </c>
      <c r="O13" s="41">
        <v>0</v>
      </c>
      <c r="P13" s="41">
        <v>0</v>
      </c>
      <c r="Q13" s="41">
        <f t="shared" si="3"/>
        <v>0</v>
      </c>
      <c r="R13" s="41">
        <v>0</v>
      </c>
      <c r="S13" s="41">
        <v>0</v>
      </c>
      <c r="T13" s="41">
        <f t="shared" si="4"/>
        <v>0</v>
      </c>
      <c r="U13" s="41">
        <v>787670.64</v>
      </c>
      <c r="V13" s="41">
        <v>787670.64</v>
      </c>
      <c r="W13" s="41">
        <f t="shared" si="5"/>
        <v>0</v>
      </c>
      <c r="X13" s="41">
        <v>0</v>
      </c>
      <c r="Y13" s="41">
        <v>0</v>
      </c>
      <c r="Z13" s="41">
        <f t="shared" si="6"/>
        <v>0</v>
      </c>
      <c r="AA13" s="41">
        <v>0</v>
      </c>
      <c r="AB13" s="41">
        <v>0</v>
      </c>
      <c r="AC13" s="41">
        <f t="shared" si="7"/>
        <v>0</v>
      </c>
      <c r="AD13" s="41">
        <v>242540.7</v>
      </c>
      <c r="AE13" s="41">
        <v>0</v>
      </c>
      <c r="AF13" s="41">
        <f t="shared" si="8"/>
        <v>-242540.7</v>
      </c>
      <c r="AG13" s="41">
        <v>0</v>
      </c>
      <c r="AH13" s="41">
        <v>0</v>
      </c>
      <c r="AI13" s="41">
        <f t="shared" si="9"/>
        <v>0</v>
      </c>
      <c r="AJ13" s="41">
        <v>0</v>
      </c>
      <c r="AK13" s="41">
        <v>0</v>
      </c>
      <c r="AL13" s="41">
        <f t="shared" si="10"/>
        <v>0</v>
      </c>
      <c r="AM13" s="41">
        <v>4020845.95</v>
      </c>
      <c r="AN13" s="41">
        <v>1174928.76</v>
      </c>
      <c r="AO13" s="41">
        <f t="shared" si="11"/>
        <v>-2845917.1900000004</v>
      </c>
      <c r="AP13" s="41">
        <v>0</v>
      </c>
      <c r="AQ13" s="41">
        <v>0</v>
      </c>
      <c r="AR13" s="41">
        <f t="shared" si="12"/>
        <v>0</v>
      </c>
      <c r="AS13" s="41">
        <f t="shared" ref="AS13:AS44" si="17">AM13+AJ13+AG13+AD13+AA13+X13+U13+R13+O13+AP13</f>
        <v>5051057.29</v>
      </c>
      <c r="AT13" s="41">
        <f>AN13+AK13+AH13+AE13+AB13+-Y13+V13+S13+P13+AQ13</f>
        <v>1962599.4</v>
      </c>
      <c r="AU13" s="522">
        <f t="shared" ref="AU13:AU44" si="18">AO13+AL13+AI13+AF13+AC13+Z13+W13+T13+Q13+AR13</f>
        <v>-3088457.8900000006</v>
      </c>
      <c r="AV13" s="459">
        <f t="shared" si="16"/>
        <v>0.38855219557408738</v>
      </c>
      <c r="AW13" s="41">
        <v>0</v>
      </c>
      <c r="AX13" s="41">
        <v>1418201.2</v>
      </c>
      <c r="AY13" s="41">
        <f t="shared" si="14"/>
        <v>6469258.4900000002</v>
      </c>
      <c r="AZ13" s="41">
        <v>4683236.5299999993</v>
      </c>
      <c r="BA13" s="550">
        <f t="shared" si="15"/>
        <v>-1786021.9600000009</v>
      </c>
      <c r="BB13" s="41">
        <v>1486724.54</v>
      </c>
      <c r="BC13" s="41">
        <v>0</v>
      </c>
      <c r="BD13" s="41">
        <v>0</v>
      </c>
      <c r="BE13" s="41">
        <v>0</v>
      </c>
      <c r="BF13" s="41">
        <v>0</v>
      </c>
      <c r="BG13" s="41">
        <v>0</v>
      </c>
      <c r="BH13" s="41">
        <v>0</v>
      </c>
      <c r="BI13" s="41">
        <v>11358712.059999999</v>
      </c>
      <c r="BJ13" s="455" t="s">
        <v>2717</v>
      </c>
      <c r="BK13" s="25" t="s">
        <v>2717</v>
      </c>
      <c r="BL13" s="588" t="s">
        <v>2966</v>
      </c>
      <c r="BM13" s="600" t="s">
        <v>2903</v>
      </c>
    </row>
    <row r="14" spans="1:65" s="17" customFormat="1" ht="49.5" customHeight="1" x14ac:dyDescent="0.25">
      <c r="A14" s="474" t="s">
        <v>330</v>
      </c>
      <c r="B14" s="474" t="s">
        <v>334</v>
      </c>
      <c r="C14" s="344" t="s">
        <v>333</v>
      </c>
      <c r="D14" s="474" t="s">
        <v>3</v>
      </c>
      <c r="E14" s="474" t="s">
        <v>210</v>
      </c>
      <c r="F14" s="474" t="s">
        <v>77</v>
      </c>
      <c r="G14" s="474" t="s">
        <v>335</v>
      </c>
      <c r="H14" s="43">
        <v>5</v>
      </c>
      <c r="I14" s="43" t="s">
        <v>330</v>
      </c>
      <c r="J14" s="475" t="s">
        <v>212</v>
      </c>
      <c r="K14" s="475" t="s">
        <v>336</v>
      </c>
      <c r="L14" s="41">
        <v>0</v>
      </c>
      <c r="M14" s="41">
        <v>0</v>
      </c>
      <c r="N14" s="41">
        <v>678549.25999999989</v>
      </c>
      <c r="O14" s="41">
        <v>366419.21</v>
      </c>
      <c r="P14" s="41">
        <v>366419.21</v>
      </c>
      <c r="Q14" s="41">
        <f t="shared" si="3"/>
        <v>0</v>
      </c>
      <c r="R14" s="41">
        <v>0</v>
      </c>
      <c r="S14" s="41">
        <v>0</v>
      </c>
      <c r="T14" s="41">
        <f t="shared" si="4"/>
        <v>0</v>
      </c>
      <c r="U14" s="41">
        <v>0</v>
      </c>
      <c r="V14" s="41">
        <v>0</v>
      </c>
      <c r="W14" s="41">
        <f t="shared" si="5"/>
        <v>0</v>
      </c>
      <c r="X14" s="41">
        <v>328818.88</v>
      </c>
      <c r="Y14" s="41">
        <v>328757.37</v>
      </c>
      <c r="Z14" s="41">
        <f t="shared" si="6"/>
        <v>-61.510000000009313</v>
      </c>
      <c r="AA14" s="41">
        <v>0</v>
      </c>
      <c r="AB14" s="41">
        <v>0</v>
      </c>
      <c r="AC14" s="41">
        <f t="shared" si="7"/>
        <v>0</v>
      </c>
      <c r="AD14" s="41">
        <v>0</v>
      </c>
      <c r="AE14" s="41">
        <v>0</v>
      </c>
      <c r="AF14" s="41">
        <f t="shared" si="8"/>
        <v>0</v>
      </c>
      <c r="AG14" s="41">
        <v>1356466.55</v>
      </c>
      <c r="AH14" s="41">
        <v>526547.06999999995</v>
      </c>
      <c r="AI14" s="41">
        <f t="shared" si="9"/>
        <v>-829919.4800000001</v>
      </c>
      <c r="AJ14" s="41">
        <v>0</v>
      </c>
      <c r="AK14" s="41">
        <v>0</v>
      </c>
      <c r="AL14" s="41">
        <f t="shared" si="10"/>
        <v>0</v>
      </c>
      <c r="AM14" s="41">
        <v>0</v>
      </c>
      <c r="AN14" s="41">
        <v>0</v>
      </c>
      <c r="AO14" s="41">
        <f t="shared" si="11"/>
        <v>0</v>
      </c>
      <c r="AP14" s="41">
        <v>3072194.1</v>
      </c>
      <c r="AQ14" s="41">
        <v>927776.79</v>
      </c>
      <c r="AR14" s="41">
        <f t="shared" si="12"/>
        <v>-2144417.31</v>
      </c>
      <c r="AS14" s="41">
        <f t="shared" si="17"/>
        <v>5123898.74</v>
      </c>
      <c r="AT14" s="41">
        <f>AN14+AK14+AH14+AE14+AB14+Y14+V14+S14+P14+AQ14</f>
        <v>2149500.44</v>
      </c>
      <c r="AU14" s="522">
        <f t="shared" si="18"/>
        <v>-2974398.3000000003</v>
      </c>
      <c r="AV14" s="459">
        <f t="shared" si="16"/>
        <v>0.41950486320500546</v>
      </c>
      <c r="AW14" s="41">
        <v>0</v>
      </c>
      <c r="AX14" s="41">
        <v>0</v>
      </c>
      <c r="AY14" s="41">
        <f t="shared" si="14"/>
        <v>5123898.74</v>
      </c>
      <c r="AZ14" s="41">
        <v>2143910.91</v>
      </c>
      <c r="BA14" s="550">
        <f t="shared" si="15"/>
        <v>-2979987.83</v>
      </c>
      <c r="BB14" s="41">
        <v>9729228.3300000001</v>
      </c>
      <c r="BC14" s="41">
        <v>9541597.4699999988</v>
      </c>
      <c r="BD14" s="41">
        <v>4541928.7300000004</v>
      </c>
      <c r="BE14" s="41">
        <v>3963019.9</v>
      </c>
      <c r="BF14" s="41">
        <v>458902.59</v>
      </c>
      <c r="BG14" s="41">
        <v>0</v>
      </c>
      <c r="BH14" s="41">
        <v>0</v>
      </c>
      <c r="BI14" s="41">
        <v>27225595</v>
      </c>
      <c r="BJ14" s="451" t="s">
        <v>2699</v>
      </c>
      <c r="BK14" s="25" t="s">
        <v>2734</v>
      </c>
      <c r="BL14" s="592" t="s">
        <v>2891</v>
      </c>
      <c r="BM14" s="591" t="s">
        <v>2892</v>
      </c>
    </row>
    <row r="15" spans="1:65" s="17" customFormat="1" ht="63" customHeight="1" x14ac:dyDescent="0.25">
      <c r="A15" s="474" t="s">
        <v>106</v>
      </c>
      <c r="B15" s="474" t="s">
        <v>107</v>
      </c>
      <c r="C15" s="344" t="s">
        <v>108</v>
      </c>
      <c r="D15" s="474">
        <v>1</v>
      </c>
      <c r="E15" s="474" t="s">
        <v>109</v>
      </c>
      <c r="F15" s="474" t="s">
        <v>5</v>
      </c>
      <c r="G15" s="474" t="s">
        <v>625</v>
      </c>
      <c r="H15" s="43">
        <v>6</v>
      </c>
      <c r="I15" s="43" t="s">
        <v>106</v>
      </c>
      <c r="J15" s="475" t="s">
        <v>111</v>
      </c>
      <c r="K15" s="475" t="s">
        <v>626</v>
      </c>
      <c r="L15" s="41">
        <v>0</v>
      </c>
      <c r="M15" s="41">
        <v>0</v>
      </c>
      <c r="N15" s="41">
        <v>59957.56</v>
      </c>
      <c r="O15" s="41">
        <v>41064.229999999996</v>
      </c>
      <c r="P15" s="41">
        <v>41064.229999999996</v>
      </c>
      <c r="Q15" s="41">
        <f t="shared" si="3"/>
        <v>0</v>
      </c>
      <c r="R15" s="41">
        <v>0</v>
      </c>
      <c r="S15" s="41">
        <v>0</v>
      </c>
      <c r="T15" s="41">
        <f t="shared" si="4"/>
        <v>0</v>
      </c>
      <c r="U15" s="41">
        <v>0</v>
      </c>
      <c r="V15" s="41">
        <v>0</v>
      </c>
      <c r="W15" s="41">
        <f t="shared" si="5"/>
        <v>0</v>
      </c>
      <c r="X15" s="41">
        <v>0</v>
      </c>
      <c r="Y15" s="41">
        <v>0</v>
      </c>
      <c r="Z15" s="41">
        <f t="shared" si="6"/>
        <v>0</v>
      </c>
      <c r="AA15" s="41">
        <v>0</v>
      </c>
      <c r="AB15" s="41">
        <v>0</v>
      </c>
      <c r="AC15" s="41">
        <f t="shared" si="7"/>
        <v>0</v>
      </c>
      <c r="AD15" s="41">
        <v>0</v>
      </c>
      <c r="AE15" s="41">
        <v>0</v>
      </c>
      <c r="AF15" s="41">
        <f t="shared" si="8"/>
        <v>0</v>
      </c>
      <c r="AG15" s="41">
        <v>1360059</v>
      </c>
      <c r="AH15" s="41">
        <v>326491.13</v>
      </c>
      <c r="AI15" s="41">
        <f t="shared" si="9"/>
        <v>-1033567.87</v>
      </c>
      <c r="AJ15" s="41">
        <v>0</v>
      </c>
      <c r="AK15" s="41">
        <v>0</v>
      </c>
      <c r="AL15" s="41">
        <f t="shared" si="10"/>
        <v>0</v>
      </c>
      <c r="AM15" s="41">
        <f>1347335+1377552</f>
        <v>2724887</v>
      </c>
      <c r="AN15" s="41">
        <v>0</v>
      </c>
      <c r="AO15" s="41">
        <f t="shared" si="11"/>
        <v>-2724887</v>
      </c>
      <c r="AP15" s="41">
        <v>0</v>
      </c>
      <c r="AQ15" s="41">
        <v>846573.14</v>
      </c>
      <c r="AR15" s="41">
        <f t="shared" si="12"/>
        <v>846573.14</v>
      </c>
      <c r="AS15" s="41">
        <f t="shared" si="17"/>
        <v>4126010.23</v>
      </c>
      <c r="AT15" s="41">
        <f>AN15+AK15+AH15+AE15+AB15+-Y15+V15+S15+P15+AQ15</f>
        <v>1214128.5</v>
      </c>
      <c r="AU15" s="522">
        <f t="shared" si="18"/>
        <v>-2911881.73</v>
      </c>
      <c r="AV15" s="459">
        <f t="shared" si="16"/>
        <v>0.29426211577764316</v>
      </c>
      <c r="AW15" s="41">
        <v>1228765.96</v>
      </c>
      <c r="AX15" s="41">
        <v>148785.71</v>
      </c>
      <c r="AY15" s="41">
        <f t="shared" si="14"/>
        <v>5503561.9000000004</v>
      </c>
      <c r="AZ15" s="41">
        <v>3661499.7800000003</v>
      </c>
      <c r="BA15" s="550">
        <f t="shared" si="15"/>
        <v>-1842062.12</v>
      </c>
      <c r="BB15" s="41">
        <v>0</v>
      </c>
      <c r="BC15" s="41">
        <v>0</v>
      </c>
      <c r="BD15" s="41">
        <v>0</v>
      </c>
      <c r="BE15" s="41">
        <v>0</v>
      </c>
      <c r="BF15" s="41">
        <v>0</v>
      </c>
      <c r="BG15" s="41">
        <v>0</v>
      </c>
      <c r="BH15" s="41">
        <v>0</v>
      </c>
      <c r="BI15" s="41">
        <v>2798609.87</v>
      </c>
      <c r="BJ15" s="451" t="s">
        <v>950</v>
      </c>
      <c r="BK15" s="25" t="s">
        <v>2747</v>
      </c>
      <c r="BL15" s="588" t="s">
        <v>2927</v>
      </c>
      <c r="BM15" s="591" t="s">
        <v>2901</v>
      </c>
    </row>
    <row r="16" spans="1:65" s="17" customFormat="1" ht="81" customHeight="1" x14ac:dyDescent="0.25">
      <c r="A16" s="52" t="s">
        <v>172</v>
      </c>
      <c r="B16" s="52" t="s">
        <v>173</v>
      </c>
      <c r="C16" s="476" t="s">
        <v>579</v>
      </c>
      <c r="D16" s="52" t="s">
        <v>3</v>
      </c>
      <c r="E16" s="52" t="s">
        <v>29</v>
      </c>
      <c r="F16" s="52" t="s">
        <v>5</v>
      </c>
      <c r="G16" s="52" t="s">
        <v>865</v>
      </c>
      <c r="H16" s="43">
        <v>7</v>
      </c>
      <c r="I16" s="42" t="s">
        <v>172</v>
      </c>
      <c r="J16" s="477" t="s">
        <v>98</v>
      </c>
      <c r="K16" s="477" t="s">
        <v>866</v>
      </c>
      <c r="L16" s="431"/>
      <c r="M16" s="37">
        <v>0</v>
      </c>
      <c r="N16" s="37">
        <v>0</v>
      </c>
      <c r="O16" s="37">
        <v>0</v>
      </c>
      <c r="P16" s="37"/>
      <c r="Q16" s="37"/>
      <c r="R16" s="37">
        <v>0</v>
      </c>
      <c r="S16" s="37"/>
      <c r="T16" s="37"/>
      <c r="U16" s="37">
        <v>0</v>
      </c>
      <c r="V16" s="37"/>
      <c r="W16" s="37"/>
      <c r="X16" s="37">
        <v>0</v>
      </c>
      <c r="Y16" s="37"/>
      <c r="Z16" s="37"/>
      <c r="AA16" s="37">
        <v>0</v>
      </c>
      <c r="AB16" s="37"/>
      <c r="AC16" s="37"/>
      <c r="AD16" s="37">
        <v>0</v>
      </c>
      <c r="AE16" s="37"/>
      <c r="AF16" s="37"/>
      <c r="AG16" s="37">
        <v>3389904.55</v>
      </c>
      <c r="AH16" s="41">
        <v>157.25</v>
      </c>
      <c r="AI16" s="41">
        <f t="shared" si="9"/>
        <v>-3389747.3</v>
      </c>
      <c r="AJ16" s="37">
        <v>0</v>
      </c>
      <c r="AK16" s="41">
        <v>0</v>
      </c>
      <c r="AL16" s="41">
        <f t="shared" si="10"/>
        <v>0</v>
      </c>
      <c r="AM16" s="37">
        <v>0</v>
      </c>
      <c r="AN16" s="41">
        <v>0</v>
      </c>
      <c r="AO16" s="41">
        <f t="shared" si="11"/>
        <v>0</v>
      </c>
      <c r="AP16" s="37">
        <v>2428013.1</v>
      </c>
      <c r="AQ16" s="41">
        <v>3121693.6</v>
      </c>
      <c r="AR16" s="41">
        <f t="shared" si="12"/>
        <v>693680.5</v>
      </c>
      <c r="AS16" s="41">
        <f t="shared" si="17"/>
        <v>5817917.6500000004</v>
      </c>
      <c r="AT16" s="41">
        <f>AN16+AK16+AH16+AE16+AB16+-Y16+V16+S16+P16+AQ16</f>
        <v>3121850.85</v>
      </c>
      <c r="AU16" s="522">
        <f t="shared" si="18"/>
        <v>-2696066.8</v>
      </c>
      <c r="AV16" s="459">
        <f t="shared" si="16"/>
        <v>0.53659247823832634</v>
      </c>
      <c r="AW16" s="37">
        <v>0</v>
      </c>
      <c r="AX16" s="37">
        <v>0</v>
      </c>
      <c r="AY16" s="41">
        <f t="shared" si="14"/>
        <v>5817917.6500000004</v>
      </c>
      <c r="AZ16" s="41">
        <v>3121850.85</v>
      </c>
      <c r="BA16" s="550">
        <f t="shared" si="15"/>
        <v>-2696066.8000000003</v>
      </c>
      <c r="BB16" s="37">
        <v>5792863.9000000004</v>
      </c>
      <c r="BC16" s="37">
        <v>2343305.36</v>
      </c>
      <c r="BD16" s="37">
        <v>0</v>
      </c>
      <c r="BE16" s="37">
        <v>0</v>
      </c>
      <c r="BF16" s="37">
        <v>0</v>
      </c>
      <c r="BG16" s="37">
        <v>0</v>
      </c>
      <c r="BH16" s="37">
        <v>0</v>
      </c>
      <c r="BI16" s="37">
        <v>13954086.91</v>
      </c>
      <c r="BJ16" s="452" t="s">
        <v>2693</v>
      </c>
      <c r="BK16" s="25" t="s">
        <v>2732</v>
      </c>
      <c r="BL16" s="595" t="s">
        <v>2960</v>
      </c>
      <c r="BM16" s="591" t="s">
        <v>2901</v>
      </c>
    </row>
    <row r="17" spans="1:67" s="10" customFormat="1" ht="51" x14ac:dyDescent="0.2">
      <c r="A17" s="474" t="s">
        <v>106</v>
      </c>
      <c r="B17" s="474" t="s">
        <v>107</v>
      </c>
      <c r="C17" s="344" t="s">
        <v>108</v>
      </c>
      <c r="D17" s="474">
        <v>1</v>
      </c>
      <c r="E17" s="474" t="s">
        <v>109</v>
      </c>
      <c r="F17" s="474" t="s">
        <v>5</v>
      </c>
      <c r="G17" s="474" t="s">
        <v>623</v>
      </c>
      <c r="H17" s="43">
        <v>8</v>
      </c>
      <c r="I17" s="43" t="s">
        <v>106</v>
      </c>
      <c r="J17" s="475" t="s">
        <v>111</v>
      </c>
      <c r="K17" s="475" t="s">
        <v>624</v>
      </c>
      <c r="L17" s="41">
        <v>0</v>
      </c>
      <c r="M17" s="41">
        <v>0</v>
      </c>
      <c r="N17" s="41">
        <v>45793.68</v>
      </c>
      <c r="O17" s="41">
        <v>23020.83</v>
      </c>
      <c r="P17" s="41">
        <v>23020.83</v>
      </c>
      <c r="Q17" s="41">
        <f>P17-O17</f>
        <v>0</v>
      </c>
      <c r="R17" s="41">
        <v>0</v>
      </c>
      <c r="S17" s="41">
        <v>0</v>
      </c>
      <c r="T17" s="41">
        <f>S17-R17</f>
        <v>0</v>
      </c>
      <c r="U17" s="41">
        <v>0</v>
      </c>
      <c r="V17" s="41">
        <v>0</v>
      </c>
      <c r="W17" s="41">
        <f>V17-U17</f>
        <v>0</v>
      </c>
      <c r="X17" s="41">
        <v>0</v>
      </c>
      <c r="Y17" s="41">
        <v>0</v>
      </c>
      <c r="Z17" s="41">
        <f>Y17-X17</f>
        <v>0</v>
      </c>
      <c r="AA17" s="41">
        <v>1362480.34</v>
      </c>
      <c r="AB17" s="433">
        <v>1351406.62</v>
      </c>
      <c r="AC17" s="41">
        <f>AB17-AA17</f>
        <v>-11073.719999999972</v>
      </c>
      <c r="AD17" s="41">
        <v>0</v>
      </c>
      <c r="AE17" s="41">
        <v>11055.12</v>
      </c>
      <c r="AF17" s="41">
        <f>AE17-AD17</f>
        <v>11055.12</v>
      </c>
      <c r="AG17" s="41">
        <v>0</v>
      </c>
      <c r="AH17" s="41">
        <v>0</v>
      </c>
      <c r="AI17" s="41">
        <f t="shared" si="9"/>
        <v>0</v>
      </c>
      <c r="AJ17" s="41">
        <v>0</v>
      </c>
      <c r="AK17" s="41">
        <v>0</v>
      </c>
      <c r="AL17" s="41">
        <f t="shared" si="10"/>
        <v>0</v>
      </c>
      <c r="AM17" s="41">
        <f>1351406.62+1419778</f>
        <v>2771184.62</v>
      </c>
      <c r="AN17" s="41">
        <v>77769.240000000005</v>
      </c>
      <c r="AO17" s="41">
        <f t="shared" si="11"/>
        <v>-2693415.38</v>
      </c>
      <c r="AP17" s="41">
        <v>0</v>
      </c>
      <c r="AQ17" s="41">
        <v>0</v>
      </c>
      <c r="AR17" s="41">
        <f t="shared" si="12"/>
        <v>0</v>
      </c>
      <c r="AS17" s="41">
        <f t="shared" si="17"/>
        <v>4156685.79</v>
      </c>
      <c r="AT17" s="41">
        <f>AN17+AK17+AH17+AE17+AB17+-Y17+V17+S17+P17+AQ17</f>
        <v>1463251.8100000003</v>
      </c>
      <c r="AU17" s="522">
        <f t="shared" si="18"/>
        <v>-2693433.9799999995</v>
      </c>
      <c r="AV17" s="459">
        <f t="shared" si="16"/>
        <v>0.3520236755735151</v>
      </c>
      <c r="AW17" s="41">
        <v>1272450</v>
      </c>
      <c r="AX17" s="41">
        <v>149649.28</v>
      </c>
      <c r="AY17" s="41">
        <f t="shared" si="14"/>
        <v>5578785.0700000003</v>
      </c>
      <c r="AZ17" s="41">
        <v>3066910.5100000002</v>
      </c>
      <c r="BA17" s="550">
        <f t="shared" si="15"/>
        <v>-2511874.56</v>
      </c>
      <c r="BB17" s="41">
        <v>0</v>
      </c>
      <c r="BC17" s="41">
        <v>0</v>
      </c>
      <c r="BD17" s="41">
        <v>0</v>
      </c>
      <c r="BE17" s="41">
        <v>0</v>
      </c>
      <c r="BF17" s="41">
        <v>0</v>
      </c>
      <c r="BG17" s="41">
        <v>0</v>
      </c>
      <c r="BH17" s="41">
        <v>0</v>
      </c>
      <c r="BI17" s="41">
        <v>2841400.75</v>
      </c>
      <c r="BJ17" s="75"/>
      <c r="BK17" s="11"/>
      <c r="BL17" s="596" t="s">
        <v>2928</v>
      </c>
      <c r="BM17" s="591"/>
    </row>
    <row r="18" spans="1:67" s="10" customFormat="1" ht="67.5" customHeight="1" x14ac:dyDescent="0.25">
      <c r="A18" s="55" t="s">
        <v>100</v>
      </c>
      <c r="B18" s="55" t="s">
        <v>101</v>
      </c>
      <c r="C18" s="155" t="s">
        <v>573</v>
      </c>
      <c r="D18" s="55" t="s">
        <v>3</v>
      </c>
      <c r="E18" s="55" t="s">
        <v>29</v>
      </c>
      <c r="F18" s="55" t="s">
        <v>102</v>
      </c>
      <c r="G18" s="55" t="s">
        <v>749</v>
      </c>
      <c r="H18" s="43">
        <v>9</v>
      </c>
      <c r="I18" s="72" t="s">
        <v>100</v>
      </c>
      <c r="J18" s="479" t="s">
        <v>750</v>
      </c>
      <c r="K18" s="479" t="s">
        <v>751</v>
      </c>
      <c r="L18" s="35"/>
      <c r="M18" s="35"/>
      <c r="N18" s="35"/>
      <c r="O18" s="35"/>
      <c r="P18" s="35"/>
      <c r="Q18" s="41">
        <f>P18-O18</f>
        <v>0</v>
      </c>
      <c r="R18" s="35"/>
      <c r="S18" s="35"/>
      <c r="T18" s="41">
        <f>S18-R18</f>
        <v>0</v>
      </c>
      <c r="U18" s="35"/>
      <c r="V18" s="35"/>
      <c r="W18" s="41">
        <f>V18-U18</f>
        <v>0</v>
      </c>
      <c r="X18" s="35"/>
      <c r="Y18" s="35"/>
      <c r="Z18" s="41">
        <f>Y18-X18</f>
        <v>0</v>
      </c>
      <c r="AA18" s="35"/>
      <c r="AB18" s="35"/>
      <c r="AC18" s="41">
        <f>AB18-AA18</f>
        <v>0</v>
      </c>
      <c r="AD18" s="35">
        <v>2195195.29</v>
      </c>
      <c r="AE18" s="41">
        <v>0</v>
      </c>
      <c r="AF18" s="41">
        <f>AE18-AD18</f>
        <v>-2195195.29</v>
      </c>
      <c r="AG18" s="35">
        <v>566011.41</v>
      </c>
      <c r="AH18" s="41">
        <v>101387.71</v>
      </c>
      <c r="AI18" s="41">
        <f t="shared" si="9"/>
        <v>-464623.7</v>
      </c>
      <c r="AJ18" s="35">
        <v>0</v>
      </c>
      <c r="AK18" s="41">
        <v>0</v>
      </c>
      <c r="AL18" s="41">
        <f t="shared" si="10"/>
        <v>0</v>
      </c>
      <c r="AM18" s="35">
        <v>0</v>
      </c>
      <c r="AN18" s="41">
        <v>988157.04</v>
      </c>
      <c r="AO18" s="41">
        <f t="shared" si="11"/>
        <v>988157.04</v>
      </c>
      <c r="AP18" s="35">
        <v>947797.13</v>
      </c>
      <c r="AQ18" s="41">
        <v>0</v>
      </c>
      <c r="AR18" s="41">
        <f t="shared" si="12"/>
        <v>-947797.13</v>
      </c>
      <c r="AS18" s="41">
        <f t="shared" si="17"/>
        <v>3709003.83</v>
      </c>
      <c r="AT18" s="41">
        <f>AN18+AK18+AH18+AE18+AB18+-Y18+V18+S18+P18+AQ18</f>
        <v>1089544.75</v>
      </c>
      <c r="AU18" s="522">
        <f t="shared" si="18"/>
        <v>-2619459.08</v>
      </c>
      <c r="AV18" s="459">
        <f t="shared" si="16"/>
        <v>0.29375670663570064</v>
      </c>
      <c r="AW18" s="35">
        <v>0</v>
      </c>
      <c r="AX18" s="35">
        <v>950513</v>
      </c>
      <c r="AY18" s="41">
        <f t="shared" si="14"/>
        <v>4659516.83</v>
      </c>
      <c r="AZ18" s="41">
        <v>2242838.7199999997</v>
      </c>
      <c r="BA18" s="550">
        <f t="shared" si="15"/>
        <v>-2416678.1100000003</v>
      </c>
      <c r="BB18" s="35">
        <v>6299753.4500000002</v>
      </c>
      <c r="BC18" s="35">
        <v>1915683.74</v>
      </c>
      <c r="BD18" s="35">
        <v>1515770.68</v>
      </c>
      <c r="BE18" s="35">
        <v>0</v>
      </c>
      <c r="BF18" s="35">
        <v>0</v>
      </c>
      <c r="BG18" s="35">
        <v>0</v>
      </c>
      <c r="BH18" s="35">
        <v>0</v>
      </c>
      <c r="BI18" s="35">
        <v>12195529.41</v>
      </c>
      <c r="BJ18" s="451" t="s">
        <v>2695</v>
      </c>
      <c r="BK18" s="25"/>
      <c r="BL18" s="588" t="s">
        <v>2941</v>
      </c>
      <c r="BM18" s="591" t="s">
        <v>2892</v>
      </c>
    </row>
    <row r="19" spans="1:67" s="10" customFormat="1" ht="120.75" customHeight="1" x14ac:dyDescent="0.25">
      <c r="A19" s="474" t="s">
        <v>138</v>
      </c>
      <c r="B19" s="474" t="s">
        <v>139</v>
      </c>
      <c r="C19" s="344" t="s">
        <v>576</v>
      </c>
      <c r="D19" s="474">
        <v>3</v>
      </c>
      <c r="E19" s="474" t="s">
        <v>35</v>
      </c>
      <c r="F19" s="474" t="s">
        <v>5</v>
      </c>
      <c r="G19" s="474" t="s">
        <v>142</v>
      </c>
      <c r="H19" s="43">
        <v>10</v>
      </c>
      <c r="I19" s="43" t="s">
        <v>138</v>
      </c>
      <c r="J19" s="475" t="s">
        <v>143</v>
      </c>
      <c r="K19" s="475" t="s">
        <v>144</v>
      </c>
      <c r="L19" s="41"/>
      <c r="M19" s="41">
        <v>0</v>
      </c>
      <c r="N19" s="41">
        <v>0</v>
      </c>
      <c r="O19" s="41">
        <v>0</v>
      </c>
      <c r="P19" s="41">
        <v>0</v>
      </c>
      <c r="Q19" s="41">
        <f>P19-O19</f>
        <v>0</v>
      </c>
      <c r="R19" s="41">
        <v>160000</v>
      </c>
      <c r="S19" s="41">
        <v>160000</v>
      </c>
      <c r="T19" s="41">
        <f>S19-R19</f>
        <v>0</v>
      </c>
      <c r="U19" s="41">
        <v>89197.56</v>
      </c>
      <c r="V19" s="41">
        <v>89197.56</v>
      </c>
      <c r="W19" s="41">
        <f>V19-U19</f>
        <v>0</v>
      </c>
      <c r="X19" s="41">
        <v>750000</v>
      </c>
      <c r="Y19" s="41">
        <v>750000</v>
      </c>
      <c r="Z19" s="41">
        <f>Y19-X19</f>
        <v>0</v>
      </c>
      <c r="AA19" s="41">
        <v>0</v>
      </c>
      <c r="AB19" s="41">
        <v>0</v>
      </c>
      <c r="AC19" s="41">
        <f>AB19-AA19</f>
        <v>0</v>
      </c>
      <c r="AD19" s="41">
        <v>176068.42</v>
      </c>
      <c r="AE19" s="41">
        <v>0</v>
      </c>
      <c r="AF19" s="41">
        <f>AE19-AD19</f>
        <v>-176068.42</v>
      </c>
      <c r="AG19" s="41">
        <v>0</v>
      </c>
      <c r="AH19" s="41">
        <v>0</v>
      </c>
      <c r="AI19" s="41">
        <f t="shared" si="9"/>
        <v>0</v>
      </c>
      <c r="AJ19" s="41">
        <v>849583.74</v>
      </c>
      <c r="AK19" s="41">
        <v>95179.8</v>
      </c>
      <c r="AL19" s="41">
        <f t="shared" si="10"/>
        <v>-754403.94</v>
      </c>
      <c r="AM19" s="41">
        <v>2068359.41</v>
      </c>
      <c r="AN19" s="41">
        <v>600000</v>
      </c>
      <c r="AO19" s="41">
        <f t="shared" si="11"/>
        <v>-1468359.41</v>
      </c>
      <c r="AP19" s="41">
        <v>0</v>
      </c>
      <c r="AQ19" s="41">
        <v>0</v>
      </c>
      <c r="AR19" s="41">
        <f t="shared" si="12"/>
        <v>0</v>
      </c>
      <c r="AS19" s="41">
        <f t="shared" si="17"/>
        <v>4093209.13</v>
      </c>
      <c r="AT19" s="41">
        <f>AN19+AK19+AH19+AE19+AB19+Y19+V19+S19+P19+AQ19</f>
        <v>1694377.36</v>
      </c>
      <c r="AU19" s="522">
        <f t="shared" si="18"/>
        <v>-2398831.7699999996</v>
      </c>
      <c r="AV19" s="459">
        <f t="shared" si="16"/>
        <v>0.4139483975010092</v>
      </c>
      <c r="AW19" s="41">
        <v>0</v>
      </c>
      <c r="AX19" s="41">
        <v>0</v>
      </c>
      <c r="AY19" s="41">
        <f t="shared" si="14"/>
        <v>4093209.13</v>
      </c>
      <c r="AZ19" s="41">
        <v>3831604.09</v>
      </c>
      <c r="BA19" s="552">
        <f t="shared" si="15"/>
        <v>-261605.04000000004</v>
      </c>
      <c r="BB19" s="41">
        <v>282902.8</v>
      </c>
      <c r="BC19" s="41">
        <v>0</v>
      </c>
      <c r="BD19" s="41">
        <v>0</v>
      </c>
      <c r="BE19" s="41">
        <v>0</v>
      </c>
      <c r="BF19" s="41">
        <v>0</v>
      </c>
      <c r="BG19" s="41">
        <v>0</v>
      </c>
      <c r="BH19" s="41">
        <v>0</v>
      </c>
      <c r="BI19" s="41">
        <v>2616528.1899999995</v>
      </c>
      <c r="BJ19" s="75"/>
      <c r="BK19" s="25" t="s">
        <v>2748</v>
      </c>
      <c r="BL19" s="595" t="s">
        <v>2929</v>
      </c>
      <c r="BM19" s="591" t="s">
        <v>2901</v>
      </c>
    </row>
    <row r="20" spans="1:67" s="10" customFormat="1" ht="71.25" customHeight="1" x14ac:dyDescent="0.25">
      <c r="A20" s="474" t="s">
        <v>804</v>
      </c>
      <c r="B20" s="474" t="s">
        <v>805</v>
      </c>
      <c r="C20" s="344" t="s">
        <v>806</v>
      </c>
      <c r="D20" s="474" t="s">
        <v>3</v>
      </c>
      <c r="E20" s="474" t="s">
        <v>807</v>
      </c>
      <c r="F20" s="474" t="s">
        <v>5</v>
      </c>
      <c r="G20" s="474" t="s">
        <v>777</v>
      </c>
      <c r="H20" s="43">
        <v>11</v>
      </c>
      <c r="I20" s="478" t="s">
        <v>804</v>
      </c>
      <c r="J20" s="475" t="s">
        <v>808</v>
      </c>
      <c r="K20" s="485" t="s">
        <v>809</v>
      </c>
      <c r="L20" s="41">
        <v>0</v>
      </c>
      <c r="M20" s="41">
        <v>0</v>
      </c>
      <c r="N20" s="41">
        <v>0</v>
      </c>
      <c r="O20" s="41">
        <v>0</v>
      </c>
      <c r="P20" s="41">
        <v>0</v>
      </c>
      <c r="Q20" s="41">
        <v>0</v>
      </c>
      <c r="R20" s="41">
        <v>0</v>
      </c>
      <c r="S20" s="41">
        <v>0</v>
      </c>
      <c r="T20" s="41">
        <v>0</v>
      </c>
      <c r="U20" s="41">
        <v>0</v>
      </c>
      <c r="V20" s="41">
        <v>0</v>
      </c>
      <c r="W20" s="41">
        <v>0</v>
      </c>
      <c r="X20" s="41"/>
      <c r="Y20" s="41"/>
      <c r="Z20" s="41"/>
      <c r="AA20" s="41"/>
      <c r="AB20" s="41"/>
      <c r="AC20" s="41"/>
      <c r="AD20" s="41">
        <v>4465569</v>
      </c>
      <c r="AE20" s="41">
        <v>4465568.95</v>
      </c>
      <c r="AF20" s="41">
        <f>AE20-AD20</f>
        <v>-4.9999999813735485E-2</v>
      </c>
      <c r="AG20" s="41">
        <v>0</v>
      </c>
      <c r="AH20" s="41">
        <v>0</v>
      </c>
      <c r="AI20" s="41">
        <f t="shared" si="9"/>
        <v>0</v>
      </c>
      <c r="AJ20" s="41">
        <v>3600000</v>
      </c>
      <c r="AK20" s="41">
        <v>0</v>
      </c>
      <c r="AL20" s="41">
        <f t="shared" si="10"/>
        <v>-3600000</v>
      </c>
      <c r="AM20" s="41">
        <v>0</v>
      </c>
      <c r="AN20" s="41">
        <v>2779573.72</v>
      </c>
      <c r="AO20" s="41">
        <f t="shared" si="11"/>
        <v>2779573.72</v>
      </c>
      <c r="AP20" s="41">
        <v>1700000</v>
      </c>
      <c r="AQ20" s="41">
        <v>422456.31</v>
      </c>
      <c r="AR20" s="41">
        <f t="shared" si="12"/>
        <v>-1277543.69</v>
      </c>
      <c r="AS20" s="41">
        <f t="shared" si="17"/>
        <v>9765569</v>
      </c>
      <c r="AT20" s="41">
        <f>AN20+AK20+AH20+AE20+AB20+Y20+V20+S20+P20+AQ20</f>
        <v>7667598.9799999995</v>
      </c>
      <c r="AU20" s="522">
        <f t="shared" si="18"/>
        <v>-2097970.0199999996</v>
      </c>
      <c r="AV20" s="459">
        <f t="shared" si="16"/>
        <v>0.78516663801156894</v>
      </c>
      <c r="AW20" s="41">
        <v>0</v>
      </c>
      <c r="AX20" s="41">
        <v>0</v>
      </c>
      <c r="AY20" s="41">
        <f t="shared" si="14"/>
        <v>9765569</v>
      </c>
      <c r="AZ20" s="41">
        <v>8674826.0700000003</v>
      </c>
      <c r="BA20" s="550">
        <f t="shared" si="15"/>
        <v>-1090742.9299999997</v>
      </c>
      <c r="BB20" s="41">
        <v>6160139</v>
      </c>
      <c r="BC20" s="426">
        <v>9821637</v>
      </c>
      <c r="BD20" s="41">
        <v>8628211</v>
      </c>
      <c r="BE20" s="41">
        <v>2640543.4600000037</v>
      </c>
      <c r="BF20" s="41"/>
      <c r="BG20" s="41">
        <v>0</v>
      </c>
      <c r="BH20" s="41">
        <v>0</v>
      </c>
      <c r="BI20" s="41">
        <v>37550530.460000001</v>
      </c>
      <c r="BJ20" s="75"/>
      <c r="BK20" s="25" t="s">
        <v>2743</v>
      </c>
      <c r="BL20" s="588" t="s">
        <v>2905</v>
      </c>
      <c r="BM20" s="591" t="s">
        <v>2903</v>
      </c>
    </row>
    <row r="21" spans="1:67" s="10" customFormat="1" ht="48" customHeight="1" x14ac:dyDescent="0.25">
      <c r="A21" s="474" t="s">
        <v>150</v>
      </c>
      <c r="B21" s="474" t="s">
        <v>151</v>
      </c>
      <c r="C21" s="344" t="s">
        <v>578</v>
      </c>
      <c r="D21" s="474" t="s">
        <v>3</v>
      </c>
      <c r="E21" s="474" t="s">
        <v>29</v>
      </c>
      <c r="F21" s="474" t="s">
        <v>102</v>
      </c>
      <c r="G21" s="474" t="s">
        <v>164</v>
      </c>
      <c r="H21" s="43">
        <v>12</v>
      </c>
      <c r="I21" s="43" t="s">
        <v>150</v>
      </c>
      <c r="J21" s="475" t="s">
        <v>98</v>
      </c>
      <c r="K21" s="475" t="s">
        <v>165</v>
      </c>
      <c r="L21" s="41">
        <v>0</v>
      </c>
      <c r="M21" s="41">
        <v>0</v>
      </c>
      <c r="N21" s="41">
        <v>8074353.8699999992</v>
      </c>
      <c r="O21" s="41">
        <v>5856968.2800000003</v>
      </c>
      <c r="P21" s="41">
        <v>5857002.2800000003</v>
      </c>
      <c r="Q21" s="41">
        <f>P21-O21</f>
        <v>34</v>
      </c>
      <c r="R21" s="41">
        <v>0</v>
      </c>
      <c r="S21" s="41">
        <v>0</v>
      </c>
      <c r="T21" s="41">
        <f>S21-R21</f>
        <v>0</v>
      </c>
      <c r="U21" s="41">
        <v>0</v>
      </c>
      <c r="V21" s="41">
        <v>0</v>
      </c>
      <c r="W21" s="41">
        <f>V21-U21</f>
        <v>0</v>
      </c>
      <c r="X21" s="41">
        <v>103003.9</v>
      </c>
      <c r="Y21" s="41">
        <v>108297.12</v>
      </c>
      <c r="Z21" s="41">
        <f>Y21-X21</f>
        <v>5293.2200000000012</v>
      </c>
      <c r="AA21" s="41">
        <v>0</v>
      </c>
      <c r="AB21" s="41">
        <v>0</v>
      </c>
      <c r="AC21" s="41">
        <f>AB21-AA21</f>
        <v>0</v>
      </c>
      <c r="AD21" s="41">
        <v>0</v>
      </c>
      <c r="AE21" s="41">
        <v>0</v>
      </c>
      <c r="AF21" s="41">
        <f>AE21-AD21</f>
        <v>0</v>
      </c>
      <c r="AG21" s="41">
        <v>2006000</v>
      </c>
      <c r="AH21" s="41">
        <v>366423.9</v>
      </c>
      <c r="AI21" s="41">
        <f t="shared" si="9"/>
        <v>-1639576.1</v>
      </c>
      <c r="AJ21" s="41">
        <v>0</v>
      </c>
      <c r="AK21" s="41">
        <v>0</v>
      </c>
      <c r="AL21" s="41">
        <f t="shared" si="10"/>
        <v>0</v>
      </c>
      <c r="AM21" s="41">
        <v>0</v>
      </c>
      <c r="AN21" s="41">
        <v>0</v>
      </c>
      <c r="AO21" s="41">
        <f t="shared" si="11"/>
        <v>0</v>
      </c>
      <c r="AP21" s="41">
        <v>1292850</v>
      </c>
      <c r="AQ21" s="41">
        <v>1020504.17</v>
      </c>
      <c r="AR21" s="41">
        <f t="shared" si="12"/>
        <v>-272345.82999999996</v>
      </c>
      <c r="AS21" s="41">
        <f t="shared" si="17"/>
        <v>9258822.1799999997</v>
      </c>
      <c r="AT21" s="41">
        <f>AN21+AK21+AH21+AE21+AB21+Y21+V21+S21+P21+AQ21</f>
        <v>7352227.4700000007</v>
      </c>
      <c r="AU21" s="522">
        <f t="shared" si="18"/>
        <v>-1906594.71</v>
      </c>
      <c r="AV21" s="459">
        <f t="shared" si="16"/>
        <v>0.79407805086499683</v>
      </c>
      <c r="AW21" s="41">
        <v>0</v>
      </c>
      <c r="AX21" s="41">
        <v>598508.94999999995</v>
      </c>
      <c r="AY21" s="41">
        <f t="shared" si="14"/>
        <v>9857331.1300000008</v>
      </c>
      <c r="AZ21" s="41">
        <v>7352227.4700000007</v>
      </c>
      <c r="BA21" s="550">
        <f t="shared" si="15"/>
        <v>-2505103.66</v>
      </c>
      <c r="BB21" s="41">
        <v>0</v>
      </c>
      <c r="BC21" s="41">
        <v>0</v>
      </c>
      <c r="BD21" s="41">
        <v>0</v>
      </c>
      <c r="BE21" s="41">
        <v>0</v>
      </c>
      <c r="BF21" s="41">
        <v>0</v>
      </c>
      <c r="BG21" s="41">
        <v>0</v>
      </c>
      <c r="BH21" s="41">
        <v>0</v>
      </c>
      <c r="BI21" s="41">
        <v>17931685</v>
      </c>
      <c r="BJ21" s="451" t="s">
        <v>2697</v>
      </c>
      <c r="BK21" s="25"/>
      <c r="BL21" s="588" t="s">
        <v>2945</v>
      </c>
      <c r="BM21" s="591" t="s">
        <v>2902</v>
      </c>
    </row>
    <row r="22" spans="1:67" s="10" customFormat="1" ht="50.25" customHeight="1" x14ac:dyDescent="0.25">
      <c r="A22" s="52" t="s">
        <v>172</v>
      </c>
      <c r="B22" s="52" t="s">
        <v>173</v>
      </c>
      <c r="C22" s="476" t="s">
        <v>579</v>
      </c>
      <c r="D22" s="52" t="s">
        <v>3</v>
      </c>
      <c r="E22" s="52" t="s">
        <v>29</v>
      </c>
      <c r="F22" s="52" t="s">
        <v>5</v>
      </c>
      <c r="G22" s="579" t="s">
        <v>946</v>
      </c>
      <c r="H22" s="43">
        <v>13</v>
      </c>
      <c r="I22" s="580" t="s">
        <v>172</v>
      </c>
      <c r="J22" s="477" t="s">
        <v>98</v>
      </c>
      <c r="K22" s="477" t="s">
        <v>867</v>
      </c>
      <c r="L22" s="431"/>
      <c r="M22" s="37">
        <v>0</v>
      </c>
      <c r="N22" s="37">
        <v>0</v>
      </c>
      <c r="O22" s="37">
        <v>0</v>
      </c>
      <c r="P22" s="37"/>
      <c r="Q22" s="37"/>
      <c r="R22" s="37">
        <v>0</v>
      </c>
      <c r="S22" s="37"/>
      <c r="T22" s="37"/>
      <c r="U22" s="37">
        <v>0</v>
      </c>
      <c r="V22" s="37"/>
      <c r="W22" s="37"/>
      <c r="X22" s="37">
        <v>0</v>
      </c>
      <c r="Y22" s="37"/>
      <c r="Z22" s="37"/>
      <c r="AA22" s="37">
        <v>0</v>
      </c>
      <c r="AB22" s="37"/>
      <c r="AC22" s="37"/>
      <c r="AD22" s="37">
        <v>0</v>
      </c>
      <c r="AE22" s="37"/>
      <c r="AF22" s="37"/>
      <c r="AG22" s="37">
        <v>1273054.3500000001</v>
      </c>
      <c r="AH22" s="41">
        <v>0</v>
      </c>
      <c r="AI22" s="41">
        <f t="shared" si="9"/>
        <v>-1273054.3500000001</v>
      </c>
      <c r="AJ22" s="37">
        <v>0</v>
      </c>
      <c r="AK22" s="41">
        <v>0</v>
      </c>
      <c r="AL22" s="41">
        <f t="shared" si="10"/>
        <v>0</v>
      </c>
      <c r="AM22" s="37">
        <v>0</v>
      </c>
      <c r="AN22" s="41">
        <v>0</v>
      </c>
      <c r="AO22" s="41">
        <f t="shared" si="11"/>
        <v>0</v>
      </c>
      <c r="AP22" s="37">
        <v>581343.9</v>
      </c>
      <c r="AQ22" s="41">
        <v>0</v>
      </c>
      <c r="AR22" s="41">
        <f t="shared" si="12"/>
        <v>-581343.9</v>
      </c>
      <c r="AS22" s="41">
        <f t="shared" si="17"/>
        <v>1854398.25</v>
      </c>
      <c r="AT22" s="41">
        <f>AN22+AK22+AH22+AE22+AB22+-Y22+V22+S22+P22+AQ22</f>
        <v>0</v>
      </c>
      <c r="AU22" s="522">
        <f t="shared" si="18"/>
        <v>-1854398.25</v>
      </c>
      <c r="AV22" s="459">
        <f t="shared" si="16"/>
        <v>0</v>
      </c>
      <c r="AW22" s="37">
        <v>0</v>
      </c>
      <c r="AX22" s="37">
        <v>0</v>
      </c>
      <c r="AY22" s="41">
        <f t="shared" si="14"/>
        <v>1854398.25</v>
      </c>
      <c r="AZ22" s="41">
        <v>0</v>
      </c>
      <c r="BA22" s="550">
        <f t="shared" si="15"/>
        <v>-1854398.25</v>
      </c>
      <c r="BB22" s="37">
        <v>4345000.25</v>
      </c>
      <c r="BC22" s="37">
        <v>593128.51</v>
      </c>
      <c r="BD22" s="37">
        <v>0</v>
      </c>
      <c r="BE22" s="37">
        <v>0</v>
      </c>
      <c r="BF22" s="37">
        <v>0</v>
      </c>
      <c r="BG22" s="37">
        <v>0</v>
      </c>
      <c r="BH22" s="37">
        <v>0</v>
      </c>
      <c r="BI22" s="37">
        <v>6792527.0099999998</v>
      </c>
      <c r="BJ22" s="452" t="s">
        <v>949</v>
      </c>
      <c r="BK22" s="25" t="s">
        <v>2733</v>
      </c>
      <c r="BL22" s="595" t="s">
        <v>2942</v>
      </c>
      <c r="BM22" s="591" t="s">
        <v>2901</v>
      </c>
    </row>
    <row r="23" spans="1:67" s="10" customFormat="1" ht="80.25" customHeight="1" x14ac:dyDescent="0.25">
      <c r="A23" s="474" t="s">
        <v>330</v>
      </c>
      <c r="B23" s="474" t="s">
        <v>337</v>
      </c>
      <c r="C23" s="344" t="s">
        <v>595</v>
      </c>
      <c r="D23" s="474" t="s">
        <v>3</v>
      </c>
      <c r="E23" s="474" t="s">
        <v>210</v>
      </c>
      <c r="F23" s="474" t="s">
        <v>77</v>
      </c>
      <c r="G23" s="474" t="s">
        <v>339</v>
      </c>
      <c r="H23" s="43">
        <v>14</v>
      </c>
      <c r="I23" s="43" t="s">
        <v>330</v>
      </c>
      <c r="J23" s="475" t="s">
        <v>40</v>
      </c>
      <c r="K23" s="475" t="s">
        <v>338</v>
      </c>
      <c r="L23" s="41">
        <v>0</v>
      </c>
      <c r="M23" s="41">
        <v>0</v>
      </c>
      <c r="N23" s="41">
        <v>78759.69</v>
      </c>
      <c r="O23" s="41">
        <v>107040.26</v>
      </c>
      <c r="P23" s="41">
        <v>107040.26</v>
      </c>
      <c r="Q23" s="41">
        <f>P23-O23</f>
        <v>0</v>
      </c>
      <c r="R23" s="41">
        <v>0</v>
      </c>
      <c r="S23" s="41">
        <v>0</v>
      </c>
      <c r="T23" s="41">
        <f>S23-R23</f>
        <v>0</v>
      </c>
      <c r="U23" s="41">
        <v>0</v>
      </c>
      <c r="V23" s="41">
        <v>0</v>
      </c>
      <c r="W23" s="41">
        <f>V23-U23</f>
        <v>0</v>
      </c>
      <c r="X23" s="41">
        <v>63756.1</v>
      </c>
      <c r="Y23" s="41">
        <v>63756.09</v>
      </c>
      <c r="Z23" s="41">
        <f>Y23-X23</f>
        <v>-1.0000000002037268E-2</v>
      </c>
      <c r="AA23" s="41">
        <v>0</v>
      </c>
      <c r="AB23" s="41">
        <v>0</v>
      </c>
      <c r="AC23" s="41">
        <f>AB23-AA23</f>
        <v>0</v>
      </c>
      <c r="AD23" s="41">
        <v>0</v>
      </c>
      <c r="AE23" s="41">
        <v>0</v>
      </c>
      <c r="AF23" s="41">
        <f>AE23-AD23</f>
        <v>0</v>
      </c>
      <c r="AG23" s="41">
        <v>685480.12</v>
      </c>
      <c r="AH23" s="41">
        <v>59739.98</v>
      </c>
      <c r="AI23" s="41">
        <f t="shared" si="9"/>
        <v>-625740.14</v>
      </c>
      <c r="AJ23" s="41">
        <v>0</v>
      </c>
      <c r="AK23" s="41">
        <v>0</v>
      </c>
      <c r="AL23" s="41">
        <f t="shared" si="10"/>
        <v>0</v>
      </c>
      <c r="AM23" s="41">
        <v>0</v>
      </c>
      <c r="AN23" s="41">
        <v>0</v>
      </c>
      <c r="AO23" s="41">
        <f t="shared" si="11"/>
        <v>0</v>
      </c>
      <c r="AP23" s="41">
        <v>1297763.8500000001</v>
      </c>
      <c r="AQ23" s="41">
        <v>90947.37</v>
      </c>
      <c r="AR23" s="41">
        <f t="shared" si="12"/>
        <v>-1206816.48</v>
      </c>
      <c r="AS23" s="41">
        <f t="shared" si="17"/>
        <v>2154040.33</v>
      </c>
      <c r="AT23" s="41">
        <f>AN23+AK23+AH23+AE23+AB23+Y23+V23+S23+P23+AQ23</f>
        <v>321483.7</v>
      </c>
      <c r="AU23" s="522">
        <f t="shared" si="18"/>
        <v>-1832556.63</v>
      </c>
      <c r="AV23" s="459">
        <f t="shared" si="16"/>
        <v>0.14924683420388885</v>
      </c>
      <c r="AW23" s="41">
        <v>0</v>
      </c>
      <c r="AX23" s="41">
        <v>0</v>
      </c>
      <c r="AY23" s="41">
        <f t="shared" si="14"/>
        <v>2154040.33</v>
      </c>
      <c r="AZ23" s="41">
        <v>321483.7</v>
      </c>
      <c r="BA23" s="550">
        <f t="shared" si="15"/>
        <v>-1832556.6300000001</v>
      </c>
      <c r="BB23" s="41">
        <v>4644266.8</v>
      </c>
      <c r="BC23" s="41">
        <v>2329497.41</v>
      </c>
      <c r="BD23" s="41">
        <v>1160641.8099999998</v>
      </c>
      <c r="BE23" s="41">
        <v>1151206.8</v>
      </c>
      <c r="BF23" s="41">
        <v>940179.00999999989</v>
      </c>
      <c r="BG23" s="41">
        <v>223583.15</v>
      </c>
      <c r="BH23" s="41">
        <v>0</v>
      </c>
      <c r="BI23" s="41">
        <v>12682175.000000002</v>
      </c>
      <c r="BJ23" s="451" t="s">
        <v>2703</v>
      </c>
      <c r="BK23" s="25" t="s">
        <v>2752</v>
      </c>
      <c r="BL23" s="595" t="s">
        <v>2893</v>
      </c>
      <c r="BM23" s="591" t="s">
        <v>2892</v>
      </c>
    </row>
    <row r="24" spans="1:67" s="10" customFormat="1" ht="66" customHeight="1" x14ac:dyDescent="0.25">
      <c r="A24" s="474" t="s">
        <v>172</v>
      </c>
      <c r="B24" s="474" t="s">
        <v>173</v>
      </c>
      <c r="C24" s="344" t="s">
        <v>579</v>
      </c>
      <c r="D24" s="474" t="s">
        <v>3</v>
      </c>
      <c r="E24" s="474" t="s">
        <v>29</v>
      </c>
      <c r="F24" s="474" t="s">
        <v>5</v>
      </c>
      <c r="G24" s="474" t="s">
        <v>180</v>
      </c>
      <c r="H24" s="43">
        <v>15</v>
      </c>
      <c r="I24" s="43" t="s">
        <v>172</v>
      </c>
      <c r="J24" s="475" t="s">
        <v>98</v>
      </c>
      <c r="K24" s="475" t="s">
        <v>181</v>
      </c>
      <c r="L24" s="41">
        <v>0</v>
      </c>
      <c r="M24" s="41">
        <v>0</v>
      </c>
      <c r="N24" s="41">
        <v>5149736.75</v>
      </c>
      <c r="O24" s="41">
        <v>0</v>
      </c>
      <c r="P24" s="41">
        <v>0</v>
      </c>
      <c r="Q24" s="41">
        <f>P24-O24</f>
        <v>0</v>
      </c>
      <c r="R24" s="41">
        <v>0</v>
      </c>
      <c r="S24" s="41">
        <v>0</v>
      </c>
      <c r="T24" s="41">
        <f>S24-R24</f>
        <v>0</v>
      </c>
      <c r="U24" s="41">
        <v>373852.07</v>
      </c>
      <c r="V24" s="41">
        <v>373852.07</v>
      </c>
      <c r="W24" s="41">
        <f>V24-U24</f>
        <v>0</v>
      </c>
      <c r="X24" s="41">
        <v>0</v>
      </c>
      <c r="Y24" s="41">
        <v>0</v>
      </c>
      <c r="Z24" s="41">
        <f>Y24-X24</f>
        <v>0</v>
      </c>
      <c r="AA24" s="41">
        <v>0</v>
      </c>
      <c r="AB24" s="41">
        <v>0</v>
      </c>
      <c r="AC24" s="41">
        <f>AB24-AA24</f>
        <v>0</v>
      </c>
      <c r="AD24" s="41">
        <v>0</v>
      </c>
      <c r="AE24" s="41">
        <v>0</v>
      </c>
      <c r="AF24" s="41">
        <f>AE24-AD24</f>
        <v>0</v>
      </c>
      <c r="AG24" s="41">
        <v>0</v>
      </c>
      <c r="AH24" s="41">
        <v>0</v>
      </c>
      <c r="AI24" s="41">
        <f t="shared" si="9"/>
        <v>0</v>
      </c>
      <c r="AJ24" s="41">
        <v>0</v>
      </c>
      <c r="AK24" s="41">
        <v>0</v>
      </c>
      <c r="AL24" s="41">
        <f t="shared" si="10"/>
        <v>0</v>
      </c>
      <c r="AM24" s="41">
        <v>1694520.05</v>
      </c>
      <c r="AN24" s="41">
        <v>0</v>
      </c>
      <c r="AO24" s="41">
        <f t="shared" si="11"/>
        <v>-1694520.05</v>
      </c>
      <c r="AP24" s="41">
        <v>0</v>
      </c>
      <c r="AQ24" s="41">
        <v>0</v>
      </c>
      <c r="AR24" s="41">
        <f t="shared" si="12"/>
        <v>0</v>
      </c>
      <c r="AS24" s="41">
        <f t="shared" si="17"/>
        <v>2068372.12</v>
      </c>
      <c r="AT24" s="41">
        <f>AN24+AK24+AH24+AE24+AB24+-Y24+V24+S24+P24+AQ24</f>
        <v>373852.07</v>
      </c>
      <c r="AU24" s="522">
        <f t="shared" si="18"/>
        <v>-1694520.05</v>
      </c>
      <c r="AV24" s="459">
        <f t="shared" si="16"/>
        <v>0.18074700697474108</v>
      </c>
      <c r="AW24" s="41">
        <v>0</v>
      </c>
      <c r="AX24" s="41">
        <v>361733.65</v>
      </c>
      <c r="AY24" s="41">
        <f t="shared" si="14"/>
        <v>2430105.77</v>
      </c>
      <c r="AZ24" s="41">
        <v>2430105.77</v>
      </c>
      <c r="BA24" s="552">
        <f t="shared" si="15"/>
        <v>0</v>
      </c>
      <c r="BB24" s="41">
        <v>501876.2</v>
      </c>
      <c r="BC24" s="41">
        <v>0</v>
      </c>
      <c r="BD24" s="41">
        <v>0</v>
      </c>
      <c r="BE24" s="41">
        <v>0</v>
      </c>
      <c r="BF24" s="41">
        <v>0</v>
      </c>
      <c r="BG24" s="41">
        <v>0</v>
      </c>
      <c r="BH24" s="41">
        <v>0</v>
      </c>
      <c r="BI24" s="41">
        <v>8081718.7199999997</v>
      </c>
      <c r="BJ24" s="75"/>
      <c r="BK24" s="24"/>
      <c r="BL24" s="588" t="s">
        <v>2965</v>
      </c>
      <c r="BM24" s="591"/>
    </row>
    <row r="25" spans="1:67" s="10" customFormat="1" ht="54.75" customHeight="1" x14ac:dyDescent="0.25">
      <c r="A25" s="474" t="s">
        <v>172</v>
      </c>
      <c r="B25" s="474" t="s">
        <v>173</v>
      </c>
      <c r="C25" s="344" t="s">
        <v>579</v>
      </c>
      <c r="D25" s="474" t="s">
        <v>3</v>
      </c>
      <c r="E25" s="474" t="s">
        <v>29</v>
      </c>
      <c r="F25" s="474" t="s">
        <v>5</v>
      </c>
      <c r="G25" s="474" t="s">
        <v>202</v>
      </c>
      <c r="H25" s="43">
        <v>16</v>
      </c>
      <c r="I25" s="43" t="s">
        <v>172</v>
      </c>
      <c r="J25" s="475" t="s">
        <v>98</v>
      </c>
      <c r="K25" s="475" t="s">
        <v>203</v>
      </c>
      <c r="L25" s="41">
        <v>0</v>
      </c>
      <c r="M25" s="41">
        <v>0</v>
      </c>
      <c r="N25" s="41">
        <v>0</v>
      </c>
      <c r="O25" s="41">
        <v>0</v>
      </c>
      <c r="P25" s="41">
        <v>0</v>
      </c>
      <c r="Q25" s="41">
        <f>P25-O25</f>
        <v>0</v>
      </c>
      <c r="R25" s="41">
        <v>0</v>
      </c>
      <c r="S25" s="41">
        <v>0</v>
      </c>
      <c r="T25" s="41">
        <f>S25-R25</f>
        <v>0</v>
      </c>
      <c r="U25" s="41">
        <v>0</v>
      </c>
      <c r="V25" s="41">
        <v>0</v>
      </c>
      <c r="W25" s="41">
        <f>V25-U25</f>
        <v>0</v>
      </c>
      <c r="X25" s="41">
        <v>114.75</v>
      </c>
      <c r="Y25" s="41">
        <v>114.75</v>
      </c>
      <c r="Z25" s="41">
        <f>Y25-X25</f>
        <v>0</v>
      </c>
      <c r="AA25" s="41">
        <v>0</v>
      </c>
      <c r="AB25" s="41">
        <v>0</v>
      </c>
      <c r="AC25" s="41">
        <f>AB25-AA25</f>
        <v>0</v>
      </c>
      <c r="AD25" s="41">
        <v>0</v>
      </c>
      <c r="AE25" s="41">
        <v>0</v>
      </c>
      <c r="AF25" s="41">
        <f>AE25-AD25</f>
        <v>0</v>
      </c>
      <c r="AG25" s="41">
        <v>0</v>
      </c>
      <c r="AH25" s="41">
        <v>0</v>
      </c>
      <c r="AI25" s="41">
        <f t="shared" si="9"/>
        <v>0</v>
      </c>
      <c r="AJ25" s="41">
        <v>0</v>
      </c>
      <c r="AK25" s="41">
        <v>0</v>
      </c>
      <c r="AL25" s="41">
        <f t="shared" si="10"/>
        <v>0</v>
      </c>
      <c r="AM25" s="41">
        <v>0</v>
      </c>
      <c r="AN25" s="41">
        <v>0</v>
      </c>
      <c r="AO25" s="41">
        <f t="shared" si="11"/>
        <v>0</v>
      </c>
      <c r="AP25" s="41">
        <v>1670703.9</v>
      </c>
      <c r="AQ25" s="41">
        <v>0</v>
      </c>
      <c r="AR25" s="41">
        <f t="shared" si="12"/>
        <v>-1670703.9</v>
      </c>
      <c r="AS25" s="41">
        <f t="shared" si="17"/>
        <v>1670818.65</v>
      </c>
      <c r="AT25" s="41">
        <f>AN25+AK25+AH25+AE25+AB25+Y25+V25+S25+P25+AQ25</f>
        <v>114.75</v>
      </c>
      <c r="AU25" s="522">
        <f t="shared" si="18"/>
        <v>-1670703.9</v>
      </c>
      <c r="AV25" s="459">
        <f t="shared" si="16"/>
        <v>6.8678907791698402E-5</v>
      </c>
      <c r="AW25" s="41">
        <v>0</v>
      </c>
      <c r="AX25" s="41">
        <v>0</v>
      </c>
      <c r="AY25" s="41">
        <f t="shared" si="14"/>
        <v>1670818.65</v>
      </c>
      <c r="AZ25" s="41">
        <v>114.75</v>
      </c>
      <c r="BA25" s="550">
        <f t="shared" si="15"/>
        <v>-1670703.9</v>
      </c>
      <c r="BB25" s="41">
        <v>4033385.4699999997</v>
      </c>
      <c r="BC25" s="41">
        <v>490827.4</v>
      </c>
      <c r="BD25" s="41">
        <v>0</v>
      </c>
      <c r="BE25" s="41">
        <v>0</v>
      </c>
      <c r="BF25" s="41">
        <v>0</v>
      </c>
      <c r="BG25" s="41">
        <v>0</v>
      </c>
      <c r="BH25" s="41">
        <v>0</v>
      </c>
      <c r="BI25" s="41">
        <v>6195031.5199999996</v>
      </c>
      <c r="BJ25" s="75"/>
      <c r="BK25" s="24"/>
      <c r="BL25" s="588" t="s">
        <v>2943</v>
      </c>
      <c r="BM25" s="593"/>
    </row>
    <row r="26" spans="1:67" s="10" customFormat="1" ht="38.25" customHeight="1" x14ac:dyDescent="0.25">
      <c r="A26" s="52" t="s">
        <v>172</v>
      </c>
      <c r="B26" s="52" t="s">
        <v>173</v>
      </c>
      <c r="C26" s="476" t="s">
        <v>579</v>
      </c>
      <c r="D26" s="52" t="s">
        <v>3</v>
      </c>
      <c r="E26" s="52" t="s">
        <v>29</v>
      </c>
      <c r="F26" s="52" t="s">
        <v>5</v>
      </c>
      <c r="G26" s="579" t="s">
        <v>945</v>
      </c>
      <c r="H26" s="43">
        <v>17</v>
      </c>
      <c r="I26" s="580" t="s">
        <v>172</v>
      </c>
      <c r="J26" s="477" t="s">
        <v>98</v>
      </c>
      <c r="K26" s="477" t="s">
        <v>868</v>
      </c>
      <c r="L26" s="431"/>
      <c r="M26" s="37">
        <v>0</v>
      </c>
      <c r="N26" s="37">
        <v>0</v>
      </c>
      <c r="O26" s="37">
        <v>0</v>
      </c>
      <c r="P26" s="37"/>
      <c r="Q26" s="37"/>
      <c r="R26" s="37">
        <v>0</v>
      </c>
      <c r="S26" s="37"/>
      <c r="T26" s="37"/>
      <c r="U26" s="37">
        <v>0</v>
      </c>
      <c r="V26" s="37"/>
      <c r="W26" s="37"/>
      <c r="X26" s="37">
        <v>0</v>
      </c>
      <c r="Y26" s="37"/>
      <c r="Z26" s="37"/>
      <c r="AA26" s="37">
        <v>0</v>
      </c>
      <c r="AB26" s="37"/>
      <c r="AC26" s="37"/>
      <c r="AD26" s="37">
        <v>0</v>
      </c>
      <c r="AE26" s="37"/>
      <c r="AF26" s="37"/>
      <c r="AG26" s="37">
        <v>602383.1</v>
      </c>
      <c r="AH26" s="41">
        <v>166213.54999999999</v>
      </c>
      <c r="AI26" s="41">
        <f t="shared" si="9"/>
        <v>-436169.55</v>
      </c>
      <c r="AJ26" s="37">
        <v>0</v>
      </c>
      <c r="AK26" s="41">
        <v>0</v>
      </c>
      <c r="AL26" s="41">
        <f t="shared" si="10"/>
        <v>0</v>
      </c>
      <c r="AM26" s="37">
        <v>0</v>
      </c>
      <c r="AN26" s="41">
        <v>0</v>
      </c>
      <c r="AO26" s="41">
        <f t="shared" si="11"/>
        <v>0</v>
      </c>
      <c r="AP26" s="37">
        <v>2383648.2000000002</v>
      </c>
      <c r="AQ26" s="41">
        <v>1178845.1100000001</v>
      </c>
      <c r="AR26" s="41">
        <f t="shared" si="12"/>
        <v>-1204803.0900000001</v>
      </c>
      <c r="AS26" s="41">
        <f t="shared" si="17"/>
        <v>2986031.3000000003</v>
      </c>
      <c r="AT26" s="41">
        <f>AN26+AK26+AH26+AE26+AB26+-Y26+V26+S26+P26+AQ26</f>
        <v>1345058.6600000001</v>
      </c>
      <c r="AU26" s="522">
        <f t="shared" si="18"/>
        <v>-1640972.6400000001</v>
      </c>
      <c r="AV26" s="459">
        <f t="shared" si="16"/>
        <v>0.45045028831412454</v>
      </c>
      <c r="AW26" s="37">
        <v>0</v>
      </c>
      <c r="AX26" s="37">
        <v>0</v>
      </c>
      <c r="AY26" s="41">
        <f t="shared" si="14"/>
        <v>2986031.3000000003</v>
      </c>
      <c r="AZ26" s="41">
        <v>1345058.6600000001</v>
      </c>
      <c r="BA26" s="550">
        <f t="shared" si="15"/>
        <v>-1640972.6400000001</v>
      </c>
      <c r="BB26" s="37">
        <v>990484.75</v>
      </c>
      <c r="BC26" s="37">
        <v>0</v>
      </c>
      <c r="BD26" s="37">
        <v>0</v>
      </c>
      <c r="BE26" s="37">
        <v>0</v>
      </c>
      <c r="BF26" s="37">
        <v>0</v>
      </c>
      <c r="BG26" s="37">
        <v>0</v>
      </c>
      <c r="BH26" s="37">
        <v>0</v>
      </c>
      <c r="BI26" s="37">
        <v>3976516.0500000003</v>
      </c>
      <c r="BJ26" s="452" t="s">
        <v>2710</v>
      </c>
      <c r="BK26" s="25" t="s">
        <v>2710</v>
      </c>
      <c r="BL26" s="588" t="s">
        <v>2944</v>
      </c>
      <c r="BM26" s="591"/>
    </row>
    <row r="27" spans="1:67" s="591" customFormat="1" ht="99.75" customHeight="1" x14ac:dyDescent="0.2">
      <c r="A27" s="474" t="s">
        <v>287</v>
      </c>
      <c r="B27" s="474" t="s">
        <v>291</v>
      </c>
      <c r="C27" s="344" t="s">
        <v>586</v>
      </c>
      <c r="D27" s="474" t="s">
        <v>3</v>
      </c>
      <c r="E27" s="474" t="s">
        <v>4</v>
      </c>
      <c r="F27" s="474" t="s">
        <v>77</v>
      </c>
      <c r="G27" s="474" t="s">
        <v>293</v>
      </c>
      <c r="H27" s="43">
        <v>18</v>
      </c>
      <c r="I27" s="43" t="s">
        <v>287</v>
      </c>
      <c r="J27" s="475" t="s">
        <v>285</v>
      </c>
      <c r="K27" s="475" t="s">
        <v>292</v>
      </c>
      <c r="L27" s="41">
        <v>0</v>
      </c>
      <c r="M27" s="41">
        <v>0</v>
      </c>
      <c r="N27" s="41">
        <v>0</v>
      </c>
      <c r="O27" s="41">
        <v>0</v>
      </c>
      <c r="P27" s="41">
        <v>0</v>
      </c>
      <c r="Q27" s="41">
        <f>P27-O27</f>
        <v>0</v>
      </c>
      <c r="R27" s="41">
        <v>0</v>
      </c>
      <c r="S27" s="41">
        <v>0</v>
      </c>
      <c r="T27" s="41">
        <f>S27-R27</f>
        <v>0</v>
      </c>
      <c r="U27" s="41">
        <v>0</v>
      </c>
      <c r="V27" s="41">
        <v>0</v>
      </c>
      <c r="W27" s="41">
        <f>V27-U27</f>
        <v>0</v>
      </c>
      <c r="X27" s="41">
        <v>32218</v>
      </c>
      <c r="Y27" s="41">
        <v>32215.77</v>
      </c>
      <c r="Z27" s="41">
        <f>Y27-X27</f>
        <v>-2.2299999999995634</v>
      </c>
      <c r="AA27" s="41">
        <v>0</v>
      </c>
      <c r="AB27" s="41">
        <v>0</v>
      </c>
      <c r="AC27" s="41">
        <f>AB27-AA27</f>
        <v>0</v>
      </c>
      <c r="AD27" s="41">
        <v>0</v>
      </c>
      <c r="AE27" s="41">
        <v>0</v>
      </c>
      <c r="AF27" s="41">
        <f>AE27-AD27</f>
        <v>0</v>
      </c>
      <c r="AG27" s="41">
        <v>425000</v>
      </c>
      <c r="AH27" s="41">
        <v>48692.98</v>
      </c>
      <c r="AI27" s="41">
        <f t="shared" si="9"/>
        <v>-376307.02</v>
      </c>
      <c r="AJ27" s="41">
        <v>0</v>
      </c>
      <c r="AK27" s="41">
        <v>0</v>
      </c>
      <c r="AL27" s="41">
        <f t="shared" si="10"/>
        <v>0</v>
      </c>
      <c r="AM27" s="41">
        <v>0</v>
      </c>
      <c r="AN27" s="41">
        <v>32562.15</v>
      </c>
      <c r="AO27" s="41">
        <f t="shared" si="11"/>
        <v>32562.15</v>
      </c>
      <c r="AP27" s="41">
        <v>1254786.1499999999</v>
      </c>
      <c r="AQ27" s="41">
        <v>32838.18</v>
      </c>
      <c r="AR27" s="41">
        <f t="shared" si="12"/>
        <v>-1221947.97</v>
      </c>
      <c r="AS27" s="41">
        <f t="shared" si="17"/>
        <v>1712004.15</v>
      </c>
      <c r="AT27" s="41">
        <f>AN27+AK27+AH27+AE27+AB27+Y27+V27+S27+P27+AQ27</f>
        <v>146309.08000000002</v>
      </c>
      <c r="AU27" s="587">
        <f t="shared" si="18"/>
        <v>-1565695.0699999998</v>
      </c>
      <c r="AV27" s="459">
        <f t="shared" si="16"/>
        <v>8.5460704052615771E-2</v>
      </c>
      <c r="AW27" s="41">
        <v>0</v>
      </c>
      <c r="AX27" s="41">
        <v>0</v>
      </c>
      <c r="AY27" s="41">
        <f t="shared" si="14"/>
        <v>1712004.15</v>
      </c>
      <c r="AZ27" s="41">
        <v>309402</v>
      </c>
      <c r="BA27" s="550">
        <f t="shared" si="15"/>
        <v>-1402602.15</v>
      </c>
      <c r="BB27" s="41">
        <v>6800000</v>
      </c>
      <c r="BC27" s="41">
        <v>8796856.5500000007</v>
      </c>
      <c r="BD27" s="41">
        <v>7998320.6500000004</v>
      </c>
      <c r="BE27" s="41">
        <v>1897228</v>
      </c>
      <c r="BF27" s="41">
        <v>0</v>
      </c>
      <c r="BG27" s="41">
        <v>0</v>
      </c>
      <c r="BH27" s="41">
        <v>0</v>
      </c>
      <c r="BI27" s="41">
        <v>27204409.350000001</v>
      </c>
      <c r="BJ27" s="451" t="s">
        <v>951</v>
      </c>
      <c r="BK27" s="46" t="s">
        <v>951</v>
      </c>
      <c r="BL27" s="592" t="s">
        <v>2916</v>
      </c>
      <c r="BM27" s="591" t="s">
        <v>2902</v>
      </c>
      <c r="BN27" s="10"/>
      <c r="BO27" s="10"/>
    </row>
    <row r="28" spans="1:67" s="10" customFormat="1" ht="109.5" customHeight="1" x14ac:dyDescent="0.25">
      <c r="A28" s="474" t="s">
        <v>304</v>
      </c>
      <c r="B28" s="474" t="s">
        <v>305</v>
      </c>
      <c r="C28" s="344" t="s">
        <v>589</v>
      </c>
      <c r="D28" s="474" t="s">
        <v>3</v>
      </c>
      <c r="E28" s="474" t="s">
        <v>4</v>
      </c>
      <c r="F28" s="474" t="s">
        <v>77</v>
      </c>
      <c r="G28" s="474" t="s">
        <v>306</v>
      </c>
      <c r="H28" s="43">
        <v>19</v>
      </c>
      <c r="I28" s="43" t="s">
        <v>304</v>
      </c>
      <c r="J28" s="475" t="s">
        <v>7</v>
      </c>
      <c r="K28" s="475" t="s">
        <v>307</v>
      </c>
      <c r="L28" s="41">
        <v>0</v>
      </c>
      <c r="M28" s="41">
        <v>0</v>
      </c>
      <c r="N28" s="41">
        <v>114482.35</v>
      </c>
      <c r="O28" s="41">
        <v>0</v>
      </c>
      <c r="P28" s="41">
        <v>0</v>
      </c>
      <c r="Q28" s="41">
        <f>P28-O28</f>
        <v>0</v>
      </c>
      <c r="R28" s="41">
        <v>0</v>
      </c>
      <c r="S28" s="41">
        <v>0</v>
      </c>
      <c r="T28" s="41">
        <f>S28-R28</f>
        <v>0</v>
      </c>
      <c r="U28" s="41">
        <v>94929.43</v>
      </c>
      <c r="V28" s="41">
        <v>94929.43</v>
      </c>
      <c r="W28" s="41">
        <f>V28-U28</f>
        <v>0</v>
      </c>
      <c r="X28" s="41">
        <v>0</v>
      </c>
      <c r="Y28" s="41">
        <v>0</v>
      </c>
      <c r="Z28" s="41">
        <f>Y28-X28</f>
        <v>0</v>
      </c>
      <c r="AA28" s="41">
        <v>0</v>
      </c>
      <c r="AB28" s="41">
        <v>0</v>
      </c>
      <c r="AC28" s="41">
        <f>AB28-AA28</f>
        <v>0</v>
      </c>
      <c r="AD28" s="41">
        <v>1336443.58</v>
      </c>
      <c r="AE28" s="41">
        <v>527548.48</v>
      </c>
      <c r="AF28" s="41">
        <f>AE28-AD28</f>
        <v>-808895.10000000009</v>
      </c>
      <c r="AG28" s="41">
        <v>0</v>
      </c>
      <c r="AH28" s="41">
        <v>0</v>
      </c>
      <c r="AI28" s="41">
        <f t="shared" si="9"/>
        <v>0</v>
      </c>
      <c r="AJ28" s="41">
        <v>0</v>
      </c>
      <c r="AK28" s="41">
        <v>0</v>
      </c>
      <c r="AL28" s="41">
        <f t="shared" si="10"/>
        <v>0</v>
      </c>
      <c r="AM28" s="41">
        <v>1404765.99</v>
      </c>
      <c r="AN28" s="41">
        <v>660513.87</v>
      </c>
      <c r="AO28" s="41">
        <f t="shared" si="11"/>
        <v>-744252.12</v>
      </c>
      <c r="AP28" s="41">
        <v>0</v>
      </c>
      <c r="AQ28" s="41">
        <v>0</v>
      </c>
      <c r="AR28" s="41">
        <f t="shared" si="12"/>
        <v>0</v>
      </c>
      <c r="AS28" s="41">
        <f t="shared" si="17"/>
        <v>2836139.0000000005</v>
      </c>
      <c r="AT28" s="41">
        <f>AN28+AK28+AH28+AE28+AB28+-Y28+V28+S28+P28+AQ28</f>
        <v>1282991.78</v>
      </c>
      <c r="AU28" s="522">
        <f t="shared" si="18"/>
        <v>-1553147.2200000002</v>
      </c>
      <c r="AV28" s="459">
        <f t="shared" si="16"/>
        <v>0.4523726728485451</v>
      </c>
      <c r="AW28" s="41">
        <v>0</v>
      </c>
      <c r="AX28" s="41">
        <v>0</v>
      </c>
      <c r="AY28" s="41">
        <f t="shared" si="14"/>
        <v>2836139</v>
      </c>
      <c r="AZ28" s="41">
        <v>1569532.73</v>
      </c>
      <c r="BA28" s="550">
        <f t="shared" si="15"/>
        <v>-1266606.27</v>
      </c>
      <c r="BB28" s="41">
        <v>5006016.6900000004</v>
      </c>
      <c r="BC28" s="41">
        <v>4494972.2100000009</v>
      </c>
      <c r="BD28" s="41">
        <v>4461679.96</v>
      </c>
      <c r="BE28" s="41">
        <v>1485307.79</v>
      </c>
      <c r="BF28" s="41">
        <v>0</v>
      </c>
      <c r="BG28" s="41">
        <v>0</v>
      </c>
      <c r="BH28" s="41">
        <v>0</v>
      </c>
      <c r="BI28" s="41">
        <v>18398598</v>
      </c>
      <c r="BJ28" s="451" t="s">
        <v>2700</v>
      </c>
      <c r="BK28" s="25" t="s">
        <v>2735</v>
      </c>
      <c r="BL28" s="592" t="s">
        <v>2917</v>
      </c>
      <c r="BM28" s="591" t="s">
        <v>2901</v>
      </c>
    </row>
    <row r="29" spans="1:67" s="10" customFormat="1" ht="162" customHeight="1" x14ac:dyDescent="0.25">
      <c r="A29" s="474" t="s">
        <v>221</v>
      </c>
      <c r="B29" s="474" t="s">
        <v>650</v>
      </c>
      <c r="C29" s="344" t="s">
        <v>580</v>
      </c>
      <c r="D29" s="474" t="s">
        <v>3</v>
      </c>
      <c r="E29" s="474" t="s">
        <v>210</v>
      </c>
      <c r="F29" s="474" t="s">
        <v>77</v>
      </c>
      <c r="G29" s="474" t="s">
        <v>222</v>
      </c>
      <c r="H29" s="43">
        <v>20</v>
      </c>
      <c r="I29" s="43" t="s">
        <v>221</v>
      </c>
      <c r="J29" s="475" t="s">
        <v>7</v>
      </c>
      <c r="K29" s="475" t="s">
        <v>223</v>
      </c>
      <c r="L29" s="41">
        <v>0</v>
      </c>
      <c r="M29" s="41">
        <v>0</v>
      </c>
      <c r="N29" s="41">
        <v>14296734.449999999</v>
      </c>
      <c r="O29" s="41">
        <v>0</v>
      </c>
      <c r="P29" s="41">
        <v>0</v>
      </c>
      <c r="Q29" s="41">
        <f>P29-O29</f>
        <v>0</v>
      </c>
      <c r="R29" s="41">
        <v>0</v>
      </c>
      <c r="S29" s="41">
        <v>0</v>
      </c>
      <c r="T29" s="41">
        <f>S29-R29</f>
        <v>0</v>
      </c>
      <c r="U29" s="41">
        <v>1550947.85</v>
      </c>
      <c r="V29" s="41">
        <v>1550947.85</v>
      </c>
      <c r="W29" s="41">
        <f>V29-U29</f>
        <v>0</v>
      </c>
      <c r="X29" s="41">
        <v>0</v>
      </c>
      <c r="Y29" s="41">
        <v>0</v>
      </c>
      <c r="Z29" s="41">
        <f>Y29-X29</f>
        <v>0</v>
      </c>
      <c r="AA29" s="41">
        <v>0</v>
      </c>
      <c r="AB29" s="41">
        <v>0</v>
      </c>
      <c r="AC29" s="41">
        <f>AB29-AA29</f>
        <v>0</v>
      </c>
      <c r="AD29" s="41">
        <v>1585953</v>
      </c>
      <c r="AE29" s="41">
        <v>1338408</v>
      </c>
      <c r="AF29" s="41">
        <f>AE29-AD29</f>
        <v>-247545</v>
      </c>
      <c r="AG29" s="41">
        <v>0</v>
      </c>
      <c r="AH29" s="41">
        <v>0</v>
      </c>
      <c r="AI29" s="41">
        <f t="shared" si="9"/>
        <v>0</v>
      </c>
      <c r="AJ29" s="41">
        <v>0</v>
      </c>
      <c r="AK29" s="41">
        <v>0</v>
      </c>
      <c r="AL29" s="41">
        <f t="shared" si="10"/>
        <v>0</v>
      </c>
      <c r="AM29" s="41">
        <v>3938973.56</v>
      </c>
      <c r="AN29" s="41">
        <v>2674119.9900000002</v>
      </c>
      <c r="AO29" s="41">
        <f t="shared" si="11"/>
        <v>-1264853.5699999998</v>
      </c>
      <c r="AP29" s="41">
        <v>0</v>
      </c>
      <c r="AQ29" s="41">
        <v>0</v>
      </c>
      <c r="AR29" s="41">
        <f t="shared" si="12"/>
        <v>0</v>
      </c>
      <c r="AS29" s="41">
        <f t="shared" si="17"/>
        <v>7075874.4100000001</v>
      </c>
      <c r="AT29" s="41">
        <f>AN29+AK29+AH29+AE29+AB29+Y29+V29+S29+P29+AQ29</f>
        <v>5563475.8399999999</v>
      </c>
      <c r="AU29" s="522">
        <f t="shared" si="18"/>
        <v>-1512398.5699999998</v>
      </c>
      <c r="AV29" s="459">
        <f t="shared" si="16"/>
        <v>0.78625983413970735</v>
      </c>
      <c r="AW29" s="41">
        <v>0</v>
      </c>
      <c r="AX29" s="41">
        <v>4009877.1799999997</v>
      </c>
      <c r="AY29" s="41">
        <f t="shared" si="14"/>
        <v>11085751.59</v>
      </c>
      <c r="AZ29" s="41">
        <v>9566862.2899999991</v>
      </c>
      <c r="BA29" s="550">
        <f t="shared" si="15"/>
        <v>-1518889.3000000007</v>
      </c>
      <c r="BB29" s="41">
        <v>7398360.9600000009</v>
      </c>
      <c r="BC29" s="41">
        <v>0</v>
      </c>
      <c r="BD29" s="41">
        <v>0</v>
      </c>
      <c r="BE29" s="41">
        <v>0</v>
      </c>
      <c r="BF29" s="41">
        <v>0</v>
      </c>
      <c r="BG29" s="41">
        <v>0</v>
      </c>
      <c r="BH29" s="41">
        <v>0</v>
      </c>
      <c r="BI29" s="41">
        <v>32779815.91</v>
      </c>
      <c r="BJ29" s="75"/>
      <c r="BK29" s="25"/>
      <c r="BL29" s="590" t="s">
        <v>2894</v>
      </c>
      <c r="BM29" s="591" t="s">
        <v>2902</v>
      </c>
    </row>
    <row r="30" spans="1:67" s="10" customFormat="1" ht="48" customHeight="1" x14ac:dyDescent="0.2">
      <c r="A30" s="55" t="s">
        <v>0</v>
      </c>
      <c r="B30" s="55" t="s">
        <v>1027</v>
      </c>
      <c r="C30" s="155" t="s">
        <v>1028</v>
      </c>
      <c r="D30" s="55" t="s">
        <v>3</v>
      </c>
      <c r="E30" s="55" t="s">
        <v>4</v>
      </c>
      <c r="F30" s="55" t="s">
        <v>5</v>
      </c>
      <c r="G30" s="439" t="s">
        <v>2923</v>
      </c>
      <c r="H30" s="43">
        <v>21</v>
      </c>
      <c r="I30" s="55" t="s">
        <v>0</v>
      </c>
      <c r="J30" s="155" t="s">
        <v>1039</v>
      </c>
      <c r="K30" s="156" t="s">
        <v>1040</v>
      </c>
      <c r="L30" s="152">
        <v>0</v>
      </c>
      <c r="M30" s="152">
        <v>0</v>
      </c>
      <c r="N30" s="152">
        <v>0</v>
      </c>
      <c r="O30" s="152">
        <f t="shared" ref="O30:AM30" si="19">N30+M30+L30</f>
        <v>0</v>
      </c>
      <c r="P30" s="152">
        <f t="shared" si="19"/>
        <v>0</v>
      </c>
      <c r="Q30" s="152">
        <f t="shared" si="19"/>
        <v>0</v>
      </c>
      <c r="R30" s="152">
        <f t="shared" si="19"/>
        <v>0</v>
      </c>
      <c r="S30" s="152">
        <f t="shared" si="19"/>
        <v>0</v>
      </c>
      <c r="T30" s="152">
        <f t="shared" si="19"/>
        <v>0</v>
      </c>
      <c r="U30" s="152">
        <f t="shared" si="19"/>
        <v>0</v>
      </c>
      <c r="V30" s="152">
        <f t="shared" si="19"/>
        <v>0</v>
      </c>
      <c r="W30" s="152">
        <f t="shared" si="19"/>
        <v>0</v>
      </c>
      <c r="X30" s="152">
        <f t="shared" si="19"/>
        <v>0</v>
      </c>
      <c r="Y30" s="152">
        <f t="shared" si="19"/>
        <v>0</v>
      </c>
      <c r="Z30" s="152">
        <f t="shared" si="19"/>
        <v>0</v>
      </c>
      <c r="AA30" s="152">
        <f t="shared" si="19"/>
        <v>0</v>
      </c>
      <c r="AB30" s="152">
        <f t="shared" si="19"/>
        <v>0</v>
      </c>
      <c r="AC30" s="152">
        <f t="shared" si="19"/>
        <v>0</v>
      </c>
      <c r="AD30" s="152">
        <f t="shared" si="19"/>
        <v>0</v>
      </c>
      <c r="AE30" s="152">
        <f t="shared" si="19"/>
        <v>0</v>
      </c>
      <c r="AF30" s="152">
        <f t="shared" si="19"/>
        <v>0</v>
      </c>
      <c r="AG30" s="152">
        <f t="shared" si="19"/>
        <v>0</v>
      </c>
      <c r="AH30" s="152">
        <f t="shared" si="19"/>
        <v>0</v>
      </c>
      <c r="AI30" s="152">
        <f t="shared" si="19"/>
        <v>0</v>
      </c>
      <c r="AJ30" s="152">
        <f t="shared" si="19"/>
        <v>0</v>
      </c>
      <c r="AK30" s="152">
        <f t="shared" si="19"/>
        <v>0</v>
      </c>
      <c r="AL30" s="152">
        <f t="shared" si="19"/>
        <v>0</v>
      </c>
      <c r="AM30" s="152">
        <f t="shared" si="19"/>
        <v>0</v>
      </c>
      <c r="AN30" s="152">
        <v>0</v>
      </c>
      <c r="AO30" s="152">
        <f>AN30+AM30+AL30</f>
        <v>0</v>
      </c>
      <c r="AP30" s="152">
        <v>1504372</v>
      </c>
      <c r="AQ30" s="41">
        <v>0</v>
      </c>
      <c r="AR30" s="41">
        <f t="shared" si="12"/>
        <v>-1504372</v>
      </c>
      <c r="AS30" s="41">
        <f t="shared" si="17"/>
        <v>1504372</v>
      </c>
      <c r="AT30" s="41">
        <f>AN30+AK30+AH30+AE30+AB30+-Y30+V30+S30+P30+AQ30</f>
        <v>0</v>
      </c>
      <c r="AU30" s="522">
        <f t="shared" si="18"/>
        <v>-1504372</v>
      </c>
      <c r="AV30" s="459">
        <f t="shared" si="16"/>
        <v>0</v>
      </c>
      <c r="AW30" s="152">
        <v>310382</v>
      </c>
      <c r="AX30" s="152">
        <v>234358</v>
      </c>
      <c r="AY30" s="41">
        <f t="shared" si="14"/>
        <v>2049112</v>
      </c>
      <c r="AZ30" s="41">
        <v>0</v>
      </c>
      <c r="BA30" s="553"/>
      <c r="BB30" s="152">
        <v>19413391</v>
      </c>
      <c r="BC30" s="152">
        <v>2554095</v>
      </c>
      <c r="BD30" s="152">
        <v>0</v>
      </c>
      <c r="BE30" s="152">
        <v>0</v>
      </c>
      <c r="BF30" s="152">
        <v>0</v>
      </c>
      <c r="BG30" s="152">
        <v>0</v>
      </c>
      <c r="BH30" s="152">
        <v>0</v>
      </c>
      <c r="BI30" s="152">
        <v>24016606</v>
      </c>
      <c r="BJ30" s="459"/>
      <c r="BK30" s="41"/>
      <c r="BL30" s="602" t="s">
        <v>2967</v>
      </c>
      <c r="BM30" s="432"/>
    </row>
    <row r="31" spans="1:67" s="10" customFormat="1" ht="53.25" customHeight="1" x14ac:dyDescent="0.25">
      <c r="A31" s="43" t="s">
        <v>150</v>
      </c>
      <c r="B31" s="43" t="s">
        <v>151</v>
      </c>
      <c r="C31" s="475" t="s">
        <v>578</v>
      </c>
      <c r="D31" s="43" t="s">
        <v>3</v>
      </c>
      <c r="E31" s="43" t="s">
        <v>29</v>
      </c>
      <c r="F31" s="43" t="s">
        <v>102</v>
      </c>
      <c r="G31" s="43" t="s">
        <v>168</v>
      </c>
      <c r="H31" s="43">
        <v>22</v>
      </c>
      <c r="I31" s="43" t="s">
        <v>150</v>
      </c>
      <c r="J31" s="475" t="s">
        <v>98</v>
      </c>
      <c r="K31" s="475" t="s">
        <v>169</v>
      </c>
      <c r="L31" s="41">
        <v>0</v>
      </c>
      <c r="M31" s="41">
        <v>0</v>
      </c>
      <c r="N31" s="41">
        <v>3552987.47</v>
      </c>
      <c r="O31" s="41">
        <v>0</v>
      </c>
      <c r="P31" s="41">
        <v>0</v>
      </c>
      <c r="Q31" s="41">
        <f t="shared" ref="Q31:Q51" si="20">P31-O31</f>
        <v>0</v>
      </c>
      <c r="R31" s="41">
        <v>2103904.16</v>
      </c>
      <c r="S31" s="41">
        <v>0</v>
      </c>
      <c r="T31" s="41">
        <f t="shared" ref="T31:T51" si="21">S31-R31</f>
        <v>-2103904.16</v>
      </c>
      <c r="U31" s="41">
        <v>0</v>
      </c>
      <c r="V31" s="41">
        <v>0</v>
      </c>
      <c r="W31" s="41">
        <f t="shared" ref="W31:W51" si="22">V31-U31</f>
        <v>0</v>
      </c>
      <c r="X31" s="41">
        <v>0</v>
      </c>
      <c r="Y31" s="41">
        <v>0</v>
      </c>
      <c r="Z31" s="41">
        <f t="shared" ref="Z31:Z51" si="23">Y31-X31</f>
        <v>0</v>
      </c>
      <c r="AA31" s="41">
        <v>0</v>
      </c>
      <c r="AB31" s="41">
        <v>1451799.67</v>
      </c>
      <c r="AC31" s="41">
        <f t="shared" ref="AC31:AC51" si="24">AB31-AA31</f>
        <v>1451799.67</v>
      </c>
      <c r="AD31" s="41">
        <v>0</v>
      </c>
      <c r="AE31" s="41">
        <v>0</v>
      </c>
      <c r="AF31" s="41">
        <f t="shared" ref="AF31:AF51" si="25">AE31-AD31</f>
        <v>0</v>
      </c>
      <c r="AG31" s="41">
        <v>0</v>
      </c>
      <c r="AH31" s="41">
        <v>0</v>
      </c>
      <c r="AI31" s="41">
        <f t="shared" ref="AI31:AI51" si="26">AH31-AG31</f>
        <v>0</v>
      </c>
      <c r="AJ31" s="41">
        <v>1534009.6</v>
      </c>
      <c r="AK31" s="41">
        <v>733853.09</v>
      </c>
      <c r="AL31" s="41">
        <f t="shared" ref="AL31:AL51" si="27">AK31-AJ31</f>
        <v>-800156.51000000013</v>
      </c>
      <c r="AM31" s="41">
        <v>0</v>
      </c>
      <c r="AN31" s="41">
        <v>0</v>
      </c>
      <c r="AO31" s="41">
        <f t="shared" ref="AO31:AO53" si="28">AN31-AM31</f>
        <v>0</v>
      </c>
      <c r="AP31" s="41">
        <v>0</v>
      </c>
      <c r="AQ31" s="41">
        <v>0</v>
      </c>
      <c r="AR31" s="41">
        <f t="shared" si="12"/>
        <v>0</v>
      </c>
      <c r="AS31" s="41">
        <f t="shared" si="17"/>
        <v>3637913.7600000002</v>
      </c>
      <c r="AT31" s="41">
        <f>AN31+AK31+AH31+AE31+AB31+-Y31+V31+S31+P31+AQ31</f>
        <v>2185652.7599999998</v>
      </c>
      <c r="AU31" s="522">
        <f t="shared" si="18"/>
        <v>-1452261.0000000005</v>
      </c>
      <c r="AV31" s="459">
        <f t="shared" si="16"/>
        <v>0.60079839825559789</v>
      </c>
      <c r="AW31" s="41">
        <v>1216849.25</v>
      </c>
      <c r="AX31" s="41">
        <v>0</v>
      </c>
      <c r="AY31" s="41">
        <f t="shared" si="14"/>
        <v>4854763.01</v>
      </c>
      <c r="AZ31" s="41">
        <v>3464902.76</v>
      </c>
      <c r="BA31" s="550">
        <f t="shared" ref="BA31:BA51" si="29">AZ31-AY31</f>
        <v>-1389860.25</v>
      </c>
      <c r="BB31" s="41">
        <v>971149.52</v>
      </c>
      <c r="BC31" s="41">
        <v>0</v>
      </c>
      <c r="BD31" s="41">
        <v>0</v>
      </c>
      <c r="BE31" s="41">
        <v>0</v>
      </c>
      <c r="BF31" s="41">
        <v>0</v>
      </c>
      <c r="BG31" s="41">
        <v>0</v>
      </c>
      <c r="BH31" s="41">
        <v>0</v>
      </c>
      <c r="BI31" s="41">
        <v>9378900</v>
      </c>
      <c r="BJ31" s="457" t="s">
        <v>2721</v>
      </c>
      <c r="BK31" s="25" t="s">
        <v>2721</v>
      </c>
      <c r="BL31" s="595" t="s">
        <v>2958</v>
      </c>
      <c r="BM31" s="591" t="s">
        <v>2901</v>
      </c>
    </row>
    <row r="32" spans="1:67" s="10" customFormat="1" ht="64.5" customHeight="1" x14ac:dyDescent="0.25">
      <c r="A32" s="488" t="s">
        <v>172</v>
      </c>
      <c r="B32" s="488" t="s">
        <v>173</v>
      </c>
      <c r="C32" s="585" t="s">
        <v>579</v>
      </c>
      <c r="D32" s="488" t="s">
        <v>3</v>
      </c>
      <c r="E32" s="488" t="s">
        <v>29</v>
      </c>
      <c r="F32" s="488" t="s">
        <v>5</v>
      </c>
      <c r="G32" s="488" t="s">
        <v>200</v>
      </c>
      <c r="H32" s="43">
        <v>23</v>
      </c>
      <c r="I32" s="478" t="s">
        <v>172</v>
      </c>
      <c r="J32" s="489" t="s">
        <v>98</v>
      </c>
      <c r="K32" s="489" t="s">
        <v>201</v>
      </c>
      <c r="L32" s="40">
        <v>0</v>
      </c>
      <c r="M32" s="40">
        <v>0</v>
      </c>
      <c r="N32" s="40">
        <v>2125547.64</v>
      </c>
      <c r="O32" s="40">
        <v>2803078.19</v>
      </c>
      <c r="P32" s="40">
        <v>2803078.19</v>
      </c>
      <c r="Q32" s="41">
        <f t="shared" si="20"/>
        <v>0</v>
      </c>
      <c r="R32" s="40">
        <v>0</v>
      </c>
      <c r="S32" s="40">
        <v>0</v>
      </c>
      <c r="T32" s="41">
        <f t="shared" si="21"/>
        <v>0</v>
      </c>
      <c r="U32" s="40">
        <v>0</v>
      </c>
      <c r="V32" s="40">
        <v>0</v>
      </c>
      <c r="W32" s="41">
        <f t="shared" si="22"/>
        <v>0</v>
      </c>
      <c r="X32" s="40">
        <v>436640.75</v>
      </c>
      <c r="Y32" s="40">
        <v>0</v>
      </c>
      <c r="Z32" s="41">
        <f t="shared" si="23"/>
        <v>-436640.75</v>
      </c>
      <c r="AA32" s="40">
        <v>0</v>
      </c>
      <c r="AB32" s="40">
        <v>0</v>
      </c>
      <c r="AC32" s="41">
        <f t="shared" si="24"/>
        <v>0</v>
      </c>
      <c r="AD32" s="40">
        <v>0</v>
      </c>
      <c r="AE32" s="41">
        <v>0</v>
      </c>
      <c r="AF32" s="41">
        <f t="shared" si="25"/>
        <v>0</v>
      </c>
      <c r="AG32" s="40">
        <v>904127.15</v>
      </c>
      <c r="AH32" s="41">
        <v>617893.66</v>
      </c>
      <c r="AI32" s="41">
        <f t="shared" si="26"/>
        <v>-286233.49</v>
      </c>
      <c r="AJ32" s="40">
        <v>0</v>
      </c>
      <c r="AK32" s="41">
        <v>0</v>
      </c>
      <c r="AL32" s="41">
        <f t="shared" si="27"/>
        <v>0</v>
      </c>
      <c r="AM32" s="40">
        <v>0</v>
      </c>
      <c r="AN32" s="41">
        <v>0</v>
      </c>
      <c r="AO32" s="41">
        <f t="shared" si="28"/>
        <v>0</v>
      </c>
      <c r="AP32" s="40">
        <v>765623.9</v>
      </c>
      <c r="AQ32" s="41">
        <v>72243.55</v>
      </c>
      <c r="AR32" s="41">
        <f t="shared" si="12"/>
        <v>-693380.35</v>
      </c>
      <c r="AS32" s="41">
        <f t="shared" si="17"/>
        <v>4909469.99</v>
      </c>
      <c r="AT32" s="41">
        <f>AN32+AK32+AH32+AE32+AB32+-Y32+V32+S32+P32+AQ32</f>
        <v>3493215.4</v>
      </c>
      <c r="AU32" s="522">
        <f t="shared" si="18"/>
        <v>-1416254.5899999999</v>
      </c>
      <c r="AV32" s="459">
        <f t="shared" si="16"/>
        <v>0.71152597064759726</v>
      </c>
      <c r="AW32" s="40">
        <v>0</v>
      </c>
      <c r="AX32" s="40">
        <v>0</v>
      </c>
      <c r="AY32" s="41">
        <f t="shared" si="14"/>
        <v>4909469.99</v>
      </c>
      <c r="AZ32" s="41">
        <v>3493215.4</v>
      </c>
      <c r="BA32" s="550">
        <f t="shared" si="29"/>
        <v>-1416254.5900000003</v>
      </c>
      <c r="BB32" s="40">
        <v>263737.76</v>
      </c>
      <c r="BC32" s="40">
        <v>0</v>
      </c>
      <c r="BD32" s="40">
        <v>0</v>
      </c>
      <c r="BE32" s="40">
        <v>0</v>
      </c>
      <c r="BF32" s="40">
        <v>0</v>
      </c>
      <c r="BG32" s="40">
        <v>0</v>
      </c>
      <c r="BH32" s="40">
        <v>0</v>
      </c>
      <c r="BI32" s="40">
        <v>7298755.3900000006</v>
      </c>
      <c r="BJ32" s="454" t="s">
        <v>2701</v>
      </c>
      <c r="BK32" s="25" t="s">
        <v>2736</v>
      </c>
      <c r="BL32" s="588" t="s">
        <v>2959</v>
      </c>
      <c r="BM32" s="591"/>
    </row>
    <row r="33" spans="1:65" s="10" customFormat="1" ht="63.75" customHeight="1" x14ac:dyDescent="0.25">
      <c r="A33" s="43" t="s">
        <v>150</v>
      </c>
      <c r="B33" s="43" t="s">
        <v>151</v>
      </c>
      <c r="C33" s="475" t="s">
        <v>578</v>
      </c>
      <c r="D33" s="43" t="s">
        <v>3</v>
      </c>
      <c r="E33" s="43" t="s">
        <v>29</v>
      </c>
      <c r="F33" s="43" t="s">
        <v>102</v>
      </c>
      <c r="G33" s="43" t="s">
        <v>783</v>
      </c>
      <c r="H33" s="43">
        <v>24</v>
      </c>
      <c r="I33" s="478" t="s">
        <v>150</v>
      </c>
      <c r="J33" s="475" t="s">
        <v>98</v>
      </c>
      <c r="K33" s="475" t="s">
        <v>814</v>
      </c>
      <c r="L33" s="41">
        <v>0</v>
      </c>
      <c r="M33" s="41">
        <v>0</v>
      </c>
      <c r="N33" s="41">
        <v>0</v>
      </c>
      <c r="O33" s="40">
        <v>0</v>
      </c>
      <c r="P33" s="40">
        <v>0</v>
      </c>
      <c r="Q33" s="41">
        <f t="shared" si="20"/>
        <v>0</v>
      </c>
      <c r="R33" s="40">
        <v>0</v>
      </c>
      <c r="S33" s="40">
        <v>0</v>
      </c>
      <c r="T33" s="41">
        <f t="shared" si="21"/>
        <v>0</v>
      </c>
      <c r="U33" s="40">
        <v>0</v>
      </c>
      <c r="V33" s="40">
        <v>0</v>
      </c>
      <c r="W33" s="41">
        <f t="shared" si="22"/>
        <v>0</v>
      </c>
      <c r="X33" s="40">
        <v>0</v>
      </c>
      <c r="Y33" s="40">
        <v>0</v>
      </c>
      <c r="Z33" s="41">
        <f t="shared" si="23"/>
        <v>0</v>
      </c>
      <c r="AA33" s="40">
        <v>0</v>
      </c>
      <c r="AB33" s="40">
        <v>0</v>
      </c>
      <c r="AC33" s="41">
        <f t="shared" si="24"/>
        <v>0</v>
      </c>
      <c r="AD33" s="41">
        <v>0</v>
      </c>
      <c r="AE33" s="41">
        <v>3496320.55</v>
      </c>
      <c r="AF33" s="41">
        <f t="shared" si="25"/>
        <v>3496320.55</v>
      </c>
      <c r="AG33" s="41">
        <v>0</v>
      </c>
      <c r="AH33" s="41">
        <v>0</v>
      </c>
      <c r="AI33" s="41">
        <f t="shared" si="26"/>
        <v>0</v>
      </c>
      <c r="AJ33" s="41">
        <v>0</v>
      </c>
      <c r="AK33" s="41">
        <v>0</v>
      </c>
      <c r="AL33" s="41">
        <f t="shared" si="27"/>
        <v>0</v>
      </c>
      <c r="AM33" s="41">
        <v>5627861.0499999998</v>
      </c>
      <c r="AN33" s="41">
        <v>757550.65</v>
      </c>
      <c r="AO33" s="41">
        <f t="shared" si="28"/>
        <v>-4870310.3999999994</v>
      </c>
      <c r="AP33" s="41">
        <v>0</v>
      </c>
      <c r="AQ33" s="41">
        <v>0</v>
      </c>
      <c r="AR33" s="41">
        <f t="shared" si="12"/>
        <v>0</v>
      </c>
      <c r="AS33" s="41">
        <f t="shared" si="17"/>
        <v>5627861.0499999998</v>
      </c>
      <c r="AT33" s="41">
        <f>AN33+AK33+AH33+AE33+AB33+-Y33+V33+S33+P33+AQ33</f>
        <v>4253871.2</v>
      </c>
      <c r="AU33" s="522">
        <f t="shared" si="18"/>
        <v>-1373989.8499999996</v>
      </c>
      <c r="AV33" s="459">
        <f t="shared" si="16"/>
        <v>0.75585931532549122</v>
      </c>
      <c r="AW33" s="41">
        <v>0</v>
      </c>
      <c r="AX33" s="41">
        <v>4317325.0999999996</v>
      </c>
      <c r="AY33" s="41">
        <f t="shared" si="14"/>
        <v>9945186.1499999985</v>
      </c>
      <c r="AZ33" s="41">
        <v>10075244.949999999</v>
      </c>
      <c r="BA33" s="554">
        <f t="shared" si="29"/>
        <v>130058.80000000075</v>
      </c>
      <c r="BB33" s="41">
        <v>8218412.8500000006</v>
      </c>
      <c r="BC33" s="41">
        <v>0</v>
      </c>
      <c r="BD33" s="41">
        <v>0</v>
      </c>
      <c r="BE33" s="41">
        <v>0</v>
      </c>
      <c r="BF33" s="41">
        <v>0</v>
      </c>
      <c r="BG33" s="41">
        <v>0</v>
      </c>
      <c r="BH33" s="41">
        <v>0</v>
      </c>
      <c r="BI33" s="41">
        <v>17720584.100000001</v>
      </c>
      <c r="BJ33" s="423"/>
      <c r="BK33" s="24"/>
      <c r="BL33" s="588" t="s">
        <v>2885</v>
      </c>
      <c r="BM33" s="591"/>
    </row>
    <row r="34" spans="1:65" s="10" customFormat="1" ht="58.5" customHeight="1" x14ac:dyDescent="0.25">
      <c r="A34" s="474" t="s">
        <v>150</v>
      </c>
      <c r="B34" s="474" t="s">
        <v>151</v>
      </c>
      <c r="C34" s="344" t="s">
        <v>578</v>
      </c>
      <c r="D34" s="474" t="s">
        <v>3</v>
      </c>
      <c r="E34" s="474" t="s">
        <v>29</v>
      </c>
      <c r="F34" s="474" t="s">
        <v>102</v>
      </c>
      <c r="G34" s="474" t="s">
        <v>166</v>
      </c>
      <c r="H34" s="43">
        <v>25</v>
      </c>
      <c r="I34" s="43" t="s">
        <v>150</v>
      </c>
      <c r="J34" s="475" t="s">
        <v>98</v>
      </c>
      <c r="K34" s="475" t="s">
        <v>167</v>
      </c>
      <c r="L34" s="41">
        <v>0</v>
      </c>
      <c r="M34" s="41">
        <v>0</v>
      </c>
      <c r="N34" s="41">
        <v>3076197.67</v>
      </c>
      <c r="O34" s="41">
        <v>0</v>
      </c>
      <c r="P34" s="41">
        <v>0</v>
      </c>
      <c r="Q34" s="41">
        <f t="shared" si="20"/>
        <v>0</v>
      </c>
      <c r="R34" s="41">
        <v>2387703.4500000002</v>
      </c>
      <c r="S34" s="41">
        <v>2387703.4500000002</v>
      </c>
      <c r="T34" s="41">
        <f t="shared" si="21"/>
        <v>0</v>
      </c>
      <c r="U34" s="41">
        <v>0</v>
      </c>
      <c r="V34" s="41">
        <v>0</v>
      </c>
      <c r="W34" s="41">
        <f t="shared" si="22"/>
        <v>0</v>
      </c>
      <c r="X34" s="41">
        <v>0</v>
      </c>
      <c r="Y34" s="41">
        <v>0</v>
      </c>
      <c r="Z34" s="41">
        <f t="shared" si="23"/>
        <v>0</v>
      </c>
      <c r="AA34" s="41">
        <v>0</v>
      </c>
      <c r="AB34" s="41">
        <v>2141.69</v>
      </c>
      <c r="AC34" s="41">
        <f t="shared" si="24"/>
        <v>2141.69</v>
      </c>
      <c r="AD34" s="41">
        <v>0</v>
      </c>
      <c r="AE34" s="41">
        <v>0</v>
      </c>
      <c r="AF34" s="41">
        <f t="shared" si="25"/>
        <v>0</v>
      </c>
      <c r="AG34" s="41">
        <v>0</v>
      </c>
      <c r="AH34" s="41">
        <v>0</v>
      </c>
      <c r="AI34" s="41">
        <f t="shared" si="26"/>
        <v>0</v>
      </c>
      <c r="AJ34" s="41">
        <v>3053115</v>
      </c>
      <c r="AK34" s="41">
        <v>1742239.71</v>
      </c>
      <c r="AL34" s="41">
        <f t="shared" si="27"/>
        <v>-1310875.29</v>
      </c>
      <c r="AM34" s="41">
        <v>0</v>
      </c>
      <c r="AN34" s="41">
        <v>0</v>
      </c>
      <c r="AO34" s="41">
        <f t="shared" si="28"/>
        <v>0</v>
      </c>
      <c r="AP34" s="41">
        <v>0</v>
      </c>
      <c r="AQ34" s="41">
        <v>0</v>
      </c>
      <c r="AR34" s="41">
        <f t="shared" si="12"/>
        <v>0</v>
      </c>
      <c r="AS34" s="41">
        <f t="shared" si="17"/>
        <v>5440818.4500000002</v>
      </c>
      <c r="AT34" s="41">
        <f>AN34+AK34+AH34+AE34+AB34+-Y34+V34+S34+P34+AQ34</f>
        <v>4132084.85</v>
      </c>
      <c r="AU34" s="522">
        <f t="shared" si="18"/>
        <v>-1308733.6000000001</v>
      </c>
      <c r="AV34" s="459">
        <f t="shared" si="16"/>
        <v>0.75946015989561277</v>
      </c>
      <c r="AW34" s="41">
        <v>1362714.08</v>
      </c>
      <c r="AX34" s="41">
        <v>0</v>
      </c>
      <c r="AY34" s="41">
        <f t="shared" si="14"/>
        <v>6803532.5300000003</v>
      </c>
      <c r="AZ34" s="41">
        <v>6317207.9000000004</v>
      </c>
      <c r="BA34" s="552">
        <f t="shared" si="29"/>
        <v>-486324.62999999989</v>
      </c>
      <c r="BB34" s="41">
        <v>0</v>
      </c>
      <c r="BC34" s="41">
        <v>0</v>
      </c>
      <c r="BD34" s="41">
        <v>0</v>
      </c>
      <c r="BE34" s="41">
        <v>0</v>
      </c>
      <c r="BF34" s="41">
        <v>0</v>
      </c>
      <c r="BG34" s="41">
        <v>0</v>
      </c>
      <c r="BH34" s="41">
        <v>0</v>
      </c>
      <c r="BI34" s="41">
        <v>9879730.1999999993</v>
      </c>
      <c r="BJ34" s="75"/>
      <c r="BK34" s="25" t="s">
        <v>2746</v>
      </c>
      <c r="BL34" s="595" t="s">
        <v>2957</v>
      </c>
      <c r="BM34" s="591" t="s">
        <v>2901</v>
      </c>
    </row>
    <row r="35" spans="1:65" s="10" customFormat="1" ht="63.75" customHeight="1" x14ac:dyDescent="0.25">
      <c r="A35" s="474" t="s">
        <v>172</v>
      </c>
      <c r="B35" s="474" t="s">
        <v>173</v>
      </c>
      <c r="C35" s="344" t="s">
        <v>579</v>
      </c>
      <c r="D35" s="474" t="s">
        <v>3</v>
      </c>
      <c r="E35" s="474" t="s">
        <v>29</v>
      </c>
      <c r="F35" s="474" t="s">
        <v>5</v>
      </c>
      <c r="G35" s="474" t="s">
        <v>194</v>
      </c>
      <c r="H35" s="43">
        <v>26</v>
      </c>
      <c r="I35" s="43" t="s">
        <v>172</v>
      </c>
      <c r="J35" s="475" t="s">
        <v>98</v>
      </c>
      <c r="K35" s="475" t="s">
        <v>195</v>
      </c>
      <c r="L35" s="41">
        <v>0</v>
      </c>
      <c r="M35" s="41">
        <v>0</v>
      </c>
      <c r="N35" s="41">
        <v>1715140.56</v>
      </c>
      <c r="O35" s="41">
        <v>1246672.71</v>
      </c>
      <c r="P35" s="41">
        <v>1246672.71</v>
      </c>
      <c r="Q35" s="41">
        <f t="shared" si="20"/>
        <v>0</v>
      </c>
      <c r="R35" s="41">
        <v>0</v>
      </c>
      <c r="S35" s="41">
        <v>0</v>
      </c>
      <c r="T35" s="41">
        <f t="shared" si="21"/>
        <v>0</v>
      </c>
      <c r="U35" s="41">
        <v>0</v>
      </c>
      <c r="V35" s="41">
        <v>0</v>
      </c>
      <c r="W35" s="41">
        <f t="shared" si="22"/>
        <v>0</v>
      </c>
      <c r="X35" s="41">
        <v>172266.95</v>
      </c>
      <c r="Y35" s="41">
        <v>2650.67</v>
      </c>
      <c r="Z35" s="41">
        <f t="shared" si="23"/>
        <v>-169616.28</v>
      </c>
      <c r="AA35" s="41">
        <v>0</v>
      </c>
      <c r="AB35" s="41">
        <v>0</v>
      </c>
      <c r="AC35" s="41">
        <f t="shared" si="24"/>
        <v>0</v>
      </c>
      <c r="AD35" s="41">
        <v>0</v>
      </c>
      <c r="AE35" s="41">
        <v>0</v>
      </c>
      <c r="AF35" s="41">
        <f t="shared" si="25"/>
        <v>0</v>
      </c>
      <c r="AG35" s="41">
        <v>2160138.15</v>
      </c>
      <c r="AH35" s="41">
        <v>564281.09</v>
      </c>
      <c r="AI35" s="41">
        <f t="shared" si="26"/>
        <v>-1595857.06</v>
      </c>
      <c r="AJ35" s="41">
        <v>0</v>
      </c>
      <c r="AK35" s="41">
        <v>0</v>
      </c>
      <c r="AL35" s="41">
        <f t="shared" si="27"/>
        <v>0</v>
      </c>
      <c r="AM35" s="41">
        <v>0</v>
      </c>
      <c r="AN35" s="41">
        <v>0</v>
      </c>
      <c r="AO35" s="41">
        <f t="shared" si="28"/>
        <v>0</v>
      </c>
      <c r="AP35" s="41">
        <v>1211532.2</v>
      </c>
      <c r="AQ35" s="41">
        <v>1945327.22</v>
      </c>
      <c r="AR35" s="41">
        <f t="shared" si="12"/>
        <v>733795.02</v>
      </c>
      <c r="AS35" s="41">
        <f t="shared" si="17"/>
        <v>4790610.01</v>
      </c>
      <c r="AT35" s="41">
        <f>AN35+AK35+AH35+AE35+AB35+Y35+V35+S35+P35+AQ35</f>
        <v>3758931.69</v>
      </c>
      <c r="AU35" s="522">
        <f t="shared" si="18"/>
        <v>-1031678.3200000001</v>
      </c>
      <c r="AV35" s="459">
        <f t="shared" si="16"/>
        <v>0.78464573032527019</v>
      </c>
      <c r="AW35" s="41">
        <v>0</v>
      </c>
      <c r="AX35" s="41">
        <v>0</v>
      </c>
      <c r="AY35" s="41">
        <f t="shared" si="14"/>
        <v>4790610.01</v>
      </c>
      <c r="AZ35" s="41">
        <v>3758931.69</v>
      </c>
      <c r="BA35" s="550">
        <f t="shared" si="29"/>
        <v>-1031678.3199999998</v>
      </c>
      <c r="BB35" s="41">
        <v>1145015.44</v>
      </c>
      <c r="BC35" s="41">
        <v>0</v>
      </c>
      <c r="BD35" s="41">
        <v>0</v>
      </c>
      <c r="BE35" s="41">
        <v>0</v>
      </c>
      <c r="BF35" s="41">
        <v>0</v>
      </c>
      <c r="BG35" s="41">
        <v>0</v>
      </c>
      <c r="BH35" s="41">
        <v>0</v>
      </c>
      <c r="BI35" s="41">
        <v>7650766.0099999998</v>
      </c>
      <c r="BJ35" s="451" t="s">
        <v>2696</v>
      </c>
      <c r="BK35" s="25" t="s">
        <v>2745</v>
      </c>
      <c r="BL35" s="595" t="s">
        <v>2946</v>
      </c>
      <c r="BM35" s="591"/>
    </row>
    <row r="36" spans="1:65" s="10" customFormat="1" ht="100.5" customHeight="1" x14ac:dyDescent="0.25">
      <c r="A36" s="474" t="s">
        <v>221</v>
      </c>
      <c r="B36" s="474" t="s">
        <v>651</v>
      </c>
      <c r="C36" s="344" t="s">
        <v>580</v>
      </c>
      <c r="D36" s="474" t="s">
        <v>3</v>
      </c>
      <c r="E36" s="474" t="s">
        <v>210</v>
      </c>
      <c r="F36" s="474" t="s">
        <v>77</v>
      </c>
      <c r="G36" s="474" t="s">
        <v>635</v>
      </c>
      <c r="H36" s="43">
        <v>27</v>
      </c>
      <c r="I36" s="43" t="s">
        <v>221</v>
      </c>
      <c r="J36" s="475" t="s">
        <v>212</v>
      </c>
      <c r="K36" s="475" t="s">
        <v>580</v>
      </c>
      <c r="L36" s="41">
        <v>0</v>
      </c>
      <c r="M36" s="41">
        <v>120531.37</v>
      </c>
      <c r="N36" s="41">
        <v>13513992.23</v>
      </c>
      <c r="O36" s="41">
        <v>0</v>
      </c>
      <c r="P36" s="41">
        <v>0</v>
      </c>
      <c r="Q36" s="41">
        <f t="shared" si="20"/>
        <v>0</v>
      </c>
      <c r="R36" s="41">
        <v>2617244.7599999998</v>
      </c>
      <c r="S36" s="41">
        <v>2617244.7599999998</v>
      </c>
      <c r="T36" s="41">
        <f t="shared" si="21"/>
        <v>0</v>
      </c>
      <c r="U36" s="41">
        <v>0</v>
      </c>
      <c r="V36" s="41">
        <v>0</v>
      </c>
      <c r="W36" s="41">
        <f t="shared" si="22"/>
        <v>0</v>
      </c>
      <c r="X36" s="537">
        <v>1552076.4</v>
      </c>
      <c r="Y36" s="41">
        <v>1551953.14</v>
      </c>
      <c r="Z36" s="41">
        <f t="shared" si="23"/>
        <v>-123.26000000000931</v>
      </c>
      <c r="AA36" s="41">
        <v>0</v>
      </c>
      <c r="AB36" s="41">
        <v>0</v>
      </c>
      <c r="AC36" s="41">
        <f t="shared" si="24"/>
        <v>0</v>
      </c>
      <c r="AD36" s="41">
        <v>0</v>
      </c>
      <c r="AE36" s="41">
        <v>0</v>
      </c>
      <c r="AF36" s="41">
        <f t="shared" si="25"/>
        <v>0</v>
      </c>
      <c r="AG36" s="41">
        <v>2710461.04</v>
      </c>
      <c r="AH36" s="40">
        <v>2212292.46</v>
      </c>
      <c r="AI36" s="41">
        <f t="shared" si="26"/>
        <v>-498168.58000000007</v>
      </c>
      <c r="AJ36" s="41">
        <v>0</v>
      </c>
      <c r="AK36" s="41">
        <v>0</v>
      </c>
      <c r="AL36" s="41">
        <f t="shared" si="27"/>
        <v>0</v>
      </c>
      <c r="AM36" s="41">
        <v>0</v>
      </c>
      <c r="AN36" s="41">
        <v>0</v>
      </c>
      <c r="AO36" s="41">
        <f t="shared" si="28"/>
        <v>0</v>
      </c>
      <c r="AP36" s="41">
        <v>2710461.04</v>
      </c>
      <c r="AQ36" s="41">
        <v>2196688.16</v>
      </c>
      <c r="AR36" s="41">
        <f t="shared" si="12"/>
        <v>-513772.87999999989</v>
      </c>
      <c r="AS36" s="41">
        <f t="shared" si="17"/>
        <v>9590243.2399999984</v>
      </c>
      <c r="AT36" s="41">
        <f>AN36+AK36+AH36+AE36+AB36+Y36+V36+S36+P36+AQ36</f>
        <v>8578178.5199999996</v>
      </c>
      <c r="AU36" s="522">
        <f t="shared" si="18"/>
        <v>-1012064.72</v>
      </c>
      <c r="AV36" s="459">
        <f t="shared" si="16"/>
        <v>0.89446933777667159</v>
      </c>
      <c r="AW36" s="41">
        <v>0</v>
      </c>
      <c r="AX36" s="41">
        <v>0</v>
      </c>
      <c r="AY36" s="41">
        <f t="shared" si="14"/>
        <v>9590243.2400000002</v>
      </c>
      <c r="AZ36" s="41">
        <v>8577756.6600000001</v>
      </c>
      <c r="BA36" s="550">
        <f t="shared" si="29"/>
        <v>-1012486.5800000001</v>
      </c>
      <c r="BB36" s="37">
        <v>7983155.1600000011</v>
      </c>
      <c r="BC36" s="41">
        <v>0</v>
      </c>
      <c r="BD36" s="41">
        <v>0</v>
      </c>
      <c r="BE36" s="41">
        <v>0</v>
      </c>
      <c r="BF36" s="41">
        <v>0</v>
      </c>
      <c r="BG36" s="41">
        <v>0</v>
      </c>
      <c r="BH36" s="41">
        <v>0</v>
      </c>
      <c r="BI36" s="41">
        <v>31207922</v>
      </c>
      <c r="BJ36" s="451" t="s">
        <v>2707</v>
      </c>
      <c r="BK36" s="25" t="s">
        <v>2755</v>
      </c>
      <c r="BL36" s="592" t="s">
        <v>2961</v>
      </c>
      <c r="BM36" s="591" t="s">
        <v>2901</v>
      </c>
    </row>
    <row r="37" spans="1:65" s="10" customFormat="1" ht="51.75" customHeight="1" x14ac:dyDescent="0.25">
      <c r="A37" s="474" t="s">
        <v>322</v>
      </c>
      <c r="B37" s="474" t="s">
        <v>323</v>
      </c>
      <c r="C37" s="344" t="s">
        <v>593</v>
      </c>
      <c r="D37" s="474" t="s">
        <v>3</v>
      </c>
      <c r="E37" s="474" t="s">
        <v>4</v>
      </c>
      <c r="F37" s="474" t="s">
        <v>77</v>
      </c>
      <c r="G37" s="474" t="s">
        <v>324</v>
      </c>
      <c r="H37" s="43">
        <v>28</v>
      </c>
      <c r="I37" s="43" t="s">
        <v>322</v>
      </c>
      <c r="J37" s="475" t="s">
        <v>285</v>
      </c>
      <c r="K37" s="475" t="s">
        <v>325</v>
      </c>
      <c r="L37" s="41">
        <v>0</v>
      </c>
      <c r="M37" s="41">
        <v>0</v>
      </c>
      <c r="N37" s="41">
        <v>0</v>
      </c>
      <c r="O37" s="41">
        <v>0</v>
      </c>
      <c r="P37" s="41">
        <v>0</v>
      </c>
      <c r="Q37" s="41">
        <f t="shared" si="20"/>
        <v>0</v>
      </c>
      <c r="R37" s="41">
        <v>37292</v>
      </c>
      <c r="S37" s="41">
        <v>37292.230000000003</v>
      </c>
      <c r="T37" s="41">
        <f t="shared" si="21"/>
        <v>0.23000000000320142</v>
      </c>
      <c r="U37" s="41">
        <v>0</v>
      </c>
      <c r="V37" s="41">
        <v>0</v>
      </c>
      <c r="W37" s="41">
        <f t="shared" si="22"/>
        <v>0</v>
      </c>
      <c r="X37" s="41">
        <v>52038</v>
      </c>
      <c r="Y37" s="41">
        <v>52037.61</v>
      </c>
      <c r="Z37" s="41">
        <f t="shared" si="23"/>
        <v>-0.38999999999941792</v>
      </c>
      <c r="AA37" s="41">
        <v>0</v>
      </c>
      <c r="AB37" s="41">
        <v>0</v>
      </c>
      <c r="AC37" s="41">
        <f t="shared" si="24"/>
        <v>0</v>
      </c>
      <c r="AD37" s="41">
        <v>0</v>
      </c>
      <c r="AE37" s="41">
        <v>0</v>
      </c>
      <c r="AF37" s="41">
        <f t="shared" si="25"/>
        <v>0</v>
      </c>
      <c r="AG37" s="41">
        <v>465122.55</v>
      </c>
      <c r="AH37" s="41">
        <v>88413.25</v>
      </c>
      <c r="AI37" s="41">
        <f t="shared" si="26"/>
        <v>-376709.3</v>
      </c>
      <c r="AJ37" s="41">
        <v>0</v>
      </c>
      <c r="AK37" s="41">
        <v>0</v>
      </c>
      <c r="AL37" s="41">
        <f t="shared" si="27"/>
        <v>0</v>
      </c>
      <c r="AM37" s="41">
        <v>0</v>
      </c>
      <c r="AN37" s="41">
        <v>0</v>
      </c>
      <c r="AO37" s="41">
        <f t="shared" si="28"/>
        <v>0</v>
      </c>
      <c r="AP37" s="41">
        <v>705330</v>
      </c>
      <c r="AQ37" s="41">
        <v>116823.82</v>
      </c>
      <c r="AR37" s="41">
        <f t="shared" si="12"/>
        <v>-588506.17999999993</v>
      </c>
      <c r="AS37" s="41">
        <f t="shared" si="17"/>
        <v>1259782.55</v>
      </c>
      <c r="AT37" s="41">
        <f>AN37+AK37+AH37+AE37+AB37+Y37+V37+S37+P37+AQ37</f>
        <v>294566.91000000003</v>
      </c>
      <c r="AU37" s="522">
        <f t="shared" si="18"/>
        <v>-965215.6399999999</v>
      </c>
      <c r="AV37" s="459">
        <f t="shared" si="16"/>
        <v>0.23382361503578536</v>
      </c>
      <c r="AW37" s="41">
        <v>0</v>
      </c>
      <c r="AX37" s="41">
        <v>0</v>
      </c>
      <c r="AY37" s="41">
        <f t="shared" si="14"/>
        <v>1259782.55</v>
      </c>
      <c r="AZ37" s="41">
        <v>724960.43</v>
      </c>
      <c r="BA37" s="550">
        <f t="shared" si="29"/>
        <v>-534822.12</v>
      </c>
      <c r="BB37" s="41">
        <v>5140322</v>
      </c>
      <c r="BC37" s="41">
        <v>2126881.9</v>
      </c>
      <c r="BD37" s="41">
        <v>996482.20000000007</v>
      </c>
      <c r="BE37" s="41">
        <v>692400.65</v>
      </c>
      <c r="BF37" s="41">
        <v>96372.5</v>
      </c>
      <c r="BG37" s="41">
        <v>0</v>
      </c>
      <c r="BH37" s="41">
        <v>0</v>
      </c>
      <c r="BI37" s="41">
        <v>10312241.799999999</v>
      </c>
      <c r="BJ37" s="451" t="s">
        <v>2711</v>
      </c>
      <c r="BK37" s="25" t="s">
        <v>2758</v>
      </c>
      <c r="BL37" s="592" t="s">
        <v>2918</v>
      </c>
      <c r="BM37" s="591" t="s">
        <v>2903</v>
      </c>
    </row>
    <row r="38" spans="1:65" s="10" customFormat="1" ht="378" customHeight="1" x14ac:dyDescent="0.2">
      <c r="A38" s="474" t="s">
        <v>233</v>
      </c>
      <c r="B38" s="474" t="s">
        <v>234</v>
      </c>
      <c r="C38" s="344" t="s">
        <v>583</v>
      </c>
      <c r="D38" s="474">
        <v>1</v>
      </c>
      <c r="E38" s="474" t="s">
        <v>4</v>
      </c>
      <c r="F38" s="474" t="s">
        <v>5</v>
      </c>
      <c r="G38" s="474" t="s">
        <v>235</v>
      </c>
      <c r="H38" s="43">
        <v>29</v>
      </c>
      <c r="I38" s="43" t="s">
        <v>233</v>
      </c>
      <c r="J38" s="475" t="s">
        <v>236</v>
      </c>
      <c r="K38" s="475" t="s">
        <v>237</v>
      </c>
      <c r="L38" s="41">
        <v>0</v>
      </c>
      <c r="M38" s="41">
        <v>0</v>
      </c>
      <c r="N38" s="41">
        <v>0</v>
      </c>
      <c r="O38" s="41">
        <v>0</v>
      </c>
      <c r="P38" s="41">
        <v>0</v>
      </c>
      <c r="Q38" s="41">
        <f t="shared" si="20"/>
        <v>0</v>
      </c>
      <c r="R38" s="41">
        <v>0</v>
      </c>
      <c r="S38" s="41">
        <v>0</v>
      </c>
      <c r="T38" s="41">
        <f t="shared" si="21"/>
        <v>0</v>
      </c>
      <c r="U38" s="41">
        <v>0</v>
      </c>
      <c r="V38" s="41">
        <v>0</v>
      </c>
      <c r="W38" s="41">
        <f t="shared" si="22"/>
        <v>0</v>
      </c>
      <c r="X38" s="41">
        <v>6058.96</v>
      </c>
      <c r="Y38" s="41">
        <v>6058.98</v>
      </c>
      <c r="Z38" s="41">
        <f t="shared" si="23"/>
        <v>1.9999999999527063E-2</v>
      </c>
      <c r="AA38" s="41">
        <v>0</v>
      </c>
      <c r="AB38" s="41">
        <v>0</v>
      </c>
      <c r="AC38" s="41">
        <f t="shared" si="24"/>
        <v>0</v>
      </c>
      <c r="AD38" s="41">
        <v>23852.86</v>
      </c>
      <c r="AE38" s="41">
        <v>11088.05</v>
      </c>
      <c r="AF38" s="41">
        <f t="shared" si="25"/>
        <v>-12764.810000000001</v>
      </c>
      <c r="AG38" s="41">
        <v>0</v>
      </c>
      <c r="AH38" s="41">
        <v>0</v>
      </c>
      <c r="AI38" s="41">
        <f t="shared" si="26"/>
        <v>0</v>
      </c>
      <c r="AJ38" s="41">
        <v>0</v>
      </c>
      <c r="AK38" s="41">
        <v>0</v>
      </c>
      <c r="AL38" s="41">
        <f t="shared" si="27"/>
        <v>0</v>
      </c>
      <c r="AM38" s="41">
        <v>1003101.34</v>
      </c>
      <c r="AN38" s="41">
        <v>71815.509999999995</v>
      </c>
      <c r="AO38" s="41">
        <f t="shared" si="28"/>
        <v>-931285.83</v>
      </c>
      <c r="AP38" s="41">
        <v>0</v>
      </c>
      <c r="AQ38" s="41">
        <v>0</v>
      </c>
      <c r="AR38" s="41">
        <f t="shared" si="12"/>
        <v>0</v>
      </c>
      <c r="AS38" s="41">
        <f t="shared" si="17"/>
        <v>1033013.1599999999</v>
      </c>
      <c r="AT38" s="41">
        <f>AN38+AK38+AH38+AE38+AB38+Y38+V38+S38+P38+AQ38</f>
        <v>88962.54</v>
      </c>
      <c r="AU38" s="522">
        <f t="shared" si="18"/>
        <v>-944050.62</v>
      </c>
      <c r="AV38" s="459">
        <f t="shared" si="16"/>
        <v>8.6119464344481339E-2</v>
      </c>
      <c r="AW38" s="41">
        <v>0</v>
      </c>
      <c r="AX38" s="41">
        <v>1825118.31</v>
      </c>
      <c r="AY38" s="41">
        <f t="shared" si="14"/>
        <v>2858131.4699999997</v>
      </c>
      <c r="AZ38" s="41">
        <v>1914069.1300000001</v>
      </c>
      <c r="BA38" s="550">
        <f t="shared" si="29"/>
        <v>-944062.33999999962</v>
      </c>
      <c r="BB38" s="41">
        <v>1630045.13</v>
      </c>
      <c r="BC38" s="41">
        <v>2190178.2200000002</v>
      </c>
      <c r="BD38" s="41">
        <v>2289980.73</v>
      </c>
      <c r="BE38" s="41">
        <v>0</v>
      </c>
      <c r="BF38" s="41">
        <v>0</v>
      </c>
      <c r="BG38" s="41">
        <v>0</v>
      </c>
      <c r="BH38" s="41">
        <v>0</v>
      </c>
      <c r="BI38" s="41">
        <v>8968335.5500000007</v>
      </c>
      <c r="BJ38" s="75"/>
      <c r="BK38" s="11"/>
      <c r="BL38" s="592" t="s">
        <v>2963</v>
      </c>
      <c r="BM38" s="591"/>
    </row>
    <row r="39" spans="1:65" s="10" customFormat="1" ht="111.75" customHeight="1" x14ac:dyDescent="0.25">
      <c r="A39" s="488" t="s">
        <v>294</v>
      </c>
      <c r="B39" s="488" t="s">
        <v>295</v>
      </c>
      <c r="C39" s="585" t="s">
        <v>587</v>
      </c>
      <c r="D39" s="488" t="s">
        <v>3</v>
      </c>
      <c r="E39" s="488" t="s">
        <v>4</v>
      </c>
      <c r="F39" s="488" t="s">
        <v>77</v>
      </c>
      <c r="G39" s="488" t="s">
        <v>296</v>
      </c>
      <c r="H39" s="43">
        <v>30</v>
      </c>
      <c r="I39" s="478" t="s">
        <v>294</v>
      </c>
      <c r="J39" s="489" t="s">
        <v>297</v>
      </c>
      <c r="K39" s="489" t="s">
        <v>298</v>
      </c>
      <c r="L39" s="40">
        <v>0</v>
      </c>
      <c r="M39" s="40">
        <v>0</v>
      </c>
      <c r="N39" s="40">
        <v>234516.74</v>
      </c>
      <c r="O39" s="40">
        <v>0</v>
      </c>
      <c r="P39" s="40">
        <v>0</v>
      </c>
      <c r="Q39" s="41">
        <f t="shared" si="20"/>
        <v>0</v>
      </c>
      <c r="R39" s="40">
        <v>61726</v>
      </c>
      <c r="S39" s="40">
        <v>61726</v>
      </c>
      <c r="T39" s="41">
        <f t="shared" si="21"/>
        <v>0</v>
      </c>
      <c r="U39" s="40">
        <v>0</v>
      </c>
      <c r="V39" s="40">
        <v>0</v>
      </c>
      <c r="W39" s="41">
        <f t="shared" si="22"/>
        <v>0</v>
      </c>
      <c r="X39" s="40">
        <v>0</v>
      </c>
      <c r="Y39" s="40">
        <v>0</v>
      </c>
      <c r="Z39" s="41">
        <f t="shared" si="23"/>
        <v>0</v>
      </c>
      <c r="AA39" s="40">
        <v>569993.85</v>
      </c>
      <c r="AB39" s="40">
        <v>0</v>
      </c>
      <c r="AC39" s="41">
        <f t="shared" si="24"/>
        <v>-569993.85</v>
      </c>
      <c r="AD39" s="40">
        <v>0</v>
      </c>
      <c r="AE39" s="41">
        <v>121115.38</v>
      </c>
      <c r="AF39" s="41">
        <f t="shared" si="25"/>
        <v>121115.38</v>
      </c>
      <c r="AG39" s="40">
        <v>0</v>
      </c>
      <c r="AH39" s="41">
        <v>0</v>
      </c>
      <c r="AI39" s="41">
        <f t="shared" si="26"/>
        <v>0</v>
      </c>
      <c r="AJ39" s="40">
        <v>654748.19999999995</v>
      </c>
      <c r="AK39" s="41">
        <v>210925.15</v>
      </c>
      <c r="AL39" s="41">
        <f t="shared" si="27"/>
        <v>-443823.04999999993</v>
      </c>
      <c r="AM39" s="40">
        <v>0</v>
      </c>
      <c r="AN39" s="41">
        <v>0</v>
      </c>
      <c r="AO39" s="41">
        <f t="shared" si="28"/>
        <v>0</v>
      </c>
      <c r="AP39" s="40">
        <v>0</v>
      </c>
      <c r="AQ39" s="41">
        <v>0</v>
      </c>
      <c r="AR39" s="41">
        <f t="shared" si="12"/>
        <v>0</v>
      </c>
      <c r="AS39" s="41">
        <f t="shared" si="17"/>
        <v>1286468.0499999998</v>
      </c>
      <c r="AT39" s="41">
        <f>AN39+AK39+AH39+AE39+AB39+-Y39+V39+S39+P39+AQ39</f>
        <v>393766.53</v>
      </c>
      <c r="AU39" s="522">
        <f t="shared" si="18"/>
        <v>-892701.5199999999</v>
      </c>
      <c r="AV39" s="459">
        <f t="shared" si="16"/>
        <v>0.30608341186553378</v>
      </c>
      <c r="AW39" s="40">
        <v>654748.19999999995</v>
      </c>
      <c r="AX39" s="40">
        <v>0</v>
      </c>
      <c r="AY39" s="41">
        <f t="shared" si="14"/>
        <v>1941216.25</v>
      </c>
      <c r="AZ39" s="41">
        <v>593247.17000000004</v>
      </c>
      <c r="BA39" s="550">
        <f t="shared" si="29"/>
        <v>-1347969.08</v>
      </c>
      <c r="BB39" s="40">
        <v>3608882.9800000004</v>
      </c>
      <c r="BC39" s="40">
        <v>1865362.94</v>
      </c>
      <c r="BD39" s="40">
        <v>0</v>
      </c>
      <c r="BE39" s="40">
        <v>0</v>
      </c>
      <c r="BF39" s="40">
        <v>0</v>
      </c>
      <c r="BG39" s="40">
        <v>0</v>
      </c>
      <c r="BH39" s="40">
        <v>0</v>
      </c>
      <c r="BI39" s="40">
        <v>7649978.9100000001</v>
      </c>
      <c r="BJ39" s="453" t="s">
        <v>2709</v>
      </c>
      <c r="BK39" s="25" t="s">
        <v>2709</v>
      </c>
      <c r="BL39" s="592" t="s">
        <v>2919</v>
      </c>
      <c r="BM39" s="591" t="s">
        <v>2901</v>
      </c>
    </row>
    <row r="40" spans="1:65" s="10" customFormat="1" ht="102.75" customHeight="1" x14ac:dyDescent="0.25">
      <c r="A40" s="474" t="s">
        <v>281</v>
      </c>
      <c r="B40" s="474" t="s">
        <v>282</v>
      </c>
      <c r="C40" s="344" t="s">
        <v>283</v>
      </c>
      <c r="D40" s="474" t="s">
        <v>3</v>
      </c>
      <c r="E40" s="474" t="s">
        <v>4</v>
      </c>
      <c r="F40" s="474" t="s">
        <v>77</v>
      </c>
      <c r="G40" s="474" t="s">
        <v>284</v>
      </c>
      <c r="H40" s="43">
        <v>31</v>
      </c>
      <c r="I40" s="43" t="s">
        <v>281</v>
      </c>
      <c r="J40" s="475" t="s">
        <v>285</v>
      </c>
      <c r="K40" s="475" t="s">
        <v>286</v>
      </c>
      <c r="L40" s="41">
        <v>0</v>
      </c>
      <c r="M40" s="41">
        <v>0</v>
      </c>
      <c r="N40" s="41">
        <v>0</v>
      </c>
      <c r="O40" s="41">
        <v>0</v>
      </c>
      <c r="P40" s="41">
        <v>0</v>
      </c>
      <c r="Q40" s="41">
        <f t="shared" si="20"/>
        <v>0</v>
      </c>
      <c r="R40" s="41">
        <v>180011.9</v>
      </c>
      <c r="S40" s="41">
        <v>180011.9</v>
      </c>
      <c r="T40" s="41">
        <f t="shared" si="21"/>
        <v>0</v>
      </c>
      <c r="U40" s="41">
        <v>0</v>
      </c>
      <c r="V40" s="41">
        <v>0</v>
      </c>
      <c r="W40" s="41">
        <f t="shared" si="22"/>
        <v>0</v>
      </c>
      <c r="X40" s="41">
        <v>247862.35</v>
      </c>
      <c r="Y40" s="41">
        <v>247861.04</v>
      </c>
      <c r="Z40" s="41">
        <f t="shared" si="23"/>
        <v>-1.3099999999976717</v>
      </c>
      <c r="AA40" s="41">
        <v>0</v>
      </c>
      <c r="AB40" s="41">
        <v>0</v>
      </c>
      <c r="AC40" s="41">
        <f t="shared" si="24"/>
        <v>0</v>
      </c>
      <c r="AD40" s="41">
        <v>1008607.29</v>
      </c>
      <c r="AE40" s="41">
        <v>0</v>
      </c>
      <c r="AF40" s="41">
        <f t="shared" si="25"/>
        <v>-1008607.29</v>
      </c>
      <c r="AG40" s="41">
        <v>0</v>
      </c>
      <c r="AH40" s="41">
        <v>504405.18</v>
      </c>
      <c r="AI40" s="41">
        <f t="shared" si="26"/>
        <v>504405.18</v>
      </c>
      <c r="AJ40" s="41">
        <v>0</v>
      </c>
      <c r="AK40" s="41">
        <v>0</v>
      </c>
      <c r="AL40" s="41">
        <f t="shared" si="27"/>
        <v>0</v>
      </c>
      <c r="AM40" s="41">
        <v>983819.1</v>
      </c>
      <c r="AN40" s="41">
        <v>619049.38</v>
      </c>
      <c r="AO40" s="41">
        <f t="shared" si="28"/>
        <v>-364769.72</v>
      </c>
      <c r="AP40" s="41">
        <v>0</v>
      </c>
      <c r="AQ40" s="41">
        <v>0</v>
      </c>
      <c r="AR40" s="41">
        <f t="shared" si="12"/>
        <v>0</v>
      </c>
      <c r="AS40" s="41">
        <f t="shared" si="17"/>
        <v>2420300.64</v>
      </c>
      <c r="AT40" s="41">
        <f>AN40+AK40+AH40+AE40+AB40+Y40+V40+S40+P40+AQ40</f>
        <v>1551327.5</v>
      </c>
      <c r="AU40" s="522">
        <f t="shared" si="18"/>
        <v>-868973.14000000013</v>
      </c>
      <c r="AV40" s="459">
        <f t="shared" si="16"/>
        <v>0.64096479353077385</v>
      </c>
      <c r="AW40" s="41">
        <v>0</v>
      </c>
      <c r="AX40" s="41">
        <v>983819.1</v>
      </c>
      <c r="AY40" s="41">
        <f t="shared" si="14"/>
        <v>3404119.7399999998</v>
      </c>
      <c r="AZ40" s="41">
        <v>2383596.38</v>
      </c>
      <c r="BA40" s="550">
        <f t="shared" si="29"/>
        <v>-1020523.3599999999</v>
      </c>
      <c r="BB40" s="41">
        <v>3820595.91</v>
      </c>
      <c r="BC40" s="41">
        <v>2998177.7800000003</v>
      </c>
      <c r="BD40" s="41">
        <v>1255880.9300000002</v>
      </c>
      <c r="BE40" s="41">
        <v>387976.64</v>
      </c>
      <c r="BF40" s="41">
        <v>0</v>
      </c>
      <c r="BG40" s="41">
        <v>0</v>
      </c>
      <c r="BH40" s="41">
        <v>0</v>
      </c>
      <c r="BI40" s="41">
        <v>11866751</v>
      </c>
      <c r="BJ40" s="451" t="s">
        <v>2704</v>
      </c>
      <c r="BK40" s="25" t="s">
        <v>2753</v>
      </c>
      <c r="BL40" s="595" t="s">
        <v>2753</v>
      </c>
      <c r="BM40" s="591" t="s">
        <v>2902</v>
      </c>
    </row>
    <row r="41" spans="1:65" s="10" customFormat="1" ht="65.25" customHeight="1" x14ac:dyDescent="0.25">
      <c r="A41" s="43" t="s">
        <v>758</v>
      </c>
      <c r="B41" s="43" t="s">
        <v>759</v>
      </c>
      <c r="C41" s="475" t="s">
        <v>760</v>
      </c>
      <c r="D41" s="43" t="s">
        <v>3</v>
      </c>
      <c r="E41" s="43" t="s">
        <v>29</v>
      </c>
      <c r="F41" s="43" t="s">
        <v>102</v>
      </c>
      <c r="G41" s="43" t="s">
        <v>782</v>
      </c>
      <c r="H41" s="43">
        <v>32</v>
      </c>
      <c r="I41" s="478" t="s">
        <v>758</v>
      </c>
      <c r="J41" s="475" t="s">
        <v>761</v>
      </c>
      <c r="K41" s="475" t="s">
        <v>762</v>
      </c>
      <c r="L41" s="41">
        <v>0</v>
      </c>
      <c r="M41" s="41">
        <v>0</v>
      </c>
      <c r="N41" s="41">
        <v>0</v>
      </c>
      <c r="O41" s="40">
        <v>0</v>
      </c>
      <c r="P41" s="40">
        <v>0</v>
      </c>
      <c r="Q41" s="41">
        <f t="shared" si="20"/>
        <v>0</v>
      </c>
      <c r="R41" s="40">
        <v>0</v>
      </c>
      <c r="S41" s="40">
        <v>0</v>
      </c>
      <c r="T41" s="41">
        <f t="shared" si="21"/>
        <v>0</v>
      </c>
      <c r="U41" s="40">
        <v>0</v>
      </c>
      <c r="V41" s="40">
        <v>0</v>
      </c>
      <c r="W41" s="41">
        <f t="shared" si="22"/>
        <v>0</v>
      </c>
      <c r="X41" s="40">
        <v>0</v>
      </c>
      <c r="Y41" s="40">
        <v>0</v>
      </c>
      <c r="Z41" s="41">
        <f t="shared" si="23"/>
        <v>0</v>
      </c>
      <c r="AA41" s="40">
        <v>0</v>
      </c>
      <c r="AB41" s="40">
        <v>0</v>
      </c>
      <c r="AC41" s="41">
        <f t="shared" si="24"/>
        <v>0</v>
      </c>
      <c r="AD41" s="41">
        <v>0</v>
      </c>
      <c r="AE41" s="41">
        <v>771318</v>
      </c>
      <c r="AF41" s="41">
        <f t="shared" si="25"/>
        <v>771318</v>
      </c>
      <c r="AG41" s="41">
        <v>220189.96000000002</v>
      </c>
      <c r="AH41" s="41">
        <v>0</v>
      </c>
      <c r="AI41" s="41">
        <f t="shared" si="26"/>
        <v>-220189.96000000002</v>
      </c>
      <c r="AJ41" s="41">
        <v>1126888.52</v>
      </c>
      <c r="AK41" s="41">
        <v>0</v>
      </c>
      <c r="AL41" s="41">
        <f t="shared" si="27"/>
        <v>-1126888.52</v>
      </c>
      <c r="AM41" s="41">
        <v>0</v>
      </c>
      <c r="AN41" s="41">
        <v>0</v>
      </c>
      <c r="AO41" s="41">
        <f t="shared" si="28"/>
        <v>0</v>
      </c>
      <c r="AP41" s="41">
        <v>951838.3</v>
      </c>
      <c r="AQ41" s="41">
        <v>676968.55</v>
      </c>
      <c r="AR41" s="41">
        <f t="shared" si="12"/>
        <v>-274869.75</v>
      </c>
      <c r="AS41" s="41">
        <f t="shared" si="17"/>
        <v>2298916.7800000003</v>
      </c>
      <c r="AT41" s="41">
        <f>AN41+AK41+AH41+AE41+AB41+-Y41+V41+S41+P41+AQ41</f>
        <v>1448286.55</v>
      </c>
      <c r="AU41" s="522">
        <f t="shared" si="18"/>
        <v>-850630.23</v>
      </c>
      <c r="AV41" s="459">
        <f t="shared" si="16"/>
        <v>0.62998650607961537</v>
      </c>
      <c r="AW41" s="41">
        <v>0</v>
      </c>
      <c r="AX41" s="41">
        <v>0</v>
      </c>
      <c r="AY41" s="41">
        <f t="shared" si="14"/>
        <v>2298916.7800000003</v>
      </c>
      <c r="AZ41" s="41">
        <v>1448286.55</v>
      </c>
      <c r="BA41" s="550">
        <f t="shared" si="29"/>
        <v>-850630.23000000021</v>
      </c>
      <c r="BB41" s="41">
        <v>5113006.43</v>
      </c>
      <c r="BC41" s="41">
        <v>3926770.2</v>
      </c>
      <c r="BD41" s="41">
        <v>3439212.5199999996</v>
      </c>
      <c r="BE41" s="41">
        <v>1642390.52</v>
      </c>
      <c r="BF41" s="41">
        <v>330075.31</v>
      </c>
      <c r="BG41" s="41">
        <v>0</v>
      </c>
      <c r="BH41" s="41">
        <v>0</v>
      </c>
      <c r="BI41" s="41">
        <v>15697303.17</v>
      </c>
      <c r="BJ41" s="423"/>
      <c r="BK41" s="25" t="s">
        <v>2737</v>
      </c>
      <c r="BL41" s="592" t="s">
        <v>2947</v>
      </c>
      <c r="BM41" s="591" t="s">
        <v>2901</v>
      </c>
    </row>
    <row r="42" spans="1:65" s="10" customFormat="1" ht="55.5" customHeight="1" x14ac:dyDescent="0.2">
      <c r="A42" s="474" t="s">
        <v>224</v>
      </c>
      <c r="B42" s="474" t="s">
        <v>225</v>
      </c>
      <c r="C42" s="344" t="s">
        <v>581</v>
      </c>
      <c r="D42" s="474" t="s">
        <v>3</v>
      </c>
      <c r="E42" s="474" t="s">
        <v>210</v>
      </c>
      <c r="F42" s="474" t="s">
        <v>77</v>
      </c>
      <c r="G42" s="474" t="s">
        <v>226</v>
      </c>
      <c r="H42" s="43">
        <v>33</v>
      </c>
      <c r="I42" s="43" t="s">
        <v>224</v>
      </c>
      <c r="J42" s="475" t="s">
        <v>227</v>
      </c>
      <c r="K42" s="475" t="s">
        <v>228</v>
      </c>
      <c r="L42" s="41">
        <v>0</v>
      </c>
      <c r="M42" s="41">
        <v>0</v>
      </c>
      <c r="N42" s="41">
        <v>5412.46</v>
      </c>
      <c r="O42" s="41">
        <v>45698.89</v>
      </c>
      <c r="P42" s="41">
        <v>45698.89</v>
      </c>
      <c r="Q42" s="41">
        <f t="shared" si="20"/>
        <v>0</v>
      </c>
      <c r="R42" s="41">
        <v>0</v>
      </c>
      <c r="S42" s="41">
        <v>0</v>
      </c>
      <c r="T42" s="41">
        <f t="shared" si="21"/>
        <v>0</v>
      </c>
      <c r="U42" s="41">
        <v>0</v>
      </c>
      <c r="V42" s="41">
        <v>0</v>
      </c>
      <c r="W42" s="41">
        <f t="shared" si="22"/>
        <v>0</v>
      </c>
      <c r="X42" s="41">
        <v>41095.660000000003</v>
      </c>
      <c r="Y42" s="41">
        <v>41095.660000000003</v>
      </c>
      <c r="Z42" s="41">
        <f t="shared" si="23"/>
        <v>0</v>
      </c>
      <c r="AA42" s="41">
        <v>0</v>
      </c>
      <c r="AB42" s="41">
        <v>0</v>
      </c>
      <c r="AC42" s="41">
        <f t="shared" si="24"/>
        <v>0</v>
      </c>
      <c r="AD42" s="41">
        <v>0</v>
      </c>
      <c r="AE42" s="41">
        <v>0</v>
      </c>
      <c r="AF42" s="41">
        <f t="shared" si="25"/>
        <v>0</v>
      </c>
      <c r="AG42" s="41">
        <v>222475.22</v>
      </c>
      <c r="AH42" s="41">
        <v>71730.720000000001</v>
      </c>
      <c r="AI42" s="41">
        <f t="shared" si="26"/>
        <v>-150744.5</v>
      </c>
      <c r="AJ42" s="41">
        <v>0</v>
      </c>
      <c r="AK42" s="41">
        <v>0</v>
      </c>
      <c r="AL42" s="41">
        <f t="shared" si="27"/>
        <v>0</v>
      </c>
      <c r="AM42" s="41">
        <v>0</v>
      </c>
      <c r="AN42" s="41">
        <v>0</v>
      </c>
      <c r="AO42" s="41">
        <f t="shared" si="28"/>
        <v>0</v>
      </c>
      <c r="AP42" s="41">
        <v>636744.39</v>
      </c>
      <c r="AQ42" s="41">
        <v>73964.75</v>
      </c>
      <c r="AR42" s="41">
        <f t="shared" ref="AR42:AR73" si="30">AQ42-AP42</f>
        <v>-562779.64</v>
      </c>
      <c r="AS42" s="41">
        <f t="shared" si="17"/>
        <v>946014.16</v>
      </c>
      <c r="AT42" s="41">
        <f>AN42+AK42+AH42+AE42+AB42+Y42+V42+S42+P42+AQ42</f>
        <v>232490.02000000002</v>
      </c>
      <c r="AU42" s="522">
        <f t="shared" si="18"/>
        <v>-713524.14</v>
      </c>
      <c r="AV42" s="459">
        <f t="shared" si="16"/>
        <v>0.24575744193934687</v>
      </c>
      <c r="AW42" s="41">
        <v>0</v>
      </c>
      <c r="AX42" s="41">
        <v>0</v>
      </c>
      <c r="AY42" s="41">
        <f t="shared" ref="AY42:AY73" si="31">AX42+AW42+AP42+AM42+AJ42+AG42+AA42+X42+U42+R42+O42+AD42</f>
        <v>946014.16</v>
      </c>
      <c r="AZ42" s="41">
        <v>232490.02000000002</v>
      </c>
      <c r="BA42" s="550">
        <f t="shared" si="29"/>
        <v>-713524.14</v>
      </c>
      <c r="BB42" s="41">
        <v>2484276.6800000002</v>
      </c>
      <c r="BC42" s="41">
        <v>1658550.8800000001</v>
      </c>
      <c r="BD42" s="41">
        <v>1828723.8199999998</v>
      </c>
      <c r="BE42" s="41">
        <v>1771023.94</v>
      </c>
      <c r="BF42" s="41">
        <v>1680574.9300000002</v>
      </c>
      <c r="BG42" s="41">
        <v>372374.13</v>
      </c>
      <c r="BH42" s="41">
        <v>0</v>
      </c>
      <c r="BI42" s="41">
        <v>10746951</v>
      </c>
      <c r="BJ42" s="75"/>
      <c r="BK42" s="11"/>
      <c r="BL42" s="592" t="s">
        <v>2895</v>
      </c>
      <c r="BM42" s="591"/>
    </row>
    <row r="43" spans="1:65" s="10" customFormat="1" ht="103.5" customHeight="1" x14ac:dyDescent="0.25">
      <c r="A43" s="474" t="s">
        <v>89</v>
      </c>
      <c r="B43" s="474" t="s">
        <v>90</v>
      </c>
      <c r="C43" s="344" t="s">
        <v>571</v>
      </c>
      <c r="D43" s="474" t="s">
        <v>3</v>
      </c>
      <c r="E43" s="474" t="s">
        <v>11</v>
      </c>
      <c r="F43" s="474" t="s">
        <v>5</v>
      </c>
      <c r="G43" s="474" t="s">
        <v>91</v>
      </c>
      <c r="H43" s="43">
        <v>34</v>
      </c>
      <c r="I43" s="43" t="s">
        <v>89</v>
      </c>
      <c r="J43" s="475" t="s">
        <v>49</v>
      </c>
      <c r="K43" s="475" t="s">
        <v>92</v>
      </c>
      <c r="L43" s="41">
        <v>0</v>
      </c>
      <c r="M43" s="41">
        <v>0</v>
      </c>
      <c r="N43" s="41">
        <v>4713874.3499999996</v>
      </c>
      <c r="O43" s="41">
        <v>0</v>
      </c>
      <c r="P43" s="41">
        <v>0</v>
      </c>
      <c r="Q43" s="41">
        <f t="shared" si="20"/>
        <v>0</v>
      </c>
      <c r="R43" s="41">
        <v>47940.49</v>
      </c>
      <c r="S43" s="41">
        <v>48074.1</v>
      </c>
      <c r="T43" s="41">
        <f t="shared" si="21"/>
        <v>133.61000000000058</v>
      </c>
      <c r="U43" s="41">
        <v>0</v>
      </c>
      <c r="V43" s="41">
        <v>0</v>
      </c>
      <c r="W43" s="41">
        <f t="shared" si="22"/>
        <v>0</v>
      </c>
      <c r="X43" s="41">
        <v>10084.06</v>
      </c>
      <c r="Y43" s="41">
        <v>0</v>
      </c>
      <c r="Z43" s="41">
        <f t="shared" si="23"/>
        <v>-10084.06</v>
      </c>
      <c r="AA43" s="41">
        <v>0</v>
      </c>
      <c r="AB43" s="41">
        <v>0</v>
      </c>
      <c r="AC43" s="41">
        <f t="shared" si="24"/>
        <v>0</v>
      </c>
      <c r="AD43" s="41">
        <v>0</v>
      </c>
      <c r="AE43" s="41">
        <v>7383.79</v>
      </c>
      <c r="AF43" s="41">
        <f t="shared" si="25"/>
        <v>7383.79</v>
      </c>
      <c r="AG43" s="41">
        <v>293778.7</v>
      </c>
      <c r="AH43" s="40">
        <v>34659.74</v>
      </c>
      <c r="AI43" s="41">
        <f t="shared" si="26"/>
        <v>-259118.96000000002</v>
      </c>
      <c r="AJ43" s="41">
        <v>0</v>
      </c>
      <c r="AK43" s="41">
        <v>0</v>
      </c>
      <c r="AL43" s="41">
        <f t="shared" si="27"/>
        <v>0</v>
      </c>
      <c r="AM43" s="41">
        <v>0</v>
      </c>
      <c r="AN43" s="41">
        <v>0</v>
      </c>
      <c r="AO43" s="41">
        <f t="shared" si="28"/>
        <v>0</v>
      </c>
      <c r="AP43" s="41">
        <v>435626.02</v>
      </c>
      <c r="AQ43" s="41">
        <v>0</v>
      </c>
      <c r="AR43" s="41">
        <f t="shared" si="30"/>
        <v>-435626.02</v>
      </c>
      <c r="AS43" s="41">
        <f t="shared" si="17"/>
        <v>787429.27</v>
      </c>
      <c r="AT43" s="41">
        <f>AN43+AK43+AH43+AE43+AB43+Y43+V43+S43+P43+AQ43</f>
        <v>90117.63</v>
      </c>
      <c r="AU43" s="522">
        <f t="shared" si="18"/>
        <v>-697311.64</v>
      </c>
      <c r="AV43" s="459">
        <f t="shared" si="16"/>
        <v>0.11444536472463109</v>
      </c>
      <c r="AW43" s="41">
        <v>0</v>
      </c>
      <c r="AX43" s="41">
        <v>0</v>
      </c>
      <c r="AY43" s="41">
        <f t="shared" si="31"/>
        <v>787429.27</v>
      </c>
      <c r="AZ43" s="41">
        <v>272186.82</v>
      </c>
      <c r="BA43" s="550">
        <f t="shared" si="29"/>
        <v>-515242.45</v>
      </c>
      <c r="BB43" s="41">
        <v>2557402.1</v>
      </c>
      <c r="BC43" s="41">
        <v>3631878.58</v>
      </c>
      <c r="BD43" s="41">
        <v>3923187.43</v>
      </c>
      <c r="BE43" s="41">
        <v>6047552.5100000016</v>
      </c>
      <c r="BF43" s="41">
        <v>6268510.9800000004</v>
      </c>
      <c r="BG43" s="41">
        <v>2245503.9500000002</v>
      </c>
      <c r="BH43" s="41">
        <v>38535.18</v>
      </c>
      <c r="BI43" s="41">
        <v>25500000</v>
      </c>
      <c r="BJ43" s="451" t="s">
        <v>2689</v>
      </c>
      <c r="BK43" s="25" t="s">
        <v>2761</v>
      </c>
      <c r="BL43" s="588" t="s">
        <v>2761</v>
      </c>
      <c r="BM43" s="591" t="s">
        <v>2902</v>
      </c>
    </row>
    <row r="44" spans="1:65" s="10" customFormat="1" ht="45.75" customHeight="1" x14ac:dyDescent="0.25">
      <c r="A44" s="43" t="s">
        <v>172</v>
      </c>
      <c r="B44" s="43" t="s">
        <v>173</v>
      </c>
      <c r="C44" s="475" t="s">
        <v>579</v>
      </c>
      <c r="D44" s="43" t="s">
        <v>3</v>
      </c>
      <c r="E44" s="43" t="s">
        <v>29</v>
      </c>
      <c r="F44" s="43" t="s">
        <v>5</v>
      </c>
      <c r="G44" s="43" t="s">
        <v>186</v>
      </c>
      <c r="H44" s="43">
        <v>35</v>
      </c>
      <c r="I44" s="43" t="s">
        <v>172</v>
      </c>
      <c r="J44" s="475" t="s">
        <v>98</v>
      </c>
      <c r="K44" s="475" t="s">
        <v>187</v>
      </c>
      <c r="L44" s="41">
        <v>0</v>
      </c>
      <c r="M44" s="41">
        <v>0</v>
      </c>
      <c r="N44" s="41">
        <v>1522923.67</v>
      </c>
      <c r="O44" s="41">
        <v>1802524.51</v>
      </c>
      <c r="P44" s="41">
        <v>1802524.51</v>
      </c>
      <c r="Q44" s="41">
        <f t="shared" si="20"/>
        <v>0</v>
      </c>
      <c r="R44" s="41">
        <v>0</v>
      </c>
      <c r="S44" s="41">
        <v>0</v>
      </c>
      <c r="T44" s="41">
        <f t="shared" si="21"/>
        <v>0</v>
      </c>
      <c r="U44" s="41">
        <v>0</v>
      </c>
      <c r="V44" s="41">
        <v>0</v>
      </c>
      <c r="W44" s="41">
        <f t="shared" si="22"/>
        <v>0</v>
      </c>
      <c r="X44" s="41">
        <v>979630.3</v>
      </c>
      <c r="Y44" s="41">
        <v>979630.3</v>
      </c>
      <c r="Z44" s="41">
        <f t="shared" si="23"/>
        <v>0</v>
      </c>
      <c r="AA44" s="41">
        <v>0</v>
      </c>
      <c r="AB44" s="41">
        <v>0</v>
      </c>
      <c r="AC44" s="41">
        <f t="shared" si="24"/>
        <v>0</v>
      </c>
      <c r="AD44" s="41">
        <v>0</v>
      </c>
      <c r="AE44" s="41">
        <v>0</v>
      </c>
      <c r="AF44" s="41">
        <f t="shared" si="25"/>
        <v>0</v>
      </c>
      <c r="AG44" s="41">
        <v>206568.7</v>
      </c>
      <c r="AH44" s="41">
        <v>518661.68</v>
      </c>
      <c r="AI44" s="41">
        <f t="shared" si="26"/>
        <v>312092.98</v>
      </c>
      <c r="AJ44" s="41">
        <v>0</v>
      </c>
      <c r="AK44" s="41">
        <v>0</v>
      </c>
      <c r="AL44" s="41">
        <f t="shared" si="27"/>
        <v>0</v>
      </c>
      <c r="AM44" s="41">
        <v>0</v>
      </c>
      <c r="AN44" s="41">
        <v>0</v>
      </c>
      <c r="AO44" s="41">
        <f t="shared" si="28"/>
        <v>0</v>
      </c>
      <c r="AP44" s="41">
        <v>2456638.5499999998</v>
      </c>
      <c r="AQ44" s="41">
        <v>1453772.6</v>
      </c>
      <c r="AR44" s="41">
        <f t="shared" si="30"/>
        <v>-1002865.9499999997</v>
      </c>
      <c r="AS44" s="41">
        <f t="shared" si="17"/>
        <v>5445362.0599999996</v>
      </c>
      <c r="AT44" s="41">
        <f>AN44+AK44+AH44+AE44+AB44+Y44+V44+S44+P44+AQ44</f>
        <v>4754589.09</v>
      </c>
      <c r="AU44" s="522">
        <f t="shared" si="18"/>
        <v>-690772.96999999974</v>
      </c>
      <c r="AV44" s="459">
        <f t="shared" si="16"/>
        <v>0.87314471243809277</v>
      </c>
      <c r="AW44" s="41">
        <v>0</v>
      </c>
      <c r="AX44" s="41">
        <v>0</v>
      </c>
      <c r="AY44" s="41">
        <f t="shared" si="31"/>
        <v>5445362.0599999996</v>
      </c>
      <c r="AZ44" s="41">
        <v>4754589.09</v>
      </c>
      <c r="BA44" s="550">
        <f t="shared" si="29"/>
        <v>-690772.96999999974</v>
      </c>
      <c r="BB44" s="41">
        <v>716071.28</v>
      </c>
      <c r="BC44" s="41">
        <v>0</v>
      </c>
      <c r="BD44" s="41">
        <v>0</v>
      </c>
      <c r="BE44" s="41">
        <v>0</v>
      </c>
      <c r="BF44" s="41">
        <v>0</v>
      </c>
      <c r="BG44" s="41">
        <v>0</v>
      </c>
      <c r="BH44" s="41">
        <v>0</v>
      </c>
      <c r="BI44" s="41">
        <v>7689153.7000000002</v>
      </c>
      <c r="BJ44" s="423"/>
      <c r="BK44" s="24"/>
      <c r="BL44" s="588" t="s">
        <v>2956</v>
      </c>
      <c r="BM44" s="432"/>
    </row>
    <row r="45" spans="1:65" s="10" customFormat="1" ht="81" customHeight="1" x14ac:dyDescent="0.25">
      <c r="A45" s="474" t="s">
        <v>299</v>
      </c>
      <c r="B45" s="474" t="s">
        <v>300</v>
      </c>
      <c r="C45" s="344" t="s">
        <v>588</v>
      </c>
      <c r="D45" s="474" t="s">
        <v>3</v>
      </c>
      <c r="E45" s="474" t="s">
        <v>4</v>
      </c>
      <c r="F45" s="474" t="s">
        <v>77</v>
      </c>
      <c r="G45" s="474" t="s">
        <v>301</v>
      </c>
      <c r="H45" s="43">
        <v>36</v>
      </c>
      <c r="I45" s="43" t="s">
        <v>299</v>
      </c>
      <c r="J45" s="475" t="s">
        <v>302</v>
      </c>
      <c r="K45" s="475" t="s">
        <v>303</v>
      </c>
      <c r="L45" s="41">
        <v>0</v>
      </c>
      <c r="M45" s="41">
        <v>0</v>
      </c>
      <c r="N45" s="41">
        <v>0</v>
      </c>
      <c r="O45" s="41">
        <v>0</v>
      </c>
      <c r="P45" s="41">
        <v>0</v>
      </c>
      <c r="Q45" s="41">
        <f t="shared" si="20"/>
        <v>0</v>
      </c>
      <c r="R45" s="41">
        <v>0</v>
      </c>
      <c r="S45" s="41">
        <v>0</v>
      </c>
      <c r="T45" s="41">
        <f t="shared" si="21"/>
        <v>0</v>
      </c>
      <c r="U45" s="41">
        <v>0</v>
      </c>
      <c r="V45" s="41">
        <v>0</v>
      </c>
      <c r="W45" s="41">
        <f t="shared" si="22"/>
        <v>0</v>
      </c>
      <c r="X45" s="432">
        <v>30971.11</v>
      </c>
      <c r="Y45" s="41">
        <v>30971.11</v>
      </c>
      <c r="Z45" s="41">
        <f t="shared" si="23"/>
        <v>0</v>
      </c>
      <c r="AA45" s="41">
        <v>160676.32</v>
      </c>
      <c r="AB45" s="41">
        <v>0</v>
      </c>
      <c r="AC45" s="41">
        <f t="shared" si="24"/>
        <v>-160676.32</v>
      </c>
      <c r="AD45" s="41">
        <v>0</v>
      </c>
      <c r="AE45" s="41">
        <v>0</v>
      </c>
      <c r="AF45" s="41">
        <f t="shared" si="25"/>
        <v>0</v>
      </c>
      <c r="AG45" s="41">
        <v>0</v>
      </c>
      <c r="AH45" s="41">
        <v>0</v>
      </c>
      <c r="AI45" s="41">
        <f t="shared" si="26"/>
        <v>0</v>
      </c>
      <c r="AJ45" s="41">
        <v>523892.99</v>
      </c>
      <c r="AK45" s="41">
        <v>0</v>
      </c>
      <c r="AL45" s="41">
        <f t="shared" si="27"/>
        <v>-523892.99</v>
      </c>
      <c r="AM45" s="41">
        <v>0</v>
      </c>
      <c r="AN45" s="41">
        <v>0</v>
      </c>
      <c r="AO45" s="41">
        <f t="shared" si="28"/>
        <v>0</v>
      </c>
      <c r="AP45" s="41">
        <v>0</v>
      </c>
      <c r="AQ45" s="41">
        <v>0</v>
      </c>
      <c r="AR45" s="41">
        <f t="shared" si="30"/>
        <v>0</v>
      </c>
      <c r="AS45" s="41">
        <f t="shared" ref="AS45:AS76" si="32">AM45+AJ45+AG45+AD45+AA45+X45+U45+R45+O45+AP45</f>
        <v>715540.42</v>
      </c>
      <c r="AT45" s="41">
        <f>AN45+AK45+AH45+AE45+AB45+Y45+V45+S45+P45+AQ45</f>
        <v>30971.11</v>
      </c>
      <c r="AU45" s="522">
        <f t="shared" ref="AU45:AU76" si="33">AO45+AL45+AI45+AF45+AC45+Z45+W45+T45+Q45+AR45</f>
        <v>-684569.31</v>
      </c>
      <c r="AV45" s="459">
        <f t="shared" si="16"/>
        <v>4.3283522683456511E-2</v>
      </c>
      <c r="AW45" s="41">
        <v>1378052.39</v>
      </c>
      <c r="AX45" s="41">
        <v>0</v>
      </c>
      <c r="AY45" s="41">
        <f t="shared" si="31"/>
        <v>2093592.81</v>
      </c>
      <c r="AZ45" s="41">
        <v>1834000.26</v>
      </c>
      <c r="BA45" s="550">
        <f t="shared" si="29"/>
        <v>-259592.55000000005</v>
      </c>
      <c r="BB45" s="41">
        <v>5410228.7699999996</v>
      </c>
      <c r="BC45" s="41">
        <v>6003165.8099999996</v>
      </c>
      <c r="BD45" s="41">
        <v>6102975.6599999992</v>
      </c>
      <c r="BE45" s="41">
        <v>5566838.6099999994</v>
      </c>
      <c r="BF45" s="41">
        <v>5118544.1500000004</v>
      </c>
      <c r="BG45" s="41">
        <v>965074.44</v>
      </c>
      <c r="BH45" s="41">
        <v>0</v>
      </c>
      <c r="BI45" s="41">
        <v>31260420.249999996</v>
      </c>
      <c r="BJ45" s="75"/>
      <c r="BK45" s="25" t="s">
        <v>2750</v>
      </c>
      <c r="BL45" s="595" t="s">
        <v>2906</v>
      </c>
      <c r="BM45" s="591" t="s">
        <v>2892</v>
      </c>
    </row>
    <row r="46" spans="1:65" s="10" customFormat="1" ht="126" customHeight="1" x14ac:dyDescent="0.2">
      <c r="A46" s="474" t="s">
        <v>42</v>
      </c>
      <c r="B46" s="474" t="s">
        <v>43</v>
      </c>
      <c r="C46" s="344" t="s">
        <v>567</v>
      </c>
      <c r="D46" s="474" t="s">
        <v>3</v>
      </c>
      <c r="E46" s="474" t="s">
        <v>11</v>
      </c>
      <c r="F46" s="474" t="s">
        <v>5</v>
      </c>
      <c r="G46" s="474" t="s">
        <v>45</v>
      </c>
      <c r="H46" s="43">
        <v>37</v>
      </c>
      <c r="I46" s="43" t="s">
        <v>42</v>
      </c>
      <c r="J46" s="475" t="s">
        <v>17</v>
      </c>
      <c r="K46" s="475" t="s">
        <v>44</v>
      </c>
      <c r="L46" s="41">
        <v>0</v>
      </c>
      <c r="M46" s="41">
        <v>0</v>
      </c>
      <c r="N46" s="41">
        <v>91066.98</v>
      </c>
      <c r="O46" s="41">
        <v>0</v>
      </c>
      <c r="P46" s="41">
        <v>0</v>
      </c>
      <c r="Q46" s="41">
        <f t="shared" si="20"/>
        <v>0</v>
      </c>
      <c r="R46" s="41">
        <v>0</v>
      </c>
      <c r="S46" s="41">
        <v>349922.11</v>
      </c>
      <c r="T46" s="41">
        <f t="shared" si="21"/>
        <v>349922.11</v>
      </c>
      <c r="U46" s="41">
        <v>354995.16</v>
      </c>
      <c r="V46" s="41">
        <v>0</v>
      </c>
      <c r="W46" s="41">
        <f t="shared" si="22"/>
        <v>-354995.16</v>
      </c>
      <c r="X46" s="41">
        <v>276127.12</v>
      </c>
      <c r="Y46" s="41">
        <v>275763.40999999997</v>
      </c>
      <c r="Z46" s="41">
        <f t="shared" si="23"/>
        <v>-363.71000000002095</v>
      </c>
      <c r="AA46" s="41">
        <v>0</v>
      </c>
      <c r="AB46" s="41">
        <v>0</v>
      </c>
      <c r="AC46" s="41">
        <f t="shared" si="24"/>
        <v>0</v>
      </c>
      <c r="AD46" s="41">
        <v>0</v>
      </c>
      <c r="AE46" s="41">
        <v>0</v>
      </c>
      <c r="AF46" s="41">
        <f t="shared" si="25"/>
        <v>0</v>
      </c>
      <c r="AG46" s="41">
        <v>467500</v>
      </c>
      <c r="AH46" s="41">
        <v>401633.86</v>
      </c>
      <c r="AI46" s="41">
        <f t="shared" si="26"/>
        <v>-65866.140000000014</v>
      </c>
      <c r="AJ46" s="41">
        <v>0</v>
      </c>
      <c r="AK46" s="41">
        <v>0</v>
      </c>
      <c r="AL46" s="41">
        <f t="shared" si="27"/>
        <v>0</v>
      </c>
      <c r="AM46" s="41">
        <v>0</v>
      </c>
      <c r="AN46" s="41">
        <v>0</v>
      </c>
      <c r="AO46" s="41">
        <f t="shared" si="28"/>
        <v>0</v>
      </c>
      <c r="AP46" s="41">
        <v>1155235.21</v>
      </c>
      <c r="AQ46" s="41">
        <v>554416.72</v>
      </c>
      <c r="AR46" s="41">
        <f t="shared" si="30"/>
        <v>-600818.49</v>
      </c>
      <c r="AS46" s="41">
        <f t="shared" si="32"/>
        <v>2253857.4900000002</v>
      </c>
      <c r="AT46" s="41">
        <f>AN46+AK46+AH46+AE46+AB46+Y46+V46+S46+P46+AQ46</f>
        <v>1581736.1</v>
      </c>
      <c r="AU46" s="522">
        <f t="shared" si="33"/>
        <v>-672121.39</v>
      </c>
      <c r="AV46" s="459">
        <f t="shared" si="16"/>
        <v>0.70179064427005988</v>
      </c>
      <c r="AW46" s="41">
        <v>0</v>
      </c>
      <c r="AX46" s="41">
        <v>0</v>
      </c>
      <c r="AY46" s="41">
        <f t="shared" si="31"/>
        <v>2253857.4900000002</v>
      </c>
      <c r="AZ46" s="41">
        <v>1581682.06</v>
      </c>
      <c r="BA46" s="550">
        <f t="shared" si="29"/>
        <v>-672175.43000000017</v>
      </c>
      <c r="BB46" s="41">
        <v>5977563.9100000001</v>
      </c>
      <c r="BC46" s="41">
        <v>3699801.83</v>
      </c>
      <c r="BD46" s="41">
        <v>3588818.1399999997</v>
      </c>
      <c r="BE46" s="41">
        <v>3483393.35</v>
      </c>
      <c r="BF46" s="41">
        <v>3356274.15</v>
      </c>
      <c r="BG46" s="41">
        <v>3018267.49</v>
      </c>
      <c r="BH46" s="41">
        <v>729189.16</v>
      </c>
      <c r="BI46" s="41">
        <v>26198232.500000004</v>
      </c>
      <c r="BJ46" s="75"/>
      <c r="BK46" s="11"/>
      <c r="BL46" s="588" t="s">
        <v>2883</v>
      </c>
      <c r="BM46" s="591"/>
    </row>
    <row r="47" spans="1:65" s="10" customFormat="1" ht="147.75" customHeight="1" x14ac:dyDescent="0.25">
      <c r="A47" s="474" t="s">
        <v>448</v>
      </c>
      <c r="B47" s="474" t="s">
        <v>449</v>
      </c>
      <c r="C47" s="344" t="s">
        <v>607</v>
      </c>
      <c r="D47" s="474" t="s">
        <v>3</v>
      </c>
      <c r="E47" s="474" t="s">
        <v>210</v>
      </c>
      <c r="F47" s="474" t="s">
        <v>5</v>
      </c>
      <c r="G47" s="474" t="s">
        <v>450</v>
      </c>
      <c r="H47" s="43">
        <v>38</v>
      </c>
      <c r="I47" s="43" t="s">
        <v>448</v>
      </c>
      <c r="J47" s="475" t="s">
        <v>358</v>
      </c>
      <c r="K47" s="475" t="s">
        <v>451</v>
      </c>
      <c r="L47" s="41">
        <v>0</v>
      </c>
      <c r="M47" s="41">
        <v>0</v>
      </c>
      <c r="N47" s="41">
        <v>34582.57</v>
      </c>
      <c r="O47" s="41">
        <v>22502.37</v>
      </c>
      <c r="P47" s="41">
        <v>2576.52</v>
      </c>
      <c r="Q47" s="41">
        <f t="shared" si="20"/>
        <v>-19925.849999999999</v>
      </c>
      <c r="R47" s="41">
        <v>0</v>
      </c>
      <c r="S47" s="41">
        <v>0</v>
      </c>
      <c r="T47" s="41">
        <f t="shared" si="21"/>
        <v>0</v>
      </c>
      <c r="U47" s="41">
        <v>0</v>
      </c>
      <c r="V47" s="41">
        <v>0</v>
      </c>
      <c r="W47" s="41">
        <f t="shared" si="22"/>
        <v>0</v>
      </c>
      <c r="X47" s="41">
        <v>29663.95</v>
      </c>
      <c r="Y47" s="41">
        <v>0</v>
      </c>
      <c r="Z47" s="41">
        <f t="shared" si="23"/>
        <v>-29663.95</v>
      </c>
      <c r="AA47" s="41">
        <v>0</v>
      </c>
      <c r="AB47" s="41">
        <v>0</v>
      </c>
      <c r="AC47" s="41">
        <f t="shared" si="24"/>
        <v>0</v>
      </c>
      <c r="AD47" s="35">
        <v>332350</v>
      </c>
      <c r="AE47" s="41">
        <v>0</v>
      </c>
      <c r="AF47" s="41">
        <f t="shared" si="25"/>
        <v>-332350</v>
      </c>
      <c r="AG47" s="41">
        <v>259607.65</v>
      </c>
      <c r="AH47" s="41">
        <v>0</v>
      </c>
      <c r="AI47" s="41">
        <f t="shared" si="26"/>
        <v>-259607.65</v>
      </c>
      <c r="AJ47" s="41">
        <v>0</v>
      </c>
      <c r="AK47" s="41">
        <v>0</v>
      </c>
      <c r="AL47" s="41">
        <f t="shared" si="27"/>
        <v>0</v>
      </c>
      <c r="AM47" s="41">
        <v>0</v>
      </c>
      <c r="AN47" s="41">
        <v>0</v>
      </c>
      <c r="AO47" s="41">
        <f t="shared" si="28"/>
        <v>0</v>
      </c>
      <c r="AP47" s="41">
        <v>8857.65</v>
      </c>
      <c r="AQ47" s="41">
        <v>0</v>
      </c>
      <c r="AR47" s="41">
        <f t="shared" si="30"/>
        <v>-8857.65</v>
      </c>
      <c r="AS47" s="41">
        <f t="shared" si="32"/>
        <v>652981.62</v>
      </c>
      <c r="AT47" s="41">
        <f>AN47+AK47+AH47+AE47+AB47+-Y47+V47+S47+P47+AQ47</f>
        <v>2576.52</v>
      </c>
      <c r="AU47" s="522">
        <f t="shared" si="33"/>
        <v>-650405.1</v>
      </c>
      <c r="AV47" s="459">
        <f t="shared" si="16"/>
        <v>3.9457772180478828E-3</v>
      </c>
      <c r="AW47" s="35">
        <v>680491.3</v>
      </c>
      <c r="AX47" s="41">
        <v>0</v>
      </c>
      <c r="AY47" s="41">
        <f t="shared" si="31"/>
        <v>1333472.92</v>
      </c>
      <c r="AZ47" s="41">
        <v>1333472.9200000002</v>
      </c>
      <c r="BA47" s="552">
        <f t="shared" si="29"/>
        <v>0</v>
      </c>
      <c r="BB47" s="41">
        <v>2238773.7199999997</v>
      </c>
      <c r="BC47" s="41">
        <v>898337.49</v>
      </c>
      <c r="BD47" s="41">
        <v>0</v>
      </c>
      <c r="BE47" s="41">
        <v>0</v>
      </c>
      <c r="BF47" s="41">
        <v>0</v>
      </c>
      <c r="BG47" s="41">
        <v>0</v>
      </c>
      <c r="BH47" s="41">
        <v>0</v>
      </c>
      <c r="BI47" s="41">
        <v>3465513</v>
      </c>
      <c r="BJ47" s="455" t="s">
        <v>2702</v>
      </c>
      <c r="BK47" s="25" t="s">
        <v>2751</v>
      </c>
      <c r="BL47" s="595" t="s">
        <v>2907</v>
      </c>
      <c r="BM47" s="591" t="s">
        <v>2902</v>
      </c>
    </row>
    <row r="48" spans="1:65" s="10" customFormat="1" ht="71.25" customHeight="1" x14ac:dyDescent="0.25">
      <c r="A48" s="474" t="s">
        <v>379</v>
      </c>
      <c r="B48" s="474" t="s">
        <v>380</v>
      </c>
      <c r="C48" s="344" t="s">
        <v>381</v>
      </c>
      <c r="D48" s="474">
        <v>1</v>
      </c>
      <c r="E48" s="474" t="s">
        <v>210</v>
      </c>
      <c r="F48" s="474" t="s">
        <v>77</v>
      </c>
      <c r="G48" s="474" t="s">
        <v>388</v>
      </c>
      <c r="H48" s="43">
        <v>39</v>
      </c>
      <c r="I48" s="43" t="s">
        <v>379</v>
      </c>
      <c r="J48" s="475" t="s">
        <v>389</v>
      </c>
      <c r="K48" s="475" t="s">
        <v>390</v>
      </c>
      <c r="L48" s="41">
        <v>0</v>
      </c>
      <c r="M48" s="41">
        <v>0</v>
      </c>
      <c r="N48" s="41">
        <v>89609.84</v>
      </c>
      <c r="O48" s="41">
        <v>0</v>
      </c>
      <c r="P48" s="41">
        <v>0</v>
      </c>
      <c r="Q48" s="41">
        <f t="shared" si="20"/>
        <v>0</v>
      </c>
      <c r="R48" s="41">
        <v>0</v>
      </c>
      <c r="S48" s="41">
        <v>0</v>
      </c>
      <c r="T48" s="41">
        <f t="shared" si="21"/>
        <v>0</v>
      </c>
      <c r="U48" s="41">
        <v>100597.22</v>
      </c>
      <c r="V48" s="41">
        <v>100579.44</v>
      </c>
      <c r="W48" s="41">
        <f t="shared" si="22"/>
        <v>-17.779999999998836</v>
      </c>
      <c r="X48" s="41">
        <v>0</v>
      </c>
      <c r="Y48" s="41">
        <v>0</v>
      </c>
      <c r="Z48" s="41">
        <f t="shared" si="23"/>
        <v>0</v>
      </c>
      <c r="AA48" s="41">
        <v>0</v>
      </c>
      <c r="AB48" s="41">
        <v>0</v>
      </c>
      <c r="AC48" s="41">
        <f t="shared" si="24"/>
        <v>0</v>
      </c>
      <c r="AD48" s="41">
        <v>528871.1</v>
      </c>
      <c r="AE48" s="41">
        <v>150136.75</v>
      </c>
      <c r="AF48" s="41">
        <f t="shared" si="25"/>
        <v>-378734.35</v>
      </c>
      <c r="AG48" s="41">
        <v>0</v>
      </c>
      <c r="AH48" s="41">
        <v>0</v>
      </c>
      <c r="AI48" s="41">
        <f t="shared" si="26"/>
        <v>0</v>
      </c>
      <c r="AJ48" s="41">
        <v>0</v>
      </c>
      <c r="AK48" s="41">
        <v>0</v>
      </c>
      <c r="AL48" s="41">
        <f t="shared" si="27"/>
        <v>0</v>
      </c>
      <c r="AM48" s="41">
        <v>282167.63</v>
      </c>
      <c r="AN48" s="41">
        <v>22256.32</v>
      </c>
      <c r="AO48" s="41">
        <f t="shared" si="28"/>
        <v>-259911.31</v>
      </c>
      <c r="AP48" s="41">
        <v>0</v>
      </c>
      <c r="AQ48" s="41">
        <v>0</v>
      </c>
      <c r="AR48" s="41">
        <f t="shared" si="30"/>
        <v>0</v>
      </c>
      <c r="AS48" s="41">
        <f t="shared" si="32"/>
        <v>911635.95</v>
      </c>
      <c r="AT48" s="41">
        <f>AN48+AK48+AH48+AE48+AB48+Y48+V48+S48+P48+AQ48</f>
        <v>272972.51</v>
      </c>
      <c r="AU48" s="522">
        <f t="shared" si="33"/>
        <v>-638663.43999999994</v>
      </c>
      <c r="AV48" s="459">
        <f t="shared" si="16"/>
        <v>0.29943148907192618</v>
      </c>
      <c r="AW48" s="41">
        <v>0</v>
      </c>
      <c r="AX48" s="41">
        <v>282167.63</v>
      </c>
      <c r="AY48" s="41">
        <f t="shared" si="31"/>
        <v>1193803.58</v>
      </c>
      <c r="AZ48" s="41">
        <v>391972.51</v>
      </c>
      <c r="BA48" s="550">
        <f t="shared" si="29"/>
        <v>-801831.07000000007</v>
      </c>
      <c r="BB48" s="41">
        <v>540316.38</v>
      </c>
      <c r="BC48" s="41">
        <v>457747.09</v>
      </c>
      <c r="BD48" s="41">
        <v>454049.84</v>
      </c>
      <c r="BE48" s="41">
        <v>454049.84</v>
      </c>
      <c r="BF48" s="41">
        <v>454049.84</v>
      </c>
      <c r="BG48" s="41">
        <v>37837.49</v>
      </c>
      <c r="BH48" s="41">
        <v>0</v>
      </c>
      <c r="BI48" s="41">
        <v>3681463.9</v>
      </c>
      <c r="BJ48" s="455" t="s">
        <v>2706</v>
      </c>
      <c r="BK48" s="25" t="s">
        <v>2754</v>
      </c>
      <c r="BL48" s="595" t="s">
        <v>2754</v>
      </c>
      <c r="BM48" s="591" t="s">
        <v>2902</v>
      </c>
    </row>
    <row r="49" spans="1:72" s="10" customFormat="1" ht="69.75" customHeight="1" x14ac:dyDescent="0.25">
      <c r="A49" s="474" t="s">
        <v>379</v>
      </c>
      <c r="B49" s="474" t="s">
        <v>380</v>
      </c>
      <c r="C49" s="344" t="s">
        <v>381</v>
      </c>
      <c r="D49" s="474">
        <v>1</v>
      </c>
      <c r="E49" s="474" t="s">
        <v>210</v>
      </c>
      <c r="F49" s="474" t="s">
        <v>77</v>
      </c>
      <c r="G49" s="474" t="s">
        <v>385</v>
      </c>
      <c r="H49" s="43">
        <v>40</v>
      </c>
      <c r="I49" s="43" t="s">
        <v>379</v>
      </c>
      <c r="J49" s="475" t="s">
        <v>386</v>
      </c>
      <c r="K49" s="475" t="s">
        <v>387</v>
      </c>
      <c r="L49" s="41">
        <v>0</v>
      </c>
      <c r="M49" s="41">
        <v>0</v>
      </c>
      <c r="N49" s="41">
        <v>99647.639999999985</v>
      </c>
      <c r="O49" s="41">
        <v>66128.95</v>
      </c>
      <c r="P49" s="41">
        <v>66128.95</v>
      </c>
      <c r="Q49" s="41">
        <f t="shared" si="20"/>
        <v>0</v>
      </c>
      <c r="R49" s="41">
        <v>0</v>
      </c>
      <c r="S49" s="41">
        <v>0</v>
      </c>
      <c r="T49" s="41">
        <f t="shared" si="21"/>
        <v>0</v>
      </c>
      <c r="U49" s="41">
        <v>0</v>
      </c>
      <c r="V49" s="41">
        <v>0</v>
      </c>
      <c r="W49" s="41">
        <f t="shared" si="22"/>
        <v>0</v>
      </c>
      <c r="X49" s="41">
        <v>109468.43</v>
      </c>
      <c r="Y49" s="41">
        <v>109466.41</v>
      </c>
      <c r="Z49" s="41">
        <f t="shared" si="23"/>
        <v>-2.0199999999895226</v>
      </c>
      <c r="AA49" s="41">
        <v>0</v>
      </c>
      <c r="AB49" s="41">
        <v>0</v>
      </c>
      <c r="AC49" s="41">
        <f t="shared" si="24"/>
        <v>0</v>
      </c>
      <c r="AD49" s="41">
        <v>0</v>
      </c>
      <c r="AE49" s="41">
        <v>0</v>
      </c>
      <c r="AF49" s="41">
        <f t="shared" si="25"/>
        <v>0</v>
      </c>
      <c r="AG49" s="41">
        <v>212500</v>
      </c>
      <c r="AH49" s="41">
        <v>193000.87</v>
      </c>
      <c r="AI49" s="41">
        <f t="shared" si="26"/>
        <v>-19499.130000000005</v>
      </c>
      <c r="AJ49" s="41">
        <v>0</v>
      </c>
      <c r="AK49" s="41">
        <v>0</v>
      </c>
      <c r="AL49" s="41">
        <f t="shared" si="27"/>
        <v>0</v>
      </c>
      <c r="AM49" s="41">
        <v>0</v>
      </c>
      <c r="AN49" s="41">
        <v>0</v>
      </c>
      <c r="AO49" s="41">
        <f t="shared" si="28"/>
        <v>0</v>
      </c>
      <c r="AP49" s="41">
        <v>658142.28</v>
      </c>
      <c r="AQ49" s="41">
        <v>46400.03</v>
      </c>
      <c r="AR49" s="41">
        <f t="shared" si="30"/>
        <v>-611742.25</v>
      </c>
      <c r="AS49" s="41">
        <f t="shared" si="32"/>
        <v>1046239.66</v>
      </c>
      <c r="AT49" s="41">
        <f>AN49+AK49+AH49+AE49+AB49+Y49+V49+S49+P49+AQ49</f>
        <v>414996.26</v>
      </c>
      <c r="AU49" s="522">
        <f t="shared" si="33"/>
        <v>-631243.4</v>
      </c>
      <c r="AV49" s="459">
        <f t="shared" si="16"/>
        <v>0.39665506467227596</v>
      </c>
      <c r="AW49" s="41">
        <v>0</v>
      </c>
      <c r="AX49" s="41">
        <v>0</v>
      </c>
      <c r="AY49" s="41">
        <f t="shared" si="31"/>
        <v>1046239.6599999999</v>
      </c>
      <c r="AZ49" s="41">
        <v>414996.26</v>
      </c>
      <c r="BA49" s="550">
        <f t="shared" si="29"/>
        <v>-631243.39999999991</v>
      </c>
      <c r="BB49" s="41">
        <v>2170881.19</v>
      </c>
      <c r="BC49" s="41">
        <v>2017976.56</v>
      </c>
      <c r="BD49" s="41">
        <v>3056215.68</v>
      </c>
      <c r="BE49" s="41">
        <v>3402436.96</v>
      </c>
      <c r="BF49" s="41">
        <v>3402436.79</v>
      </c>
      <c r="BG49" s="41">
        <v>850609.17</v>
      </c>
      <c r="BH49" s="41">
        <v>0</v>
      </c>
      <c r="BI49" s="41">
        <v>16046443.65</v>
      </c>
      <c r="BJ49" s="451" t="s">
        <v>2722</v>
      </c>
      <c r="BK49" s="25" t="s">
        <v>2766</v>
      </c>
      <c r="BL49" s="588" t="s">
        <v>2908</v>
      </c>
      <c r="BM49" s="591" t="s">
        <v>2903</v>
      </c>
    </row>
    <row r="50" spans="1:72" s="10" customFormat="1" ht="161.25" customHeight="1" x14ac:dyDescent="0.25">
      <c r="A50" s="474" t="s">
        <v>317</v>
      </c>
      <c r="B50" s="474" t="s">
        <v>318</v>
      </c>
      <c r="C50" s="344" t="s">
        <v>592</v>
      </c>
      <c r="D50" s="474" t="s">
        <v>3</v>
      </c>
      <c r="E50" s="474" t="s">
        <v>4</v>
      </c>
      <c r="F50" s="474" t="s">
        <v>77</v>
      </c>
      <c r="G50" s="474" t="s">
        <v>319</v>
      </c>
      <c r="H50" s="43">
        <v>41</v>
      </c>
      <c r="I50" s="43" t="s">
        <v>317</v>
      </c>
      <c r="J50" s="475" t="s">
        <v>320</v>
      </c>
      <c r="K50" s="475" t="s">
        <v>321</v>
      </c>
      <c r="L50" s="41"/>
      <c r="M50" s="41">
        <v>0</v>
      </c>
      <c r="N50" s="41">
        <v>0</v>
      </c>
      <c r="O50" s="41">
        <v>0</v>
      </c>
      <c r="P50" s="41">
        <v>0</v>
      </c>
      <c r="Q50" s="41">
        <f t="shared" si="20"/>
        <v>0</v>
      </c>
      <c r="R50" s="41">
        <v>190426.79</v>
      </c>
      <c r="S50" s="41">
        <v>190426.79</v>
      </c>
      <c r="T50" s="41">
        <f t="shared" si="21"/>
        <v>0</v>
      </c>
      <c r="U50" s="41">
        <v>0</v>
      </c>
      <c r="V50" s="41">
        <v>0</v>
      </c>
      <c r="W50" s="41">
        <f t="shared" si="22"/>
        <v>0</v>
      </c>
      <c r="X50" s="41">
        <v>210310.57</v>
      </c>
      <c r="Y50" s="41">
        <v>210310.57</v>
      </c>
      <c r="Z50" s="41">
        <f t="shared" si="23"/>
        <v>0</v>
      </c>
      <c r="AA50" s="41">
        <v>90791.7</v>
      </c>
      <c r="AB50" s="41">
        <v>104201.7</v>
      </c>
      <c r="AC50" s="41">
        <f t="shared" si="24"/>
        <v>13410</v>
      </c>
      <c r="AD50" s="41">
        <v>127500</v>
      </c>
      <c r="AE50" s="41">
        <v>0</v>
      </c>
      <c r="AF50" s="41">
        <f t="shared" si="25"/>
        <v>-127500</v>
      </c>
      <c r="AG50" s="41">
        <v>0</v>
      </c>
      <c r="AH50" s="41">
        <v>0</v>
      </c>
      <c r="AI50" s="41">
        <f t="shared" si="26"/>
        <v>0</v>
      </c>
      <c r="AJ50" s="41">
        <v>425000</v>
      </c>
      <c r="AK50" s="41">
        <v>112937.52</v>
      </c>
      <c r="AL50" s="41">
        <f t="shared" si="27"/>
        <v>-312062.48</v>
      </c>
      <c r="AM50" s="41">
        <v>255000</v>
      </c>
      <c r="AN50" s="41">
        <v>0</v>
      </c>
      <c r="AO50" s="41">
        <f t="shared" si="28"/>
        <v>-255000</v>
      </c>
      <c r="AP50" s="41">
        <v>0</v>
      </c>
      <c r="AQ50" s="41">
        <v>71313.13</v>
      </c>
      <c r="AR50" s="41">
        <f t="shared" si="30"/>
        <v>71313.13</v>
      </c>
      <c r="AS50" s="41">
        <f t="shared" si="32"/>
        <v>1299029.06</v>
      </c>
      <c r="AT50" s="41">
        <f>AN50+AK50+AH50+AE50+AB50+Y50+V50+S50+P50+AQ50</f>
        <v>689189.71000000008</v>
      </c>
      <c r="AU50" s="522">
        <f t="shared" si="33"/>
        <v>-609839.35</v>
      </c>
      <c r="AV50" s="459">
        <f t="shared" si="16"/>
        <v>0.53054218048055068</v>
      </c>
      <c r="AW50" s="41">
        <v>425000</v>
      </c>
      <c r="AX50" s="41">
        <v>0</v>
      </c>
      <c r="AY50" s="41">
        <f t="shared" si="31"/>
        <v>1724029.06</v>
      </c>
      <c r="AZ50" s="41">
        <v>779376.58</v>
      </c>
      <c r="BA50" s="550">
        <f t="shared" si="29"/>
        <v>-944652.4800000001</v>
      </c>
      <c r="BB50" s="41">
        <v>5586598.3799999999</v>
      </c>
      <c r="BC50" s="41">
        <v>2586674.14</v>
      </c>
      <c r="BD50" s="41">
        <v>2375255.4</v>
      </c>
      <c r="BE50" s="41">
        <v>2117832.9</v>
      </c>
      <c r="BF50" s="41">
        <v>1948682.9</v>
      </c>
      <c r="BG50" s="41">
        <v>1913186.64</v>
      </c>
      <c r="BH50" s="41">
        <v>0</v>
      </c>
      <c r="BI50" s="41">
        <v>17487038</v>
      </c>
      <c r="BJ50" s="75"/>
      <c r="BK50" s="25" t="s">
        <v>2757</v>
      </c>
      <c r="BL50" s="595" t="s">
        <v>2920</v>
      </c>
      <c r="BM50" s="591" t="s">
        <v>2901</v>
      </c>
    </row>
    <row r="51" spans="1:72" s="10" customFormat="1" ht="72.75" customHeight="1" x14ac:dyDescent="0.2">
      <c r="A51" s="488" t="s">
        <v>51</v>
      </c>
      <c r="B51" s="488" t="s">
        <v>52</v>
      </c>
      <c r="C51" s="585" t="s">
        <v>568</v>
      </c>
      <c r="D51" s="488" t="s">
        <v>3</v>
      </c>
      <c r="E51" s="488" t="s">
        <v>11</v>
      </c>
      <c r="F51" s="488" t="s">
        <v>5</v>
      </c>
      <c r="G51" s="488" t="s">
        <v>55</v>
      </c>
      <c r="H51" s="43">
        <v>42</v>
      </c>
      <c r="I51" s="478" t="s">
        <v>51</v>
      </c>
      <c r="J51" s="489" t="s">
        <v>25</v>
      </c>
      <c r="K51" s="489" t="s">
        <v>56</v>
      </c>
      <c r="L51" s="40">
        <v>0</v>
      </c>
      <c r="M51" s="40">
        <v>0</v>
      </c>
      <c r="N51" s="40">
        <v>3191192.29</v>
      </c>
      <c r="O51" s="40">
        <v>0</v>
      </c>
      <c r="P51" s="40">
        <v>0</v>
      </c>
      <c r="Q51" s="41">
        <f t="shared" si="20"/>
        <v>0</v>
      </c>
      <c r="R51" s="40">
        <v>349727.79</v>
      </c>
      <c r="S51" s="40">
        <v>353904.46</v>
      </c>
      <c r="T51" s="41">
        <f t="shared" si="21"/>
        <v>4176.6700000000419</v>
      </c>
      <c r="U51" s="40">
        <v>0</v>
      </c>
      <c r="V51" s="40">
        <v>0</v>
      </c>
      <c r="W51" s="41">
        <f t="shared" si="22"/>
        <v>0</v>
      </c>
      <c r="X51" s="40">
        <v>0</v>
      </c>
      <c r="Y51" s="40">
        <v>0</v>
      </c>
      <c r="Z51" s="41">
        <f t="shared" si="23"/>
        <v>0</v>
      </c>
      <c r="AA51" s="40">
        <v>575970.31999999995</v>
      </c>
      <c r="AB51" s="40">
        <v>0</v>
      </c>
      <c r="AC51" s="41">
        <f t="shared" si="24"/>
        <v>-575970.31999999995</v>
      </c>
      <c r="AD51" s="40">
        <v>0</v>
      </c>
      <c r="AE51" s="41">
        <v>0</v>
      </c>
      <c r="AF51" s="41">
        <f t="shared" si="25"/>
        <v>0</v>
      </c>
      <c r="AG51" s="40">
        <v>0</v>
      </c>
      <c r="AH51" s="41">
        <v>284445.2</v>
      </c>
      <c r="AI51" s="41">
        <f t="shared" si="26"/>
        <v>284445.2</v>
      </c>
      <c r="AJ51" s="40">
        <v>575970.32999999996</v>
      </c>
      <c r="AK51" s="41">
        <v>0</v>
      </c>
      <c r="AL51" s="41">
        <f t="shared" si="27"/>
        <v>-575970.32999999996</v>
      </c>
      <c r="AM51" s="40">
        <v>0</v>
      </c>
      <c r="AN51" s="41">
        <v>0</v>
      </c>
      <c r="AO51" s="41">
        <f t="shared" si="28"/>
        <v>0</v>
      </c>
      <c r="AP51" s="40">
        <v>0</v>
      </c>
      <c r="AQ51" s="41">
        <v>281195.64</v>
      </c>
      <c r="AR51" s="41">
        <f t="shared" si="30"/>
        <v>281195.64</v>
      </c>
      <c r="AS51" s="41">
        <f t="shared" si="32"/>
        <v>1501668.44</v>
      </c>
      <c r="AT51" s="41">
        <f>AN51+AK51+AH51+AE51+AB51+Y51+V51+S51+P51+AQ51</f>
        <v>919545.3</v>
      </c>
      <c r="AU51" s="522">
        <f t="shared" si="33"/>
        <v>-582123.1399999999</v>
      </c>
      <c r="AV51" s="459">
        <f t="shared" si="16"/>
        <v>0.61234908819153189</v>
      </c>
      <c r="AW51" s="40">
        <v>575970.31999999995</v>
      </c>
      <c r="AX51" s="40">
        <v>0</v>
      </c>
      <c r="AY51" s="41">
        <f t="shared" si="31"/>
        <v>2077638.7599999998</v>
      </c>
      <c r="AZ51" s="41">
        <v>1367766.19</v>
      </c>
      <c r="BA51" s="550">
        <f t="shared" si="29"/>
        <v>-709872.56999999983</v>
      </c>
      <c r="BB51" s="40">
        <v>2303881.2799999998</v>
      </c>
      <c r="BC51" s="40">
        <v>2303881.2799999998</v>
      </c>
      <c r="BD51" s="40">
        <v>2303881.2799999998</v>
      </c>
      <c r="BE51" s="40">
        <v>1698563.48</v>
      </c>
      <c r="BF51" s="40">
        <v>1496790.89</v>
      </c>
      <c r="BG51" s="40">
        <v>1496790.89</v>
      </c>
      <c r="BH51" s="40">
        <v>942000.85</v>
      </c>
      <c r="BI51" s="40">
        <v>17814621</v>
      </c>
      <c r="BJ51" s="453" t="s">
        <v>2716</v>
      </c>
      <c r="BK51" s="46" t="s">
        <v>2749</v>
      </c>
      <c r="BL51" s="588" t="s">
        <v>2884</v>
      </c>
      <c r="BM51" s="591" t="s">
        <v>2903</v>
      </c>
    </row>
    <row r="52" spans="1:72" s="10" customFormat="1" ht="34.5" customHeight="1" x14ac:dyDescent="0.2">
      <c r="A52" s="55" t="s">
        <v>2134</v>
      </c>
      <c r="B52" s="55" t="s">
        <v>2136</v>
      </c>
      <c r="C52" s="155" t="s">
        <v>2135</v>
      </c>
      <c r="D52" s="55">
        <v>2</v>
      </c>
      <c r="E52" s="55" t="s">
        <v>4</v>
      </c>
      <c r="F52" s="55" t="s">
        <v>5</v>
      </c>
      <c r="G52" s="55" t="s">
        <v>2775</v>
      </c>
      <c r="H52" s="43">
        <v>43</v>
      </c>
      <c r="I52" s="52" t="s">
        <v>2134</v>
      </c>
      <c r="J52" s="155" t="s">
        <v>2171</v>
      </c>
      <c r="K52" s="155" t="s">
        <v>2772</v>
      </c>
      <c r="L52" s="152"/>
      <c r="M52" s="152">
        <v>0</v>
      </c>
      <c r="N52" s="152">
        <v>0</v>
      </c>
      <c r="O52" s="152">
        <v>0</v>
      </c>
      <c r="P52" s="152"/>
      <c r="Q52" s="152"/>
      <c r="R52" s="152">
        <v>0</v>
      </c>
      <c r="S52" s="152"/>
      <c r="T52" s="152"/>
      <c r="U52" s="152">
        <v>0</v>
      </c>
      <c r="V52" s="152"/>
      <c r="W52" s="152"/>
      <c r="X52" s="152">
        <v>0</v>
      </c>
      <c r="Y52" s="152"/>
      <c r="Z52" s="152">
        <v>0</v>
      </c>
      <c r="AA52" s="152"/>
      <c r="AB52" s="152"/>
      <c r="AC52" s="152">
        <v>0</v>
      </c>
      <c r="AD52" s="152"/>
      <c r="AE52" s="152"/>
      <c r="AF52" s="152">
        <v>0</v>
      </c>
      <c r="AG52" s="152"/>
      <c r="AH52" s="152"/>
      <c r="AI52" s="152">
        <v>0</v>
      </c>
      <c r="AJ52" s="152"/>
      <c r="AK52" s="152"/>
      <c r="AL52" s="152"/>
      <c r="AM52" s="152">
        <v>560000</v>
      </c>
      <c r="AN52" s="41">
        <v>0</v>
      </c>
      <c r="AO52" s="41">
        <f t="shared" si="28"/>
        <v>-560000</v>
      </c>
      <c r="AP52" s="152">
        <v>0</v>
      </c>
      <c r="AQ52" s="41">
        <v>0</v>
      </c>
      <c r="AR52" s="41">
        <f t="shared" si="30"/>
        <v>0</v>
      </c>
      <c r="AS52" s="41">
        <f t="shared" si="32"/>
        <v>560000</v>
      </c>
      <c r="AT52" s="41">
        <f>AN52+AK52+AH52+AE52+AB52+-Y52+V52+S52+P52+AQ52</f>
        <v>0</v>
      </c>
      <c r="AU52" s="522">
        <f t="shared" si="33"/>
        <v>-560000</v>
      </c>
      <c r="AV52" s="459">
        <f t="shared" si="16"/>
        <v>0</v>
      </c>
      <c r="AW52" s="152">
        <v>50000</v>
      </c>
      <c r="AX52" s="152">
        <v>100000</v>
      </c>
      <c r="AY52" s="41">
        <f t="shared" si="31"/>
        <v>710000</v>
      </c>
      <c r="AZ52" s="41"/>
      <c r="BA52" s="553"/>
      <c r="BB52" s="152">
        <v>1650000</v>
      </c>
      <c r="BC52" s="152">
        <v>669878</v>
      </c>
      <c r="BD52" s="152">
        <v>0</v>
      </c>
      <c r="BE52" s="152">
        <v>0</v>
      </c>
      <c r="BF52" s="152">
        <v>0</v>
      </c>
      <c r="BG52" s="152">
        <v>0</v>
      </c>
      <c r="BH52" s="152">
        <v>0</v>
      </c>
      <c r="BI52" s="152">
        <v>3029878</v>
      </c>
      <c r="BJ52" s="41"/>
      <c r="BK52" s="41"/>
      <c r="BL52" s="603" t="s">
        <v>2937</v>
      </c>
      <c r="BM52" s="591"/>
    </row>
    <row r="53" spans="1:72" s="10" customFormat="1" ht="63" x14ac:dyDescent="0.25">
      <c r="A53" s="474" t="s">
        <v>145</v>
      </c>
      <c r="B53" s="474" t="s">
        <v>146</v>
      </c>
      <c r="C53" s="344" t="s">
        <v>577</v>
      </c>
      <c r="D53" s="474" t="s">
        <v>3</v>
      </c>
      <c r="E53" s="474" t="s">
        <v>29</v>
      </c>
      <c r="F53" s="474" t="s">
        <v>102</v>
      </c>
      <c r="G53" s="474" t="s">
        <v>147</v>
      </c>
      <c r="H53" s="43">
        <v>44</v>
      </c>
      <c r="I53" s="43" t="s">
        <v>145</v>
      </c>
      <c r="J53" s="475" t="s">
        <v>148</v>
      </c>
      <c r="K53" s="475" t="s">
        <v>149</v>
      </c>
      <c r="L53" s="41">
        <v>0</v>
      </c>
      <c r="M53" s="41">
        <v>0</v>
      </c>
      <c r="N53" s="41">
        <v>0</v>
      </c>
      <c r="O53" s="41">
        <v>0</v>
      </c>
      <c r="P53" s="41">
        <v>0</v>
      </c>
      <c r="Q53" s="41">
        <f>P53-O53</f>
        <v>0</v>
      </c>
      <c r="R53" s="41">
        <v>609434.6</v>
      </c>
      <c r="S53" s="41">
        <v>609434.6</v>
      </c>
      <c r="T53" s="41">
        <f>S53-R53</f>
        <v>0</v>
      </c>
      <c r="U53" s="41">
        <v>7365510.9100000001</v>
      </c>
      <c r="V53" s="41">
        <v>7365510.9199999999</v>
      </c>
      <c r="W53" s="41">
        <f>V53-U53</f>
        <v>9.9999997764825821E-3</v>
      </c>
      <c r="X53" s="41">
        <v>0</v>
      </c>
      <c r="Y53" s="41">
        <v>0</v>
      </c>
      <c r="Z53" s="41">
        <f>Y53-X53</f>
        <v>0</v>
      </c>
      <c r="AA53" s="41">
        <v>0</v>
      </c>
      <c r="AB53" s="41">
        <v>0</v>
      </c>
      <c r="AC53" s="41">
        <f>AB53-AA53</f>
        <v>0</v>
      </c>
      <c r="AD53" s="41">
        <v>637047.98</v>
      </c>
      <c r="AE53" s="41">
        <v>465651.21</v>
      </c>
      <c r="AF53" s="41">
        <f>AE53-AD53</f>
        <v>-171396.76999999996</v>
      </c>
      <c r="AG53" s="41">
        <v>0</v>
      </c>
      <c r="AH53" s="41">
        <v>0</v>
      </c>
      <c r="AI53" s="41">
        <f>AH53-AG53</f>
        <v>0</v>
      </c>
      <c r="AJ53" s="41">
        <v>0</v>
      </c>
      <c r="AK53" s="41">
        <v>0</v>
      </c>
      <c r="AL53" s="41">
        <f>AK53-AJ53</f>
        <v>0</v>
      </c>
      <c r="AM53" s="41">
        <v>699990.72</v>
      </c>
      <c r="AN53" s="41">
        <v>0</v>
      </c>
      <c r="AO53" s="41">
        <f t="shared" si="28"/>
        <v>-699990.72</v>
      </c>
      <c r="AP53" s="41">
        <v>0</v>
      </c>
      <c r="AQ53" s="41">
        <v>325229.73</v>
      </c>
      <c r="AR53" s="41">
        <f t="shared" si="30"/>
        <v>325229.73</v>
      </c>
      <c r="AS53" s="41">
        <f t="shared" si="32"/>
        <v>9311984.209999999</v>
      </c>
      <c r="AT53" s="41">
        <f>AN53+AK53+AH53+AE53+AB53+Y53+V53+S53+P53+AQ53</f>
        <v>8765826.4600000009</v>
      </c>
      <c r="AU53" s="522">
        <f t="shared" si="33"/>
        <v>-546157.75000000023</v>
      </c>
      <c r="AV53" s="459">
        <f t="shared" si="16"/>
        <v>0.94134893942222453</v>
      </c>
      <c r="AW53" s="41">
        <v>0</v>
      </c>
      <c r="AX53" s="41">
        <v>572200.6</v>
      </c>
      <c r="AY53" s="41">
        <f t="shared" si="31"/>
        <v>9884184.8100000005</v>
      </c>
      <c r="AZ53" s="41">
        <v>9389632.9100000001</v>
      </c>
      <c r="BA53" s="552">
        <f>AZ53-AY53</f>
        <v>-494551.90000000037</v>
      </c>
      <c r="BB53" s="41">
        <v>113522.92</v>
      </c>
      <c r="BC53" s="41">
        <v>0</v>
      </c>
      <c r="BD53" s="41">
        <v>0</v>
      </c>
      <c r="BE53" s="41">
        <v>0</v>
      </c>
      <c r="BF53" s="41">
        <v>0</v>
      </c>
      <c r="BG53" s="41">
        <v>0</v>
      </c>
      <c r="BH53" s="41">
        <v>0</v>
      </c>
      <c r="BI53" s="41">
        <v>9388273.1300000008</v>
      </c>
      <c r="BJ53" s="75"/>
      <c r="BK53" s="25"/>
      <c r="BL53" s="588" t="s">
        <v>2888</v>
      </c>
      <c r="BM53" s="591" t="s">
        <v>2902</v>
      </c>
    </row>
    <row r="54" spans="1:72" s="10" customFormat="1" ht="48" customHeight="1" x14ac:dyDescent="0.2">
      <c r="A54" s="55" t="s">
        <v>1947</v>
      </c>
      <c r="B54" s="55" t="s">
        <v>1949</v>
      </c>
      <c r="C54" s="155" t="s">
        <v>1948</v>
      </c>
      <c r="D54" s="55" t="s">
        <v>3</v>
      </c>
      <c r="E54" s="55" t="s">
        <v>35</v>
      </c>
      <c r="F54" s="55" t="s">
        <v>5</v>
      </c>
      <c r="G54" s="439" t="s">
        <v>2924</v>
      </c>
      <c r="H54" s="43">
        <v>45</v>
      </c>
      <c r="I54" s="55" t="s">
        <v>1947</v>
      </c>
      <c r="J54" s="155" t="s">
        <v>1950</v>
      </c>
      <c r="K54" s="155" t="s">
        <v>1951</v>
      </c>
      <c r="L54" s="152">
        <v>0</v>
      </c>
      <c r="M54" s="152">
        <v>0</v>
      </c>
      <c r="N54" s="152">
        <v>0</v>
      </c>
      <c r="O54" s="152">
        <f t="shared" ref="O54:AM54" si="34">N54+M54+L54</f>
        <v>0</v>
      </c>
      <c r="P54" s="152">
        <f t="shared" si="34"/>
        <v>0</v>
      </c>
      <c r="Q54" s="152">
        <f t="shared" si="34"/>
        <v>0</v>
      </c>
      <c r="R54" s="152">
        <f t="shared" si="34"/>
        <v>0</v>
      </c>
      <c r="S54" s="152">
        <f t="shared" si="34"/>
        <v>0</v>
      </c>
      <c r="T54" s="152">
        <f t="shared" si="34"/>
        <v>0</v>
      </c>
      <c r="U54" s="152">
        <f t="shared" si="34"/>
        <v>0</v>
      </c>
      <c r="V54" s="152">
        <f t="shared" si="34"/>
        <v>0</v>
      </c>
      <c r="W54" s="152">
        <f t="shared" si="34"/>
        <v>0</v>
      </c>
      <c r="X54" s="152">
        <f t="shared" si="34"/>
        <v>0</v>
      </c>
      <c r="Y54" s="152">
        <f t="shared" si="34"/>
        <v>0</v>
      </c>
      <c r="Z54" s="152">
        <f t="shared" si="34"/>
        <v>0</v>
      </c>
      <c r="AA54" s="152">
        <f t="shared" si="34"/>
        <v>0</v>
      </c>
      <c r="AB54" s="152">
        <f t="shared" si="34"/>
        <v>0</v>
      </c>
      <c r="AC54" s="152">
        <f t="shared" si="34"/>
        <v>0</v>
      </c>
      <c r="AD54" s="152">
        <f t="shared" si="34"/>
        <v>0</v>
      </c>
      <c r="AE54" s="152">
        <f t="shared" si="34"/>
        <v>0</v>
      </c>
      <c r="AF54" s="152">
        <f t="shared" si="34"/>
        <v>0</v>
      </c>
      <c r="AG54" s="152">
        <f t="shared" si="34"/>
        <v>0</v>
      </c>
      <c r="AH54" s="152">
        <f t="shared" si="34"/>
        <v>0</v>
      </c>
      <c r="AI54" s="152">
        <f t="shared" si="34"/>
        <v>0</v>
      </c>
      <c r="AJ54" s="152">
        <f t="shared" si="34"/>
        <v>0</v>
      </c>
      <c r="AK54" s="152">
        <f t="shared" si="34"/>
        <v>0</v>
      </c>
      <c r="AL54" s="152">
        <f t="shared" si="34"/>
        <v>0</v>
      </c>
      <c r="AM54" s="152">
        <f t="shared" si="34"/>
        <v>0</v>
      </c>
      <c r="AN54" s="152">
        <v>0</v>
      </c>
      <c r="AO54" s="152">
        <f>AN54+AM54+AL54</f>
        <v>0</v>
      </c>
      <c r="AP54" s="513">
        <v>542638.03650000005</v>
      </c>
      <c r="AQ54" s="41">
        <v>0</v>
      </c>
      <c r="AR54" s="41">
        <f t="shared" si="30"/>
        <v>-542638.03650000005</v>
      </c>
      <c r="AS54" s="41">
        <f t="shared" si="32"/>
        <v>542638.03650000005</v>
      </c>
      <c r="AT54" s="41">
        <f>AN54+AK54+AH54+AE54+AB54+-Y54+V54+S54+P54+AQ54</f>
        <v>0</v>
      </c>
      <c r="AU54" s="522">
        <f t="shared" si="33"/>
        <v>-542638.03650000005</v>
      </c>
      <c r="AV54" s="459">
        <f t="shared" si="16"/>
        <v>0</v>
      </c>
      <c r="AW54" s="513">
        <v>7911.2219999999998</v>
      </c>
      <c r="AX54" s="513">
        <v>7911.2219999999998</v>
      </c>
      <c r="AY54" s="41">
        <f t="shared" si="31"/>
        <v>558460.48050000006</v>
      </c>
      <c r="AZ54" s="41"/>
      <c r="BA54" s="553"/>
      <c r="BB54" s="152">
        <v>7778423.9084999999</v>
      </c>
      <c r="BC54" s="152">
        <v>7518650</v>
      </c>
      <c r="BD54" s="152">
        <v>9013554</v>
      </c>
      <c r="BE54" s="152">
        <v>0</v>
      </c>
      <c r="BF54" s="152">
        <v>0</v>
      </c>
      <c r="BG54" s="152">
        <v>0</v>
      </c>
      <c r="BH54" s="152">
        <v>0</v>
      </c>
      <c r="BI54" s="152">
        <v>24869084.609999999</v>
      </c>
      <c r="BJ54" s="459"/>
      <c r="BK54" s="41"/>
      <c r="BL54" s="603" t="s">
        <v>2931</v>
      </c>
      <c r="BM54" s="432"/>
    </row>
    <row r="55" spans="1:72" s="10" customFormat="1" ht="48" customHeight="1" x14ac:dyDescent="0.25">
      <c r="A55" s="52" t="s">
        <v>172</v>
      </c>
      <c r="B55" s="52" t="s">
        <v>173</v>
      </c>
      <c r="C55" s="476" t="s">
        <v>579</v>
      </c>
      <c r="D55" s="52" t="s">
        <v>3</v>
      </c>
      <c r="E55" s="52" t="s">
        <v>29</v>
      </c>
      <c r="F55" s="52" t="s">
        <v>5</v>
      </c>
      <c r="G55" s="52" t="s">
        <v>863</v>
      </c>
      <c r="H55" s="43">
        <v>46</v>
      </c>
      <c r="I55" s="42" t="s">
        <v>172</v>
      </c>
      <c r="J55" s="477" t="s">
        <v>98</v>
      </c>
      <c r="K55" s="477" t="s">
        <v>864</v>
      </c>
      <c r="L55" s="431"/>
      <c r="M55" s="37">
        <v>0</v>
      </c>
      <c r="N55" s="37">
        <v>0</v>
      </c>
      <c r="O55" s="37">
        <v>0</v>
      </c>
      <c r="P55" s="37"/>
      <c r="Q55" s="37"/>
      <c r="R55" s="37">
        <v>0</v>
      </c>
      <c r="S55" s="37"/>
      <c r="T55" s="37"/>
      <c r="U55" s="37">
        <v>0</v>
      </c>
      <c r="V55" s="37"/>
      <c r="W55" s="37"/>
      <c r="X55" s="37">
        <v>0</v>
      </c>
      <c r="Y55" s="37"/>
      <c r="Z55" s="37"/>
      <c r="AA55" s="37">
        <v>0</v>
      </c>
      <c r="AB55" s="37"/>
      <c r="AC55" s="37"/>
      <c r="AD55" s="37">
        <v>0</v>
      </c>
      <c r="AE55" s="37"/>
      <c r="AF55" s="37"/>
      <c r="AG55" s="37">
        <v>1020612</v>
      </c>
      <c r="AH55" s="41">
        <v>795900.87</v>
      </c>
      <c r="AI55" s="41">
        <f>AH55-AG55</f>
        <v>-224711.13</v>
      </c>
      <c r="AJ55" s="37">
        <v>0</v>
      </c>
      <c r="AK55" s="41">
        <v>0</v>
      </c>
      <c r="AL55" s="41">
        <f>AK55-AJ55</f>
        <v>0</v>
      </c>
      <c r="AM55" s="37">
        <v>0</v>
      </c>
      <c r="AN55" s="41">
        <v>0</v>
      </c>
      <c r="AO55" s="41">
        <f>AN55-AM55</f>
        <v>0</v>
      </c>
      <c r="AP55" s="37">
        <v>1190495.55</v>
      </c>
      <c r="AQ55" s="41">
        <v>886122.51</v>
      </c>
      <c r="AR55" s="41">
        <f t="shared" si="30"/>
        <v>-304373.04000000004</v>
      </c>
      <c r="AS55" s="41">
        <f t="shared" si="32"/>
        <v>2211107.5499999998</v>
      </c>
      <c r="AT55" s="41">
        <f>AN55+AK55+AH55+AE55+AB55+-Y55+V55+S55+P55+AQ55</f>
        <v>1682023.38</v>
      </c>
      <c r="AU55" s="522">
        <f t="shared" si="33"/>
        <v>-529084.17000000004</v>
      </c>
      <c r="AV55" s="459">
        <f t="shared" si="16"/>
        <v>0.76071531662944214</v>
      </c>
      <c r="AW55" s="37">
        <v>0</v>
      </c>
      <c r="AX55" s="37">
        <v>0</v>
      </c>
      <c r="AY55" s="41">
        <f t="shared" si="31"/>
        <v>2211107.5499999998</v>
      </c>
      <c r="AZ55" s="41">
        <v>1682023.38</v>
      </c>
      <c r="BA55" s="550">
        <f>AZ55-AY55</f>
        <v>-529084.16999999993</v>
      </c>
      <c r="BB55" s="37">
        <v>2170504.6800000002</v>
      </c>
      <c r="BC55" s="37">
        <v>0</v>
      </c>
      <c r="BD55" s="37">
        <v>0</v>
      </c>
      <c r="BE55" s="37">
        <v>0</v>
      </c>
      <c r="BF55" s="37">
        <v>0</v>
      </c>
      <c r="BG55" s="37">
        <v>0</v>
      </c>
      <c r="BH55" s="37">
        <v>0</v>
      </c>
      <c r="BI55" s="37">
        <v>4381612.2300000004</v>
      </c>
      <c r="BJ55" s="452" t="s">
        <v>2719</v>
      </c>
      <c r="BK55" s="25" t="s">
        <v>2719</v>
      </c>
      <c r="BL55" s="588" t="s">
        <v>2948</v>
      </c>
      <c r="BM55" s="591" t="s">
        <v>2903</v>
      </c>
    </row>
    <row r="56" spans="1:72" s="10" customFormat="1" ht="30.75" customHeight="1" x14ac:dyDescent="0.2">
      <c r="A56" s="43" t="s">
        <v>2107</v>
      </c>
      <c r="B56" s="43" t="s">
        <v>2109</v>
      </c>
      <c r="C56" s="475" t="s">
        <v>2108</v>
      </c>
      <c r="D56" s="43" t="s">
        <v>3</v>
      </c>
      <c r="E56" s="43" t="s">
        <v>4</v>
      </c>
      <c r="F56" s="43" t="s">
        <v>5</v>
      </c>
      <c r="G56" s="478" t="s">
        <v>2925</v>
      </c>
      <c r="H56" s="43">
        <v>47</v>
      </c>
      <c r="I56" s="478" t="s">
        <v>2107</v>
      </c>
      <c r="J56" s="475" t="s">
        <v>2125</v>
      </c>
      <c r="K56" s="485" t="s">
        <v>2126</v>
      </c>
      <c r="L56" s="41">
        <v>0</v>
      </c>
      <c r="M56" s="40">
        <v>0</v>
      </c>
      <c r="N56" s="40">
        <v>0</v>
      </c>
      <c r="O56" s="41">
        <v>0</v>
      </c>
      <c r="P56" s="40">
        <v>0</v>
      </c>
      <c r="Q56" s="41">
        <v>0</v>
      </c>
      <c r="R56" s="40">
        <v>0</v>
      </c>
      <c r="S56" s="41">
        <v>0</v>
      </c>
      <c r="T56" s="40">
        <v>0</v>
      </c>
      <c r="U56" s="41">
        <v>0</v>
      </c>
      <c r="V56" s="40">
        <v>0</v>
      </c>
      <c r="W56" s="41">
        <v>0</v>
      </c>
      <c r="X56" s="40">
        <v>0</v>
      </c>
      <c r="Y56" s="41">
        <v>0</v>
      </c>
      <c r="Z56" s="40">
        <v>0</v>
      </c>
      <c r="AA56" s="41">
        <v>0</v>
      </c>
      <c r="AB56" s="40">
        <v>0</v>
      </c>
      <c r="AC56" s="41">
        <v>0</v>
      </c>
      <c r="AD56" s="40">
        <v>0</v>
      </c>
      <c r="AE56" s="41">
        <v>0</v>
      </c>
      <c r="AF56" s="40">
        <v>0</v>
      </c>
      <c r="AG56" s="41">
        <v>0</v>
      </c>
      <c r="AH56" s="40">
        <v>0</v>
      </c>
      <c r="AI56" s="41">
        <v>0</v>
      </c>
      <c r="AJ56" s="40">
        <v>0</v>
      </c>
      <c r="AK56" s="41">
        <v>0</v>
      </c>
      <c r="AL56" s="40">
        <v>0</v>
      </c>
      <c r="AM56" s="41">
        <v>0</v>
      </c>
      <c r="AN56" s="40">
        <v>0</v>
      </c>
      <c r="AO56" s="41">
        <v>0</v>
      </c>
      <c r="AP56" s="41">
        <v>527849</v>
      </c>
      <c r="AQ56" s="41">
        <v>0</v>
      </c>
      <c r="AR56" s="41">
        <f t="shared" si="30"/>
        <v>-527849</v>
      </c>
      <c r="AS56" s="41">
        <f t="shared" si="32"/>
        <v>527849</v>
      </c>
      <c r="AT56" s="41">
        <f>AN56+AK56+AH56+AE56+AB56+-Y56+V56+S56+P56+AQ56</f>
        <v>0</v>
      </c>
      <c r="AU56" s="522">
        <f t="shared" si="33"/>
        <v>-527849</v>
      </c>
      <c r="AV56" s="459">
        <f t="shared" si="16"/>
        <v>0</v>
      </c>
      <c r="AW56" s="41">
        <v>108906</v>
      </c>
      <c r="AX56" s="41">
        <v>82231</v>
      </c>
      <c r="AY56" s="41">
        <f t="shared" si="31"/>
        <v>718986</v>
      </c>
      <c r="AZ56" s="41"/>
      <c r="BA56" s="555"/>
      <c r="BB56" s="41">
        <v>8543687</v>
      </c>
      <c r="BC56" s="41">
        <v>1134174</v>
      </c>
      <c r="BD56" s="41">
        <v>0</v>
      </c>
      <c r="BE56" s="41">
        <v>0</v>
      </c>
      <c r="BF56" s="41">
        <v>0</v>
      </c>
      <c r="BG56" s="41">
        <v>0</v>
      </c>
      <c r="BH56" s="41">
        <v>0</v>
      </c>
      <c r="BI56" s="41">
        <v>10396847</v>
      </c>
      <c r="BJ56" s="459"/>
      <c r="BK56" s="41"/>
      <c r="BL56" s="603" t="s">
        <v>2936</v>
      </c>
      <c r="BM56" s="432"/>
    </row>
    <row r="57" spans="1:72" s="10" customFormat="1" ht="72" customHeight="1" x14ac:dyDescent="0.25">
      <c r="A57" s="474" t="s">
        <v>452</v>
      </c>
      <c r="B57" s="474" t="s">
        <v>453</v>
      </c>
      <c r="C57" s="344" t="s">
        <v>608</v>
      </c>
      <c r="D57" s="474">
        <v>1</v>
      </c>
      <c r="E57" s="474" t="s">
        <v>454</v>
      </c>
      <c r="F57" s="474" t="s">
        <v>77</v>
      </c>
      <c r="G57" s="474" t="s">
        <v>455</v>
      </c>
      <c r="H57" s="43">
        <v>48</v>
      </c>
      <c r="I57" s="43" t="s">
        <v>452</v>
      </c>
      <c r="J57" s="475" t="s">
        <v>456</v>
      </c>
      <c r="K57" s="475" t="s">
        <v>457</v>
      </c>
      <c r="L57" s="41">
        <v>0</v>
      </c>
      <c r="M57" s="41">
        <v>0</v>
      </c>
      <c r="N57" s="41">
        <v>5037.17</v>
      </c>
      <c r="O57" s="41">
        <v>16094.52</v>
      </c>
      <c r="P57" s="41">
        <v>16094.52</v>
      </c>
      <c r="Q57" s="41">
        <f>P57-O57</f>
        <v>0</v>
      </c>
      <c r="R57" s="41">
        <v>0</v>
      </c>
      <c r="S57" s="41">
        <v>0</v>
      </c>
      <c r="T57" s="41">
        <f>S57-R57</f>
        <v>0</v>
      </c>
      <c r="U57" s="41">
        <v>0</v>
      </c>
      <c r="V57" s="41">
        <v>0</v>
      </c>
      <c r="W57" s="41">
        <f>V57-U57</f>
        <v>0</v>
      </c>
      <c r="X57" s="41">
        <v>106250</v>
      </c>
      <c r="Y57" s="41">
        <v>4470.1400000000003</v>
      </c>
      <c r="Z57" s="41">
        <f>Y57-X57</f>
        <v>-101779.86</v>
      </c>
      <c r="AA57" s="41">
        <v>0</v>
      </c>
      <c r="AB57" s="41">
        <v>0</v>
      </c>
      <c r="AC57" s="41">
        <f>AB57-AA57</f>
        <v>0</v>
      </c>
      <c r="AD57" s="41">
        <v>0</v>
      </c>
      <c r="AE57" s="41">
        <v>0</v>
      </c>
      <c r="AF57" s="41">
        <f>AE57-AD57</f>
        <v>0</v>
      </c>
      <c r="AG57" s="41">
        <v>212500</v>
      </c>
      <c r="AH57" s="41">
        <v>7808.1</v>
      </c>
      <c r="AI57" s="41">
        <f>AH57-AG57</f>
        <v>-204691.9</v>
      </c>
      <c r="AJ57" s="41">
        <v>0</v>
      </c>
      <c r="AK57" s="41">
        <v>0</v>
      </c>
      <c r="AL57" s="41">
        <f>AK57-AJ57</f>
        <v>0</v>
      </c>
      <c r="AM57" s="41">
        <v>0</v>
      </c>
      <c r="AN57" s="41">
        <v>0</v>
      </c>
      <c r="AO57" s="41">
        <f>AN57-AM57</f>
        <v>0</v>
      </c>
      <c r="AP57" s="41">
        <v>284201.02</v>
      </c>
      <c r="AQ57" s="41">
        <v>64429.96</v>
      </c>
      <c r="AR57" s="41">
        <f t="shared" si="30"/>
        <v>-219771.06000000003</v>
      </c>
      <c r="AS57" s="41">
        <f t="shared" si="32"/>
        <v>619045.54</v>
      </c>
      <c r="AT57" s="41">
        <f>AN57+AK57+AH57+AE57+AB57+Y57+V57+S57+P57+AQ57</f>
        <v>92802.72</v>
      </c>
      <c r="AU57" s="522">
        <f t="shared" si="33"/>
        <v>-526242.82000000007</v>
      </c>
      <c r="AV57" s="459">
        <f t="shared" si="16"/>
        <v>0.14991258962951254</v>
      </c>
      <c r="AW57" s="41">
        <v>0</v>
      </c>
      <c r="AX57" s="41">
        <v>0</v>
      </c>
      <c r="AY57" s="41">
        <f t="shared" si="31"/>
        <v>619045.54</v>
      </c>
      <c r="AZ57" s="41">
        <v>92802.72</v>
      </c>
      <c r="BA57" s="550">
        <f>AZ57-AY57</f>
        <v>-526242.82000000007</v>
      </c>
      <c r="BB57" s="41">
        <v>2059156.07</v>
      </c>
      <c r="BC57" s="41">
        <v>655922.47</v>
      </c>
      <c r="BD57" s="41">
        <v>0</v>
      </c>
      <c r="BE57" s="41">
        <v>0</v>
      </c>
      <c r="BF57" s="41">
        <v>0</v>
      </c>
      <c r="BG57" s="41">
        <v>0</v>
      </c>
      <c r="BH57" s="41">
        <v>0</v>
      </c>
      <c r="BI57" s="41">
        <v>3339161.25</v>
      </c>
      <c r="BJ57" s="451" t="s">
        <v>2714</v>
      </c>
      <c r="BK57" s="25" t="s">
        <v>2739</v>
      </c>
      <c r="BL57" s="46" t="s">
        <v>2739</v>
      </c>
      <c r="BM57" s="591" t="s">
        <v>2902</v>
      </c>
    </row>
    <row r="58" spans="1:72" s="8" customFormat="1" ht="72" customHeight="1" x14ac:dyDescent="0.25">
      <c r="A58" s="474" t="s">
        <v>150</v>
      </c>
      <c r="B58" s="474" t="s">
        <v>151</v>
      </c>
      <c r="C58" s="344" t="s">
        <v>578</v>
      </c>
      <c r="D58" s="474" t="s">
        <v>3</v>
      </c>
      <c r="E58" s="474" t="s">
        <v>29</v>
      </c>
      <c r="F58" s="474" t="s">
        <v>102</v>
      </c>
      <c r="G58" s="474" t="s">
        <v>717</v>
      </c>
      <c r="H58" s="43">
        <v>49</v>
      </c>
      <c r="I58" s="43" t="s">
        <v>150</v>
      </c>
      <c r="J58" s="475" t="s">
        <v>98</v>
      </c>
      <c r="K58" s="475" t="s">
        <v>718</v>
      </c>
      <c r="L58" s="41">
        <v>0</v>
      </c>
      <c r="M58" s="41">
        <v>0</v>
      </c>
      <c r="N58" s="41">
        <v>0</v>
      </c>
      <c r="O58" s="41">
        <v>0</v>
      </c>
      <c r="P58" s="41">
        <v>0</v>
      </c>
      <c r="Q58" s="41">
        <f>P58-O58</f>
        <v>0</v>
      </c>
      <c r="R58" s="41">
        <v>0</v>
      </c>
      <c r="S58" s="41">
        <v>0</v>
      </c>
      <c r="T58" s="41">
        <f>S58-R58</f>
        <v>0</v>
      </c>
      <c r="U58" s="41">
        <v>0</v>
      </c>
      <c r="V58" s="41">
        <v>0</v>
      </c>
      <c r="W58" s="41">
        <f>V58-U58</f>
        <v>0</v>
      </c>
      <c r="X58" s="41">
        <v>0</v>
      </c>
      <c r="Y58" s="41">
        <v>0</v>
      </c>
      <c r="Z58" s="41">
        <f>Y58-X58</f>
        <v>0</v>
      </c>
      <c r="AA58" s="41">
        <v>2018750</v>
      </c>
      <c r="AB58" s="41">
        <v>2028773.75</v>
      </c>
      <c r="AC58" s="41">
        <f>AB58-AA58</f>
        <v>10023.75</v>
      </c>
      <c r="AD58" s="41">
        <v>0</v>
      </c>
      <c r="AE58" s="41">
        <v>0</v>
      </c>
      <c r="AF58" s="41">
        <f>AE58-AD58</f>
        <v>0</v>
      </c>
      <c r="AG58" s="41">
        <v>0</v>
      </c>
      <c r="AH58" s="41">
        <v>0</v>
      </c>
      <c r="AI58" s="41">
        <f>AH58-AG58</f>
        <v>0</v>
      </c>
      <c r="AJ58" s="41">
        <v>1593750</v>
      </c>
      <c r="AK58" s="41">
        <v>1064984.1299999999</v>
      </c>
      <c r="AL58" s="41">
        <f>AK58-AJ58</f>
        <v>-528765.87000000011</v>
      </c>
      <c r="AM58" s="41">
        <v>0</v>
      </c>
      <c r="AN58" s="41">
        <v>0</v>
      </c>
      <c r="AO58" s="41">
        <f>AN58-AM58</f>
        <v>0</v>
      </c>
      <c r="AP58" s="41">
        <v>0</v>
      </c>
      <c r="AQ58" s="41">
        <v>0</v>
      </c>
      <c r="AR58" s="41">
        <f t="shared" si="30"/>
        <v>0</v>
      </c>
      <c r="AS58" s="41">
        <f t="shared" si="32"/>
        <v>3612500</v>
      </c>
      <c r="AT58" s="41">
        <f>AN58+AK58+AH58+AE58+AB58+-Y58+V58+S58+P58+AQ58</f>
        <v>3093757.88</v>
      </c>
      <c r="AU58" s="522">
        <f t="shared" si="33"/>
        <v>-518742.12000000011</v>
      </c>
      <c r="AV58" s="459">
        <f t="shared" si="16"/>
        <v>0.85640356539792384</v>
      </c>
      <c r="AW58" s="41">
        <v>3187500</v>
      </c>
      <c r="AX58" s="41">
        <v>0</v>
      </c>
      <c r="AY58" s="41">
        <f t="shared" si="31"/>
        <v>6800000</v>
      </c>
      <c r="AZ58" s="41">
        <v>6674543.5299999993</v>
      </c>
      <c r="BA58" s="552">
        <f>AZ58-AY58</f>
        <v>-125456.47000000067</v>
      </c>
      <c r="BB58" s="41">
        <v>3825000</v>
      </c>
      <c r="BC58" s="41">
        <v>0</v>
      </c>
      <c r="BD58" s="41">
        <v>0</v>
      </c>
      <c r="BE58" s="41">
        <v>0</v>
      </c>
      <c r="BF58" s="41">
        <v>0</v>
      </c>
      <c r="BG58" s="41">
        <v>0</v>
      </c>
      <c r="BH58" s="41">
        <v>0</v>
      </c>
      <c r="BI58" s="41">
        <v>10365853.699999999</v>
      </c>
      <c r="BJ58" s="75"/>
      <c r="BK58" s="25" t="s">
        <v>2738</v>
      </c>
      <c r="BL58" s="595" t="s">
        <v>2949</v>
      </c>
      <c r="BM58" s="591" t="s">
        <v>2902</v>
      </c>
      <c r="BT58" s="74"/>
    </row>
    <row r="59" spans="1:72" s="8" customFormat="1" ht="79.5" customHeight="1" x14ac:dyDescent="0.25">
      <c r="A59" s="474" t="s">
        <v>379</v>
      </c>
      <c r="B59" s="474" t="s">
        <v>380</v>
      </c>
      <c r="C59" s="344" t="s">
        <v>381</v>
      </c>
      <c r="D59" s="474">
        <v>1</v>
      </c>
      <c r="E59" s="474" t="s">
        <v>210</v>
      </c>
      <c r="F59" s="474" t="s">
        <v>77</v>
      </c>
      <c r="G59" s="474" t="s">
        <v>394</v>
      </c>
      <c r="H59" s="43">
        <v>50</v>
      </c>
      <c r="I59" s="43" t="s">
        <v>379</v>
      </c>
      <c r="J59" s="475" t="s">
        <v>395</v>
      </c>
      <c r="K59" s="475" t="s">
        <v>396</v>
      </c>
      <c r="L59" s="41">
        <v>0</v>
      </c>
      <c r="M59" s="41">
        <v>0</v>
      </c>
      <c r="N59" s="41">
        <v>62464.83</v>
      </c>
      <c r="O59" s="41">
        <v>37926.76</v>
      </c>
      <c r="P59" s="41">
        <v>37926.76</v>
      </c>
      <c r="Q59" s="41">
        <f>P59-O59</f>
        <v>0</v>
      </c>
      <c r="R59" s="41">
        <v>0</v>
      </c>
      <c r="S59" s="41">
        <v>0</v>
      </c>
      <c r="T59" s="41">
        <f>S59-R59</f>
        <v>0</v>
      </c>
      <c r="U59" s="41">
        <v>0</v>
      </c>
      <c r="V59" s="41">
        <v>0</v>
      </c>
      <c r="W59" s="41">
        <f>V59-U59</f>
        <v>0</v>
      </c>
      <c r="X59" s="41">
        <v>56536.59</v>
      </c>
      <c r="Y59" s="41">
        <v>56488.33</v>
      </c>
      <c r="Z59" s="41">
        <f>Y59-X59</f>
        <v>-48.259999999994761</v>
      </c>
      <c r="AA59" s="41">
        <v>0</v>
      </c>
      <c r="AB59" s="41">
        <v>0</v>
      </c>
      <c r="AC59" s="41">
        <f>AB59-AA59</f>
        <v>0</v>
      </c>
      <c r="AD59" s="41">
        <v>0</v>
      </c>
      <c r="AE59" s="41">
        <v>0</v>
      </c>
      <c r="AF59" s="41">
        <f>AE59-AD59</f>
        <v>0</v>
      </c>
      <c r="AG59" s="41">
        <v>319338.7</v>
      </c>
      <c r="AH59" s="41">
        <v>88428.73</v>
      </c>
      <c r="AI59" s="41">
        <f>AH59-AG59</f>
        <v>-230909.97000000003</v>
      </c>
      <c r="AJ59" s="41">
        <v>0</v>
      </c>
      <c r="AK59" s="41">
        <v>0</v>
      </c>
      <c r="AL59" s="41">
        <f>AK59-AJ59</f>
        <v>0</v>
      </c>
      <c r="AM59" s="41">
        <v>0</v>
      </c>
      <c r="AN59" s="41">
        <v>0</v>
      </c>
      <c r="AO59" s="41">
        <f>AN59-AM59</f>
        <v>0</v>
      </c>
      <c r="AP59" s="41">
        <v>319338.74</v>
      </c>
      <c r="AQ59" s="41">
        <v>57703.13</v>
      </c>
      <c r="AR59" s="41">
        <f t="shared" si="30"/>
        <v>-261635.61</v>
      </c>
      <c r="AS59" s="41">
        <f t="shared" si="32"/>
        <v>733140.79</v>
      </c>
      <c r="AT59" s="41">
        <f>AN59+AK59+AH59+AE59+AB59+Y59+V59+S59+P59+AQ59</f>
        <v>240546.95</v>
      </c>
      <c r="AU59" s="522">
        <f t="shared" si="33"/>
        <v>-492593.84</v>
      </c>
      <c r="AV59" s="459">
        <f t="shared" si="16"/>
        <v>0.3281047150575267</v>
      </c>
      <c r="AW59" s="41">
        <v>0</v>
      </c>
      <c r="AX59" s="41">
        <v>0</v>
      </c>
      <c r="AY59" s="41">
        <f t="shared" si="31"/>
        <v>733140.78999999992</v>
      </c>
      <c r="AZ59" s="41">
        <v>318122.75</v>
      </c>
      <c r="BA59" s="552">
        <f>AZ59-AY59</f>
        <v>-415018.03999999992</v>
      </c>
      <c r="BB59" s="41">
        <v>1481699.1900000002</v>
      </c>
      <c r="BC59" s="41">
        <v>1306075.3</v>
      </c>
      <c r="BD59" s="41">
        <v>1224829.24</v>
      </c>
      <c r="BE59" s="41">
        <v>1122829.24</v>
      </c>
      <c r="BF59" s="41">
        <v>884829.27</v>
      </c>
      <c r="BG59" s="41">
        <v>221207.34</v>
      </c>
      <c r="BH59" s="41">
        <v>0</v>
      </c>
      <c r="BI59" s="41">
        <v>7037075.2000000011</v>
      </c>
      <c r="BJ59" s="456" t="s">
        <v>2718</v>
      </c>
      <c r="BK59" s="25" t="s">
        <v>2764</v>
      </c>
      <c r="BL59" s="592" t="s">
        <v>2896</v>
      </c>
      <c r="BM59" s="591" t="s">
        <v>2892</v>
      </c>
      <c r="BT59" s="74"/>
    </row>
    <row r="60" spans="1:72" s="10" customFormat="1" ht="47.25" x14ac:dyDescent="0.2">
      <c r="A60" s="474" t="s">
        <v>33</v>
      </c>
      <c r="B60" s="474" t="s">
        <v>34</v>
      </c>
      <c r="C60" s="344" t="s">
        <v>566</v>
      </c>
      <c r="D60" s="474">
        <v>1</v>
      </c>
      <c r="E60" s="474" t="s">
        <v>35</v>
      </c>
      <c r="F60" s="474" t="s">
        <v>5</v>
      </c>
      <c r="G60" s="474" t="s">
        <v>36</v>
      </c>
      <c r="H60" s="43">
        <v>51</v>
      </c>
      <c r="I60" s="43" t="s">
        <v>33</v>
      </c>
      <c r="J60" s="475" t="s">
        <v>37</v>
      </c>
      <c r="K60" s="475" t="s">
        <v>38</v>
      </c>
      <c r="L60" s="41">
        <v>0</v>
      </c>
      <c r="M60" s="41">
        <v>0</v>
      </c>
      <c r="N60" s="41">
        <v>0</v>
      </c>
      <c r="O60" s="41">
        <v>93116.85</v>
      </c>
      <c r="P60" s="41">
        <v>93116.85</v>
      </c>
      <c r="Q60" s="41">
        <f>P60-O60</f>
        <v>0</v>
      </c>
      <c r="R60" s="41">
        <v>0</v>
      </c>
      <c r="S60" s="41">
        <v>0</v>
      </c>
      <c r="T60" s="41">
        <f>S60-R60</f>
        <v>0</v>
      </c>
      <c r="U60" s="41">
        <v>0</v>
      </c>
      <c r="V60" s="41">
        <v>0</v>
      </c>
      <c r="W60" s="41">
        <f>V60-U60</f>
        <v>0</v>
      </c>
      <c r="X60" s="41">
        <v>87860.22</v>
      </c>
      <c r="Y60" s="41">
        <v>87860.22</v>
      </c>
      <c r="Z60" s="41">
        <f>Y60-X60</f>
        <v>0</v>
      </c>
      <c r="AA60" s="41">
        <v>0</v>
      </c>
      <c r="AB60" s="41">
        <v>0</v>
      </c>
      <c r="AC60" s="41">
        <f>AB60-AA60</f>
        <v>0</v>
      </c>
      <c r="AD60" s="41">
        <v>0</v>
      </c>
      <c r="AE60" s="41">
        <v>0</v>
      </c>
      <c r="AF60" s="41">
        <f>AE60-AD60</f>
        <v>0</v>
      </c>
      <c r="AG60" s="41">
        <v>230480.3</v>
      </c>
      <c r="AH60" s="41">
        <v>91666.18</v>
      </c>
      <c r="AI60" s="41">
        <f>AH60-AG60</f>
        <v>-138814.12</v>
      </c>
      <c r="AJ60" s="41">
        <v>0</v>
      </c>
      <c r="AK60" s="41">
        <v>0</v>
      </c>
      <c r="AL60" s="41">
        <f>AK60-AJ60</f>
        <v>0</v>
      </c>
      <c r="AM60" s="41">
        <v>0</v>
      </c>
      <c r="AN60" s="41">
        <v>0</v>
      </c>
      <c r="AO60" s="41">
        <f>AN60-AM60</f>
        <v>0</v>
      </c>
      <c r="AP60" s="41">
        <v>460637.31</v>
      </c>
      <c r="AQ60" s="41">
        <v>135948.32999999999</v>
      </c>
      <c r="AR60" s="41">
        <f t="shared" si="30"/>
        <v>-324688.98</v>
      </c>
      <c r="AS60" s="41">
        <f t="shared" si="32"/>
        <v>872094.67999999993</v>
      </c>
      <c r="AT60" s="41">
        <f>AN60+AK60+AH60+AE60+AB60+Y60+V60+S60+P60+AQ60</f>
        <v>408591.57999999996</v>
      </c>
      <c r="AU60" s="522">
        <f t="shared" si="33"/>
        <v>-463503.1</v>
      </c>
      <c r="AV60" s="459">
        <f t="shared" si="16"/>
        <v>0.46851745500844011</v>
      </c>
      <c r="AW60" s="41">
        <v>0</v>
      </c>
      <c r="AX60" s="41">
        <v>0</v>
      </c>
      <c r="AY60" s="41">
        <f t="shared" si="31"/>
        <v>872094.67999999993</v>
      </c>
      <c r="AZ60" s="41">
        <v>408591.57999999996</v>
      </c>
      <c r="BA60" s="552">
        <f>AZ60-AY60</f>
        <v>-463503.1</v>
      </c>
      <c r="BB60" s="41">
        <v>1888172.69</v>
      </c>
      <c r="BC60" s="41">
        <v>1064732.6299999999</v>
      </c>
      <c r="BD60" s="41">
        <v>0</v>
      </c>
      <c r="BE60" s="41">
        <v>0</v>
      </c>
      <c r="BF60" s="41">
        <v>0</v>
      </c>
      <c r="BG60" s="41">
        <v>0</v>
      </c>
      <c r="BH60" s="41">
        <v>0</v>
      </c>
      <c r="BI60" s="41">
        <v>3825000</v>
      </c>
      <c r="BJ60" s="75"/>
      <c r="BK60" s="11"/>
      <c r="BL60" s="588" t="s">
        <v>2950</v>
      </c>
      <c r="BM60" s="591"/>
    </row>
    <row r="61" spans="1:72" s="10" customFormat="1" ht="30.75" customHeight="1" x14ac:dyDescent="0.2">
      <c r="A61" s="55" t="s">
        <v>119</v>
      </c>
      <c r="B61" s="55" t="s">
        <v>120</v>
      </c>
      <c r="C61" s="155" t="s">
        <v>574</v>
      </c>
      <c r="D61" s="55">
        <v>2</v>
      </c>
      <c r="E61" s="55" t="s">
        <v>35</v>
      </c>
      <c r="F61" s="55" t="s">
        <v>102</v>
      </c>
      <c r="G61" s="439" t="s">
        <v>2922</v>
      </c>
      <c r="H61" s="43">
        <v>52</v>
      </c>
      <c r="I61" s="55" t="s">
        <v>119</v>
      </c>
      <c r="J61" s="155" t="s">
        <v>1745</v>
      </c>
      <c r="K61" s="155" t="s">
        <v>1746</v>
      </c>
      <c r="L61" s="152">
        <v>0</v>
      </c>
      <c r="M61" s="152">
        <v>0</v>
      </c>
      <c r="N61" s="152">
        <v>0</v>
      </c>
      <c r="O61" s="152">
        <f t="shared" ref="O61:AM61" si="35">N61+M61+L61</f>
        <v>0</v>
      </c>
      <c r="P61" s="152">
        <f t="shared" si="35"/>
        <v>0</v>
      </c>
      <c r="Q61" s="152">
        <f t="shared" si="35"/>
        <v>0</v>
      </c>
      <c r="R61" s="152">
        <f t="shared" si="35"/>
        <v>0</v>
      </c>
      <c r="S61" s="152">
        <f t="shared" si="35"/>
        <v>0</v>
      </c>
      <c r="T61" s="152">
        <f t="shared" si="35"/>
        <v>0</v>
      </c>
      <c r="U61" s="152">
        <f t="shared" si="35"/>
        <v>0</v>
      </c>
      <c r="V61" s="152">
        <f t="shared" si="35"/>
        <v>0</v>
      </c>
      <c r="W61" s="152">
        <f t="shared" si="35"/>
        <v>0</v>
      </c>
      <c r="X61" s="152">
        <f t="shared" si="35"/>
        <v>0</v>
      </c>
      <c r="Y61" s="152">
        <f t="shared" si="35"/>
        <v>0</v>
      </c>
      <c r="Z61" s="152">
        <f t="shared" si="35"/>
        <v>0</v>
      </c>
      <c r="AA61" s="152">
        <f t="shared" si="35"/>
        <v>0</v>
      </c>
      <c r="AB61" s="152">
        <f t="shared" si="35"/>
        <v>0</v>
      </c>
      <c r="AC61" s="152">
        <f t="shared" si="35"/>
        <v>0</v>
      </c>
      <c r="AD61" s="152">
        <f t="shared" si="35"/>
        <v>0</v>
      </c>
      <c r="AE61" s="152">
        <f t="shared" si="35"/>
        <v>0</v>
      </c>
      <c r="AF61" s="152">
        <f t="shared" si="35"/>
        <v>0</v>
      </c>
      <c r="AG61" s="152">
        <f t="shared" si="35"/>
        <v>0</v>
      </c>
      <c r="AH61" s="152">
        <f t="shared" si="35"/>
        <v>0</v>
      </c>
      <c r="AI61" s="152">
        <f t="shared" si="35"/>
        <v>0</v>
      </c>
      <c r="AJ61" s="152">
        <f t="shared" si="35"/>
        <v>0</v>
      </c>
      <c r="AK61" s="152">
        <f t="shared" si="35"/>
        <v>0</v>
      </c>
      <c r="AL61" s="152">
        <f t="shared" si="35"/>
        <v>0</v>
      </c>
      <c r="AM61" s="152">
        <f t="shared" si="35"/>
        <v>0</v>
      </c>
      <c r="AN61" s="152">
        <v>0</v>
      </c>
      <c r="AO61" s="152">
        <f>AN61+AM61+AL61</f>
        <v>0</v>
      </c>
      <c r="AP61" s="152">
        <v>462713</v>
      </c>
      <c r="AQ61" s="41">
        <v>0</v>
      </c>
      <c r="AR61" s="41">
        <f t="shared" si="30"/>
        <v>-462713</v>
      </c>
      <c r="AS61" s="41">
        <f t="shared" si="32"/>
        <v>462713</v>
      </c>
      <c r="AT61" s="41">
        <f>AN61+AK61+AH61+AE61+AB61+-Y61+V61+S61+P61+AQ61</f>
        <v>0</v>
      </c>
      <c r="AU61" s="522">
        <f t="shared" si="33"/>
        <v>-462713</v>
      </c>
      <c r="AV61" s="459">
        <f t="shared" si="16"/>
        <v>0</v>
      </c>
      <c r="AW61" s="152">
        <v>140000</v>
      </c>
      <c r="AX61" s="152">
        <v>140000</v>
      </c>
      <c r="AY61" s="41">
        <f t="shared" si="31"/>
        <v>742713</v>
      </c>
      <c r="AZ61" s="41"/>
      <c r="BA61" s="553"/>
      <c r="BB61" s="152">
        <v>405565</v>
      </c>
      <c r="BC61" s="152">
        <v>0</v>
      </c>
      <c r="BD61" s="152">
        <v>0</v>
      </c>
      <c r="BE61" s="152">
        <v>0</v>
      </c>
      <c r="BF61" s="152">
        <v>0</v>
      </c>
      <c r="BG61" s="152">
        <v>0</v>
      </c>
      <c r="BH61" s="152">
        <v>0</v>
      </c>
      <c r="BI61" s="152">
        <v>1148277.1200000001</v>
      </c>
      <c r="BJ61" s="459"/>
      <c r="BK61" s="41"/>
      <c r="BL61" s="602" t="s">
        <v>2930</v>
      </c>
      <c r="BM61" s="432"/>
    </row>
    <row r="62" spans="1:72" s="10" customFormat="1" ht="44.25" customHeight="1" x14ac:dyDescent="0.25">
      <c r="A62" s="474" t="s">
        <v>138</v>
      </c>
      <c r="B62" s="474" t="s">
        <v>139</v>
      </c>
      <c r="C62" s="344" t="s">
        <v>576</v>
      </c>
      <c r="D62" s="474">
        <v>3</v>
      </c>
      <c r="E62" s="474" t="s">
        <v>35</v>
      </c>
      <c r="F62" s="474" t="s">
        <v>5</v>
      </c>
      <c r="G62" s="474" t="s">
        <v>140</v>
      </c>
      <c r="H62" s="43">
        <v>53</v>
      </c>
      <c r="I62" s="43" t="s">
        <v>138</v>
      </c>
      <c r="J62" s="475" t="s">
        <v>63</v>
      </c>
      <c r="K62" s="475" t="s">
        <v>141</v>
      </c>
      <c r="L62" s="41"/>
      <c r="M62" s="41"/>
      <c r="N62" s="41"/>
      <c r="O62" s="41"/>
      <c r="P62" s="41">
        <v>0</v>
      </c>
      <c r="Q62" s="41">
        <f t="shared" ref="Q62:Q78" si="36">P62-O62</f>
        <v>0</v>
      </c>
      <c r="R62" s="41"/>
      <c r="S62" s="41">
        <v>0</v>
      </c>
      <c r="T62" s="41">
        <f t="shared" ref="T62:T78" si="37">S62-R62</f>
        <v>0</v>
      </c>
      <c r="U62" s="41"/>
      <c r="V62" s="41">
        <v>0</v>
      </c>
      <c r="W62" s="41">
        <f t="shared" ref="W62:W78" si="38">V62-U62</f>
        <v>0</v>
      </c>
      <c r="X62" s="41">
        <v>918387.4</v>
      </c>
      <c r="Y62" s="41">
        <v>918387.4</v>
      </c>
      <c r="Z62" s="41">
        <f t="shared" ref="Z62:Z78" si="39">Y62-X62</f>
        <v>0</v>
      </c>
      <c r="AA62" s="41">
        <v>0</v>
      </c>
      <c r="AB62" s="41">
        <v>0</v>
      </c>
      <c r="AC62" s="41">
        <f t="shared" ref="AC62:AC78" si="40">AB62-AA62</f>
        <v>0</v>
      </c>
      <c r="AD62" s="41">
        <v>0</v>
      </c>
      <c r="AE62" s="41">
        <v>490424.65</v>
      </c>
      <c r="AF62" s="41">
        <f t="shared" ref="AF62:AF78" si="41">AE62-AD62</f>
        <v>490424.65</v>
      </c>
      <c r="AG62" s="41">
        <v>440252.14</v>
      </c>
      <c r="AH62" s="41">
        <v>0</v>
      </c>
      <c r="AI62" s="41">
        <f t="shared" ref="AI62:AI78" si="42">AH62-AG62</f>
        <v>-440252.14</v>
      </c>
      <c r="AJ62" s="41">
        <v>0</v>
      </c>
      <c r="AK62" s="41">
        <v>0</v>
      </c>
      <c r="AL62" s="41">
        <f t="shared" ref="AL62:AL78" si="43">AK62-AJ62</f>
        <v>0</v>
      </c>
      <c r="AM62" s="41">
        <v>440252.14</v>
      </c>
      <c r="AN62" s="41">
        <v>701425.53</v>
      </c>
      <c r="AO62" s="41">
        <f t="shared" ref="AO62:AO78" si="44">AN62-AM62</f>
        <v>261173.39</v>
      </c>
      <c r="AP62" s="41">
        <v>772642.01</v>
      </c>
      <c r="AQ62" s="41">
        <v>0</v>
      </c>
      <c r="AR62" s="41">
        <f t="shared" si="30"/>
        <v>-772642.01</v>
      </c>
      <c r="AS62" s="41">
        <f t="shared" si="32"/>
        <v>2571533.6900000004</v>
      </c>
      <c r="AT62" s="41">
        <f>AN62+AK62+AH62+AE62+AB62+Y62+V62+S62+P62+AQ62</f>
        <v>2110237.58</v>
      </c>
      <c r="AU62" s="522">
        <f t="shared" si="33"/>
        <v>-461296.11</v>
      </c>
      <c r="AV62" s="459">
        <f t="shared" si="16"/>
        <v>0.82061440151694054</v>
      </c>
      <c r="AW62" s="41">
        <v>0</v>
      </c>
      <c r="AX62" s="41">
        <v>183628.51</v>
      </c>
      <c r="AY62" s="41">
        <f t="shared" si="31"/>
        <v>2755162.2</v>
      </c>
      <c r="AZ62" s="41">
        <v>2645550.65</v>
      </c>
      <c r="BA62" s="552">
        <f t="shared" ref="BA62:BA78" si="45">AZ62-AY62</f>
        <v>-109611.55000000028</v>
      </c>
      <c r="BB62" s="41">
        <v>0</v>
      </c>
      <c r="BC62" s="41">
        <v>0</v>
      </c>
      <c r="BD62" s="41">
        <v>0</v>
      </c>
      <c r="BE62" s="41">
        <v>0</v>
      </c>
      <c r="BF62" s="41">
        <v>0</v>
      </c>
      <c r="BG62" s="41">
        <v>0</v>
      </c>
      <c r="BH62" s="41">
        <v>0</v>
      </c>
      <c r="BI62" s="41">
        <v>1836774.8</v>
      </c>
      <c r="BJ62" s="75"/>
      <c r="BK62" s="27"/>
      <c r="BL62" s="597" t="s">
        <v>2913</v>
      </c>
      <c r="BM62" s="432"/>
    </row>
    <row r="63" spans="1:72" s="10" customFormat="1" ht="69.75" customHeight="1" x14ac:dyDescent="0.25">
      <c r="A63" s="474" t="s">
        <v>406</v>
      </c>
      <c r="B63" s="474" t="s">
        <v>411</v>
      </c>
      <c r="C63" s="344" t="s">
        <v>606</v>
      </c>
      <c r="D63" s="474">
        <v>1</v>
      </c>
      <c r="E63" s="474" t="s">
        <v>402</v>
      </c>
      <c r="F63" s="474" t="s">
        <v>77</v>
      </c>
      <c r="G63" s="474" t="s">
        <v>436</v>
      </c>
      <c r="H63" s="43">
        <v>54</v>
      </c>
      <c r="I63" s="43" t="s">
        <v>406</v>
      </c>
      <c r="J63" s="475" t="s">
        <v>437</v>
      </c>
      <c r="K63" s="475" t="s">
        <v>438</v>
      </c>
      <c r="L63" s="41"/>
      <c r="M63" s="41"/>
      <c r="N63" s="41"/>
      <c r="O63" s="41"/>
      <c r="P63" s="41">
        <v>0</v>
      </c>
      <c r="Q63" s="41">
        <f t="shared" si="36"/>
        <v>0</v>
      </c>
      <c r="R63" s="41"/>
      <c r="S63" s="41">
        <v>0</v>
      </c>
      <c r="T63" s="41">
        <f t="shared" si="37"/>
        <v>0</v>
      </c>
      <c r="U63" s="41"/>
      <c r="V63" s="41">
        <v>0</v>
      </c>
      <c r="W63" s="41">
        <f t="shared" si="38"/>
        <v>0</v>
      </c>
      <c r="X63" s="41">
        <v>29585.439999999999</v>
      </c>
      <c r="Y63" s="41">
        <v>29585.439999999999</v>
      </c>
      <c r="Z63" s="41">
        <f t="shared" si="39"/>
        <v>0</v>
      </c>
      <c r="AA63" s="41"/>
      <c r="AB63" s="41">
        <v>0</v>
      </c>
      <c r="AC63" s="41">
        <f t="shared" si="40"/>
        <v>0</v>
      </c>
      <c r="AD63" s="35">
        <v>23495.16</v>
      </c>
      <c r="AE63" s="41">
        <v>5700.11</v>
      </c>
      <c r="AF63" s="41">
        <f t="shared" si="41"/>
        <v>-17795.05</v>
      </c>
      <c r="AG63" s="41">
        <v>595000</v>
      </c>
      <c r="AH63" s="41">
        <v>0</v>
      </c>
      <c r="AI63" s="41">
        <f t="shared" si="42"/>
        <v>-595000</v>
      </c>
      <c r="AJ63" s="41">
        <v>0</v>
      </c>
      <c r="AK63" s="41">
        <v>425004.22</v>
      </c>
      <c r="AL63" s="41">
        <f t="shared" si="43"/>
        <v>425004.22</v>
      </c>
      <c r="AM63" s="35">
        <v>300390</v>
      </c>
      <c r="AN63" s="41">
        <v>32144.94</v>
      </c>
      <c r="AO63" s="41">
        <f t="shared" si="44"/>
        <v>-268245.06</v>
      </c>
      <c r="AP63" s="41">
        <v>0</v>
      </c>
      <c r="AQ63" s="41">
        <v>0</v>
      </c>
      <c r="AR63" s="41">
        <f t="shared" si="30"/>
        <v>0</v>
      </c>
      <c r="AS63" s="41">
        <f t="shared" si="32"/>
        <v>948470.6</v>
      </c>
      <c r="AT63" s="41">
        <f>AN63+AK63+AH63+AE63+AB63+Y63+V63+S63+P63+AQ63</f>
        <v>492434.70999999996</v>
      </c>
      <c r="AU63" s="522">
        <f t="shared" si="33"/>
        <v>-456035.89</v>
      </c>
      <c r="AV63" s="459">
        <f t="shared" si="16"/>
        <v>0.51918816460942485</v>
      </c>
      <c r="AW63" s="41"/>
      <c r="AX63" s="35">
        <v>374964.92</v>
      </c>
      <c r="AY63" s="41">
        <f t="shared" si="31"/>
        <v>1323435.5199999998</v>
      </c>
      <c r="AZ63" s="41">
        <v>700511.58</v>
      </c>
      <c r="BA63" s="550">
        <f t="shared" si="45"/>
        <v>-622923.93999999983</v>
      </c>
      <c r="BB63" s="41">
        <v>888135.75</v>
      </c>
      <c r="BC63" s="41">
        <v>1090514.1600000001</v>
      </c>
      <c r="BD63" s="41">
        <v>297500.01</v>
      </c>
      <c r="BE63" s="41">
        <v>0</v>
      </c>
      <c r="BF63" s="41">
        <v>0</v>
      </c>
      <c r="BG63" s="41">
        <v>0</v>
      </c>
      <c r="BH63" s="41">
        <v>0</v>
      </c>
      <c r="BI63" s="41">
        <v>2975000</v>
      </c>
      <c r="BJ63" s="75"/>
      <c r="BK63" s="25"/>
      <c r="BL63" s="588" t="s">
        <v>2940</v>
      </c>
      <c r="BM63" s="591" t="s">
        <v>2902</v>
      </c>
    </row>
    <row r="64" spans="1:72" s="10" customFormat="1" ht="78.75" x14ac:dyDescent="0.2">
      <c r="A64" s="474" t="s">
        <v>229</v>
      </c>
      <c r="B64" s="474" t="s">
        <v>230</v>
      </c>
      <c r="C64" s="344" t="s">
        <v>582</v>
      </c>
      <c r="D64" s="474" t="s">
        <v>3</v>
      </c>
      <c r="E64" s="474" t="s">
        <v>210</v>
      </c>
      <c r="F64" s="474" t="s">
        <v>77</v>
      </c>
      <c r="G64" s="474" t="s">
        <v>231</v>
      </c>
      <c r="H64" s="43">
        <v>55</v>
      </c>
      <c r="I64" s="43" t="s">
        <v>229</v>
      </c>
      <c r="J64" s="475" t="s">
        <v>212</v>
      </c>
      <c r="K64" s="475" t="s">
        <v>232</v>
      </c>
      <c r="L64" s="41">
        <v>0</v>
      </c>
      <c r="M64" s="41">
        <v>0</v>
      </c>
      <c r="N64" s="41">
        <v>0</v>
      </c>
      <c r="O64" s="41">
        <v>4211.0200000000004</v>
      </c>
      <c r="P64" s="41">
        <v>4211.0200000000004</v>
      </c>
      <c r="Q64" s="41">
        <f t="shared" si="36"/>
        <v>0</v>
      </c>
      <c r="R64" s="41">
        <v>0</v>
      </c>
      <c r="S64" s="41">
        <v>0</v>
      </c>
      <c r="T64" s="41">
        <f t="shared" si="37"/>
        <v>0</v>
      </c>
      <c r="U64" s="41">
        <v>0</v>
      </c>
      <c r="V64" s="41">
        <v>0</v>
      </c>
      <c r="W64" s="41">
        <f t="shared" si="38"/>
        <v>0</v>
      </c>
      <c r="X64" s="41">
        <v>9382.24</v>
      </c>
      <c r="Y64" s="41">
        <v>0</v>
      </c>
      <c r="Z64" s="41">
        <f t="shared" si="39"/>
        <v>-9382.24</v>
      </c>
      <c r="AA64" s="41">
        <v>0</v>
      </c>
      <c r="AB64" s="41">
        <v>9382.24</v>
      </c>
      <c r="AC64" s="41">
        <f t="shared" si="40"/>
        <v>9382.24</v>
      </c>
      <c r="AD64" s="41">
        <v>0</v>
      </c>
      <c r="AE64" s="41">
        <v>0</v>
      </c>
      <c r="AF64" s="41">
        <f t="shared" si="41"/>
        <v>0</v>
      </c>
      <c r="AG64" s="41">
        <v>86904.48</v>
      </c>
      <c r="AH64" s="41">
        <v>20058.95</v>
      </c>
      <c r="AI64" s="41">
        <f t="shared" si="42"/>
        <v>-66845.53</v>
      </c>
      <c r="AJ64" s="41">
        <v>0</v>
      </c>
      <c r="AK64" s="41">
        <v>0</v>
      </c>
      <c r="AL64" s="41">
        <f t="shared" si="43"/>
        <v>0</v>
      </c>
      <c r="AM64" s="41">
        <v>0</v>
      </c>
      <c r="AN64" s="41">
        <v>0</v>
      </c>
      <c r="AO64" s="41">
        <f t="shared" si="44"/>
        <v>0</v>
      </c>
      <c r="AP64" s="41">
        <v>392823.57</v>
      </c>
      <c r="AQ64" s="41">
        <v>26034.67</v>
      </c>
      <c r="AR64" s="41">
        <f t="shared" si="30"/>
        <v>-366788.9</v>
      </c>
      <c r="AS64" s="41">
        <f t="shared" si="32"/>
        <v>493321.31</v>
      </c>
      <c r="AT64" s="41">
        <f>AN64+AK64+AH64+AE64+AB64+-Y64+V64+S64+P64+AQ64</f>
        <v>59686.880000000005</v>
      </c>
      <c r="AU64" s="522">
        <f t="shared" si="33"/>
        <v>-433634.43000000005</v>
      </c>
      <c r="AV64" s="459">
        <f t="shared" si="16"/>
        <v>0.12098986763819305</v>
      </c>
      <c r="AW64" s="41">
        <v>0</v>
      </c>
      <c r="AX64" s="41">
        <v>0</v>
      </c>
      <c r="AY64" s="41">
        <f t="shared" si="31"/>
        <v>493321.31</v>
      </c>
      <c r="AZ64" s="41">
        <v>59686.87999999999</v>
      </c>
      <c r="BA64" s="552">
        <f t="shared" si="45"/>
        <v>-433634.43</v>
      </c>
      <c r="BB64" s="41">
        <v>3323333.4599999995</v>
      </c>
      <c r="BC64" s="41">
        <v>1282675.04</v>
      </c>
      <c r="BD64" s="41">
        <v>1332893.92</v>
      </c>
      <c r="BE64" s="41">
        <v>1352496.9</v>
      </c>
      <c r="BF64" s="41">
        <v>1087255.3999999999</v>
      </c>
      <c r="BG64" s="41">
        <v>134802.97</v>
      </c>
      <c r="BH64" s="41">
        <v>0</v>
      </c>
      <c r="BI64" s="41">
        <v>9006779</v>
      </c>
      <c r="BJ64" s="75"/>
      <c r="BK64" s="11"/>
      <c r="BL64" s="592" t="s">
        <v>2911</v>
      </c>
      <c r="BM64" s="591"/>
    </row>
    <row r="65" spans="1:114" s="10" customFormat="1" ht="45" customHeight="1" x14ac:dyDescent="0.25">
      <c r="A65" s="474" t="s">
        <v>106</v>
      </c>
      <c r="B65" s="474" t="s">
        <v>107</v>
      </c>
      <c r="C65" s="344" t="s">
        <v>108</v>
      </c>
      <c r="D65" s="474">
        <v>1</v>
      </c>
      <c r="E65" s="474" t="s">
        <v>109</v>
      </c>
      <c r="F65" s="474" t="s">
        <v>5</v>
      </c>
      <c r="G65" s="474" t="s">
        <v>115</v>
      </c>
      <c r="H65" s="43">
        <v>56</v>
      </c>
      <c r="I65" s="43" t="s">
        <v>106</v>
      </c>
      <c r="J65" s="475" t="s">
        <v>111</v>
      </c>
      <c r="K65" s="475" t="s">
        <v>116</v>
      </c>
      <c r="L65" s="41">
        <v>0</v>
      </c>
      <c r="M65" s="41">
        <v>0</v>
      </c>
      <c r="N65" s="41">
        <v>0</v>
      </c>
      <c r="O65" s="41">
        <v>0</v>
      </c>
      <c r="P65" s="41">
        <v>0</v>
      </c>
      <c r="Q65" s="41">
        <f t="shared" si="36"/>
        <v>0</v>
      </c>
      <c r="R65" s="41">
        <v>0</v>
      </c>
      <c r="S65" s="41">
        <v>0</v>
      </c>
      <c r="T65" s="41">
        <f t="shared" si="37"/>
        <v>0</v>
      </c>
      <c r="U65" s="41">
        <v>0</v>
      </c>
      <c r="V65" s="41">
        <v>0</v>
      </c>
      <c r="W65" s="41">
        <f t="shared" si="38"/>
        <v>0</v>
      </c>
      <c r="X65" s="41">
        <v>175928.75999999998</v>
      </c>
      <c r="Y65" s="41">
        <v>175928.75999999998</v>
      </c>
      <c r="Z65" s="41">
        <f t="shared" si="39"/>
        <v>0</v>
      </c>
      <c r="AA65" s="41">
        <v>0</v>
      </c>
      <c r="AB65" s="41">
        <v>0</v>
      </c>
      <c r="AC65" s="41">
        <f t="shared" si="40"/>
        <v>0</v>
      </c>
      <c r="AD65" s="35">
        <v>507503.56999999995</v>
      </c>
      <c r="AE65" s="41">
        <v>4749.8500000000004</v>
      </c>
      <c r="AF65" s="41">
        <f t="shared" si="41"/>
        <v>-502753.72</v>
      </c>
      <c r="AG65" s="41">
        <v>0</v>
      </c>
      <c r="AH65" s="41">
        <v>0</v>
      </c>
      <c r="AI65" s="41">
        <f t="shared" si="42"/>
        <v>0</v>
      </c>
      <c r="AJ65" s="41">
        <v>0</v>
      </c>
      <c r="AK65" s="41">
        <v>0</v>
      </c>
      <c r="AL65" s="41">
        <f t="shared" si="43"/>
        <v>0</v>
      </c>
      <c r="AM65" s="41">
        <v>0</v>
      </c>
      <c r="AN65" s="41">
        <v>5658.07</v>
      </c>
      <c r="AO65" s="41">
        <f t="shared" si="44"/>
        <v>5658.07</v>
      </c>
      <c r="AP65" s="41">
        <v>0</v>
      </c>
      <c r="AQ65" s="41">
        <v>67920.41</v>
      </c>
      <c r="AR65" s="41">
        <f t="shared" si="30"/>
        <v>67920.41</v>
      </c>
      <c r="AS65" s="41">
        <f t="shared" si="32"/>
        <v>683432.33</v>
      </c>
      <c r="AT65" s="41">
        <f t="shared" ref="AT65:AT70" si="46">AN65+AK65+AH65+AE65+AB65+Y65+V65+S65+P65+AQ65</f>
        <v>254257.09</v>
      </c>
      <c r="AU65" s="522">
        <f t="shared" si="33"/>
        <v>-429175.24</v>
      </c>
      <c r="AV65" s="459">
        <f t="shared" si="16"/>
        <v>0.37202964922657378</v>
      </c>
      <c r="AW65" s="41">
        <v>0</v>
      </c>
      <c r="AX65" s="41">
        <v>412417.41</v>
      </c>
      <c r="AY65" s="41">
        <f t="shared" si="31"/>
        <v>1095849.7399999998</v>
      </c>
      <c r="AZ65" s="41">
        <v>496114.77999999991</v>
      </c>
      <c r="BA65" s="550">
        <f t="shared" si="45"/>
        <v>-599734.95999999985</v>
      </c>
      <c r="BB65" s="41">
        <v>186573.78000000003</v>
      </c>
      <c r="BC65" s="41">
        <v>0</v>
      </c>
      <c r="BD65" s="41">
        <v>0</v>
      </c>
      <c r="BE65" s="41">
        <v>0</v>
      </c>
      <c r="BF65" s="41">
        <v>0</v>
      </c>
      <c r="BG65" s="41">
        <v>0</v>
      </c>
      <c r="BH65" s="41">
        <v>0</v>
      </c>
      <c r="BI65" s="41">
        <v>725005.09</v>
      </c>
      <c r="BJ65" s="455" t="s">
        <v>2705</v>
      </c>
      <c r="BK65" s="25" t="s">
        <v>2705</v>
      </c>
      <c r="BL65" s="588" t="s">
        <v>2909</v>
      </c>
      <c r="BM65" s="591"/>
    </row>
    <row r="66" spans="1:114" s="10" customFormat="1" ht="128.25" customHeight="1" x14ac:dyDescent="0.2">
      <c r="A66" s="474" t="s">
        <v>612</v>
      </c>
      <c r="B66" s="474" t="s">
        <v>613</v>
      </c>
      <c r="C66" s="344" t="s">
        <v>614</v>
      </c>
      <c r="D66" s="474">
        <v>1</v>
      </c>
      <c r="E66" s="474" t="s">
        <v>342</v>
      </c>
      <c r="F66" s="474" t="s">
        <v>77</v>
      </c>
      <c r="G66" s="474" t="s">
        <v>615</v>
      </c>
      <c r="H66" s="43">
        <v>57</v>
      </c>
      <c r="I66" s="43" t="s">
        <v>612</v>
      </c>
      <c r="J66" s="475" t="s">
        <v>616</v>
      </c>
      <c r="K66" s="475" t="s">
        <v>617</v>
      </c>
      <c r="L66" s="41">
        <v>0</v>
      </c>
      <c r="M66" s="41">
        <v>0</v>
      </c>
      <c r="N66" s="41">
        <v>90684.13</v>
      </c>
      <c r="O66" s="41">
        <v>97731.3</v>
      </c>
      <c r="P66" s="41">
        <v>97731.3</v>
      </c>
      <c r="Q66" s="41">
        <f t="shared" si="36"/>
        <v>0</v>
      </c>
      <c r="R66" s="41">
        <v>0</v>
      </c>
      <c r="S66" s="41">
        <v>0</v>
      </c>
      <c r="T66" s="41">
        <f t="shared" si="37"/>
        <v>0</v>
      </c>
      <c r="U66" s="41">
        <v>0</v>
      </c>
      <c r="V66" s="41">
        <v>0</v>
      </c>
      <c r="W66" s="41">
        <f t="shared" si="38"/>
        <v>0</v>
      </c>
      <c r="X66" s="41">
        <v>0</v>
      </c>
      <c r="Y66" s="41">
        <v>0</v>
      </c>
      <c r="Z66" s="41">
        <f t="shared" si="39"/>
        <v>0</v>
      </c>
      <c r="AA66" s="41">
        <v>92440.48</v>
      </c>
      <c r="AB66" s="41">
        <v>94093.99</v>
      </c>
      <c r="AC66" s="41">
        <f t="shared" si="40"/>
        <v>1653.5100000000093</v>
      </c>
      <c r="AD66" s="41">
        <v>0</v>
      </c>
      <c r="AE66" s="41">
        <v>0</v>
      </c>
      <c r="AF66" s="41">
        <f t="shared" si="41"/>
        <v>0</v>
      </c>
      <c r="AG66" s="41">
        <v>311745.46000000002</v>
      </c>
      <c r="AH66" s="41">
        <v>191838.75</v>
      </c>
      <c r="AI66" s="41">
        <f t="shared" si="42"/>
        <v>-119906.71000000002</v>
      </c>
      <c r="AJ66" s="41">
        <v>0</v>
      </c>
      <c r="AK66" s="41">
        <v>0</v>
      </c>
      <c r="AL66" s="41">
        <f t="shared" si="43"/>
        <v>0</v>
      </c>
      <c r="AM66" s="41">
        <v>0</v>
      </c>
      <c r="AN66" s="41">
        <v>0</v>
      </c>
      <c r="AO66" s="41">
        <f t="shared" si="44"/>
        <v>0</v>
      </c>
      <c r="AP66" s="41">
        <v>566407.87</v>
      </c>
      <c r="AQ66" s="41">
        <v>256882.37</v>
      </c>
      <c r="AR66" s="41">
        <f t="shared" si="30"/>
        <v>-309525.5</v>
      </c>
      <c r="AS66" s="41">
        <f t="shared" si="32"/>
        <v>1068325.1099999999</v>
      </c>
      <c r="AT66" s="41">
        <f t="shared" si="46"/>
        <v>640546.40999999992</v>
      </c>
      <c r="AU66" s="522">
        <f t="shared" si="33"/>
        <v>-427778.7</v>
      </c>
      <c r="AV66" s="459">
        <f t="shared" si="16"/>
        <v>0.59958003795305348</v>
      </c>
      <c r="AW66" s="41">
        <v>0</v>
      </c>
      <c r="AX66" s="41">
        <v>0</v>
      </c>
      <c r="AY66" s="41">
        <f t="shared" si="31"/>
        <v>1068325.1100000001</v>
      </c>
      <c r="AZ66" s="41">
        <v>1563388.49</v>
      </c>
      <c r="BA66" s="552">
        <f t="shared" si="45"/>
        <v>495063.37999999989</v>
      </c>
      <c r="BB66" s="41">
        <v>2708091.0999999996</v>
      </c>
      <c r="BC66" s="41">
        <v>1534544.32</v>
      </c>
      <c r="BD66" s="41">
        <v>1352232.17</v>
      </c>
      <c r="BE66" s="41">
        <v>1308388.1600000001</v>
      </c>
      <c r="BF66" s="41">
        <v>733692.38</v>
      </c>
      <c r="BG66" s="41">
        <v>107641.63</v>
      </c>
      <c r="BH66" s="41">
        <v>0</v>
      </c>
      <c r="BI66" s="41">
        <v>8903599</v>
      </c>
      <c r="BJ66" s="75"/>
      <c r="BK66" s="11"/>
      <c r="BL66" s="592" t="s">
        <v>2899</v>
      </c>
      <c r="BM66" s="591"/>
    </row>
    <row r="67" spans="1:114" s="10" customFormat="1" ht="53.25" customHeight="1" x14ac:dyDescent="0.25">
      <c r="A67" s="474" t="s">
        <v>95</v>
      </c>
      <c r="B67" s="474" t="s">
        <v>96</v>
      </c>
      <c r="C67" s="344" t="s">
        <v>572</v>
      </c>
      <c r="D67" s="474" t="s">
        <v>3</v>
      </c>
      <c r="E67" s="474" t="s">
        <v>29</v>
      </c>
      <c r="F67" s="474" t="s">
        <v>5</v>
      </c>
      <c r="G67" s="474" t="s">
        <v>97</v>
      </c>
      <c r="H67" s="43">
        <v>58</v>
      </c>
      <c r="I67" s="43" t="s">
        <v>95</v>
      </c>
      <c r="J67" s="475" t="s">
        <v>98</v>
      </c>
      <c r="K67" s="475" t="s">
        <v>99</v>
      </c>
      <c r="L67" s="41">
        <v>0</v>
      </c>
      <c r="M67" s="41">
        <v>0</v>
      </c>
      <c r="N67" s="41">
        <v>17789.87</v>
      </c>
      <c r="O67" s="41">
        <v>0</v>
      </c>
      <c r="P67" s="41">
        <v>0</v>
      </c>
      <c r="Q67" s="41">
        <f t="shared" si="36"/>
        <v>0</v>
      </c>
      <c r="R67" s="41">
        <v>0</v>
      </c>
      <c r="S67" s="41">
        <v>0</v>
      </c>
      <c r="T67" s="41">
        <f t="shared" si="37"/>
        <v>0</v>
      </c>
      <c r="U67" s="41">
        <v>0</v>
      </c>
      <c r="V67" s="41">
        <v>0</v>
      </c>
      <c r="W67" s="41">
        <f t="shared" si="38"/>
        <v>0</v>
      </c>
      <c r="X67" s="41">
        <v>11050</v>
      </c>
      <c r="Y67" s="41">
        <v>11046.09</v>
      </c>
      <c r="Z67" s="41">
        <f t="shared" si="39"/>
        <v>-3.9099999999998545</v>
      </c>
      <c r="AA67" s="41">
        <v>0</v>
      </c>
      <c r="AB67" s="41">
        <v>0</v>
      </c>
      <c r="AC67" s="41">
        <f t="shared" si="40"/>
        <v>0</v>
      </c>
      <c r="AD67" s="41">
        <v>0</v>
      </c>
      <c r="AE67" s="41">
        <v>0</v>
      </c>
      <c r="AF67" s="41">
        <f t="shared" si="41"/>
        <v>0</v>
      </c>
      <c r="AG67" s="41">
        <v>471100.6</v>
      </c>
      <c r="AH67" s="41">
        <v>0</v>
      </c>
      <c r="AI67" s="41">
        <f t="shared" si="42"/>
        <v>-471100.6</v>
      </c>
      <c r="AJ67" s="41">
        <v>0</v>
      </c>
      <c r="AK67" s="41">
        <v>0</v>
      </c>
      <c r="AL67" s="41">
        <f t="shared" si="43"/>
        <v>0</v>
      </c>
      <c r="AM67" s="41">
        <v>0</v>
      </c>
      <c r="AN67" s="41">
        <v>0</v>
      </c>
      <c r="AO67" s="41">
        <f t="shared" si="44"/>
        <v>0</v>
      </c>
      <c r="AP67" s="41">
        <v>138747.20000000001</v>
      </c>
      <c r="AQ67" s="41">
        <v>186740.01</v>
      </c>
      <c r="AR67" s="41">
        <f t="shared" si="30"/>
        <v>47992.81</v>
      </c>
      <c r="AS67" s="41">
        <f t="shared" si="32"/>
        <v>620897.80000000005</v>
      </c>
      <c r="AT67" s="41">
        <f t="shared" si="46"/>
        <v>197786.1</v>
      </c>
      <c r="AU67" s="522">
        <f t="shared" si="33"/>
        <v>-423111.69999999995</v>
      </c>
      <c r="AV67" s="459">
        <f t="shared" si="16"/>
        <v>0.318548559843504</v>
      </c>
      <c r="AW67" s="41">
        <v>0</v>
      </c>
      <c r="AX67" s="41">
        <v>0</v>
      </c>
      <c r="AY67" s="41">
        <f t="shared" si="31"/>
        <v>620897.80000000005</v>
      </c>
      <c r="AZ67" s="41">
        <v>197786.1</v>
      </c>
      <c r="BA67" s="552">
        <f t="shared" si="45"/>
        <v>-423111.70000000007</v>
      </c>
      <c r="BB67" s="41">
        <v>3030445.82</v>
      </c>
      <c r="BC67" s="41">
        <v>1547000</v>
      </c>
      <c r="BD67" s="41">
        <v>1334500</v>
      </c>
      <c r="BE67" s="41">
        <v>109350.51</v>
      </c>
      <c r="BF67" s="41">
        <v>0</v>
      </c>
      <c r="BG67" s="41">
        <v>0</v>
      </c>
      <c r="BH67" s="41">
        <v>0</v>
      </c>
      <c r="BI67" s="41">
        <v>6659984</v>
      </c>
      <c r="BJ67" s="451" t="s">
        <v>2708</v>
      </c>
      <c r="BK67" s="25" t="s">
        <v>2756</v>
      </c>
      <c r="BL67" s="595" t="s">
        <v>2756</v>
      </c>
      <c r="BM67" s="591" t="s">
        <v>2902</v>
      </c>
    </row>
    <row r="68" spans="1:114" s="10" customFormat="1" ht="135" customHeight="1" x14ac:dyDescent="0.25">
      <c r="A68" s="474" t="s">
        <v>350</v>
      </c>
      <c r="B68" s="474" t="s">
        <v>364</v>
      </c>
      <c r="C68" s="344" t="s">
        <v>600</v>
      </c>
      <c r="D68" s="474" t="s">
        <v>3</v>
      </c>
      <c r="E68" s="474" t="s">
        <v>210</v>
      </c>
      <c r="F68" s="474" t="s">
        <v>77</v>
      </c>
      <c r="G68" s="474" t="s">
        <v>365</v>
      </c>
      <c r="H68" s="43">
        <v>59</v>
      </c>
      <c r="I68" s="43" t="s">
        <v>350</v>
      </c>
      <c r="J68" s="475" t="s">
        <v>366</v>
      </c>
      <c r="K68" s="475" t="s">
        <v>367</v>
      </c>
      <c r="L68" s="41">
        <v>0</v>
      </c>
      <c r="M68" s="41">
        <v>0</v>
      </c>
      <c r="N68" s="41">
        <v>69814.099999999991</v>
      </c>
      <c r="O68" s="41">
        <v>53771.65</v>
      </c>
      <c r="P68" s="41">
        <v>53771.65</v>
      </c>
      <c r="Q68" s="41">
        <f t="shared" si="36"/>
        <v>0</v>
      </c>
      <c r="R68" s="41">
        <v>0</v>
      </c>
      <c r="S68" s="41">
        <v>0</v>
      </c>
      <c r="T68" s="41">
        <f t="shared" si="37"/>
        <v>0</v>
      </c>
      <c r="U68" s="41">
        <v>0</v>
      </c>
      <c r="V68" s="41">
        <v>0</v>
      </c>
      <c r="W68" s="41">
        <f t="shared" si="38"/>
        <v>0</v>
      </c>
      <c r="X68" s="41">
        <v>58715.08</v>
      </c>
      <c r="Y68" s="41">
        <v>57125.22</v>
      </c>
      <c r="Z68" s="41">
        <f t="shared" si="39"/>
        <v>-1589.8600000000006</v>
      </c>
      <c r="AA68" s="41">
        <v>0</v>
      </c>
      <c r="AB68" s="41">
        <v>0</v>
      </c>
      <c r="AC68" s="41">
        <f t="shared" si="40"/>
        <v>0</v>
      </c>
      <c r="AD68" s="41">
        <v>0</v>
      </c>
      <c r="AE68" s="41">
        <v>0</v>
      </c>
      <c r="AF68" s="41">
        <f t="shared" si="41"/>
        <v>0</v>
      </c>
      <c r="AG68" s="41">
        <v>296310.96999999997</v>
      </c>
      <c r="AH68" s="41">
        <v>110482.04</v>
      </c>
      <c r="AI68" s="41">
        <f t="shared" si="42"/>
        <v>-185828.93</v>
      </c>
      <c r="AJ68" s="41">
        <v>0</v>
      </c>
      <c r="AK68" s="41">
        <v>0</v>
      </c>
      <c r="AL68" s="41">
        <f t="shared" si="43"/>
        <v>0</v>
      </c>
      <c r="AM68" s="41">
        <v>0</v>
      </c>
      <c r="AN68" s="41">
        <v>0</v>
      </c>
      <c r="AO68" s="41">
        <f t="shared" si="44"/>
        <v>0</v>
      </c>
      <c r="AP68" s="41">
        <v>346059.86</v>
      </c>
      <c r="AQ68" s="41">
        <v>111076.83</v>
      </c>
      <c r="AR68" s="41">
        <f t="shared" si="30"/>
        <v>-234983.02999999997</v>
      </c>
      <c r="AS68" s="41">
        <f t="shared" si="32"/>
        <v>754857.56</v>
      </c>
      <c r="AT68" s="41">
        <f t="shared" si="46"/>
        <v>332455.74</v>
      </c>
      <c r="AU68" s="522">
        <f t="shared" si="33"/>
        <v>-422401.81999999995</v>
      </c>
      <c r="AV68" s="459">
        <f t="shared" si="16"/>
        <v>0.44042181944895664</v>
      </c>
      <c r="AW68" s="41">
        <v>0</v>
      </c>
      <c r="AX68" s="41">
        <v>0</v>
      </c>
      <c r="AY68" s="41">
        <f t="shared" si="31"/>
        <v>754857.55999999994</v>
      </c>
      <c r="AZ68" s="41">
        <v>332455.74</v>
      </c>
      <c r="BA68" s="552">
        <f t="shared" si="45"/>
        <v>-422401.81999999995</v>
      </c>
      <c r="BB68" s="41">
        <v>1570067.9600000002</v>
      </c>
      <c r="BC68" s="41">
        <v>1166296.7</v>
      </c>
      <c r="BD68" s="41">
        <v>843744.74</v>
      </c>
      <c r="BE68" s="41">
        <v>768554.12</v>
      </c>
      <c r="BF68" s="41">
        <v>531421.85</v>
      </c>
      <c r="BG68" s="41">
        <v>86330.97</v>
      </c>
      <c r="BH68" s="41">
        <v>0</v>
      </c>
      <c r="BI68" s="41">
        <v>5791088</v>
      </c>
      <c r="BJ68" s="75"/>
      <c r="BK68" s="25"/>
      <c r="BL68" s="592" t="s">
        <v>2897</v>
      </c>
      <c r="BM68" s="591"/>
    </row>
    <row r="69" spans="1:114" s="10" customFormat="1" ht="92.25" customHeight="1" x14ac:dyDescent="0.25">
      <c r="A69" s="474" t="s">
        <v>106</v>
      </c>
      <c r="B69" s="474" t="s">
        <v>107</v>
      </c>
      <c r="C69" s="344" t="s">
        <v>108</v>
      </c>
      <c r="D69" s="474">
        <v>1</v>
      </c>
      <c r="E69" s="474" t="s">
        <v>109</v>
      </c>
      <c r="F69" s="474" t="s">
        <v>5</v>
      </c>
      <c r="G69" s="474" t="s">
        <v>113</v>
      </c>
      <c r="H69" s="43">
        <v>60</v>
      </c>
      <c r="I69" s="43" t="s">
        <v>106</v>
      </c>
      <c r="J69" s="475" t="s">
        <v>111</v>
      </c>
      <c r="K69" s="475" t="s">
        <v>114</v>
      </c>
      <c r="L69" s="41">
        <v>0</v>
      </c>
      <c r="M69" s="41">
        <v>0</v>
      </c>
      <c r="N69" s="41">
        <v>0</v>
      </c>
      <c r="O69" s="41">
        <v>0</v>
      </c>
      <c r="P69" s="41">
        <v>0</v>
      </c>
      <c r="Q69" s="41">
        <f t="shared" si="36"/>
        <v>0</v>
      </c>
      <c r="R69" s="41">
        <v>0</v>
      </c>
      <c r="S69" s="41">
        <v>0</v>
      </c>
      <c r="T69" s="41">
        <f t="shared" si="37"/>
        <v>0</v>
      </c>
      <c r="U69" s="41">
        <v>0</v>
      </c>
      <c r="V69" s="41">
        <v>0</v>
      </c>
      <c r="W69" s="41">
        <f t="shared" si="38"/>
        <v>0</v>
      </c>
      <c r="X69" s="41">
        <v>152803.26999999999</v>
      </c>
      <c r="Y69" s="41">
        <v>152803.26999999999</v>
      </c>
      <c r="Z69" s="41">
        <f t="shared" si="39"/>
        <v>0</v>
      </c>
      <c r="AA69" s="41">
        <v>0</v>
      </c>
      <c r="AB69" s="41">
        <v>0</v>
      </c>
      <c r="AC69" s="41">
        <f t="shared" si="40"/>
        <v>0</v>
      </c>
      <c r="AD69" s="35">
        <v>428364.24</v>
      </c>
      <c r="AE69" s="41">
        <v>4035.32</v>
      </c>
      <c r="AF69" s="41">
        <f t="shared" si="41"/>
        <v>-424328.92</v>
      </c>
      <c r="AG69" s="41">
        <v>0</v>
      </c>
      <c r="AH69" s="41">
        <v>0</v>
      </c>
      <c r="AI69" s="41">
        <f t="shared" si="42"/>
        <v>0</v>
      </c>
      <c r="AJ69" s="41">
        <v>0</v>
      </c>
      <c r="AK69" s="41">
        <v>0</v>
      </c>
      <c r="AL69" s="41">
        <f t="shared" si="43"/>
        <v>0</v>
      </c>
      <c r="AM69" s="41">
        <v>0</v>
      </c>
      <c r="AN69" s="41">
        <v>5677.27</v>
      </c>
      <c r="AO69" s="41">
        <f t="shared" si="44"/>
        <v>5677.27</v>
      </c>
      <c r="AP69" s="41">
        <v>0</v>
      </c>
      <c r="AQ69" s="41">
        <v>1460.33</v>
      </c>
      <c r="AR69" s="41">
        <f t="shared" si="30"/>
        <v>1460.33</v>
      </c>
      <c r="AS69" s="41">
        <f t="shared" si="32"/>
        <v>581167.51</v>
      </c>
      <c r="AT69" s="41">
        <f t="shared" si="46"/>
        <v>163976.18999999997</v>
      </c>
      <c r="AU69" s="522">
        <f t="shared" si="33"/>
        <v>-417191.31999999995</v>
      </c>
      <c r="AV69" s="459">
        <f t="shared" si="16"/>
        <v>0.28214961638168651</v>
      </c>
      <c r="AW69" s="41">
        <v>0</v>
      </c>
      <c r="AX69" s="41">
        <v>350905.08</v>
      </c>
      <c r="AY69" s="41">
        <f t="shared" si="31"/>
        <v>932072.59</v>
      </c>
      <c r="AZ69" s="41">
        <v>451253.13</v>
      </c>
      <c r="BA69" s="552">
        <f t="shared" si="45"/>
        <v>-480819.45999999996</v>
      </c>
      <c r="BB69" s="41">
        <v>261411.75</v>
      </c>
      <c r="BC69" s="41">
        <v>0</v>
      </c>
      <c r="BD69" s="41">
        <v>0</v>
      </c>
      <c r="BE69" s="41">
        <v>0</v>
      </c>
      <c r="BF69" s="41">
        <v>0</v>
      </c>
      <c r="BG69" s="41">
        <v>0</v>
      </c>
      <c r="BH69" s="41">
        <v>0</v>
      </c>
      <c r="BI69" s="41">
        <v>611948.91999999993</v>
      </c>
      <c r="BJ69" s="455" t="s">
        <v>952</v>
      </c>
      <c r="BK69" s="25" t="s">
        <v>2759</v>
      </c>
      <c r="BL69" s="595" t="s">
        <v>2932</v>
      </c>
      <c r="BM69" s="591" t="s">
        <v>2902</v>
      </c>
    </row>
    <row r="70" spans="1:114" s="10" customFormat="1" ht="38.25" x14ac:dyDescent="0.25">
      <c r="A70" s="474" t="s">
        <v>340</v>
      </c>
      <c r="B70" s="474" t="s">
        <v>341</v>
      </c>
      <c r="C70" s="344" t="s">
        <v>596</v>
      </c>
      <c r="D70" s="474" t="s">
        <v>3</v>
      </c>
      <c r="E70" s="474" t="s">
        <v>342</v>
      </c>
      <c r="F70" s="474" t="s">
        <v>77</v>
      </c>
      <c r="G70" s="474" t="s">
        <v>343</v>
      </c>
      <c r="H70" s="43">
        <v>61</v>
      </c>
      <c r="I70" s="43" t="s">
        <v>340</v>
      </c>
      <c r="J70" s="475" t="s">
        <v>344</v>
      </c>
      <c r="K70" s="475" t="s">
        <v>345</v>
      </c>
      <c r="L70" s="41">
        <v>0</v>
      </c>
      <c r="M70" s="41">
        <v>0</v>
      </c>
      <c r="N70" s="41">
        <v>0</v>
      </c>
      <c r="O70" s="41">
        <v>0</v>
      </c>
      <c r="P70" s="41">
        <v>0</v>
      </c>
      <c r="Q70" s="41">
        <f t="shared" si="36"/>
        <v>0</v>
      </c>
      <c r="R70" s="41">
        <v>0</v>
      </c>
      <c r="S70" s="41">
        <v>0</v>
      </c>
      <c r="T70" s="41">
        <f t="shared" si="37"/>
        <v>0</v>
      </c>
      <c r="U70" s="41">
        <v>0</v>
      </c>
      <c r="V70" s="41">
        <v>0</v>
      </c>
      <c r="W70" s="41">
        <f t="shared" si="38"/>
        <v>0</v>
      </c>
      <c r="X70" s="41">
        <v>112322.09</v>
      </c>
      <c r="Y70" s="41">
        <v>53174.38</v>
      </c>
      <c r="Z70" s="41">
        <f t="shared" si="39"/>
        <v>-59147.71</v>
      </c>
      <c r="AA70" s="41">
        <v>0</v>
      </c>
      <c r="AB70" s="41">
        <v>0</v>
      </c>
      <c r="AC70" s="41">
        <f t="shared" si="40"/>
        <v>0</v>
      </c>
      <c r="AD70" s="41">
        <v>0</v>
      </c>
      <c r="AE70" s="41">
        <v>0</v>
      </c>
      <c r="AF70" s="41">
        <f t="shared" si="41"/>
        <v>0</v>
      </c>
      <c r="AG70" s="41">
        <v>171635.92</v>
      </c>
      <c r="AH70" s="41">
        <v>48378.8</v>
      </c>
      <c r="AI70" s="41">
        <f t="shared" si="42"/>
        <v>-123257.12000000001</v>
      </c>
      <c r="AJ70" s="41">
        <v>0</v>
      </c>
      <c r="AK70" s="41">
        <v>0</v>
      </c>
      <c r="AL70" s="41">
        <f t="shared" si="43"/>
        <v>0</v>
      </c>
      <c r="AM70" s="41">
        <v>0</v>
      </c>
      <c r="AN70" s="41">
        <v>0</v>
      </c>
      <c r="AO70" s="41">
        <f t="shared" si="44"/>
        <v>0</v>
      </c>
      <c r="AP70" s="41">
        <v>231649.98</v>
      </c>
      <c r="AQ70" s="41">
        <v>0</v>
      </c>
      <c r="AR70" s="41">
        <f t="shared" si="30"/>
        <v>-231649.98</v>
      </c>
      <c r="AS70" s="41">
        <f t="shared" si="32"/>
        <v>515607.99</v>
      </c>
      <c r="AT70" s="41">
        <f t="shared" si="46"/>
        <v>101553.18</v>
      </c>
      <c r="AU70" s="522">
        <f t="shared" si="33"/>
        <v>-414054.81000000006</v>
      </c>
      <c r="AV70" s="459">
        <f t="shared" si="16"/>
        <v>0.19695811928748427</v>
      </c>
      <c r="AW70" s="41">
        <v>0</v>
      </c>
      <c r="AX70" s="41">
        <v>0</v>
      </c>
      <c r="AY70" s="41">
        <f t="shared" si="31"/>
        <v>515607.99</v>
      </c>
      <c r="AZ70" s="41">
        <v>150899.08000000002</v>
      </c>
      <c r="BA70" s="552">
        <f t="shared" si="45"/>
        <v>-364708.91</v>
      </c>
      <c r="BB70" s="41">
        <v>775862.36</v>
      </c>
      <c r="BC70" s="41">
        <v>672028.23</v>
      </c>
      <c r="BD70" s="41">
        <v>657800.28</v>
      </c>
      <c r="BE70" s="41">
        <v>676517.28</v>
      </c>
      <c r="BF70" s="41">
        <v>663215.85000000009</v>
      </c>
      <c r="BG70" s="41">
        <v>164181.01</v>
      </c>
      <c r="BH70" s="41">
        <v>0</v>
      </c>
      <c r="BI70" s="41">
        <v>4125213.0000000009</v>
      </c>
      <c r="BJ70" s="75"/>
      <c r="BK70" s="25"/>
      <c r="BL70" s="592" t="s">
        <v>2898</v>
      </c>
      <c r="BM70" s="591"/>
    </row>
    <row r="71" spans="1:114" s="8" customFormat="1" ht="51" customHeight="1" x14ac:dyDescent="0.25">
      <c r="A71" s="474" t="s">
        <v>172</v>
      </c>
      <c r="B71" s="474" t="s">
        <v>173</v>
      </c>
      <c r="C71" s="344" t="s">
        <v>579</v>
      </c>
      <c r="D71" s="474" t="s">
        <v>3</v>
      </c>
      <c r="E71" s="474" t="s">
        <v>29</v>
      </c>
      <c r="F71" s="474" t="s">
        <v>5</v>
      </c>
      <c r="G71" s="474" t="s">
        <v>190</v>
      </c>
      <c r="H71" s="43">
        <v>62</v>
      </c>
      <c r="I71" s="43" t="s">
        <v>172</v>
      </c>
      <c r="J71" s="475" t="s">
        <v>98</v>
      </c>
      <c r="K71" s="475" t="s">
        <v>191</v>
      </c>
      <c r="L71" s="41">
        <v>0</v>
      </c>
      <c r="M71" s="41">
        <v>0</v>
      </c>
      <c r="N71" s="41">
        <v>6264562.7599999998</v>
      </c>
      <c r="O71" s="41">
        <v>0</v>
      </c>
      <c r="P71" s="41">
        <v>0</v>
      </c>
      <c r="Q71" s="41">
        <f t="shared" si="36"/>
        <v>0</v>
      </c>
      <c r="R71" s="41">
        <v>0</v>
      </c>
      <c r="S71" s="41">
        <v>0</v>
      </c>
      <c r="T71" s="41">
        <f t="shared" si="37"/>
        <v>0</v>
      </c>
      <c r="U71" s="41">
        <v>1944909.51</v>
      </c>
      <c r="V71" s="41">
        <v>1944909.51</v>
      </c>
      <c r="W71" s="41">
        <f t="shared" si="38"/>
        <v>0</v>
      </c>
      <c r="X71" s="41">
        <v>0</v>
      </c>
      <c r="Y71" s="41">
        <v>0</v>
      </c>
      <c r="Z71" s="41">
        <f t="shared" si="39"/>
        <v>0</v>
      </c>
      <c r="AA71" s="41">
        <v>0</v>
      </c>
      <c r="AB71" s="41">
        <v>0</v>
      </c>
      <c r="AC71" s="41">
        <f t="shared" si="40"/>
        <v>0</v>
      </c>
      <c r="AD71" s="41">
        <v>0</v>
      </c>
      <c r="AE71" s="41">
        <v>0</v>
      </c>
      <c r="AF71" s="41">
        <f t="shared" si="41"/>
        <v>0</v>
      </c>
      <c r="AG71" s="41">
        <v>0</v>
      </c>
      <c r="AH71" s="41">
        <v>0</v>
      </c>
      <c r="AI71" s="41">
        <f t="shared" si="42"/>
        <v>0</v>
      </c>
      <c r="AJ71" s="41">
        <v>0</v>
      </c>
      <c r="AK71" s="41">
        <v>0</v>
      </c>
      <c r="AL71" s="41">
        <f t="shared" si="43"/>
        <v>0</v>
      </c>
      <c r="AM71" s="41">
        <v>2782399.35</v>
      </c>
      <c r="AN71" s="41">
        <v>2402107.29</v>
      </c>
      <c r="AO71" s="41">
        <f t="shared" si="44"/>
        <v>-380292.06000000006</v>
      </c>
      <c r="AP71" s="41">
        <v>0</v>
      </c>
      <c r="AQ71" s="41">
        <v>0</v>
      </c>
      <c r="AR71" s="41">
        <f t="shared" si="30"/>
        <v>0</v>
      </c>
      <c r="AS71" s="41">
        <f t="shared" si="32"/>
        <v>4727308.8600000003</v>
      </c>
      <c r="AT71" s="41">
        <f>AN71+AK71+AH71+AE71+AB71+-Y71+V71+S71+P71+AQ71</f>
        <v>4347016.8</v>
      </c>
      <c r="AU71" s="522">
        <f t="shared" si="33"/>
        <v>-380292.06000000006</v>
      </c>
      <c r="AV71" s="459">
        <f t="shared" si="16"/>
        <v>0.91955421757655142</v>
      </c>
      <c r="AW71" s="41">
        <v>0</v>
      </c>
      <c r="AX71" s="41">
        <v>1159230.1399999999</v>
      </c>
      <c r="AY71" s="41">
        <f t="shared" si="31"/>
        <v>5886539</v>
      </c>
      <c r="AZ71" s="41">
        <v>4807208.5</v>
      </c>
      <c r="BA71" s="550">
        <f t="shared" si="45"/>
        <v>-1079330.5</v>
      </c>
      <c r="BB71" s="41">
        <v>0</v>
      </c>
      <c r="BC71" s="41">
        <v>0</v>
      </c>
      <c r="BD71" s="41">
        <v>0</v>
      </c>
      <c r="BE71" s="41">
        <v>0</v>
      </c>
      <c r="BF71" s="41">
        <v>0</v>
      </c>
      <c r="BG71" s="41">
        <v>0</v>
      </c>
      <c r="BH71" s="41">
        <v>0</v>
      </c>
      <c r="BI71" s="41">
        <v>12151101.76</v>
      </c>
      <c r="BJ71" s="75"/>
      <c r="BK71" s="24"/>
      <c r="BL71" s="588" t="s">
        <v>2955</v>
      </c>
      <c r="BM71" s="591"/>
      <c r="BN71" s="432"/>
      <c r="BO71" s="432"/>
      <c r="BP71" s="432"/>
      <c r="BQ71" s="463"/>
      <c r="BR71" s="465"/>
      <c r="BS71" s="465"/>
      <c r="BT71" s="465"/>
      <c r="BU71" s="465"/>
      <c r="BV71" s="465"/>
      <c r="BW71" s="465"/>
      <c r="BX71" s="465"/>
      <c r="BY71" s="465"/>
      <c r="BZ71" s="465"/>
      <c r="CA71" s="465"/>
      <c r="CB71" s="465"/>
      <c r="CC71" s="465"/>
      <c r="CD71" s="465"/>
      <c r="CE71" s="465"/>
      <c r="CF71" s="432"/>
      <c r="CG71" s="432"/>
      <c r="CH71" s="432"/>
      <c r="CI71" s="432"/>
      <c r="CJ71" s="463"/>
      <c r="CK71" s="432"/>
      <c r="CL71" s="432"/>
      <c r="CM71" s="432"/>
      <c r="CN71" s="432"/>
      <c r="CO71" s="432"/>
      <c r="CP71" s="432"/>
      <c r="CQ71" s="462"/>
      <c r="CR71" s="432"/>
      <c r="CS71" s="432"/>
      <c r="CT71" s="432"/>
      <c r="CU71" s="432"/>
      <c r="CV71" s="432"/>
      <c r="CW71" s="432"/>
      <c r="CX71" s="432"/>
      <c r="CY71" s="432"/>
      <c r="CZ71" s="464"/>
      <c r="DA71" s="461"/>
      <c r="DJ71" s="74"/>
    </row>
    <row r="72" spans="1:114" s="10" customFormat="1" ht="64.5" customHeight="1" x14ac:dyDescent="0.25">
      <c r="A72" s="474" t="s">
        <v>172</v>
      </c>
      <c r="B72" s="474" t="s">
        <v>173</v>
      </c>
      <c r="C72" s="344" t="s">
        <v>579</v>
      </c>
      <c r="D72" s="474" t="s">
        <v>3</v>
      </c>
      <c r="E72" s="474" t="s">
        <v>29</v>
      </c>
      <c r="F72" s="474" t="s">
        <v>5</v>
      </c>
      <c r="G72" s="474" t="s">
        <v>192</v>
      </c>
      <c r="H72" s="43">
        <v>63</v>
      </c>
      <c r="I72" s="43" t="s">
        <v>172</v>
      </c>
      <c r="J72" s="475" t="s">
        <v>98</v>
      </c>
      <c r="K72" s="475" t="s">
        <v>193</v>
      </c>
      <c r="L72" s="41">
        <v>0</v>
      </c>
      <c r="M72" s="41">
        <v>0</v>
      </c>
      <c r="N72" s="41">
        <v>2720576.09</v>
      </c>
      <c r="O72" s="41">
        <v>0</v>
      </c>
      <c r="P72" s="41">
        <v>0</v>
      </c>
      <c r="Q72" s="41">
        <f t="shared" si="36"/>
        <v>0</v>
      </c>
      <c r="R72" s="41">
        <v>0</v>
      </c>
      <c r="S72" s="41">
        <v>0</v>
      </c>
      <c r="T72" s="41">
        <f t="shared" si="37"/>
        <v>0</v>
      </c>
      <c r="U72" s="41">
        <v>753718.47</v>
      </c>
      <c r="V72" s="41">
        <v>753718.47</v>
      </c>
      <c r="W72" s="41">
        <f t="shared" si="38"/>
        <v>0</v>
      </c>
      <c r="X72" s="41">
        <v>0</v>
      </c>
      <c r="Y72" s="41">
        <v>0</v>
      </c>
      <c r="Z72" s="41">
        <f t="shared" si="39"/>
        <v>0</v>
      </c>
      <c r="AA72" s="41">
        <v>0</v>
      </c>
      <c r="AB72" s="41">
        <v>0</v>
      </c>
      <c r="AC72" s="41">
        <f t="shared" si="40"/>
        <v>0</v>
      </c>
      <c r="AD72" s="41">
        <v>0</v>
      </c>
      <c r="AE72" s="41">
        <v>0</v>
      </c>
      <c r="AF72" s="41">
        <f t="shared" si="41"/>
        <v>0</v>
      </c>
      <c r="AG72" s="41">
        <v>0</v>
      </c>
      <c r="AH72" s="41">
        <v>0</v>
      </c>
      <c r="AI72" s="41">
        <f t="shared" si="42"/>
        <v>0</v>
      </c>
      <c r="AJ72" s="41">
        <v>0</v>
      </c>
      <c r="AK72" s="41">
        <v>0</v>
      </c>
      <c r="AL72" s="41">
        <f t="shared" si="43"/>
        <v>0</v>
      </c>
      <c r="AM72" s="41">
        <v>1622807.25</v>
      </c>
      <c r="AN72" s="41">
        <v>1259355.18</v>
      </c>
      <c r="AO72" s="41">
        <f t="shared" si="44"/>
        <v>-363452.07000000007</v>
      </c>
      <c r="AP72" s="41">
        <v>0</v>
      </c>
      <c r="AQ72" s="41">
        <v>0</v>
      </c>
      <c r="AR72" s="41">
        <f t="shared" si="30"/>
        <v>0</v>
      </c>
      <c r="AS72" s="41">
        <f t="shared" si="32"/>
        <v>2376525.7199999997</v>
      </c>
      <c r="AT72" s="41">
        <f>AN72+AK72+AH72+AE72+AB72+-Y72+V72+S72+P72+AQ72</f>
        <v>2013073.65</v>
      </c>
      <c r="AU72" s="522">
        <f t="shared" si="33"/>
        <v>-363452.07000000007</v>
      </c>
      <c r="AV72" s="459">
        <f t="shared" si="16"/>
        <v>0.84706579569439722</v>
      </c>
      <c r="AW72" s="41">
        <v>0</v>
      </c>
      <c r="AX72" s="41">
        <v>988426.75</v>
      </c>
      <c r="AY72" s="41">
        <f t="shared" si="31"/>
        <v>3364952.4699999997</v>
      </c>
      <c r="AZ72" s="41">
        <v>3364952.4699999997</v>
      </c>
      <c r="BA72" s="552">
        <f t="shared" si="45"/>
        <v>0</v>
      </c>
      <c r="BB72" s="41">
        <v>500950.02</v>
      </c>
      <c r="BC72" s="41">
        <v>0</v>
      </c>
      <c r="BD72" s="41">
        <v>0</v>
      </c>
      <c r="BE72" s="41">
        <v>0</v>
      </c>
      <c r="BF72" s="41">
        <v>0</v>
      </c>
      <c r="BG72" s="41">
        <v>0</v>
      </c>
      <c r="BH72" s="41">
        <v>0</v>
      </c>
      <c r="BI72" s="41">
        <v>6586478.5800000001</v>
      </c>
      <c r="BJ72" s="75"/>
      <c r="BK72" s="24"/>
      <c r="BL72" s="588" t="s">
        <v>2951</v>
      </c>
      <c r="BM72" s="591"/>
    </row>
    <row r="73" spans="1:114" s="10" customFormat="1" ht="78.75" x14ac:dyDescent="0.25">
      <c r="A73" s="478" t="s">
        <v>150</v>
      </c>
      <c r="B73" s="478" t="s">
        <v>151</v>
      </c>
      <c r="C73" s="489" t="s">
        <v>578</v>
      </c>
      <c r="D73" s="478" t="s">
        <v>3</v>
      </c>
      <c r="E73" s="478" t="s">
        <v>29</v>
      </c>
      <c r="F73" s="478" t="s">
        <v>102</v>
      </c>
      <c r="G73" s="478" t="s">
        <v>627</v>
      </c>
      <c r="H73" s="43">
        <v>64</v>
      </c>
      <c r="I73" s="478" t="s">
        <v>150</v>
      </c>
      <c r="J73" s="489" t="s">
        <v>98</v>
      </c>
      <c r="K73" s="489" t="s">
        <v>628</v>
      </c>
      <c r="L73" s="40">
        <v>0</v>
      </c>
      <c r="M73" s="40">
        <v>1818178.5600000001</v>
      </c>
      <c r="N73" s="40">
        <v>9496003.2400000002</v>
      </c>
      <c r="O73" s="40">
        <v>660990.02</v>
      </c>
      <c r="P73" s="40">
        <v>661109.02</v>
      </c>
      <c r="Q73" s="41">
        <f t="shared" si="36"/>
        <v>119</v>
      </c>
      <c r="R73" s="40">
        <v>0</v>
      </c>
      <c r="S73" s="40">
        <v>0</v>
      </c>
      <c r="T73" s="41">
        <f t="shared" si="37"/>
        <v>0</v>
      </c>
      <c r="U73" s="40">
        <v>0</v>
      </c>
      <c r="V73" s="40">
        <v>0</v>
      </c>
      <c r="W73" s="41">
        <f t="shared" si="38"/>
        <v>0</v>
      </c>
      <c r="X73" s="40">
        <v>0</v>
      </c>
      <c r="Y73" s="40">
        <v>100807.42</v>
      </c>
      <c r="Z73" s="41">
        <f t="shared" si="39"/>
        <v>100807.42</v>
      </c>
      <c r="AA73" s="40">
        <v>0</v>
      </c>
      <c r="AB73" s="40">
        <v>0</v>
      </c>
      <c r="AC73" s="41">
        <f t="shared" si="40"/>
        <v>0</v>
      </c>
      <c r="AD73" s="40">
        <v>0</v>
      </c>
      <c r="AE73" s="41">
        <v>0</v>
      </c>
      <c r="AF73" s="41">
        <f t="shared" si="41"/>
        <v>0</v>
      </c>
      <c r="AG73" s="40">
        <v>557302.92000000004</v>
      </c>
      <c r="AH73" s="41">
        <v>0</v>
      </c>
      <c r="AI73" s="41">
        <f t="shared" si="42"/>
        <v>-557302.92000000004</v>
      </c>
      <c r="AJ73" s="40">
        <v>0</v>
      </c>
      <c r="AK73" s="41">
        <v>0</v>
      </c>
      <c r="AL73" s="41">
        <f t="shared" si="43"/>
        <v>0</v>
      </c>
      <c r="AM73" s="40">
        <v>0</v>
      </c>
      <c r="AN73" s="41">
        <v>0</v>
      </c>
      <c r="AO73" s="41">
        <f t="shared" si="44"/>
        <v>0</v>
      </c>
      <c r="AP73" s="40">
        <v>0</v>
      </c>
      <c r="AQ73" s="41">
        <v>119189.24</v>
      </c>
      <c r="AR73" s="41">
        <f t="shared" si="30"/>
        <v>119189.24</v>
      </c>
      <c r="AS73" s="41">
        <f t="shared" si="32"/>
        <v>1218292.94</v>
      </c>
      <c r="AT73" s="41">
        <f t="shared" ref="AT73:AT78" si="47">AN73+AK73+AH73+AE73+AB73+Y73+V73+S73+P73+AQ73</f>
        <v>881105.68</v>
      </c>
      <c r="AU73" s="522">
        <f t="shared" si="33"/>
        <v>-337187.26000000007</v>
      </c>
      <c r="AV73" s="459">
        <f t="shared" si="16"/>
        <v>0.72322973487804998</v>
      </c>
      <c r="AW73" s="40">
        <v>0</v>
      </c>
      <c r="AX73" s="40">
        <v>0</v>
      </c>
      <c r="AY73" s="41">
        <f t="shared" si="31"/>
        <v>1218292.94</v>
      </c>
      <c r="AZ73" s="41">
        <v>881105.68</v>
      </c>
      <c r="BA73" s="552">
        <f t="shared" si="45"/>
        <v>-337187.25999999989</v>
      </c>
      <c r="BB73" s="40">
        <v>0</v>
      </c>
      <c r="BC73" s="40">
        <v>0</v>
      </c>
      <c r="BD73" s="40">
        <v>0</v>
      </c>
      <c r="BE73" s="40">
        <v>0</v>
      </c>
      <c r="BF73" s="40">
        <v>0</v>
      </c>
      <c r="BG73" s="40">
        <v>0</v>
      </c>
      <c r="BH73" s="40">
        <v>0</v>
      </c>
      <c r="BI73" s="40">
        <v>14913131</v>
      </c>
      <c r="BJ73" s="423"/>
      <c r="BK73" s="24"/>
      <c r="BL73" s="588" t="s">
        <v>2954</v>
      </c>
      <c r="BM73" s="432"/>
    </row>
    <row r="74" spans="1:114" s="10" customFormat="1" ht="31.5" x14ac:dyDescent="0.25">
      <c r="A74" s="474" t="s">
        <v>346</v>
      </c>
      <c r="B74" s="474" t="s">
        <v>347</v>
      </c>
      <c r="C74" s="344" t="s">
        <v>597</v>
      </c>
      <c r="D74" s="474" t="s">
        <v>3</v>
      </c>
      <c r="E74" s="474" t="s">
        <v>342</v>
      </c>
      <c r="F74" s="474" t="s">
        <v>77</v>
      </c>
      <c r="G74" s="474" t="s">
        <v>348</v>
      </c>
      <c r="H74" s="43">
        <v>65</v>
      </c>
      <c r="I74" s="43" t="s">
        <v>346</v>
      </c>
      <c r="J74" s="475" t="s">
        <v>344</v>
      </c>
      <c r="K74" s="475" t="s">
        <v>349</v>
      </c>
      <c r="L74" s="41">
        <v>0</v>
      </c>
      <c r="M74" s="41">
        <v>0</v>
      </c>
      <c r="N74" s="41">
        <v>0</v>
      </c>
      <c r="O74" s="41">
        <v>0</v>
      </c>
      <c r="P74" s="41">
        <v>0</v>
      </c>
      <c r="Q74" s="41">
        <f t="shared" si="36"/>
        <v>0</v>
      </c>
      <c r="R74" s="41">
        <v>0</v>
      </c>
      <c r="S74" s="41">
        <v>0</v>
      </c>
      <c r="T74" s="41">
        <f t="shared" si="37"/>
        <v>0</v>
      </c>
      <c r="U74" s="41">
        <v>0</v>
      </c>
      <c r="V74" s="41">
        <v>0</v>
      </c>
      <c r="W74" s="41">
        <f t="shared" si="38"/>
        <v>0</v>
      </c>
      <c r="X74" s="41">
        <v>181037.59</v>
      </c>
      <c r="Y74" s="41">
        <v>72105.440000000002</v>
      </c>
      <c r="Z74" s="41">
        <f t="shared" si="39"/>
        <v>-108932.15</v>
      </c>
      <c r="AA74" s="41">
        <v>0</v>
      </c>
      <c r="AB74" s="41">
        <v>0</v>
      </c>
      <c r="AC74" s="41">
        <f t="shared" si="40"/>
        <v>0</v>
      </c>
      <c r="AD74" s="41">
        <v>0</v>
      </c>
      <c r="AE74" s="41">
        <v>0</v>
      </c>
      <c r="AF74" s="41">
        <f t="shared" si="41"/>
        <v>0</v>
      </c>
      <c r="AG74" s="41">
        <v>146404.35</v>
      </c>
      <c r="AH74" s="41">
        <v>66937.789999999994</v>
      </c>
      <c r="AI74" s="41">
        <f t="shared" si="42"/>
        <v>-79466.560000000012</v>
      </c>
      <c r="AJ74" s="41">
        <v>0</v>
      </c>
      <c r="AK74" s="41">
        <v>0</v>
      </c>
      <c r="AL74" s="41">
        <f t="shared" si="43"/>
        <v>0</v>
      </c>
      <c r="AM74" s="41">
        <v>0</v>
      </c>
      <c r="AN74" s="41">
        <v>0</v>
      </c>
      <c r="AO74" s="41">
        <f t="shared" si="44"/>
        <v>0</v>
      </c>
      <c r="AP74" s="41">
        <v>227015.28</v>
      </c>
      <c r="AQ74" s="41">
        <v>83990.46</v>
      </c>
      <c r="AR74" s="41">
        <f t="shared" ref="AR74:AR91" si="48">AQ74-AP74</f>
        <v>-143024.82</v>
      </c>
      <c r="AS74" s="41">
        <f t="shared" si="32"/>
        <v>554457.22</v>
      </c>
      <c r="AT74" s="41">
        <f t="shared" si="47"/>
        <v>223033.69</v>
      </c>
      <c r="AU74" s="522">
        <f t="shared" si="33"/>
        <v>-331423.53000000003</v>
      </c>
      <c r="AV74" s="459">
        <f t="shared" si="16"/>
        <v>0.40225590353030305</v>
      </c>
      <c r="AW74" s="41">
        <v>0</v>
      </c>
      <c r="AX74" s="41">
        <v>0</v>
      </c>
      <c r="AY74" s="41">
        <f t="shared" ref="AY74:AY91" si="49">AX74+AW74+AP74+AM74+AJ74+AG74+AA74+X74+U74+R74+O74+AD74</f>
        <v>554457.22</v>
      </c>
      <c r="AZ74" s="41">
        <v>223033.69</v>
      </c>
      <c r="BA74" s="552">
        <f t="shared" si="45"/>
        <v>-331423.52999999997</v>
      </c>
      <c r="BB74" s="41">
        <v>801868.65999999992</v>
      </c>
      <c r="BC74" s="41">
        <v>505456.75</v>
      </c>
      <c r="BD74" s="41">
        <v>463633.63999999996</v>
      </c>
      <c r="BE74" s="41">
        <v>472989.6</v>
      </c>
      <c r="BF74" s="41">
        <v>461535.42000000004</v>
      </c>
      <c r="BG74" s="41">
        <v>114118.71</v>
      </c>
      <c r="BH74" s="41">
        <v>0</v>
      </c>
      <c r="BI74" s="41">
        <v>3374060</v>
      </c>
      <c r="BJ74" s="75"/>
      <c r="BK74" s="25"/>
      <c r="BL74" s="592" t="s">
        <v>2912</v>
      </c>
      <c r="BM74" s="591"/>
    </row>
    <row r="75" spans="1:114" s="10" customFormat="1" ht="63" x14ac:dyDescent="0.2">
      <c r="A75" s="474" t="s">
        <v>172</v>
      </c>
      <c r="B75" s="474" t="s">
        <v>173</v>
      </c>
      <c r="C75" s="344" t="s">
        <v>579</v>
      </c>
      <c r="D75" s="474" t="s">
        <v>3</v>
      </c>
      <c r="E75" s="474" t="s">
        <v>29</v>
      </c>
      <c r="F75" s="474" t="s">
        <v>5</v>
      </c>
      <c r="G75" s="474" t="s">
        <v>196</v>
      </c>
      <c r="H75" s="43">
        <v>66</v>
      </c>
      <c r="I75" s="43" t="s">
        <v>172</v>
      </c>
      <c r="J75" s="475" t="s">
        <v>98</v>
      </c>
      <c r="K75" s="475" t="s">
        <v>197</v>
      </c>
      <c r="L75" s="41">
        <v>0</v>
      </c>
      <c r="M75" s="41">
        <v>0</v>
      </c>
      <c r="N75" s="41">
        <v>679941.73</v>
      </c>
      <c r="O75" s="41">
        <v>595647.91</v>
      </c>
      <c r="P75" s="41">
        <v>595647.91</v>
      </c>
      <c r="Q75" s="41">
        <f t="shared" si="36"/>
        <v>0</v>
      </c>
      <c r="R75" s="41">
        <v>0</v>
      </c>
      <c r="S75" s="41">
        <v>0</v>
      </c>
      <c r="T75" s="41">
        <f t="shared" si="37"/>
        <v>0</v>
      </c>
      <c r="U75" s="41">
        <v>0</v>
      </c>
      <c r="V75" s="41">
        <v>0</v>
      </c>
      <c r="W75" s="41">
        <f t="shared" si="38"/>
        <v>0</v>
      </c>
      <c r="X75" s="41">
        <v>463975.73</v>
      </c>
      <c r="Y75" s="41">
        <v>492395.32</v>
      </c>
      <c r="Z75" s="41">
        <f t="shared" si="39"/>
        <v>28419.590000000026</v>
      </c>
      <c r="AA75" s="41">
        <v>0</v>
      </c>
      <c r="AB75" s="41">
        <v>0</v>
      </c>
      <c r="AC75" s="41">
        <f t="shared" si="40"/>
        <v>0</v>
      </c>
      <c r="AD75" s="41">
        <v>0</v>
      </c>
      <c r="AE75" s="41">
        <v>0</v>
      </c>
      <c r="AF75" s="41">
        <f t="shared" si="41"/>
        <v>0</v>
      </c>
      <c r="AG75" s="41">
        <v>607847.75</v>
      </c>
      <c r="AH75" s="41">
        <v>502506.7</v>
      </c>
      <c r="AI75" s="41">
        <f t="shared" si="42"/>
        <v>-105341.04999999999</v>
      </c>
      <c r="AJ75" s="41">
        <v>0</v>
      </c>
      <c r="AK75" s="41">
        <v>0</v>
      </c>
      <c r="AL75" s="41">
        <f t="shared" si="43"/>
        <v>0</v>
      </c>
      <c r="AM75" s="41">
        <v>0</v>
      </c>
      <c r="AN75" s="41">
        <v>0</v>
      </c>
      <c r="AO75" s="41">
        <f t="shared" si="44"/>
        <v>0</v>
      </c>
      <c r="AP75" s="41">
        <v>673500.42</v>
      </c>
      <c r="AQ75" s="41">
        <v>422217.29</v>
      </c>
      <c r="AR75" s="41">
        <f t="shared" si="48"/>
        <v>-251283.13000000006</v>
      </c>
      <c r="AS75" s="41">
        <f t="shared" si="32"/>
        <v>2340971.81</v>
      </c>
      <c r="AT75" s="41">
        <f t="shared" si="47"/>
        <v>2012767.2200000002</v>
      </c>
      <c r="AU75" s="522">
        <f t="shared" si="33"/>
        <v>-328204.59000000003</v>
      </c>
      <c r="AV75" s="459">
        <f t="shared" ref="AV75:AV89" si="50">AT75/AS75</f>
        <v>0.85979985380515977</v>
      </c>
      <c r="AW75" s="41">
        <v>0</v>
      </c>
      <c r="AX75" s="41">
        <v>0</v>
      </c>
      <c r="AY75" s="41">
        <f t="shared" si="49"/>
        <v>2340971.81</v>
      </c>
      <c r="AZ75" s="41">
        <v>2012767.2200000002</v>
      </c>
      <c r="BA75" s="552">
        <f t="shared" si="45"/>
        <v>-328204.58999999985</v>
      </c>
      <c r="BB75" s="41">
        <v>141404.29999999999</v>
      </c>
      <c r="BC75" s="41">
        <v>0</v>
      </c>
      <c r="BD75" s="41">
        <v>0</v>
      </c>
      <c r="BE75" s="41">
        <v>0</v>
      </c>
      <c r="BF75" s="41">
        <v>0</v>
      </c>
      <c r="BG75" s="41">
        <v>0</v>
      </c>
      <c r="BH75" s="41">
        <v>0</v>
      </c>
      <c r="BI75" s="41">
        <v>3162317.84</v>
      </c>
      <c r="BJ75" s="75"/>
      <c r="BK75" s="11"/>
      <c r="BL75" s="588" t="s">
        <v>2953</v>
      </c>
      <c r="BM75" s="591"/>
    </row>
    <row r="76" spans="1:114" s="10" customFormat="1" ht="289.5" customHeight="1" x14ac:dyDescent="0.2">
      <c r="A76" s="43" t="s">
        <v>233</v>
      </c>
      <c r="B76" s="43" t="s">
        <v>234</v>
      </c>
      <c r="C76" s="475" t="s">
        <v>583</v>
      </c>
      <c r="D76" s="43">
        <v>2</v>
      </c>
      <c r="E76" s="43" t="s">
        <v>4</v>
      </c>
      <c r="F76" s="43" t="s">
        <v>5</v>
      </c>
      <c r="G76" s="43" t="s">
        <v>273</v>
      </c>
      <c r="H76" s="43">
        <v>67</v>
      </c>
      <c r="I76" s="43" t="s">
        <v>233</v>
      </c>
      <c r="J76" s="475" t="s">
        <v>274</v>
      </c>
      <c r="K76" s="475" t="s">
        <v>275</v>
      </c>
      <c r="L76" s="41">
        <v>0</v>
      </c>
      <c r="M76" s="41">
        <v>0</v>
      </c>
      <c r="N76" s="41">
        <v>0</v>
      </c>
      <c r="O76" s="41">
        <v>0</v>
      </c>
      <c r="P76" s="41">
        <v>0</v>
      </c>
      <c r="Q76" s="41">
        <f t="shared" si="36"/>
        <v>0</v>
      </c>
      <c r="R76" s="41">
        <v>0</v>
      </c>
      <c r="S76" s="41">
        <v>0</v>
      </c>
      <c r="T76" s="41">
        <f t="shared" si="37"/>
        <v>0</v>
      </c>
      <c r="U76" s="41">
        <v>0</v>
      </c>
      <c r="V76" s="41">
        <v>0</v>
      </c>
      <c r="W76" s="41">
        <f t="shared" si="38"/>
        <v>0</v>
      </c>
      <c r="X76" s="41">
        <v>2003115.95</v>
      </c>
      <c r="Y76" s="41">
        <v>2220264.84</v>
      </c>
      <c r="Z76" s="41">
        <f t="shared" si="39"/>
        <v>217148.8899999999</v>
      </c>
      <c r="AA76" s="41">
        <v>0</v>
      </c>
      <c r="AB76" s="41">
        <v>0</v>
      </c>
      <c r="AC76" s="41">
        <f t="shared" si="40"/>
        <v>0</v>
      </c>
      <c r="AD76" s="41">
        <v>0</v>
      </c>
      <c r="AE76" s="41">
        <v>0</v>
      </c>
      <c r="AF76" s="41">
        <f t="shared" si="41"/>
        <v>0</v>
      </c>
      <c r="AG76" s="41">
        <v>104574.65</v>
      </c>
      <c r="AH76" s="41">
        <v>185008.39</v>
      </c>
      <c r="AI76" s="41">
        <f t="shared" si="42"/>
        <v>80433.74000000002</v>
      </c>
      <c r="AJ76" s="41">
        <v>0</v>
      </c>
      <c r="AK76" s="41">
        <v>0</v>
      </c>
      <c r="AL76" s="41">
        <f t="shared" si="43"/>
        <v>0</v>
      </c>
      <c r="AM76" s="41">
        <v>0</v>
      </c>
      <c r="AN76" s="41">
        <v>108385.16</v>
      </c>
      <c r="AO76" s="41">
        <f t="shared" si="44"/>
        <v>108385.16</v>
      </c>
      <c r="AP76" s="41">
        <v>730698.25</v>
      </c>
      <c r="AQ76" s="41">
        <v>0</v>
      </c>
      <c r="AR76" s="41">
        <f t="shared" si="48"/>
        <v>-730698.25</v>
      </c>
      <c r="AS76" s="41">
        <f t="shared" si="32"/>
        <v>2838388.85</v>
      </c>
      <c r="AT76" s="41">
        <f t="shared" si="47"/>
        <v>2513658.3899999997</v>
      </c>
      <c r="AU76" s="522">
        <f t="shared" si="33"/>
        <v>-324730.46000000008</v>
      </c>
      <c r="AV76" s="459">
        <f t="shared" si="50"/>
        <v>0.88559338513466879</v>
      </c>
      <c r="AW76" s="41">
        <v>0</v>
      </c>
      <c r="AX76" s="41">
        <v>0</v>
      </c>
      <c r="AY76" s="41">
        <f t="shared" si="49"/>
        <v>2838388.85</v>
      </c>
      <c r="AZ76" s="41">
        <v>2683879.3199999998</v>
      </c>
      <c r="BA76" s="552">
        <f t="shared" si="45"/>
        <v>-154509.53000000026</v>
      </c>
      <c r="BB76" s="41">
        <v>5538249.7999999998</v>
      </c>
      <c r="BC76" s="41">
        <v>930738.95</v>
      </c>
      <c r="BD76" s="41">
        <v>0</v>
      </c>
      <c r="BE76" s="41">
        <v>0</v>
      </c>
      <c r="BF76" s="41">
        <v>0</v>
      </c>
      <c r="BG76" s="41">
        <v>0</v>
      </c>
      <c r="BH76" s="41">
        <v>0</v>
      </c>
      <c r="BI76" s="41">
        <v>9307377.5999999996</v>
      </c>
      <c r="BJ76" s="423"/>
      <c r="BK76" s="150"/>
      <c r="BL76" s="595" t="s">
        <v>2964</v>
      </c>
      <c r="BM76" s="432"/>
    </row>
    <row r="77" spans="1:114" s="10" customFormat="1" ht="69.75" customHeight="1" x14ac:dyDescent="0.25">
      <c r="A77" s="474" t="s">
        <v>133</v>
      </c>
      <c r="B77" s="474" t="s">
        <v>134</v>
      </c>
      <c r="C77" s="344" t="s">
        <v>575</v>
      </c>
      <c r="D77" s="474">
        <v>1</v>
      </c>
      <c r="E77" s="474" t="s">
        <v>35</v>
      </c>
      <c r="F77" s="474" t="s">
        <v>102</v>
      </c>
      <c r="G77" s="474" t="s">
        <v>135</v>
      </c>
      <c r="H77" s="43">
        <v>68</v>
      </c>
      <c r="I77" s="43" t="s">
        <v>133</v>
      </c>
      <c r="J77" s="475" t="s">
        <v>136</v>
      </c>
      <c r="K77" s="475" t="s">
        <v>137</v>
      </c>
      <c r="L77" s="41">
        <v>0</v>
      </c>
      <c r="M77" s="41">
        <v>0</v>
      </c>
      <c r="N77" s="41">
        <v>0</v>
      </c>
      <c r="O77" s="41">
        <v>52289.599999999999</v>
      </c>
      <c r="P77" s="41">
        <v>52289.599999999999</v>
      </c>
      <c r="Q77" s="41">
        <f t="shared" si="36"/>
        <v>0</v>
      </c>
      <c r="R77" s="41">
        <v>0</v>
      </c>
      <c r="S77" s="41">
        <v>0</v>
      </c>
      <c r="T77" s="41">
        <f t="shared" si="37"/>
        <v>0</v>
      </c>
      <c r="U77" s="41">
        <v>0</v>
      </c>
      <c r="V77" s="41">
        <v>0</v>
      </c>
      <c r="W77" s="41">
        <f t="shared" si="38"/>
        <v>0</v>
      </c>
      <c r="X77" s="41">
        <v>25194.14</v>
      </c>
      <c r="Y77" s="41">
        <v>25194.14</v>
      </c>
      <c r="Z77" s="41">
        <f t="shared" si="39"/>
        <v>0</v>
      </c>
      <c r="AA77" s="41">
        <v>0</v>
      </c>
      <c r="AB77" s="41">
        <v>0</v>
      </c>
      <c r="AC77" s="41">
        <f t="shared" si="40"/>
        <v>0</v>
      </c>
      <c r="AD77" s="41">
        <v>0</v>
      </c>
      <c r="AE77" s="41">
        <v>0</v>
      </c>
      <c r="AF77" s="41">
        <f t="shared" si="41"/>
        <v>0</v>
      </c>
      <c r="AG77" s="41">
        <v>668171.78</v>
      </c>
      <c r="AH77" s="41">
        <v>347924.35</v>
      </c>
      <c r="AI77" s="41">
        <f t="shared" si="42"/>
        <v>-320247.43000000005</v>
      </c>
      <c r="AJ77" s="41">
        <v>0</v>
      </c>
      <c r="AK77" s="41">
        <v>0</v>
      </c>
      <c r="AL77" s="41">
        <f t="shared" si="43"/>
        <v>0</v>
      </c>
      <c r="AM77" s="41">
        <v>0</v>
      </c>
      <c r="AN77" s="41">
        <v>0</v>
      </c>
      <c r="AO77" s="41">
        <f t="shared" si="44"/>
        <v>0</v>
      </c>
      <c r="AP77" s="41">
        <v>628831.59</v>
      </c>
      <c r="AQ77" s="41">
        <v>638559.02</v>
      </c>
      <c r="AR77" s="41">
        <f t="shared" si="48"/>
        <v>9727.4300000000512</v>
      </c>
      <c r="AS77" s="41">
        <f t="shared" ref="AS77:AS91" si="51">AM77+AJ77+AG77+AD77+AA77+X77+U77+R77+O77+AP77</f>
        <v>1374487.1099999999</v>
      </c>
      <c r="AT77" s="41">
        <f t="shared" si="47"/>
        <v>1063967.1099999999</v>
      </c>
      <c r="AU77" s="522">
        <f t="shared" ref="AU77:AU91" si="52">AO77+AL77+AI77+AF77+AC77+Z77+W77+T77+Q77+AR77</f>
        <v>-310520</v>
      </c>
      <c r="AV77" s="459">
        <f t="shared" si="50"/>
        <v>0.77408300322292578</v>
      </c>
      <c r="AW77" s="41">
        <v>0</v>
      </c>
      <c r="AX77" s="41">
        <v>0</v>
      </c>
      <c r="AY77" s="41">
        <f t="shared" si="49"/>
        <v>1374487.11</v>
      </c>
      <c r="AZ77" s="41">
        <v>1063967.1100000001</v>
      </c>
      <c r="BA77" s="552">
        <f t="shared" si="45"/>
        <v>-310520</v>
      </c>
      <c r="BB77" s="41">
        <v>2539951.9300000002</v>
      </c>
      <c r="BC77" s="41">
        <v>2305179.48</v>
      </c>
      <c r="BD77" s="41">
        <v>1855381.48</v>
      </c>
      <c r="BE77" s="41">
        <v>0</v>
      </c>
      <c r="BF77" s="41">
        <v>0</v>
      </c>
      <c r="BG77" s="41">
        <v>0</v>
      </c>
      <c r="BH77" s="41">
        <v>0</v>
      </c>
      <c r="BI77" s="41">
        <v>8075000</v>
      </c>
      <c r="BJ77" s="451" t="s">
        <v>2713</v>
      </c>
      <c r="BK77" s="25" t="s">
        <v>2713</v>
      </c>
      <c r="BL77" s="595" t="s">
        <v>2713</v>
      </c>
      <c r="BM77" s="591" t="s">
        <v>2902</v>
      </c>
    </row>
    <row r="78" spans="1:114" s="10" customFormat="1" ht="36" customHeight="1" x14ac:dyDescent="0.2">
      <c r="A78" s="474" t="s">
        <v>119</v>
      </c>
      <c r="B78" s="474" t="s">
        <v>120</v>
      </c>
      <c r="C78" s="344" t="s">
        <v>574</v>
      </c>
      <c r="D78" s="474">
        <v>1</v>
      </c>
      <c r="E78" s="474" t="s">
        <v>35</v>
      </c>
      <c r="F78" s="474" t="s">
        <v>102</v>
      </c>
      <c r="G78" s="474" t="s">
        <v>127</v>
      </c>
      <c r="H78" s="43">
        <v>69</v>
      </c>
      <c r="I78" s="43" t="s">
        <v>119</v>
      </c>
      <c r="J78" s="475" t="s">
        <v>128</v>
      </c>
      <c r="K78" s="475" t="s">
        <v>129</v>
      </c>
      <c r="L78" s="41"/>
      <c r="M78" s="41"/>
      <c r="N78" s="41"/>
      <c r="O78" s="41"/>
      <c r="P78" s="41">
        <v>0</v>
      </c>
      <c r="Q78" s="41">
        <f t="shared" si="36"/>
        <v>0</v>
      </c>
      <c r="R78" s="41"/>
      <c r="S78" s="41">
        <v>0</v>
      </c>
      <c r="T78" s="41">
        <f t="shared" si="37"/>
        <v>0</v>
      </c>
      <c r="U78" s="41"/>
      <c r="V78" s="41">
        <v>0</v>
      </c>
      <c r="W78" s="41">
        <f t="shared" si="38"/>
        <v>0</v>
      </c>
      <c r="X78" s="41">
        <v>421416.31</v>
      </c>
      <c r="Y78" s="41">
        <v>421416.31</v>
      </c>
      <c r="Z78" s="41">
        <f t="shared" si="39"/>
        <v>0</v>
      </c>
      <c r="AA78" s="41"/>
      <c r="AB78" s="41">
        <v>0</v>
      </c>
      <c r="AC78" s="41">
        <f t="shared" si="40"/>
        <v>0</v>
      </c>
      <c r="AD78" s="41">
        <v>64122.16</v>
      </c>
      <c r="AE78" s="41">
        <v>63929.2</v>
      </c>
      <c r="AF78" s="41">
        <f t="shared" si="41"/>
        <v>-192.9600000000064</v>
      </c>
      <c r="AG78" s="41">
        <v>117016.2</v>
      </c>
      <c r="AH78" s="41">
        <v>0</v>
      </c>
      <c r="AI78" s="41">
        <f t="shared" si="42"/>
        <v>-117016.2</v>
      </c>
      <c r="AJ78" s="41">
        <v>221382</v>
      </c>
      <c r="AK78" s="41">
        <v>195912.72</v>
      </c>
      <c r="AL78" s="41">
        <f t="shared" si="43"/>
        <v>-25469.279999999999</v>
      </c>
      <c r="AM78" s="41">
        <v>229850.8</v>
      </c>
      <c r="AN78" s="41">
        <v>0</v>
      </c>
      <c r="AO78" s="41">
        <f t="shared" si="44"/>
        <v>-229850.8</v>
      </c>
      <c r="AP78" s="41">
        <v>221382</v>
      </c>
      <c r="AQ78" s="41">
        <v>286189.98</v>
      </c>
      <c r="AR78" s="41">
        <f t="shared" si="48"/>
        <v>64807.979999999981</v>
      </c>
      <c r="AS78" s="41">
        <f t="shared" si="51"/>
        <v>1275169.47</v>
      </c>
      <c r="AT78" s="41">
        <f t="shared" si="47"/>
        <v>967448.21</v>
      </c>
      <c r="AU78" s="522">
        <f t="shared" si="52"/>
        <v>-307721.26</v>
      </c>
      <c r="AV78" s="459">
        <f t="shared" si="50"/>
        <v>0.75868206756863465</v>
      </c>
      <c r="AW78" s="41">
        <v>208731.6</v>
      </c>
      <c r="AX78" s="41">
        <v>132829.20000000001</v>
      </c>
      <c r="AY78" s="41">
        <f t="shared" si="49"/>
        <v>1616730.27</v>
      </c>
      <c r="AZ78" s="41">
        <v>1297356.3699999999</v>
      </c>
      <c r="BA78" s="552">
        <f t="shared" si="45"/>
        <v>-319373.90000000014</v>
      </c>
      <c r="BB78" s="41">
        <v>68897.87</v>
      </c>
      <c r="BC78" s="41">
        <v>0</v>
      </c>
      <c r="BD78" s="41">
        <v>0</v>
      </c>
      <c r="BE78" s="41">
        <v>0</v>
      </c>
      <c r="BF78" s="41">
        <v>140509.20000000001</v>
      </c>
      <c r="BG78" s="41">
        <v>0</v>
      </c>
      <c r="BH78" s="41">
        <v>0</v>
      </c>
      <c r="BI78" s="41">
        <v>1404721.03</v>
      </c>
      <c r="BJ78" s="75"/>
      <c r="BK78" s="11"/>
      <c r="BL78" s="588" t="s">
        <v>2886</v>
      </c>
      <c r="BM78" s="591"/>
    </row>
    <row r="79" spans="1:114" s="10" customFormat="1" ht="40.5" customHeight="1" x14ac:dyDescent="0.2">
      <c r="A79" s="55" t="s">
        <v>119</v>
      </c>
      <c r="B79" s="55" t="s">
        <v>120</v>
      </c>
      <c r="C79" s="155" t="s">
        <v>574</v>
      </c>
      <c r="D79" s="55">
        <v>2</v>
      </c>
      <c r="E79" s="55" t="s">
        <v>35</v>
      </c>
      <c r="F79" s="55" t="s">
        <v>102</v>
      </c>
      <c r="G79" s="439" t="s">
        <v>2926</v>
      </c>
      <c r="H79" s="43">
        <v>70</v>
      </c>
      <c r="I79" s="55" t="s">
        <v>119</v>
      </c>
      <c r="J79" s="155" t="s">
        <v>1729</v>
      </c>
      <c r="K79" s="443" t="s">
        <v>2887</v>
      </c>
      <c r="L79" s="152">
        <v>0</v>
      </c>
      <c r="M79" s="152">
        <v>0</v>
      </c>
      <c r="N79" s="152">
        <v>0</v>
      </c>
      <c r="O79" s="152">
        <v>0</v>
      </c>
      <c r="P79" s="152">
        <v>0</v>
      </c>
      <c r="Q79" s="152">
        <v>0</v>
      </c>
      <c r="R79" s="152">
        <v>0</v>
      </c>
      <c r="S79" s="152">
        <v>0</v>
      </c>
      <c r="T79" s="152">
        <v>0</v>
      </c>
      <c r="U79" s="152">
        <v>0</v>
      </c>
      <c r="V79" s="152">
        <v>0</v>
      </c>
      <c r="W79" s="152">
        <v>0</v>
      </c>
      <c r="X79" s="152">
        <v>0</v>
      </c>
      <c r="Y79" s="152">
        <v>0</v>
      </c>
      <c r="Z79" s="152">
        <v>0</v>
      </c>
      <c r="AA79" s="152">
        <v>0</v>
      </c>
      <c r="AB79" s="152">
        <v>0</v>
      </c>
      <c r="AC79" s="152">
        <v>0</v>
      </c>
      <c r="AD79" s="152">
        <v>0</v>
      </c>
      <c r="AE79" s="152">
        <v>0</v>
      </c>
      <c r="AF79" s="152">
        <v>0</v>
      </c>
      <c r="AG79" s="152">
        <v>0</v>
      </c>
      <c r="AH79" s="152">
        <v>0</v>
      </c>
      <c r="AI79" s="152">
        <v>0</v>
      </c>
      <c r="AJ79" s="152">
        <v>0</v>
      </c>
      <c r="AK79" s="152">
        <v>0</v>
      </c>
      <c r="AL79" s="152">
        <v>0</v>
      </c>
      <c r="AM79" s="152">
        <v>0</v>
      </c>
      <c r="AN79" s="152">
        <v>0</v>
      </c>
      <c r="AO79" s="152">
        <v>0</v>
      </c>
      <c r="AP79" s="152">
        <v>300000</v>
      </c>
      <c r="AQ79" s="41">
        <v>0</v>
      </c>
      <c r="AR79" s="41">
        <f t="shared" si="48"/>
        <v>-300000</v>
      </c>
      <c r="AS79" s="41">
        <f t="shared" si="51"/>
        <v>300000</v>
      </c>
      <c r="AT79" s="41">
        <f>AN79+AK79+AH79+AE79+AB79+-Y79+V79+S79+P79+AQ79</f>
        <v>0</v>
      </c>
      <c r="AU79" s="522">
        <f t="shared" si="52"/>
        <v>-300000</v>
      </c>
      <c r="AV79" s="459">
        <f t="shared" si="50"/>
        <v>0</v>
      </c>
      <c r="AW79" s="152">
        <v>200000</v>
      </c>
      <c r="AX79" s="152">
        <v>300000</v>
      </c>
      <c r="AY79" s="41">
        <f t="shared" si="49"/>
        <v>800000</v>
      </c>
      <c r="AZ79" s="41"/>
      <c r="BA79" s="552"/>
      <c r="BB79" s="152">
        <v>2516362</v>
      </c>
      <c r="BC79" s="152">
        <v>0</v>
      </c>
      <c r="BD79" s="152">
        <v>0</v>
      </c>
      <c r="BE79" s="152">
        <v>0</v>
      </c>
      <c r="BF79" s="152">
        <v>0</v>
      </c>
      <c r="BG79" s="152">
        <v>0</v>
      </c>
      <c r="BH79" s="152">
        <v>0</v>
      </c>
      <c r="BI79" s="152">
        <v>3316362</v>
      </c>
      <c r="BJ79" s="459"/>
      <c r="BK79" s="41"/>
      <c r="BL79" s="603" t="s">
        <v>2933</v>
      </c>
      <c r="BM79" s="432"/>
    </row>
    <row r="80" spans="1:114" s="10" customFormat="1" ht="31.5" customHeight="1" x14ac:dyDescent="0.2">
      <c r="A80" s="55" t="s">
        <v>2134</v>
      </c>
      <c r="B80" s="55" t="s">
        <v>2136</v>
      </c>
      <c r="C80" s="155" t="s">
        <v>2135</v>
      </c>
      <c r="D80" s="55" t="s">
        <v>2194</v>
      </c>
      <c r="E80" s="55" t="s">
        <v>4</v>
      </c>
      <c r="F80" s="55" t="s">
        <v>5</v>
      </c>
      <c r="G80" s="55" t="s">
        <v>2840</v>
      </c>
      <c r="H80" s="43">
        <v>71</v>
      </c>
      <c r="I80" s="55" t="s">
        <v>2134</v>
      </c>
      <c r="J80" s="440" t="s">
        <v>2198</v>
      </c>
      <c r="K80" s="440" t="s">
        <v>2199</v>
      </c>
      <c r="L80" s="152">
        <v>0</v>
      </c>
      <c r="M80" s="152">
        <v>0</v>
      </c>
      <c r="N80" s="152">
        <v>0</v>
      </c>
      <c r="O80" s="152">
        <v>0</v>
      </c>
      <c r="P80" s="152">
        <v>0</v>
      </c>
      <c r="Q80" s="152">
        <v>0</v>
      </c>
      <c r="R80" s="152">
        <v>0</v>
      </c>
      <c r="S80" s="152">
        <v>0</v>
      </c>
      <c r="T80" s="152">
        <v>0</v>
      </c>
      <c r="U80" s="152">
        <v>0</v>
      </c>
      <c r="V80" s="152">
        <v>0</v>
      </c>
      <c r="W80" s="152">
        <v>0</v>
      </c>
      <c r="X80" s="152">
        <v>0</v>
      </c>
      <c r="Y80" s="152">
        <v>0</v>
      </c>
      <c r="Z80" s="152">
        <v>0</v>
      </c>
      <c r="AA80" s="152">
        <v>0</v>
      </c>
      <c r="AB80" s="152">
        <v>0</v>
      </c>
      <c r="AC80" s="152">
        <v>0</v>
      </c>
      <c r="AD80" s="152">
        <v>0</v>
      </c>
      <c r="AE80" s="152">
        <v>0</v>
      </c>
      <c r="AF80" s="152">
        <v>0</v>
      </c>
      <c r="AG80" s="152">
        <v>0</v>
      </c>
      <c r="AH80" s="152">
        <v>0</v>
      </c>
      <c r="AI80" s="152">
        <v>0</v>
      </c>
      <c r="AJ80" s="152">
        <v>0</v>
      </c>
      <c r="AK80" s="152">
        <v>0</v>
      </c>
      <c r="AL80" s="152">
        <v>0</v>
      </c>
      <c r="AM80" s="152">
        <v>0</v>
      </c>
      <c r="AN80" s="152">
        <v>0</v>
      </c>
      <c r="AO80" s="152">
        <v>0</v>
      </c>
      <c r="AP80" s="152">
        <v>300000</v>
      </c>
      <c r="AQ80" s="41">
        <v>0</v>
      </c>
      <c r="AR80" s="41">
        <f t="shared" si="48"/>
        <v>-300000</v>
      </c>
      <c r="AS80" s="41">
        <f t="shared" si="51"/>
        <v>300000</v>
      </c>
      <c r="AT80" s="41">
        <f>AN80+AK80+AH80+AE80+AB80+-Y80+V80+S80+P80+AQ80</f>
        <v>0</v>
      </c>
      <c r="AU80" s="522">
        <f t="shared" si="52"/>
        <v>-300000</v>
      </c>
      <c r="AV80" s="459">
        <f t="shared" si="50"/>
        <v>0</v>
      </c>
      <c r="AW80" s="152">
        <v>300000</v>
      </c>
      <c r="AX80" s="152">
        <v>300000</v>
      </c>
      <c r="AY80" s="41">
        <f t="shared" si="49"/>
        <v>900000</v>
      </c>
      <c r="AZ80" s="41"/>
      <c r="BA80" s="552"/>
      <c r="BB80" s="152">
        <v>1068659</v>
      </c>
      <c r="BC80" s="152">
        <v>0</v>
      </c>
      <c r="BD80" s="152">
        <v>0</v>
      </c>
      <c r="BE80" s="152">
        <v>0</v>
      </c>
      <c r="BF80" s="152">
        <v>0</v>
      </c>
      <c r="BG80" s="152">
        <v>0</v>
      </c>
      <c r="BH80" s="152">
        <v>0</v>
      </c>
      <c r="BI80" s="152">
        <v>1968659</v>
      </c>
      <c r="BJ80" s="459"/>
      <c r="BK80" s="41"/>
      <c r="BL80" s="603" t="s">
        <v>2938</v>
      </c>
      <c r="BM80" s="432"/>
    </row>
    <row r="81" spans="1:65" s="10" customFormat="1" ht="33" customHeight="1" x14ac:dyDescent="0.2">
      <c r="A81" s="55" t="s">
        <v>2134</v>
      </c>
      <c r="B81" s="55" t="s">
        <v>2136</v>
      </c>
      <c r="C81" s="155" t="s">
        <v>2135</v>
      </c>
      <c r="D81" s="55">
        <v>1</v>
      </c>
      <c r="E81" s="55" t="s">
        <v>4</v>
      </c>
      <c r="F81" s="55" t="s">
        <v>5</v>
      </c>
      <c r="G81" s="55" t="s">
        <v>2839</v>
      </c>
      <c r="H81" s="43">
        <v>72</v>
      </c>
      <c r="I81" s="55" t="s">
        <v>2134</v>
      </c>
      <c r="J81" s="440" t="s">
        <v>1207</v>
      </c>
      <c r="K81" s="440" t="s">
        <v>2147</v>
      </c>
      <c r="L81" s="152">
        <v>0</v>
      </c>
      <c r="M81" s="152">
        <v>0</v>
      </c>
      <c r="N81" s="152">
        <v>0</v>
      </c>
      <c r="O81" s="152">
        <f t="shared" ref="O81:AM81" si="53">N81+M81+L81</f>
        <v>0</v>
      </c>
      <c r="P81" s="152">
        <f t="shared" si="53"/>
        <v>0</v>
      </c>
      <c r="Q81" s="152">
        <f t="shared" si="53"/>
        <v>0</v>
      </c>
      <c r="R81" s="152">
        <f t="shared" si="53"/>
        <v>0</v>
      </c>
      <c r="S81" s="152">
        <f t="shared" si="53"/>
        <v>0</v>
      </c>
      <c r="T81" s="152">
        <f t="shared" si="53"/>
        <v>0</v>
      </c>
      <c r="U81" s="152">
        <f t="shared" si="53"/>
        <v>0</v>
      </c>
      <c r="V81" s="152">
        <f t="shared" si="53"/>
        <v>0</v>
      </c>
      <c r="W81" s="152">
        <f t="shared" si="53"/>
        <v>0</v>
      </c>
      <c r="X81" s="152">
        <f t="shared" si="53"/>
        <v>0</v>
      </c>
      <c r="Y81" s="152">
        <f t="shared" si="53"/>
        <v>0</v>
      </c>
      <c r="Z81" s="152">
        <f t="shared" si="53"/>
        <v>0</v>
      </c>
      <c r="AA81" s="152">
        <f t="shared" si="53"/>
        <v>0</v>
      </c>
      <c r="AB81" s="152">
        <f t="shared" si="53"/>
        <v>0</v>
      </c>
      <c r="AC81" s="152">
        <f t="shared" si="53"/>
        <v>0</v>
      </c>
      <c r="AD81" s="152">
        <f t="shared" si="53"/>
        <v>0</v>
      </c>
      <c r="AE81" s="152">
        <f t="shared" si="53"/>
        <v>0</v>
      </c>
      <c r="AF81" s="152">
        <f t="shared" si="53"/>
        <v>0</v>
      </c>
      <c r="AG81" s="152">
        <f t="shared" si="53"/>
        <v>0</v>
      </c>
      <c r="AH81" s="152">
        <f t="shared" si="53"/>
        <v>0</v>
      </c>
      <c r="AI81" s="152">
        <f t="shared" si="53"/>
        <v>0</v>
      </c>
      <c r="AJ81" s="152">
        <f t="shared" si="53"/>
        <v>0</v>
      </c>
      <c r="AK81" s="152">
        <f t="shared" si="53"/>
        <v>0</v>
      </c>
      <c r="AL81" s="152">
        <f t="shared" si="53"/>
        <v>0</v>
      </c>
      <c r="AM81" s="152">
        <f t="shared" si="53"/>
        <v>0</v>
      </c>
      <c r="AN81" s="152">
        <v>0</v>
      </c>
      <c r="AO81" s="152">
        <f>AN81+AM81+AL81</f>
        <v>0</v>
      </c>
      <c r="AP81" s="152">
        <v>294330.8</v>
      </c>
      <c r="AQ81" s="41">
        <v>0</v>
      </c>
      <c r="AR81" s="41">
        <f t="shared" si="48"/>
        <v>-294330.8</v>
      </c>
      <c r="AS81" s="41">
        <f t="shared" si="51"/>
        <v>294330.8</v>
      </c>
      <c r="AT81" s="41">
        <f>AN81+AK81+AH81+AE81+AB81+-Y81+V81+S81+P81+AQ81</f>
        <v>0</v>
      </c>
      <c r="AU81" s="522">
        <f t="shared" si="52"/>
        <v>-294330.8</v>
      </c>
      <c r="AV81" s="459">
        <f t="shared" si="50"/>
        <v>0</v>
      </c>
      <c r="AW81" s="152">
        <v>0</v>
      </c>
      <c r="AX81" s="152">
        <v>294330.8</v>
      </c>
      <c r="AY81" s="41">
        <f t="shared" si="49"/>
        <v>588661.6</v>
      </c>
      <c r="AZ81" s="41"/>
      <c r="BA81" s="552"/>
      <c r="BB81" s="152">
        <v>882992.4</v>
      </c>
      <c r="BC81" s="152">
        <v>0</v>
      </c>
      <c r="BD81" s="152">
        <v>0</v>
      </c>
      <c r="BE81" s="152">
        <v>0</v>
      </c>
      <c r="BF81" s="152">
        <v>0</v>
      </c>
      <c r="BG81" s="152">
        <v>0</v>
      </c>
      <c r="BH81" s="152">
        <v>0</v>
      </c>
      <c r="BI81" s="152">
        <v>1471654</v>
      </c>
      <c r="BJ81" s="459"/>
      <c r="BK81" s="41"/>
      <c r="BL81" s="603" t="s">
        <v>2939</v>
      </c>
      <c r="BM81" s="432"/>
    </row>
    <row r="82" spans="1:65" s="10" customFormat="1" ht="63" x14ac:dyDescent="0.2">
      <c r="A82" s="474" t="s">
        <v>119</v>
      </c>
      <c r="B82" s="474" t="s">
        <v>120</v>
      </c>
      <c r="C82" s="344" t="s">
        <v>574</v>
      </c>
      <c r="D82" s="474">
        <v>1</v>
      </c>
      <c r="E82" s="474" t="s">
        <v>35</v>
      </c>
      <c r="F82" s="474" t="s">
        <v>102</v>
      </c>
      <c r="G82" s="474" t="s">
        <v>695</v>
      </c>
      <c r="H82" s="43">
        <v>73</v>
      </c>
      <c r="I82" s="43" t="s">
        <v>119</v>
      </c>
      <c r="J82" s="475" t="s">
        <v>696</v>
      </c>
      <c r="K82" s="475" t="s">
        <v>697</v>
      </c>
      <c r="L82" s="41"/>
      <c r="M82" s="41"/>
      <c r="N82" s="41"/>
      <c r="O82" s="41"/>
      <c r="P82" s="41">
        <v>0</v>
      </c>
      <c r="Q82" s="41">
        <f>P82-O82</f>
        <v>0</v>
      </c>
      <c r="R82" s="41"/>
      <c r="S82" s="41">
        <v>0</v>
      </c>
      <c r="T82" s="41">
        <f>S82-R82</f>
        <v>0</v>
      </c>
      <c r="U82" s="41"/>
      <c r="V82" s="41">
        <v>0</v>
      </c>
      <c r="W82" s="41">
        <f>V82-U82</f>
        <v>0</v>
      </c>
      <c r="X82" s="41"/>
      <c r="Y82" s="41">
        <v>0</v>
      </c>
      <c r="Z82" s="41">
        <f>Y82-X82</f>
        <v>0</v>
      </c>
      <c r="AA82" s="41">
        <v>294236.7</v>
      </c>
      <c r="AB82" s="41">
        <v>294236</v>
      </c>
      <c r="AC82" s="41">
        <f>AB82-AA82</f>
        <v>-0.70000000001164153</v>
      </c>
      <c r="AD82" s="41">
        <v>0</v>
      </c>
      <c r="AE82" s="41">
        <v>0</v>
      </c>
      <c r="AF82" s="41">
        <f>AE82-AD82</f>
        <v>0</v>
      </c>
      <c r="AG82" s="41">
        <v>92947.6</v>
      </c>
      <c r="AH82" s="41">
        <v>7355.36</v>
      </c>
      <c r="AI82" s="41">
        <f>AH82-AG82</f>
        <v>-85592.24</v>
      </c>
      <c r="AJ82" s="41">
        <v>40507.08</v>
      </c>
      <c r="AK82" s="41">
        <v>0</v>
      </c>
      <c r="AL82" s="41">
        <f>AK82-AJ82</f>
        <v>-40507.08</v>
      </c>
      <c r="AM82" s="41">
        <v>112468.83</v>
      </c>
      <c r="AN82" s="41">
        <v>0</v>
      </c>
      <c r="AO82" s="41">
        <f t="shared" ref="AO82:AO89" si="54">AN82-AM82</f>
        <v>-112468.83</v>
      </c>
      <c r="AP82" s="41">
        <v>66215.09</v>
      </c>
      <c r="AQ82" s="41">
        <v>29021.54</v>
      </c>
      <c r="AR82" s="41">
        <f t="shared" si="48"/>
        <v>-37193.549999999996</v>
      </c>
      <c r="AS82" s="41">
        <f t="shared" si="51"/>
        <v>606375.29999999993</v>
      </c>
      <c r="AT82" s="41">
        <f>AN82+AK82+AH82+AE82+AB82+-Y82+V82+S82+P82+AQ82</f>
        <v>330612.89999999997</v>
      </c>
      <c r="AU82" s="522">
        <f t="shared" si="52"/>
        <v>-275762.40000000002</v>
      </c>
      <c r="AV82" s="459">
        <f t="shared" si="50"/>
        <v>0.54522817799471712</v>
      </c>
      <c r="AW82" s="41">
        <v>16544.009999999998</v>
      </c>
      <c r="AX82" s="41">
        <v>0</v>
      </c>
      <c r="AY82" s="41">
        <f t="shared" si="49"/>
        <v>622919.31000000006</v>
      </c>
      <c r="AZ82" s="41"/>
      <c r="BA82" s="552"/>
      <c r="BB82" s="41">
        <v>554016.5</v>
      </c>
      <c r="BC82" s="41">
        <v>0</v>
      </c>
      <c r="BD82" s="41">
        <v>0</v>
      </c>
      <c r="BE82" s="41">
        <v>98089.89</v>
      </c>
      <c r="BF82" s="41">
        <v>0</v>
      </c>
      <c r="BG82" s="41">
        <v>0</v>
      </c>
      <c r="BH82" s="41">
        <v>0</v>
      </c>
      <c r="BI82" s="41">
        <v>980789</v>
      </c>
      <c r="BJ82" s="75"/>
      <c r="BK82" s="11"/>
      <c r="BL82" s="588" t="s">
        <v>2889</v>
      </c>
      <c r="BM82" s="591" t="s">
        <v>2902</v>
      </c>
    </row>
    <row r="83" spans="1:65" s="10" customFormat="1" ht="38.25" x14ac:dyDescent="0.2">
      <c r="A83" s="55" t="s">
        <v>138</v>
      </c>
      <c r="B83" s="55" t="s">
        <v>139</v>
      </c>
      <c r="C83" s="155" t="s">
        <v>576</v>
      </c>
      <c r="D83" s="55">
        <v>3</v>
      </c>
      <c r="E83" s="55" t="s">
        <v>35</v>
      </c>
      <c r="F83" s="55" t="s">
        <v>5</v>
      </c>
      <c r="G83" s="55" t="s">
        <v>1924</v>
      </c>
      <c r="H83" s="43">
        <v>74</v>
      </c>
      <c r="I83" s="52" t="s">
        <v>138</v>
      </c>
      <c r="J83" s="155" t="s">
        <v>893</v>
      </c>
      <c r="K83" s="155" t="s">
        <v>1925</v>
      </c>
      <c r="L83" s="152">
        <v>0</v>
      </c>
      <c r="M83" s="152">
        <v>0</v>
      </c>
      <c r="N83" s="152">
        <v>0</v>
      </c>
      <c r="O83" s="152">
        <v>0</v>
      </c>
      <c r="P83" s="152"/>
      <c r="Q83" s="152"/>
      <c r="R83" s="152">
        <v>0</v>
      </c>
      <c r="S83" s="152"/>
      <c r="T83" s="152"/>
      <c r="U83" s="152">
        <v>0</v>
      </c>
      <c r="V83" s="152"/>
      <c r="W83" s="152"/>
      <c r="X83" s="152">
        <v>0</v>
      </c>
      <c r="Y83" s="152"/>
      <c r="Z83" s="152">
        <v>0</v>
      </c>
      <c r="AA83" s="152"/>
      <c r="AB83" s="152"/>
      <c r="AC83" s="152">
        <v>0</v>
      </c>
      <c r="AD83" s="152"/>
      <c r="AE83" s="152"/>
      <c r="AF83" s="152">
        <v>0</v>
      </c>
      <c r="AG83" s="152"/>
      <c r="AH83" s="152"/>
      <c r="AI83" s="152">
        <v>0</v>
      </c>
      <c r="AJ83" s="152"/>
      <c r="AK83" s="152"/>
      <c r="AL83" s="152"/>
      <c r="AM83" s="152">
        <v>261393.11</v>
      </c>
      <c r="AN83" s="41">
        <v>0</v>
      </c>
      <c r="AO83" s="41">
        <f t="shared" si="54"/>
        <v>-261393.11</v>
      </c>
      <c r="AP83" s="152">
        <v>0</v>
      </c>
      <c r="AQ83" s="41">
        <v>0</v>
      </c>
      <c r="AR83" s="41">
        <f t="shared" si="48"/>
        <v>0</v>
      </c>
      <c r="AS83" s="41">
        <f t="shared" si="51"/>
        <v>261393.11</v>
      </c>
      <c r="AT83" s="41">
        <f>AN83+AK83+AH83+AE83+AB83+-Y83+V83+S83+P83+AQ83</f>
        <v>0</v>
      </c>
      <c r="AU83" s="522">
        <f t="shared" si="52"/>
        <v>-261393.11</v>
      </c>
      <c r="AV83" s="459">
        <f t="shared" si="50"/>
        <v>0</v>
      </c>
      <c r="AW83" s="152">
        <v>0</v>
      </c>
      <c r="AX83" s="152">
        <v>0</v>
      </c>
      <c r="AY83" s="41">
        <f t="shared" si="49"/>
        <v>261393.11</v>
      </c>
      <c r="AZ83" s="41"/>
      <c r="BA83" s="552"/>
      <c r="BB83" s="152">
        <v>3366697.29</v>
      </c>
      <c r="BC83" s="152">
        <v>0</v>
      </c>
      <c r="BD83" s="152">
        <v>0</v>
      </c>
      <c r="BE83" s="152">
        <v>0</v>
      </c>
      <c r="BF83" s="152">
        <v>0</v>
      </c>
      <c r="BG83" s="152">
        <v>0</v>
      </c>
      <c r="BH83" s="152">
        <v>0</v>
      </c>
      <c r="BI83" s="152">
        <v>3366697.29</v>
      </c>
      <c r="BJ83" s="41"/>
      <c r="BK83" s="41"/>
      <c r="BL83" s="603" t="s">
        <v>2934</v>
      </c>
      <c r="BM83" s="591"/>
    </row>
    <row r="84" spans="1:65" s="10" customFormat="1" ht="51" x14ac:dyDescent="0.2">
      <c r="A84" s="474" t="s">
        <v>106</v>
      </c>
      <c r="B84" s="474" t="s">
        <v>107</v>
      </c>
      <c r="C84" s="344" t="s">
        <v>108</v>
      </c>
      <c r="D84" s="474">
        <v>1</v>
      </c>
      <c r="E84" s="474" t="s">
        <v>109</v>
      </c>
      <c r="F84" s="474" t="s">
        <v>5</v>
      </c>
      <c r="G84" s="474" t="s">
        <v>110</v>
      </c>
      <c r="H84" s="43">
        <v>75</v>
      </c>
      <c r="I84" s="43" t="s">
        <v>106</v>
      </c>
      <c r="J84" s="475" t="s">
        <v>111</v>
      </c>
      <c r="K84" s="475" t="s">
        <v>112</v>
      </c>
      <c r="L84" s="41">
        <v>0</v>
      </c>
      <c r="M84" s="41">
        <v>0</v>
      </c>
      <c r="N84" s="41">
        <v>0</v>
      </c>
      <c r="O84" s="41">
        <v>0</v>
      </c>
      <c r="P84" s="41">
        <v>0</v>
      </c>
      <c r="Q84" s="41">
        <f t="shared" ref="Q84:Q89" si="55">P84-O84</f>
        <v>0</v>
      </c>
      <c r="R84" s="41">
        <v>0</v>
      </c>
      <c r="S84" s="41">
        <v>0</v>
      </c>
      <c r="T84" s="41">
        <f t="shared" ref="T84:T89" si="56">S84-R84</f>
        <v>0</v>
      </c>
      <c r="U84" s="41">
        <v>0</v>
      </c>
      <c r="V84" s="41">
        <v>0</v>
      </c>
      <c r="W84" s="41">
        <f t="shared" ref="W84:W89" si="57">V84-U84</f>
        <v>0</v>
      </c>
      <c r="X84" s="41">
        <v>76778.12</v>
      </c>
      <c r="Y84" s="41">
        <v>76778.12</v>
      </c>
      <c r="Z84" s="41">
        <f t="shared" ref="Z84:Z89" si="58">Y84-X84</f>
        <v>0</v>
      </c>
      <c r="AA84" s="41">
        <v>44072.73</v>
      </c>
      <c r="AB84" s="41">
        <v>0</v>
      </c>
      <c r="AC84" s="41">
        <f t="shared" ref="AC84:AC89" si="59">AB84-AA84</f>
        <v>-44072.73</v>
      </c>
      <c r="AD84" s="41">
        <v>269046</v>
      </c>
      <c r="AE84" s="41">
        <v>283518.98</v>
      </c>
      <c r="AF84" s="41">
        <f t="shared" ref="AF84:AF89" si="60">AE84-AD84</f>
        <v>14472.979999999981</v>
      </c>
      <c r="AG84" s="41">
        <v>0</v>
      </c>
      <c r="AH84" s="41">
        <v>0</v>
      </c>
      <c r="AI84" s="41">
        <f t="shared" ref="AI84:AI89" si="61">AH84-AG84</f>
        <v>0</v>
      </c>
      <c r="AJ84" s="41">
        <v>0</v>
      </c>
      <c r="AK84" s="41">
        <v>0</v>
      </c>
      <c r="AL84" s="41">
        <f t="shared" ref="AL84:AL89" si="62">AK84-AJ84</f>
        <v>0</v>
      </c>
      <c r="AM84" s="35">
        <v>339944.68</v>
      </c>
      <c r="AN84" s="41">
        <v>4222.05</v>
      </c>
      <c r="AO84" s="41">
        <f t="shared" si="54"/>
        <v>-335722.63</v>
      </c>
      <c r="AP84" s="35">
        <v>0</v>
      </c>
      <c r="AQ84" s="41">
        <v>107231.03999999999</v>
      </c>
      <c r="AR84" s="41">
        <f t="shared" si="48"/>
        <v>107231.03999999999</v>
      </c>
      <c r="AS84" s="41">
        <f t="shared" si="51"/>
        <v>729841.52999999991</v>
      </c>
      <c r="AT84" s="41">
        <f>AN84+AK84+AH84+AE84+AB84+Y84+V84+S84+P84+AQ84</f>
        <v>471750.18999999994</v>
      </c>
      <c r="AU84" s="522">
        <f t="shared" si="52"/>
        <v>-258091.34000000003</v>
      </c>
      <c r="AV84" s="459">
        <f t="shared" si="50"/>
        <v>0.64637345315222061</v>
      </c>
      <c r="AW84" s="35">
        <v>0</v>
      </c>
      <c r="AX84" s="35">
        <v>227900.03000000003</v>
      </c>
      <c r="AY84" s="41">
        <f t="shared" si="49"/>
        <v>957741.55999999994</v>
      </c>
      <c r="AZ84" s="41">
        <v>787906.53999999992</v>
      </c>
      <c r="BA84" s="552">
        <f t="shared" ref="BA84:BA91" si="63">AZ84-AY84</f>
        <v>-169835.02000000002</v>
      </c>
      <c r="BB84" s="35">
        <v>188822.79</v>
      </c>
      <c r="BC84" s="41">
        <v>0</v>
      </c>
      <c r="BD84" s="41">
        <v>0</v>
      </c>
      <c r="BE84" s="41">
        <v>0</v>
      </c>
      <c r="BF84" s="41">
        <v>0</v>
      </c>
      <c r="BG84" s="41">
        <v>0</v>
      </c>
      <c r="BH84" s="41">
        <v>0</v>
      </c>
      <c r="BI84" s="41">
        <v>595318.30000000005</v>
      </c>
      <c r="BJ84" s="75"/>
      <c r="BK84" s="11"/>
      <c r="BL84" s="588" t="s">
        <v>2890</v>
      </c>
      <c r="BM84" s="591" t="s">
        <v>2902</v>
      </c>
    </row>
    <row r="85" spans="1:65" s="10" customFormat="1" ht="48.75" customHeight="1" x14ac:dyDescent="0.25">
      <c r="A85" s="474" t="s">
        <v>326</v>
      </c>
      <c r="B85" s="474" t="s">
        <v>327</v>
      </c>
      <c r="C85" s="344" t="s">
        <v>594</v>
      </c>
      <c r="D85" s="474" t="s">
        <v>3</v>
      </c>
      <c r="E85" s="474" t="s">
        <v>4</v>
      </c>
      <c r="F85" s="474" t="s">
        <v>77</v>
      </c>
      <c r="G85" s="474" t="s">
        <v>328</v>
      </c>
      <c r="H85" s="43">
        <v>76</v>
      </c>
      <c r="I85" s="43" t="s">
        <v>326</v>
      </c>
      <c r="J85" s="475" t="s">
        <v>285</v>
      </c>
      <c r="K85" s="475" t="s">
        <v>329</v>
      </c>
      <c r="L85" s="41">
        <v>0</v>
      </c>
      <c r="M85" s="41">
        <v>0</v>
      </c>
      <c r="N85" s="41">
        <v>0</v>
      </c>
      <c r="O85" s="41">
        <v>32952.800000000003</v>
      </c>
      <c r="P85" s="41">
        <v>32952.879999999997</v>
      </c>
      <c r="Q85" s="41">
        <f t="shared" si="55"/>
        <v>7.9999999994470272E-2</v>
      </c>
      <c r="R85" s="41">
        <v>0</v>
      </c>
      <c r="S85" s="41">
        <v>0</v>
      </c>
      <c r="T85" s="41">
        <f t="shared" si="56"/>
        <v>0</v>
      </c>
      <c r="U85" s="41">
        <v>0</v>
      </c>
      <c r="V85" s="41">
        <v>0</v>
      </c>
      <c r="W85" s="41">
        <f t="shared" si="57"/>
        <v>0</v>
      </c>
      <c r="X85" s="41">
        <v>256394.85</v>
      </c>
      <c r="Y85" s="41">
        <v>115962.45</v>
      </c>
      <c r="Z85" s="41">
        <f t="shared" si="58"/>
        <v>-140432.40000000002</v>
      </c>
      <c r="AA85" s="41">
        <v>0</v>
      </c>
      <c r="AB85" s="41">
        <v>0</v>
      </c>
      <c r="AC85" s="41">
        <f t="shared" si="59"/>
        <v>0</v>
      </c>
      <c r="AD85" s="41">
        <v>0</v>
      </c>
      <c r="AE85" s="41">
        <v>0</v>
      </c>
      <c r="AF85" s="41">
        <f t="shared" si="60"/>
        <v>0</v>
      </c>
      <c r="AG85" s="41">
        <v>178701.45</v>
      </c>
      <c r="AH85" s="41">
        <v>101518.07</v>
      </c>
      <c r="AI85" s="41">
        <f t="shared" si="61"/>
        <v>-77183.38</v>
      </c>
      <c r="AJ85" s="41">
        <v>0</v>
      </c>
      <c r="AK85" s="41">
        <v>0</v>
      </c>
      <c r="AL85" s="41">
        <f t="shared" si="62"/>
        <v>0</v>
      </c>
      <c r="AM85" s="41">
        <v>0</v>
      </c>
      <c r="AN85" s="41">
        <v>0</v>
      </c>
      <c r="AO85" s="41">
        <f t="shared" si="54"/>
        <v>0</v>
      </c>
      <c r="AP85" s="41">
        <v>153296.65</v>
      </c>
      <c r="AQ85" s="41">
        <v>120371.44</v>
      </c>
      <c r="AR85" s="41">
        <f t="shared" si="48"/>
        <v>-32925.209999999992</v>
      </c>
      <c r="AS85" s="41">
        <f t="shared" si="51"/>
        <v>621345.75</v>
      </c>
      <c r="AT85" s="41">
        <f>AN85+AK85+AH85+AE85+AB85+Y85+V85+S85+P85+AQ85</f>
        <v>370804.84</v>
      </c>
      <c r="AU85" s="522">
        <f t="shared" si="52"/>
        <v>-250540.91000000003</v>
      </c>
      <c r="AV85" s="459">
        <f t="shared" si="50"/>
        <v>0.59677697964458598</v>
      </c>
      <c r="AW85" s="41">
        <v>0</v>
      </c>
      <c r="AX85" s="41">
        <v>0</v>
      </c>
      <c r="AY85" s="41">
        <f t="shared" si="49"/>
        <v>621345.75</v>
      </c>
      <c r="AZ85" s="41">
        <v>440113.43</v>
      </c>
      <c r="BA85" s="552">
        <f t="shared" si="63"/>
        <v>-181232.32</v>
      </c>
      <c r="BB85" s="41">
        <v>886513.45</v>
      </c>
      <c r="BC85" s="41">
        <v>960999.8</v>
      </c>
      <c r="BD85" s="41">
        <v>1039217.65</v>
      </c>
      <c r="BE85" s="41">
        <v>807905.45</v>
      </c>
      <c r="BF85" s="41">
        <v>714584.8</v>
      </c>
      <c r="BG85" s="41">
        <v>142963.1</v>
      </c>
      <c r="BH85" s="41">
        <v>0</v>
      </c>
      <c r="BI85" s="41">
        <v>5173529.9999999991</v>
      </c>
      <c r="BJ85" s="451" t="s">
        <v>2720</v>
      </c>
      <c r="BK85" s="25" t="s">
        <v>2720</v>
      </c>
      <c r="BL85" s="595" t="s">
        <v>2921</v>
      </c>
      <c r="BM85" s="591" t="s">
        <v>2901</v>
      </c>
    </row>
    <row r="86" spans="1:65" s="10" customFormat="1" ht="86.25" customHeight="1" x14ac:dyDescent="0.2">
      <c r="A86" s="474" t="s">
        <v>233</v>
      </c>
      <c r="B86" s="474" t="s">
        <v>234</v>
      </c>
      <c r="C86" s="344" t="s">
        <v>583</v>
      </c>
      <c r="D86" s="474">
        <v>1</v>
      </c>
      <c r="E86" s="474" t="s">
        <v>4</v>
      </c>
      <c r="F86" s="474" t="s">
        <v>5</v>
      </c>
      <c r="G86" s="474" t="s">
        <v>247</v>
      </c>
      <c r="H86" s="43">
        <v>77</v>
      </c>
      <c r="I86" s="43" t="s">
        <v>233</v>
      </c>
      <c r="J86" s="475" t="s">
        <v>248</v>
      </c>
      <c r="K86" s="475" t="s">
        <v>249</v>
      </c>
      <c r="L86" s="41">
        <v>0</v>
      </c>
      <c r="M86" s="41">
        <v>0</v>
      </c>
      <c r="N86" s="41">
        <v>0</v>
      </c>
      <c r="O86" s="41">
        <v>8152.88</v>
      </c>
      <c r="P86" s="41">
        <v>8152.86</v>
      </c>
      <c r="Q86" s="41">
        <f t="shared" si="55"/>
        <v>-2.0000000000436557E-2</v>
      </c>
      <c r="R86" s="41">
        <v>0</v>
      </c>
      <c r="S86" s="41">
        <v>0</v>
      </c>
      <c r="T86" s="41">
        <f t="shared" si="56"/>
        <v>0</v>
      </c>
      <c r="U86" s="41">
        <v>0</v>
      </c>
      <c r="V86" s="41">
        <v>0</v>
      </c>
      <c r="W86" s="41">
        <f t="shared" si="57"/>
        <v>0</v>
      </c>
      <c r="X86" s="41">
        <v>11511.6</v>
      </c>
      <c r="Y86" s="41">
        <v>5932.87</v>
      </c>
      <c r="Z86" s="41">
        <f t="shared" si="58"/>
        <v>-5578.7300000000005</v>
      </c>
      <c r="AA86" s="41">
        <v>0</v>
      </c>
      <c r="AB86" s="41">
        <v>0</v>
      </c>
      <c r="AC86" s="41">
        <f t="shared" si="59"/>
        <v>0</v>
      </c>
      <c r="AD86" s="41">
        <v>0</v>
      </c>
      <c r="AE86" s="41">
        <v>0</v>
      </c>
      <c r="AF86" s="41">
        <f t="shared" si="60"/>
        <v>0</v>
      </c>
      <c r="AG86" s="41">
        <v>66414.61</v>
      </c>
      <c r="AH86" s="41">
        <v>4999.38</v>
      </c>
      <c r="AI86" s="41">
        <f t="shared" si="61"/>
        <v>-61415.23</v>
      </c>
      <c r="AJ86" s="41">
        <v>0</v>
      </c>
      <c r="AK86" s="41">
        <v>0</v>
      </c>
      <c r="AL86" s="41">
        <f t="shared" si="62"/>
        <v>0</v>
      </c>
      <c r="AM86" s="41">
        <v>0</v>
      </c>
      <c r="AN86" s="41">
        <v>0</v>
      </c>
      <c r="AO86" s="41">
        <f t="shared" si="54"/>
        <v>0</v>
      </c>
      <c r="AP86" s="41">
        <v>168189.49</v>
      </c>
      <c r="AQ86" s="41">
        <v>0</v>
      </c>
      <c r="AR86" s="41">
        <f t="shared" si="48"/>
        <v>-168189.49</v>
      </c>
      <c r="AS86" s="41">
        <f t="shared" si="51"/>
        <v>254268.58000000002</v>
      </c>
      <c r="AT86" s="41">
        <f>AN86+AK86+AH86+AE86+AB86+Y86+V86+S86+P86+AQ86</f>
        <v>19085.11</v>
      </c>
      <c r="AU86" s="522">
        <f t="shared" si="52"/>
        <v>-235183.47</v>
      </c>
      <c r="AV86" s="459">
        <f t="shared" si="50"/>
        <v>7.5058860988644366E-2</v>
      </c>
      <c r="AW86" s="41">
        <v>0</v>
      </c>
      <c r="AX86" s="41">
        <v>0</v>
      </c>
      <c r="AY86" s="41">
        <f t="shared" si="49"/>
        <v>254268.58</v>
      </c>
      <c r="AZ86" s="41">
        <v>254268.58</v>
      </c>
      <c r="BA86" s="552">
        <f t="shared" si="63"/>
        <v>0</v>
      </c>
      <c r="BB86" s="41">
        <v>680047.14</v>
      </c>
      <c r="BC86" s="41">
        <v>584370.78</v>
      </c>
      <c r="BD86" s="41">
        <v>0</v>
      </c>
      <c r="BE86" s="41">
        <v>0</v>
      </c>
      <c r="BF86" s="41">
        <v>0</v>
      </c>
      <c r="BG86" s="41">
        <v>0</v>
      </c>
      <c r="BH86" s="41">
        <v>0</v>
      </c>
      <c r="BI86" s="41">
        <v>1518686.5</v>
      </c>
      <c r="BJ86" s="75"/>
      <c r="BK86" s="11"/>
      <c r="BL86" s="595" t="s">
        <v>2910</v>
      </c>
      <c r="BM86" s="591"/>
    </row>
    <row r="87" spans="1:65" s="10" customFormat="1" ht="80.25" customHeight="1" x14ac:dyDescent="0.25">
      <c r="A87" s="474" t="s">
        <v>233</v>
      </c>
      <c r="B87" s="474" t="s">
        <v>234</v>
      </c>
      <c r="C87" s="344" t="s">
        <v>583</v>
      </c>
      <c r="D87" s="474">
        <v>1</v>
      </c>
      <c r="E87" s="474" t="s">
        <v>4</v>
      </c>
      <c r="F87" s="474" t="s">
        <v>5</v>
      </c>
      <c r="G87" s="474" t="s">
        <v>264</v>
      </c>
      <c r="H87" s="43">
        <v>78</v>
      </c>
      <c r="I87" s="43" t="s">
        <v>233</v>
      </c>
      <c r="J87" s="475" t="s">
        <v>265</v>
      </c>
      <c r="K87" s="475" t="s">
        <v>266</v>
      </c>
      <c r="L87" s="41">
        <v>0</v>
      </c>
      <c r="M87" s="41">
        <v>0</v>
      </c>
      <c r="N87" s="41">
        <v>0</v>
      </c>
      <c r="O87" s="41">
        <v>0</v>
      </c>
      <c r="P87" s="41">
        <v>0</v>
      </c>
      <c r="Q87" s="41">
        <f t="shared" si="55"/>
        <v>0</v>
      </c>
      <c r="R87" s="41">
        <v>21280.2</v>
      </c>
      <c r="S87" s="41">
        <v>21280.210000000003</v>
      </c>
      <c r="T87" s="41">
        <f t="shared" si="56"/>
        <v>1.0000000002037268E-2</v>
      </c>
      <c r="U87" s="41">
        <v>0</v>
      </c>
      <c r="V87" s="41">
        <v>0</v>
      </c>
      <c r="W87" s="41">
        <f t="shared" si="57"/>
        <v>0</v>
      </c>
      <c r="X87" s="41">
        <v>0</v>
      </c>
      <c r="Y87" s="41">
        <v>0</v>
      </c>
      <c r="Z87" s="41">
        <f t="shared" si="58"/>
        <v>0</v>
      </c>
      <c r="AA87" s="41">
        <v>6025.55</v>
      </c>
      <c r="AB87" s="41">
        <v>7921.49</v>
      </c>
      <c r="AC87" s="41">
        <f t="shared" si="59"/>
        <v>1895.9399999999996</v>
      </c>
      <c r="AD87" s="41">
        <v>0</v>
      </c>
      <c r="AE87" s="41">
        <v>0</v>
      </c>
      <c r="AF87" s="41">
        <f t="shared" si="60"/>
        <v>0</v>
      </c>
      <c r="AG87" s="41">
        <v>0</v>
      </c>
      <c r="AH87" s="41">
        <v>0</v>
      </c>
      <c r="AI87" s="41">
        <f t="shared" si="61"/>
        <v>0</v>
      </c>
      <c r="AJ87" s="41">
        <v>325728.87</v>
      </c>
      <c r="AK87" s="41">
        <v>90636.21</v>
      </c>
      <c r="AL87" s="41">
        <f t="shared" si="62"/>
        <v>-235092.65999999997</v>
      </c>
      <c r="AM87" s="41">
        <v>0</v>
      </c>
      <c r="AN87" s="41">
        <v>0</v>
      </c>
      <c r="AO87" s="41">
        <f t="shared" si="54"/>
        <v>0</v>
      </c>
      <c r="AP87" s="41">
        <v>0</v>
      </c>
      <c r="AQ87" s="41">
        <v>0</v>
      </c>
      <c r="AR87" s="41">
        <f t="shared" si="48"/>
        <v>0</v>
      </c>
      <c r="AS87" s="41">
        <f t="shared" si="51"/>
        <v>353034.62</v>
      </c>
      <c r="AT87" s="41">
        <f>AN87+AK87+AH87+AE87+AB87+-Y87+V87+S87+P87+AQ87</f>
        <v>119837.91000000002</v>
      </c>
      <c r="AU87" s="522">
        <f t="shared" si="52"/>
        <v>-233196.70999999996</v>
      </c>
      <c r="AV87" s="459">
        <f t="shared" si="50"/>
        <v>0.33945087311833616</v>
      </c>
      <c r="AW87" s="41">
        <v>106592.85</v>
      </c>
      <c r="AX87" s="41">
        <v>0</v>
      </c>
      <c r="AY87" s="41">
        <f t="shared" si="49"/>
        <v>459627.47</v>
      </c>
      <c r="AZ87" s="41">
        <v>438587.91</v>
      </c>
      <c r="BA87" s="552">
        <f t="shared" si="63"/>
        <v>-21039.559999999998</v>
      </c>
      <c r="BB87" s="41">
        <v>1261548.4700000002</v>
      </c>
      <c r="BC87" s="41">
        <v>1652437.5099999998</v>
      </c>
      <c r="BD87" s="41">
        <v>0</v>
      </c>
      <c r="BE87" s="41">
        <v>0</v>
      </c>
      <c r="BF87" s="41">
        <v>0</v>
      </c>
      <c r="BG87" s="41">
        <v>0</v>
      </c>
      <c r="BH87" s="41">
        <v>0</v>
      </c>
      <c r="BI87" s="41">
        <v>3373613.45</v>
      </c>
      <c r="BJ87" s="75"/>
      <c r="BK87" s="25" t="s">
        <v>2769</v>
      </c>
      <c r="BL87" s="595" t="s">
        <v>2914</v>
      </c>
      <c r="BM87" s="591" t="s">
        <v>2902</v>
      </c>
    </row>
    <row r="88" spans="1:65" s="10" customFormat="1" ht="76.5" customHeight="1" x14ac:dyDescent="0.25">
      <c r="A88" s="474" t="s">
        <v>57</v>
      </c>
      <c r="B88" s="474" t="s">
        <v>58</v>
      </c>
      <c r="C88" s="344" t="s">
        <v>569</v>
      </c>
      <c r="D88" s="474">
        <v>1</v>
      </c>
      <c r="E88" s="474" t="s">
        <v>35</v>
      </c>
      <c r="F88" s="474" t="s">
        <v>5</v>
      </c>
      <c r="G88" s="474" t="s">
        <v>59</v>
      </c>
      <c r="H88" s="43">
        <v>79</v>
      </c>
      <c r="I88" s="43" t="s">
        <v>57</v>
      </c>
      <c r="J88" s="475" t="s">
        <v>60</v>
      </c>
      <c r="K88" s="475" t="s">
        <v>61</v>
      </c>
      <c r="L88" s="41">
        <v>0</v>
      </c>
      <c r="M88" s="41">
        <v>0</v>
      </c>
      <c r="N88" s="41">
        <v>2754851.19</v>
      </c>
      <c r="O88" s="41">
        <v>0</v>
      </c>
      <c r="P88" s="41">
        <v>0</v>
      </c>
      <c r="Q88" s="41">
        <f t="shared" si="55"/>
        <v>0</v>
      </c>
      <c r="R88" s="41">
        <v>0</v>
      </c>
      <c r="S88" s="41">
        <v>0</v>
      </c>
      <c r="T88" s="41">
        <f t="shared" si="56"/>
        <v>0</v>
      </c>
      <c r="U88" s="41">
        <v>1955000</v>
      </c>
      <c r="V88" s="41">
        <v>1993365.96</v>
      </c>
      <c r="W88" s="41">
        <f t="shared" si="57"/>
        <v>38365.959999999963</v>
      </c>
      <c r="X88" s="41">
        <v>0</v>
      </c>
      <c r="Y88" s="41">
        <v>0</v>
      </c>
      <c r="Z88" s="41">
        <f t="shared" si="58"/>
        <v>0</v>
      </c>
      <c r="AA88" s="41">
        <v>0</v>
      </c>
      <c r="AB88" s="41">
        <v>0</v>
      </c>
      <c r="AC88" s="41">
        <f t="shared" si="59"/>
        <v>0</v>
      </c>
      <c r="AD88" s="41">
        <v>386623.51</v>
      </c>
      <c r="AE88" s="41">
        <v>49134.6</v>
      </c>
      <c r="AF88" s="41">
        <f t="shared" si="60"/>
        <v>-337488.91000000003</v>
      </c>
      <c r="AG88" s="41">
        <v>0</v>
      </c>
      <c r="AH88" s="41">
        <v>0</v>
      </c>
      <c r="AI88" s="41">
        <f t="shared" si="61"/>
        <v>0</v>
      </c>
      <c r="AJ88" s="41">
        <v>0</v>
      </c>
      <c r="AK88" s="41">
        <v>0</v>
      </c>
      <c r="AL88" s="41">
        <f t="shared" si="62"/>
        <v>0</v>
      </c>
      <c r="AM88" s="41">
        <v>719322.26</v>
      </c>
      <c r="AN88" s="41">
        <v>0</v>
      </c>
      <c r="AO88" s="41">
        <f t="shared" si="54"/>
        <v>-719322.26</v>
      </c>
      <c r="AP88" s="41">
        <v>0</v>
      </c>
      <c r="AQ88" s="41">
        <v>809083.95</v>
      </c>
      <c r="AR88" s="41">
        <f t="shared" si="48"/>
        <v>809083.95</v>
      </c>
      <c r="AS88" s="41">
        <f t="shared" si="51"/>
        <v>3060945.77</v>
      </c>
      <c r="AT88" s="41">
        <f>AN88+AK88+AH88+AE88+AB88+-Y88+V88+S88+P88+AQ88</f>
        <v>2851584.51</v>
      </c>
      <c r="AU88" s="522">
        <f t="shared" si="52"/>
        <v>-209361.26</v>
      </c>
      <c r="AV88" s="459">
        <f t="shared" si="50"/>
        <v>0.93160242757257339</v>
      </c>
      <c r="AW88" s="41">
        <v>0</v>
      </c>
      <c r="AX88" s="41">
        <v>0</v>
      </c>
      <c r="AY88" s="41">
        <f t="shared" si="49"/>
        <v>3060945.7699999996</v>
      </c>
      <c r="AZ88" s="41">
        <v>2851584.51</v>
      </c>
      <c r="BA88" s="552">
        <f t="shared" si="63"/>
        <v>-209361.25999999978</v>
      </c>
      <c r="BB88" s="41">
        <v>0</v>
      </c>
      <c r="BC88" s="41">
        <v>0</v>
      </c>
      <c r="BD88" s="41">
        <v>0</v>
      </c>
      <c r="BE88" s="41">
        <v>0</v>
      </c>
      <c r="BF88" s="41">
        <v>0</v>
      </c>
      <c r="BG88" s="41">
        <v>0</v>
      </c>
      <c r="BH88" s="41">
        <v>0</v>
      </c>
      <c r="BI88" s="41">
        <v>3060945.7699999996</v>
      </c>
      <c r="BJ88" s="455" t="s">
        <v>2715</v>
      </c>
      <c r="BK88" s="25" t="s">
        <v>2715</v>
      </c>
      <c r="BL88" s="595" t="s">
        <v>2900</v>
      </c>
      <c r="BM88" s="591"/>
    </row>
    <row r="89" spans="1:65" s="10" customFormat="1" ht="33.75" customHeight="1" x14ac:dyDescent="0.25">
      <c r="A89" s="478" t="s">
        <v>119</v>
      </c>
      <c r="B89" s="478" t="s">
        <v>120</v>
      </c>
      <c r="C89" s="489" t="s">
        <v>574</v>
      </c>
      <c r="D89" s="478">
        <v>1</v>
      </c>
      <c r="E89" s="478" t="s">
        <v>35</v>
      </c>
      <c r="F89" s="478" t="s">
        <v>102</v>
      </c>
      <c r="G89" s="478" t="s">
        <v>124</v>
      </c>
      <c r="H89" s="43">
        <v>80</v>
      </c>
      <c r="I89" s="478" t="s">
        <v>119</v>
      </c>
      <c r="J89" s="489" t="s">
        <v>125</v>
      </c>
      <c r="K89" s="489" t="s">
        <v>126</v>
      </c>
      <c r="L89" s="40">
        <v>0</v>
      </c>
      <c r="M89" s="40">
        <v>0</v>
      </c>
      <c r="N89" s="40">
        <v>0</v>
      </c>
      <c r="O89" s="40">
        <v>0</v>
      </c>
      <c r="P89" s="40">
        <v>0</v>
      </c>
      <c r="Q89" s="41">
        <f t="shared" si="55"/>
        <v>0</v>
      </c>
      <c r="R89" s="40">
        <v>0</v>
      </c>
      <c r="S89" s="40">
        <v>0</v>
      </c>
      <c r="T89" s="41">
        <f t="shared" si="56"/>
        <v>0</v>
      </c>
      <c r="U89" s="40">
        <v>2148667</v>
      </c>
      <c r="V89" s="40">
        <v>2148667</v>
      </c>
      <c r="W89" s="41">
        <f t="shared" si="57"/>
        <v>0</v>
      </c>
      <c r="X89" s="40">
        <v>0</v>
      </c>
      <c r="Y89" s="40">
        <v>0</v>
      </c>
      <c r="Z89" s="41">
        <f t="shared" si="58"/>
        <v>0</v>
      </c>
      <c r="AA89" s="40">
        <v>1370009.09</v>
      </c>
      <c r="AB89" s="40"/>
      <c r="AC89" s="41">
        <f t="shared" si="59"/>
        <v>-1370009.09</v>
      </c>
      <c r="AD89" s="40">
        <v>0</v>
      </c>
      <c r="AE89" s="41">
        <v>0</v>
      </c>
      <c r="AF89" s="41">
        <f t="shared" si="60"/>
        <v>0</v>
      </c>
      <c r="AG89" s="40">
        <v>0</v>
      </c>
      <c r="AH89" s="41">
        <v>0</v>
      </c>
      <c r="AI89" s="41">
        <f t="shared" si="61"/>
        <v>0</v>
      </c>
      <c r="AJ89" s="40">
        <v>87586.57</v>
      </c>
      <c r="AK89" s="41">
        <v>1417667.51</v>
      </c>
      <c r="AL89" s="41">
        <f t="shared" si="62"/>
        <v>1330080.94</v>
      </c>
      <c r="AM89" s="40">
        <v>0</v>
      </c>
      <c r="AN89" s="41">
        <v>0</v>
      </c>
      <c r="AO89" s="41">
        <f t="shared" si="54"/>
        <v>0</v>
      </c>
      <c r="AP89" s="40">
        <v>0</v>
      </c>
      <c r="AQ89" s="41">
        <v>0</v>
      </c>
      <c r="AR89" s="41">
        <f t="shared" si="48"/>
        <v>0</v>
      </c>
      <c r="AS89" s="41">
        <f t="shared" si="51"/>
        <v>3606262.66</v>
      </c>
      <c r="AT89" s="41">
        <f>AN89+AK89+AH89+AE89+AB89+Y89+V89+S89+P89+AQ89</f>
        <v>3566334.51</v>
      </c>
      <c r="AU89" s="41">
        <f t="shared" si="52"/>
        <v>-39928.15000000014</v>
      </c>
      <c r="AV89" s="459">
        <f t="shared" si="50"/>
        <v>0.98892810819276256</v>
      </c>
      <c r="AW89" s="40">
        <v>876236.02</v>
      </c>
      <c r="AX89" s="40">
        <v>0</v>
      </c>
      <c r="AY89" s="41">
        <f t="shared" si="49"/>
        <v>4482498.68</v>
      </c>
      <c r="AZ89" s="41">
        <v>3566334.51</v>
      </c>
      <c r="BA89" s="550">
        <f t="shared" si="63"/>
        <v>-916164.16999999993</v>
      </c>
      <c r="BB89" s="40">
        <v>2896175.08</v>
      </c>
      <c r="BC89" s="40">
        <v>2173508.08</v>
      </c>
      <c r="BD89" s="40">
        <v>622277.31999999995</v>
      </c>
      <c r="BE89" s="40">
        <v>568875.84</v>
      </c>
      <c r="BF89" s="40">
        <v>0</v>
      </c>
      <c r="BG89" s="40">
        <v>0</v>
      </c>
      <c r="BH89" s="40">
        <v>0</v>
      </c>
      <c r="BI89" s="40">
        <v>8594668</v>
      </c>
      <c r="BJ89" s="458" t="s">
        <v>2723</v>
      </c>
      <c r="BK89" s="25" t="s">
        <v>2723</v>
      </c>
      <c r="BL89" s="595" t="s">
        <v>2723</v>
      </c>
      <c r="BM89" s="591" t="s">
        <v>2902</v>
      </c>
    </row>
    <row r="90" spans="1:65" s="8" customFormat="1" ht="28.5" customHeight="1" x14ac:dyDescent="0.25">
      <c r="A90" s="483" t="s">
        <v>150</v>
      </c>
      <c r="B90" s="55" t="s">
        <v>151</v>
      </c>
      <c r="C90" s="155" t="s">
        <v>578</v>
      </c>
      <c r="D90" s="55" t="s">
        <v>3</v>
      </c>
      <c r="E90" s="55" t="s">
        <v>29</v>
      </c>
      <c r="F90" s="55" t="s">
        <v>102</v>
      </c>
      <c r="G90" s="55" t="s">
        <v>2684</v>
      </c>
      <c r="H90" s="43">
        <v>81</v>
      </c>
      <c r="I90" s="55" t="s">
        <v>150</v>
      </c>
      <c r="J90" s="155" t="s">
        <v>98</v>
      </c>
      <c r="K90" s="155" t="s">
        <v>2007</v>
      </c>
      <c r="L90" s="145">
        <v>0</v>
      </c>
      <c r="M90" s="145">
        <v>0</v>
      </c>
      <c r="N90" s="145">
        <v>0</v>
      </c>
      <c r="O90" s="145">
        <f>N90+M90+L90</f>
        <v>0</v>
      </c>
      <c r="P90" s="145"/>
      <c r="Q90" s="145"/>
      <c r="R90" s="145">
        <v>0</v>
      </c>
      <c r="S90" s="145"/>
      <c r="T90" s="145"/>
      <c r="U90" s="145">
        <v>0</v>
      </c>
      <c r="V90" s="145"/>
      <c r="W90" s="145"/>
      <c r="X90" s="145">
        <v>0</v>
      </c>
      <c r="Y90" s="145"/>
      <c r="Z90" s="145"/>
      <c r="AA90" s="145">
        <v>0</v>
      </c>
      <c r="AB90" s="145"/>
      <c r="AC90" s="145"/>
      <c r="AD90" s="145">
        <v>0</v>
      </c>
      <c r="AE90" s="145"/>
      <c r="AF90" s="145"/>
      <c r="AG90" s="145">
        <v>0</v>
      </c>
      <c r="AH90" s="145"/>
      <c r="AI90" s="145"/>
      <c r="AJ90" s="145">
        <v>0</v>
      </c>
      <c r="AK90" s="145"/>
      <c r="AL90" s="145"/>
      <c r="AM90" s="145">
        <v>0</v>
      </c>
      <c r="AN90" s="145"/>
      <c r="AO90" s="145"/>
      <c r="AP90" s="145">
        <v>0</v>
      </c>
      <c r="AQ90" s="41">
        <v>3581.83</v>
      </c>
      <c r="AR90" s="41">
        <f t="shared" si="48"/>
        <v>3581.83</v>
      </c>
      <c r="AS90" s="41">
        <f t="shared" si="51"/>
        <v>0</v>
      </c>
      <c r="AT90" s="41">
        <f>AN90+AK90+AH90+AE90+AB90+-Y90+V90+S90+P90+AQ90</f>
        <v>3581.83</v>
      </c>
      <c r="AU90" s="41">
        <f t="shared" si="52"/>
        <v>3581.83</v>
      </c>
      <c r="AV90" s="459">
        <v>0</v>
      </c>
      <c r="AW90" s="145">
        <v>0</v>
      </c>
      <c r="AX90" s="145">
        <v>887400</v>
      </c>
      <c r="AY90" s="41">
        <f t="shared" si="49"/>
        <v>887400</v>
      </c>
      <c r="AZ90" s="41">
        <v>3581.83</v>
      </c>
      <c r="BA90" s="550">
        <f t="shared" si="63"/>
        <v>-883818.17</v>
      </c>
      <c r="BB90" s="145">
        <f>SUM(R90:AX90)</f>
        <v>901727.32</v>
      </c>
      <c r="BC90" s="145">
        <v>4042600</v>
      </c>
      <c r="BD90" s="145">
        <v>0</v>
      </c>
      <c r="BE90" s="145">
        <v>0</v>
      </c>
      <c r="BF90" s="145">
        <v>0</v>
      </c>
      <c r="BG90" s="145">
        <v>0</v>
      </c>
      <c r="BH90" s="145">
        <v>0</v>
      </c>
      <c r="BI90" s="145">
        <v>5539805.21</v>
      </c>
      <c r="BJ90" s="145"/>
      <c r="BK90" s="152"/>
      <c r="BL90" s="589" t="s">
        <v>2952</v>
      </c>
      <c r="BM90" s="518"/>
    </row>
    <row r="91" spans="1:65" s="29" customFormat="1" ht="47.25" customHeight="1" x14ac:dyDescent="0.25">
      <c r="A91" s="483" t="s">
        <v>2519</v>
      </c>
      <c r="B91" s="55" t="s">
        <v>2521</v>
      </c>
      <c r="C91" s="155" t="s">
        <v>2520</v>
      </c>
      <c r="D91" s="55" t="s">
        <v>3</v>
      </c>
      <c r="E91" s="55" t="s">
        <v>402</v>
      </c>
      <c r="F91" s="55" t="s">
        <v>77</v>
      </c>
      <c r="G91" s="55" t="s">
        <v>2853</v>
      </c>
      <c r="H91" s="43">
        <v>82</v>
      </c>
      <c r="I91" s="55" t="s">
        <v>2519</v>
      </c>
      <c r="J91" s="155" t="s">
        <v>409</v>
      </c>
      <c r="K91" s="344" t="s">
        <v>2522</v>
      </c>
      <c r="L91" s="145">
        <v>0</v>
      </c>
      <c r="M91" s="145">
        <v>0</v>
      </c>
      <c r="N91" s="145">
        <v>0</v>
      </c>
      <c r="O91" s="145">
        <v>0</v>
      </c>
      <c r="P91" s="145"/>
      <c r="Q91" s="145"/>
      <c r="R91" s="145">
        <v>0</v>
      </c>
      <c r="S91" s="145"/>
      <c r="T91" s="145"/>
      <c r="U91" s="145">
        <v>0</v>
      </c>
      <c r="V91" s="145"/>
      <c r="W91" s="145"/>
      <c r="X91" s="145">
        <v>0</v>
      </c>
      <c r="Y91" s="145"/>
      <c r="Z91" s="145"/>
      <c r="AA91" s="145">
        <v>0</v>
      </c>
      <c r="AB91" s="145"/>
      <c r="AC91" s="145"/>
      <c r="AD91" s="145">
        <v>0</v>
      </c>
      <c r="AE91" s="145"/>
      <c r="AF91" s="145"/>
      <c r="AG91" s="145">
        <v>0</v>
      </c>
      <c r="AH91" s="145"/>
      <c r="AI91" s="145"/>
      <c r="AJ91" s="145">
        <v>0</v>
      </c>
      <c r="AK91" s="145"/>
      <c r="AL91" s="145"/>
      <c r="AM91" s="145">
        <v>0</v>
      </c>
      <c r="AN91" s="145"/>
      <c r="AO91" s="145"/>
      <c r="AP91" s="145">
        <v>0</v>
      </c>
      <c r="AQ91" s="41">
        <v>7069.51</v>
      </c>
      <c r="AR91" s="41">
        <f t="shared" si="48"/>
        <v>7069.51</v>
      </c>
      <c r="AS91" s="41">
        <f t="shared" si="51"/>
        <v>0</v>
      </c>
      <c r="AT91" s="41">
        <f>AN91+AK91+AH91+AE91+AB91+-Y91+V91+S91+P91+AQ91</f>
        <v>7069.51</v>
      </c>
      <c r="AU91" s="41">
        <f t="shared" si="52"/>
        <v>7069.51</v>
      </c>
      <c r="AV91" s="459">
        <v>0</v>
      </c>
      <c r="AW91" s="145">
        <v>0</v>
      </c>
      <c r="AX91" s="145">
        <v>567976</v>
      </c>
      <c r="AY91" s="41">
        <f t="shared" si="49"/>
        <v>567976</v>
      </c>
      <c r="AZ91" s="41">
        <v>7069.51</v>
      </c>
      <c r="BA91" s="550">
        <f t="shared" si="63"/>
        <v>-560906.49</v>
      </c>
      <c r="BB91" s="145">
        <v>567976</v>
      </c>
      <c r="BC91" s="145">
        <v>4036519</v>
      </c>
      <c r="BD91" s="145">
        <v>3365506</v>
      </c>
      <c r="BE91" s="145">
        <v>3495915</v>
      </c>
      <c r="BF91" s="145">
        <v>3413164</v>
      </c>
      <c r="BG91" s="145">
        <v>4471975</v>
      </c>
      <c r="BH91" s="145">
        <v>0</v>
      </c>
      <c r="BI91" s="145">
        <v>19351057</v>
      </c>
      <c r="BJ91" s="145"/>
      <c r="BK91" s="152"/>
      <c r="BL91" s="589" t="s">
        <v>2935</v>
      </c>
      <c r="BM91" s="518"/>
    </row>
    <row r="92" spans="1:65" x14ac:dyDescent="0.25">
      <c r="BD92" s="509"/>
    </row>
    <row r="93" spans="1:65" x14ac:dyDescent="0.25">
      <c r="H93" s="586" t="s">
        <v>2825</v>
      </c>
    </row>
    <row r="94" spans="1:65" x14ac:dyDescent="0.25">
      <c r="H94" s="586" t="s">
        <v>2826</v>
      </c>
    </row>
    <row r="97" spans="8:54" x14ac:dyDescent="0.25">
      <c r="K97" s="581" t="s">
        <v>2728</v>
      </c>
      <c r="AN97" s="8" t="s">
        <v>2728</v>
      </c>
      <c r="AR97" s="645" t="s">
        <v>2729</v>
      </c>
      <c r="BA97" s="66" t="s">
        <v>2729</v>
      </c>
      <c r="BB97" s="66"/>
    </row>
    <row r="98" spans="8:54" x14ac:dyDescent="0.25">
      <c r="AN98" s="8"/>
      <c r="AR98" s="645"/>
      <c r="AY98" s="648"/>
      <c r="AZ98" s="648"/>
    </row>
    <row r="99" spans="8:54" x14ac:dyDescent="0.25">
      <c r="AN99" s="8"/>
      <c r="AR99" s="645"/>
      <c r="AY99" s="648"/>
      <c r="AZ99" s="648"/>
    </row>
    <row r="100" spans="8:54" x14ac:dyDescent="0.25">
      <c r="AN100" s="8"/>
      <c r="AR100" s="645"/>
      <c r="AU100" s="8"/>
    </row>
    <row r="101" spans="8:54" x14ac:dyDescent="0.25">
      <c r="AN101" s="8"/>
      <c r="AR101" s="645"/>
      <c r="AU101" s="8"/>
    </row>
    <row r="102" spans="8:54" x14ac:dyDescent="0.25">
      <c r="H102" s="646" t="s">
        <v>2726</v>
      </c>
      <c r="I102" s="646"/>
      <c r="J102" s="646"/>
    </row>
    <row r="103" spans="8:54" x14ac:dyDescent="0.25">
      <c r="H103" s="647" t="s">
        <v>2727</v>
      </c>
      <c r="I103" s="647"/>
      <c r="J103" s="647"/>
    </row>
  </sheetData>
  <autoFilter ref="A9:BM91"/>
  <customSheetViews>
    <customSheetView guid="{31BFF91F-CC67-47B5-A533-CBCA2A3DFD88}" scale="82" showPageBreaks="1" fitToPage="1" printArea="1" showAutoFilter="1" hiddenColumns="1" view="pageBreakPreview" topLeftCell="H1">
      <selection activeCell="K82" sqref="K82"/>
      <pageMargins left="0.23622047244094491" right="0.23622047244094491" top="1.1811023622047245" bottom="0.55118110236220474" header="0.31496062992125984" footer="0.31496062992125984"/>
      <pageSetup paperSize="9" scale="46" fitToHeight="0" orientation="landscape" r:id="rId1"/>
      <headerFooter>
        <oddFooter>&amp;L&amp;F&amp;C &amp;P no &amp;N</oddFooter>
      </headerFooter>
      <autoFilter ref="A9:BM91"/>
    </customSheetView>
    <customSheetView guid="{1CE1816D-2CE4-45E4-84A5-7ECDB5D0D0D3}" scale="70" showPageBreaks="1" printArea="1" showAutoFilter="1" hiddenColumns="1" view="pageBreakPreview" topLeftCell="BA31">
      <selection activeCell="BL36" sqref="BL36"/>
      <pageMargins left="0.31496062992125984" right="0.31496062992125984" top="1.1811023622047245" bottom="0.55118110236220474" header="0.31496062992125984" footer="0.31496062992125984"/>
      <pageSetup paperSize="9" scale="48" orientation="landscape" verticalDpi="300" r:id="rId2"/>
      <headerFooter>
        <oddFooter>&amp;L&amp;F&amp;C &amp;P no &amp;N</oddFooter>
      </headerFooter>
      <autoFilter ref="A9:DJ91"/>
    </customSheetView>
    <customSheetView guid="{C7376C49-7C70-4EE7-9CF7-79151FBD2399}" scale="70" showPageBreaks="1" fitToPage="1" printArea="1" showAutoFilter="1" hiddenColumns="1" view="pageBreakPreview" topLeftCell="AZ60">
      <selection activeCell="BL69" sqref="BL69"/>
      <pageMargins left="0.25" right="0.25" top="0.75" bottom="0.75" header="0.3" footer="0.3"/>
      <pageSetup paperSize="9" scale="32" fitToHeight="0" orientation="landscape" r:id="rId3"/>
      <headerFooter>
        <oddFooter>&amp;L&amp;F&amp;C &amp;P no &amp;N</oddFooter>
      </headerFooter>
      <autoFilter ref="A9:BM91"/>
    </customSheetView>
  </customSheetViews>
  <mergeCells count="41">
    <mergeCell ref="H102:J102"/>
    <mergeCell ref="H103:J103"/>
    <mergeCell ref="BI4:BI8"/>
    <mergeCell ref="BJ4:BJ8"/>
    <mergeCell ref="BK4:BK8"/>
    <mergeCell ref="BL4:BL8"/>
    <mergeCell ref="A5:A8"/>
    <mergeCell ref="B5:B8"/>
    <mergeCell ref="AJ5:AL5"/>
    <mergeCell ref="AP5:AR5"/>
    <mergeCell ref="AS5:AV5"/>
    <mergeCell ref="AZ5:BA5"/>
    <mergeCell ref="BE5:BE6"/>
    <mergeCell ref="BF5:BF6"/>
    <mergeCell ref="BG5:BG6"/>
    <mergeCell ref="BH5:BH6"/>
    <mergeCell ref="A4:C4"/>
    <mergeCell ref="F4:F8"/>
    <mergeCell ref="H4:H8"/>
    <mergeCell ref="I4:I8"/>
    <mergeCell ref="BF1:BF2"/>
    <mergeCell ref="H2:J2"/>
    <mergeCell ref="BB5:BB6"/>
    <mergeCell ref="BC5:BC6"/>
    <mergeCell ref="BD5:BD6"/>
    <mergeCell ref="BL1:BL2"/>
    <mergeCell ref="C5:C8"/>
    <mergeCell ref="D5:D8"/>
    <mergeCell ref="E5:E8"/>
    <mergeCell ref="O5:Q5"/>
    <mergeCell ref="R5:T5"/>
    <mergeCell ref="J4:J8"/>
    <mergeCell ref="K4:K5"/>
    <mergeCell ref="L4:BA4"/>
    <mergeCell ref="U5:W5"/>
    <mergeCell ref="X5:Z5"/>
    <mergeCell ref="AA5:AC5"/>
    <mergeCell ref="AD5:AF5"/>
    <mergeCell ref="AG5:AI5"/>
    <mergeCell ref="AM5:AO5"/>
    <mergeCell ref="G4:G8"/>
  </mergeCells>
  <conditionalFormatting sqref="AF9 G4:G57 G60:G70 G72 G74:G90">
    <cfRule type="duplicateValues" dxfId="4" priority="3"/>
  </conditionalFormatting>
  <conditionalFormatting sqref="G4:G57 G60:G70 G72 G74:G91">
    <cfRule type="duplicateValues" dxfId="3" priority="4"/>
  </conditionalFormatting>
  <conditionalFormatting sqref="G73">
    <cfRule type="duplicateValues" dxfId="2" priority="1"/>
  </conditionalFormatting>
  <conditionalFormatting sqref="G73">
    <cfRule type="duplicateValues" dxfId="1" priority="2"/>
  </conditionalFormatting>
  <conditionalFormatting sqref="G4:G91">
    <cfRule type="duplicateValues" dxfId="0" priority="5"/>
  </conditionalFormatting>
  <hyperlinks>
    <hyperlink ref="H103" r:id="rId4"/>
  </hyperlinks>
  <pageMargins left="0.23622047244094491" right="0.23622047244094491" top="1.1811023622047245" bottom="0.55118110236220474" header="0.31496062992125984" footer="0.31496062992125984"/>
  <pageSetup paperSize="9" scale="46" fitToHeight="0" orientation="landscape" r:id="rId5"/>
  <headerFooter>
    <oddFooter>&amp;L&amp;F&amp;C &amp;P no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workbookViewId="0">
      <selection activeCell="A4" sqref="A4:XFD4"/>
    </sheetView>
  </sheetViews>
  <sheetFormatPr defaultRowHeight="15.75" x14ac:dyDescent="0.25"/>
  <cols>
    <col min="1" max="1" width="9.625" customWidth="1"/>
    <col min="2" max="2" width="27.875" style="498" customWidth="1"/>
    <col min="3" max="3" width="20.5" style="498" customWidth="1"/>
    <col min="4" max="4" width="29.5" style="498" customWidth="1"/>
    <col min="5" max="5" width="22.625" style="498" customWidth="1"/>
    <col min="6" max="6" width="22.125" customWidth="1"/>
    <col min="7" max="7" width="15.375" customWidth="1"/>
  </cols>
  <sheetData>
    <row r="1" spans="1:7" x14ac:dyDescent="0.25">
      <c r="A1" s="644" t="s">
        <v>2881</v>
      </c>
      <c r="B1" s="644"/>
      <c r="C1" s="644"/>
      <c r="D1" s="644"/>
      <c r="E1" s="644"/>
      <c r="F1" s="644"/>
      <c r="G1" s="644"/>
    </row>
    <row r="2" spans="1:7" ht="32.25" customHeight="1" thickBot="1" x14ac:dyDescent="0.3">
      <c r="A2" s="567" t="s">
        <v>1023</v>
      </c>
      <c r="B2" s="568" t="s">
        <v>2871</v>
      </c>
      <c r="C2" s="568" t="s">
        <v>2869</v>
      </c>
      <c r="D2" s="568" t="s">
        <v>2870</v>
      </c>
      <c r="E2" s="568" t="s">
        <v>2872</v>
      </c>
      <c r="F2" s="568" t="s">
        <v>2873</v>
      </c>
      <c r="G2" s="568" t="s">
        <v>2874</v>
      </c>
    </row>
    <row r="3" spans="1:7" ht="16.5" thickBot="1" x14ac:dyDescent="0.3">
      <c r="A3" s="571" t="s">
        <v>2875</v>
      </c>
      <c r="B3" s="572">
        <f>SUM(B4:B70)</f>
        <v>-104422259.64173709</v>
      </c>
      <c r="C3" s="572">
        <f t="shared" ref="C3:G3" si="0">SUM(C4:C70)</f>
        <v>-42149913.266500004</v>
      </c>
      <c r="D3" s="572">
        <f t="shared" si="0"/>
        <v>67830888.49000001</v>
      </c>
      <c r="E3" s="572">
        <f t="shared" si="0"/>
        <v>34374877.399999999</v>
      </c>
      <c r="F3" s="572">
        <f t="shared" si="0"/>
        <v>-36591371.151737086</v>
      </c>
      <c r="G3" s="573">
        <f t="shared" si="0"/>
        <v>-7775035.8664999977</v>
      </c>
    </row>
    <row r="4" spans="1:7" x14ac:dyDescent="0.25">
      <c r="A4" s="569" t="s">
        <v>0</v>
      </c>
      <c r="B4" s="570">
        <f>SUMIFS(Maksājumu_pieprasījumu_iesn.!$AU$12:$AU$441,Maksājumu_pieprasījumu_iesn.!$I$12:$I$441,"1.1.1.", Maksājumu_pieprasījumu_iesn.!$AU$12:$AU$441,"&lt;0")</f>
        <v>-1547739.51</v>
      </c>
      <c r="C4" s="570">
        <f>SUMIFS(Maksājumu_pieprasījumu_iesn.!$AR$12:$AR$441,Maksājumu_pieprasījumu_iesn.!$I$12:$I$441,"1.1.1.", Maksājumu_pieprasījumu_iesn.!$AR$12:$AR$441,"&lt;0")</f>
        <v>-1504372</v>
      </c>
      <c r="D4" s="570">
        <f>SUMIFS(Maksājumu_pieprasījumu_iesn.!$AR$12:$AR$441,Maksājumu_pieprasījumu_iesn.!$I$12:$I$441,"1.1.1.", Maksājumu_pieprasījumu_iesn.!$AR$12:$AR$441,"&gt;0")</f>
        <v>1256041.1800000002</v>
      </c>
      <c r="E4" s="570">
        <f>SUMIFS(Maksājumu_pieprasījumu_iesn.!$AR$12:$AR$441,Maksājumu_pieprasījumu_iesn.!$I$12:$I$441,"1.1.1.", Maksājumu_pieprasījumu_iesn.!$AR$12:$AR$441,"&gt;0")</f>
        <v>1256041.1800000002</v>
      </c>
      <c r="F4" s="570">
        <f>B4+D4</f>
        <v>-291698.32999999984</v>
      </c>
      <c r="G4" s="570">
        <f>C4+E4</f>
        <v>-248330.81999999983</v>
      </c>
    </row>
    <row r="5" spans="1:7" x14ac:dyDescent="0.25">
      <c r="A5" s="564" t="s">
        <v>9</v>
      </c>
      <c r="B5" s="563">
        <f>SUMIFS(Maksājumu_pieprasījumu_iesn.!$AU$12:$AU$441,Maksājumu_pieprasījumu_iesn.!$I$12:$I$441,"1.2.1.", Maksājumu_pieprasījumu_iesn.!$AU$12:$AU$441,"&lt;0")</f>
        <v>-3453463.08</v>
      </c>
      <c r="C5" s="563">
        <f>SUMIFS(Maksājumu_pieprasījumu_iesn.!$AR$12:$AR$441,Maksājumu_pieprasījumu_iesn.!$I$12:$I$441,"1.2.1.", Maksājumu_pieprasījumu_iesn.!$AR$12:$AR$441,"&lt;0")</f>
        <v>0</v>
      </c>
      <c r="D5" s="563">
        <f>SUMIFS(Maksājumu_pieprasījumu_iesn.!$AU$12:$AU$441,Maksājumu_pieprasījumu_iesn.!$I$12:$I$441,"1.2.1.", Maksājumu_pieprasījumu_iesn.!$AU$12:$AU$441,"&gt;0")</f>
        <v>0</v>
      </c>
      <c r="E5" s="563">
        <f>SUMIFS(Maksājumu_pieprasījumu_iesn.!$AR$12:$AR$441,Maksājumu_pieprasījumu_iesn.!$I$12:$I$441,"1.2.1.", Maksājumu_pieprasījumu_iesn.!$AR$12:$AR$441,"&gt;0")</f>
        <v>0</v>
      </c>
      <c r="F5" s="563">
        <f t="shared" ref="F5:F68" si="1">B5+D5</f>
        <v>-3453463.08</v>
      </c>
      <c r="G5" s="563">
        <f t="shared" ref="G5:G68" si="2">C5+E5</f>
        <v>0</v>
      </c>
    </row>
    <row r="6" spans="1:7" x14ac:dyDescent="0.25">
      <c r="A6" s="514" t="s">
        <v>19</v>
      </c>
      <c r="B6" s="563">
        <f>SUMIFS(Maksājumu_pieprasījumu_iesn.!$AU$12:$AU$441,Maksājumu_pieprasījumu_iesn.!$I$12:$I$441,"1.2.2.", Maksājumu_pieprasījumu_iesn.!$AU$12:$AU$441,"&lt;0")</f>
        <v>-305470.74</v>
      </c>
      <c r="C6" s="563">
        <f>SUMIFS(Maksājumu_pieprasījumu_iesn.!$AR$12:$AR$441,Maksājumu_pieprasījumu_iesn.!$I$12:$I$441,"1.2.2.", Maksājumu_pieprasījumu_iesn.!$AR$12:$AR$441,"&lt;0")</f>
        <v>-67125.680000000022</v>
      </c>
      <c r="D6" s="563">
        <f>SUMIFS(Maksājumu_pieprasījumu_iesn.!$AU$12:$AU$441,Maksājumu_pieprasījumu_iesn.!$I$12:$I$441,"1.2.2.", Maksājumu_pieprasījumu_iesn.!$AU$12:$AU$441,"&gt;0")</f>
        <v>0</v>
      </c>
      <c r="E6" s="563">
        <f>SUMIFS(Maksājumu_pieprasījumu_iesn.!$AR$12:$AR$441,Maksājumu_pieprasījumu_iesn.!$I$12:$I$441,"1.2.1.", Maksājumu_pieprasījumu_iesn.!$AR$12:$AR$441,"&gt;0")</f>
        <v>0</v>
      </c>
      <c r="F6" s="563">
        <f t="shared" si="1"/>
        <v>-305470.74</v>
      </c>
      <c r="G6" s="563">
        <f t="shared" si="2"/>
        <v>-67125.680000000022</v>
      </c>
    </row>
    <row r="7" spans="1:7" x14ac:dyDescent="0.25">
      <c r="A7" s="514" t="s">
        <v>27</v>
      </c>
      <c r="B7" s="563">
        <f>SUMIFS(Maksājumu_pieprasījumu_iesn.!$AU$12:$AU$441,Maksājumu_pieprasījumu_iesn.!$I$12:$I$441,"2.1.1.", Maksājumu_pieprasījumu_iesn.!$AU$12:$AU$441,"&lt;0")</f>
        <v>-130148.55999999998</v>
      </c>
      <c r="C7" s="563">
        <f>SUMIFS(Maksājumu_pieprasījumu_iesn.!$AR$12:$AR$441,Maksājumu_pieprasījumu_iesn.!$I$12:$I$441,"2.1.1.", Maksājumu_pieprasījumu_iesn.!$AR$12:$AR$441,"&lt;0")</f>
        <v>-64255.409999999989</v>
      </c>
      <c r="D7" s="563">
        <f>SUMIFS(Maksājumu_pieprasījumu_iesn.!$AU$12:$AU$441,Maksājumu_pieprasījumu_iesn.!$I$12:$I$441,"2.1.1.", Maksājumu_pieprasījumu_iesn.!$AU$12:$AU$441,"&gt;0")</f>
        <v>0</v>
      </c>
      <c r="E7" s="563">
        <f>SUMIFS(Maksājumu_pieprasījumu_iesn.!$AR$12:$AR$441,Maksājumu_pieprasījumu_iesn.!$I$12:$I$441,"2.1.1.", Maksājumu_pieprasījumu_iesn.!$AR$12:$AR$441,"&gt;0")</f>
        <v>0</v>
      </c>
      <c r="F7" s="563">
        <f t="shared" si="1"/>
        <v>-130148.55999999998</v>
      </c>
      <c r="G7" s="563">
        <f t="shared" si="2"/>
        <v>-64255.409999999989</v>
      </c>
    </row>
    <row r="8" spans="1:7" x14ac:dyDescent="0.25">
      <c r="A8" s="514" t="s">
        <v>33</v>
      </c>
      <c r="B8" s="563">
        <f>SUMIFS(Maksājumu_pieprasījumu_iesn.!$AU$12:$AU$441,Maksājumu_pieprasījumu_iesn.!$I$12:$I$441,"2.2.1.", Maksājumu_pieprasījumu_iesn.!$AU$12:$AU$441,"&lt;0")</f>
        <v>-886906.28000000014</v>
      </c>
      <c r="C8" s="563">
        <f>SUMIFS(Maksājumu_pieprasījumu_iesn.!$AR$12:$AR$441,Maksājumu_pieprasījumu_iesn.!$I$12:$I$441,"2.2.1.", Maksājumu_pieprasījumu_iesn.!$AR$12:$AR$441,"&lt;0")</f>
        <v>-506625.93</v>
      </c>
      <c r="D8" s="563">
        <f>SUMIFS(Maksājumu_pieprasījumu_iesn.!$AU$12:$AU$441,Maksājumu_pieprasījumu_iesn.!$I$12:$I$441,"2.2.1.", Maksājumu_pieprasījumu_iesn.!$AU$12:$AU$441,"&gt;0")</f>
        <v>710458.86</v>
      </c>
      <c r="E8" s="563">
        <f>SUMIFS(Maksājumu_pieprasījumu_iesn.!$AR$12:$AR$441,Maksājumu_pieprasījumu_iesn.!$I$12:$I$441,"2.2.1.", Maksājumu_pieprasījumu_iesn.!$AR$12:$AR$441,"&gt;0")</f>
        <v>634384.35</v>
      </c>
      <c r="F8" s="563">
        <f t="shared" si="1"/>
        <v>-176447.42000000016</v>
      </c>
      <c r="G8" s="563">
        <f t="shared" si="2"/>
        <v>127758.41999999998</v>
      </c>
    </row>
    <row r="9" spans="1:7" x14ac:dyDescent="0.25">
      <c r="A9" s="514" t="s">
        <v>42</v>
      </c>
      <c r="B9" s="563">
        <f>SUMIFS(Maksājumu_pieprasījumu_iesn.!$AU$12:$AU$441,Maksājumu_pieprasījumu_iesn.!$I$12:$I$441,"3.1.1.", Maksājumu_pieprasījumu_iesn.!$AU$12:$AU$441,"&lt;0")</f>
        <v>-672121.39</v>
      </c>
      <c r="C9" s="563">
        <f>SUMIFS(Maksājumu_pieprasījumu_iesn.!$AR$12:$AR$441,Maksājumu_pieprasījumu_iesn.!$I$12:$I$441,"3.1.1.", Maksājumu_pieprasījumu_iesn.!$AR$12:$AR$441,"&lt;0")</f>
        <v>-600818.49</v>
      </c>
      <c r="D9" s="563">
        <f>SUMIFS(Maksājumu_pieprasījumu_iesn.!$AU$12:$AU$441,Maksājumu_pieprasījumu_iesn.!$I$12:$I$441,"3.1.1.", Maksājumu_pieprasījumu_iesn.!$AU$12:$AU$441,"&gt;0")</f>
        <v>0</v>
      </c>
      <c r="E9" s="563">
        <f>SUMIFS(Maksājumu_pieprasījumu_iesn.!$AR$12:$AR$441,Maksājumu_pieprasījumu_iesn.!$I$12:$I$441,"3.1.1.", Maksājumu_pieprasījumu_iesn.!$AR$12:$AR$441,"&gt;0")</f>
        <v>0</v>
      </c>
      <c r="F9" s="563">
        <f t="shared" si="1"/>
        <v>-672121.39</v>
      </c>
      <c r="G9" s="563">
        <f t="shared" si="2"/>
        <v>-600818.49</v>
      </c>
    </row>
    <row r="10" spans="1:7" ht="31.5" x14ac:dyDescent="0.25">
      <c r="A10" s="576" t="s">
        <v>2882</v>
      </c>
      <c r="B10" s="563">
        <f>SUMIFS(Maksājumu_pieprasījumu_iesn.!$AU$12:$AU$441,Maksājumu_pieprasījumu_iesn.!$I$12:$I$441,"3.1.2.", Maksājumu_pieprasījumu_iesn.!$AU$12:$AU$441,"&lt;0")</f>
        <v>-7464230.2252370967</v>
      </c>
      <c r="C10" s="563">
        <f>SUMIFS(Maksājumu_pieprasījumu_iesn.!$AR$12:$AR$441,Maksājumu_pieprasījumu_iesn.!$I$12:$I$441,"3.1.2.", Maksājumu_pieprasījumu_iesn.!$AR$12:$AR$441,"&lt;0")</f>
        <v>-3992857.16</v>
      </c>
      <c r="D10" s="563">
        <f>SUMIFS(Maksājumu_pieprasījumu_iesn.!$AU$12:$AU$441,Maksājumu_pieprasījumu_iesn.!$I$12:$I$441,"3.1.2.", Maksājumu_pieprasījumu_iesn.!$AU$12:$AU$441,"&gt;0")</f>
        <v>0</v>
      </c>
      <c r="E10" s="563">
        <f>SUMIFS(Maksājumu_pieprasījumu_iesn.!$AR$12:$AR$441,Maksājumu_pieprasījumu_iesn.!$I$12:$I$441,"3.1.2.", Maksājumu_pieprasījumu_iesn.!$AR$12:$AR$441,"&gt;0")</f>
        <v>0</v>
      </c>
      <c r="F10" s="563">
        <f t="shared" si="1"/>
        <v>-7464230.2252370967</v>
      </c>
      <c r="G10" s="563">
        <f t="shared" si="2"/>
        <v>-3992857.16</v>
      </c>
    </row>
    <row r="11" spans="1:7" x14ac:dyDescent="0.25">
      <c r="A11" s="514" t="s">
        <v>51</v>
      </c>
      <c r="B11" s="563">
        <f>SUMIFS(Maksājumu_pieprasījumu_iesn.!$AU$12:$AU$441,Maksājumu_pieprasījumu_iesn.!$I$12:$I$441,"3.2.1.", Maksājumu_pieprasījumu_iesn.!$AU$12:$AU$441,"&lt;0")</f>
        <v>-582833.99</v>
      </c>
      <c r="C11" s="563">
        <f>SUMIFS(Maksājumu_pieprasījumu_iesn.!$AR$12:$AR$441,Maksājumu_pieprasījumu_iesn.!$I$12:$I$441,"3.2.1.", Maksājumu_pieprasījumu_iesn.!$AR$12:$AR$441,"&lt;0")</f>
        <v>0</v>
      </c>
      <c r="D11" s="563">
        <f>SUMIFS(Maksājumu_pieprasījumu_iesn.!$AU$12:$AU$441,Maksājumu_pieprasījumu_iesn.!$I$12:$I$441,"3.2.1.", Maksājumu_pieprasījumu_iesn.!$AU$12:$AU$441,"&gt;0")</f>
        <v>2656663.1500000008</v>
      </c>
      <c r="E11" s="563">
        <f>SUMIFS(Maksājumu_pieprasījumu_iesn.!$AR$12:$AR$441,Maksājumu_pieprasījumu_iesn.!$I$12:$I$441,"3.2.1.", Maksājumu_pieprasījumu_iesn.!$AR$12:$AR$441,"&gt;0")</f>
        <v>280484.78999999998</v>
      </c>
      <c r="F11" s="563">
        <f t="shared" si="1"/>
        <v>2073829.1600000008</v>
      </c>
      <c r="G11" s="563">
        <f t="shared" si="2"/>
        <v>280484.78999999998</v>
      </c>
    </row>
    <row r="12" spans="1:7" x14ac:dyDescent="0.25">
      <c r="A12" s="514" t="s">
        <v>57</v>
      </c>
      <c r="B12" s="563">
        <f>SUMIFS(Maksājumu_pieprasījumu_iesn.!$AU$12:$AU$441,Maksājumu_pieprasījumu_iesn.!$I$12:$I$441,"3.3.1.", Maksājumu_pieprasījumu_iesn.!$AU$12:$AU$441,"&lt;0")</f>
        <v>-628867.25000000023</v>
      </c>
      <c r="C12" s="563">
        <f>SUMIFS(Maksājumu_pieprasījumu_iesn.!$AR$12:$AR$441,Maksājumu_pieprasījumu_iesn.!$I$12:$I$441,"3.3.1.", Maksājumu_pieprasījumu_iesn.!$AR$12:$AR$441,"&lt;0")</f>
        <v>-49600.739999999991</v>
      </c>
      <c r="D12" s="563">
        <f>SUMIFS(Maksājumu_pieprasījumu_iesn.!$AU$12:$AU$441,Maksājumu_pieprasījumu_iesn.!$I$12:$I$441,"3.3.1.", Maksājumu_pieprasījumu_iesn.!$AU$12:$AU$441,"&gt;0")</f>
        <v>9182855.370000001</v>
      </c>
      <c r="E12" s="563">
        <f>SUMIFS(Maksājumu_pieprasījumu_iesn.!$AR$12:$AR$441,Maksājumu_pieprasījumu_iesn.!$I$12:$I$441,"3.3.1.", Maksājumu_pieprasījumu_iesn.!$AR$12:$AR$441,"&gt;0")</f>
        <v>3720703.34</v>
      </c>
      <c r="F12" s="563">
        <f t="shared" si="1"/>
        <v>8553988.120000001</v>
      </c>
      <c r="G12" s="563">
        <f t="shared" si="2"/>
        <v>3671102.5999999996</v>
      </c>
    </row>
    <row r="13" spans="1:7" x14ac:dyDescent="0.25">
      <c r="A13" s="514" t="s">
        <v>612</v>
      </c>
      <c r="B13" s="563">
        <f>SUMIFS(Maksājumu_pieprasījumu_iesn.!$AU$12:$AU$441,Maksājumu_pieprasījumu_iesn.!$I$12:$I$441,"3.4.1.", Maksājumu_pieprasījumu_iesn.!$AU$12:$AU$441,"&lt;0")</f>
        <v>-427778.7</v>
      </c>
      <c r="C13" s="563">
        <f>SUMIFS(Maksājumu_pieprasījumu_iesn.!$AR$12:$AR$441,Maksājumu_pieprasījumu_iesn.!$I$12:$I$441,"3.4.1.", Maksājumu_pieprasījumu_iesn.!$AR$12:$AR$441,"&lt;0")</f>
        <v>-309525.5</v>
      </c>
      <c r="D13" s="563">
        <f>SUMIFS(Maksājumu_pieprasījumu_iesn.!$AU$12:$AU$441,Maksājumu_pieprasījumu_iesn.!$I$12:$I$441,"3.4.1.", Maksājumu_pieprasījumu_iesn.!$AU$12:$AU$441,"&gt;0")</f>
        <v>0</v>
      </c>
      <c r="E13" s="563">
        <f>SUMIFS(Maksājumu_pieprasījumu_iesn.!$AR$12:$AR$441,Maksājumu_pieprasījumu_iesn.!$I$12:$I$441,"3.4.1.", Maksājumu_pieprasījumu_iesn.!$AR$12:$AR$441,"&gt;0")</f>
        <v>0</v>
      </c>
      <c r="F13" s="563">
        <f t="shared" si="1"/>
        <v>-427778.7</v>
      </c>
      <c r="G13" s="563">
        <f t="shared" si="2"/>
        <v>-309525.5</v>
      </c>
    </row>
    <row r="14" spans="1:7" x14ac:dyDescent="0.25">
      <c r="A14" s="514" t="s">
        <v>74</v>
      </c>
      <c r="B14" s="563">
        <f>SUMIFS(Maksājumu_pieprasījumu_iesn.!$AU$12:$AU$441,Maksājumu_pieprasījumu_iesn.!$I$12:$I$441,"3.4.2.", Maksājumu_pieprasījumu_iesn.!$AU$12:$AU$441,"&lt;0")</f>
        <v>-215593.36</v>
      </c>
      <c r="C14" s="563">
        <f>SUMIFS(Maksājumu_pieprasījumu_iesn.!$AR$12:$AR$441,Maksājumu_pieprasījumu_iesn.!$I$12:$I$441,"3.4.2.", Maksājumu_pieprasījumu_iesn.!$AR$12:$AR$441,"&lt;0")</f>
        <v>-121905.62</v>
      </c>
      <c r="D14" s="563">
        <f>SUMIFS(Maksājumu_pieprasījumu_iesn.!$AU$12:$AU$441,Maksājumu_pieprasījumu_iesn.!$I$12:$I$441,"3.4.2.", Maksājumu_pieprasījumu_iesn.!$AU$12:$AU$441,"&gt;0")</f>
        <v>188464.19999999998</v>
      </c>
      <c r="E14" s="563">
        <f>SUMIFS(Maksājumu_pieprasījumu_iesn.!$AR$12:$AR$441,Maksājumu_pieprasījumu_iesn.!$I$12:$I$441,"3.4.2.", Maksājumu_pieprasījumu_iesn.!$AR$12:$AR$441,"&gt;0")</f>
        <v>131909.41999999998</v>
      </c>
      <c r="F14" s="563">
        <f t="shared" si="1"/>
        <v>-27129.160000000003</v>
      </c>
      <c r="G14" s="563">
        <f t="shared" si="2"/>
        <v>10003.799999999988</v>
      </c>
    </row>
    <row r="15" spans="1:7" x14ac:dyDescent="0.25">
      <c r="A15" s="514" t="s">
        <v>89</v>
      </c>
      <c r="B15" s="563">
        <f>SUMIFS(Maksājumu_pieprasījumu_iesn.!$AU$12:$AU$441,Maksājumu_pieprasījumu_iesn.!$I$12:$I$441,"4.2.1.", Maksājumu_pieprasījumu_iesn.!$AU$12:$AU$441,"&lt;0")</f>
        <v>-16422998.18</v>
      </c>
      <c r="C15" s="563">
        <f>SUMIFS(Maksājumu_pieprasījumu_iesn.!$AR$12:$AR$441,Maksājumu_pieprasījumu_iesn.!$I$12:$I$441,"4.2.1.", Maksājumu_pieprasījumu_iesn.!$AR$12:$AR$441,"&lt;0")</f>
        <v>-10439770.789999999</v>
      </c>
      <c r="D15" s="563">
        <f>SUMIFS(Maksājumu_pieprasījumu_iesn.!$AU$12:$AU$441,Maksājumu_pieprasījumu_iesn.!$I$12:$I$441,"4.2.1.", Maksājumu_pieprasījumu_iesn.!$AU$12:$AU$441,"&gt;0")</f>
        <v>1564925.7600000002</v>
      </c>
      <c r="E15" s="563">
        <f>SUMIFS(Maksājumu_pieprasījumu_iesn.!$AR$12:$AR$441,Maksājumu_pieprasījumu_iesn.!$I$12:$I$441,"4.2.1.", Maksājumu_pieprasījumu_iesn.!$AR$12:$AR$441,"&gt;0")</f>
        <v>425669.07</v>
      </c>
      <c r="F15" s="563">
        <f t="shared" si="1"/>
        <v>-14858072.42</v>
      </c>
      <c r="G15" s="563">
        <f t="shared" si="2"/>
        <v>-10014101.719999999</v>
      </c>
    </row>
    <row r="16" spans="1:7" x14ac:dyDescent="0.25">
      <c r="A16" s="514" t="s">
        <v>842</v>
      </c>
      <c r="B16" s="563">
        <f>SUMIFS(Maksājumu_pieprasījumu_iesn.!$AU$12:$AU$441,Maksājumu_pieprasījumu_iesn.!$I$12:$I$441,"4.2.2.", Maksājumu_pieprasījumu_iesn.!$AU$12:$AU$441,"&lt;0")</f>
        <v>-77900</v>
      </c>
      <c r="C16" s="563">
        <f>SUMIFS(Maksājumu_pieprasījumu_iesn.!$AR$12:$AR$441,Maksājumu_pieprasījumu_iesn.!$I$12:$I$441,"4.2.2.", Maksājumu_pieprasījumu_iesn.!$AR$12:$AR$441,"&lt;0")</f>
        <v>-77900</v>
      </c>
      <c r="D16" s="563">
        <f>SUMIFS(Maksājumu_pieprasījumu_iesn.!$AU$12:$AU$441,Maksājumu_pieprasījumu_iesn.!$I$12:$I$441,"4.2.2.", Maksājumu_pieprasījumu_iesn.!$AU$12:$AU$441,"&gt;0")</f>
        <v>9330044.9700000025</v>
      </c>
      <c r="E16" s="563">
        <f>SUMIFS(Maksājumu_pieprasījumu_iesn.!$AR$12:$AR$441,Maksājumu_pieprasījumu_iesn.!$I$12:$I$441,"4.2.2.", Maksājumu_pieprasījumu_iesn.!$AR$12:$AR$441,"&gt;0")</f>
        <v>634108.01000000013</v>
      </c>
      <c r="F16" s="563">
        <f t="shared" si="1"/>
        <v>9252144.9700000025</v>
      </c>
      <c r="G16" s="563">
        <f t="shared" si="2"/>
        <v>556208.01000000013</v>
      </c>
    </row>
    <row r="17" spans="1:7" x14ac:dyDescent="0.25">
      <c r="A17" s="564" t="s">
        <v>95</v>
      </c>
      <c r="B17" s="563">
        <f>SUMIFS(Maksājumu_pieprasījumu_iesn.!$AU$12:$AU$441,Maksājumu_pieprasījumu_iesn.!$I$12:$I$441,"4.4.1.", Maksājumu_pieprasījumu_iesn.!$AU$12:$AU$441,"&lt;0")</f>
        <v>-423111.69999999995</v>
      </c>
      <c r="C17" s="563">
        <f>SUMIFS(Maksājumu_pieprasījumu_iesn.!$AR$12:$AR$441,Maksājumu_pieprasījumu_iesn.!$I$12:$I$441,"4.4.1.", Maksājumu_pieprasījumu_iesn.!$AR$12:$AR$441,"&lt;0")</f>
        <v>0</v>
      </c>
      <c r="D17" s="563">
        <f>SUMIFS(Maksājumu_pieprasījumu_iesn.!$AU$12:$AU$441,Maksājumu_pieprasījumu_iesn.!$I$12:$I$441,"4.4.1.", Maksājumu_pieprasījumu_iesn.!$AU$12:$AU$441,"&gt;0")</f>
        <v>0</v>
      </c>
      <c r="E17" s="563">
        <f>SUMIFS(Maksājumu_pieprasījumu_iesn.!$AR$12:$AR$441,Maksājumu_pieprasījumu_iesn.!$I$12:$I$441,"4.4.1.", Maksājumu_pieprasījumu_iesn.!$AR$12:$AR$441,"&gt;0")</f>
        <v>47992.81</v>
      </c>
      <c r="F17" s="563">
        <f t="shared" si="1"/>
        <v>-423111.69999999995</v>
      </c>
      <c r="G17" s="563">
        <f t="shared" si="2"/>
        <v>47992.81</v>
      </c>
    </row>
    <row r="18" spans="1:7" x14ac:dyDescent="0.25">
      <c r="A18" s="514" t="s">
        <v>100</v>
      </c>
      <c r="B18" s="563">
        <f>SUMIFS(Maksājumu_pieprasījumu_iesn.!$AU$12:$AU$441,Maksājumu_pieprasījumu_iesn.!$I$12:$I$441,"4.5.1.", Maksājumu_pieprasījumu_iesn.!$AU$12:$AU$441,"&lt;0")</f>
        <v>-2619459.08</v>
      </c>
      <c r="C18" s="563">
        <f>SUMIFS(Maksājumu_pieprasījumu_iesn.!$AR$12:$AR$441,Maksājumu_pieprasījumu_iesn.!$I$12:$I$441,"4.5.1.", Maksājumu_pieprasījumu_iesn.!$AR$12:$AR$441,"&lt;0")</f>
        <v>-947797.13</v>
      </c>
      <c r="D18" s="563">
        <f>SUMIFS(Maksājumu_pieprasījumu_iesn.!$AU$12:$AU$441,Maksājumu_pieprasījumu_iesn.!$I$12:$I$441,"4.5.1.", Maksājumu_pieprasījumu_iesn.!$AU$12:$AU$441,"&gt;0")</f>
        <v>566162.75000000012</v>
      </c>
      <c r="E18" s="563">
        <f>SUMIFS(Maksājumu_pieprasījumu_iesn.!$AR$12:$AR$441,Maksājumu_pieprasījumu_iesn.!$I$12:$I$441,"4.5.1.", Maksājumu_pieprasījumu_iesn.!$AR$12:$AR$441,"&gt;0")</f>
        <v>48321.150000000023</v>
      </c>
      <c r="F18" s="563">
        <f t="shared" si="1"/>
        <v>-2053296.33</v>
      </c>
      <c r="G18" s="563">
        <f t="shared" si="2"/>
        <v>-899475.98</v>
      </c>
    </row>
    <row r="19" spans="1:7" x14ac:dyDescent="0.25">
      <c r="A19" s="514" t="s">
        <v>618</v>
      </c>
      <c r="B19" s="563">
        <f>SUMIFS(Maksājumu_pieprasījumu_iesn.!$AU$12:$AU$441,Maksājumu_pieprasījumu_iesn.!$I$12:$I$441,"5.1.1.", Maksājumu_pieprasījumu_iesn.!$AU$12:$AU$441,"&lt;0")</f>
        <v>0</v>
      </c>
      <c r="C19" s="563">
        <f>SUMIFS(Maksājumu_pieprasījumu_iesn.!$AR$12:$AR$441,Maksājumu_pieprasījumu_iesn.!$I$12:$I$441,"5.1.1.", Maksājumu_pieprasījumu_iesn.!$AR$12:$AR$441,"&lt;0")</f>
        <v>0</v>
      </c>
      <c r="D19" s="563">
        <f>SUMIFS(Maksājumu_pieprasījumu_iesn.!$AU$12:$AU$441,Maksājumu_pieprasījumu_iesn.!$I$12:$I$441,"5.1.1.", Maksājumu_pieprasījumu_iesn.!$AU$12:$AU$441,"&gt;0")</f>
        <v>787710.55</v>
      </c>
      <c r="E19" s="563">
        <f>SUMIFS(Maksājumu_pieprasījumu_iesn.!$AR$12:$AR$441,Maksājumu_pieprasījumu_iesn.!$I$12:$I$441,"5.1.1.", Maksājumu_pieprasījumu_iesn.!$AR$12:$AR$441,"&gt;0")</f>
        <v>0</v>
      </c>
      <c r="F19" s="563">
        <f t="shared" si="1"/>
        <v>787710.55</v>
      </c>
      <c r="G19" s="563">
        <f t="shared" si="2"/>
        <v>0</v>
      </c>
    </row>
    <row r="20" spans="1:7" x14ac:dyDescent="0.25">
      <c r="A20" s="514" t="s">
        <v>106</v>
      </c>
      <c r="B20" s="563">
        <f>SUMIFS(Maksājumu_pieprasījumu_iesn.!$AU$12:$AU$441,Maksājumu_pieprasījumu_iesn.!$I$12:$I$441,"5.1.2.", Maksājumu_pieprasījumu_iesn.!$AU$12:$AU$441,"&lt;0")</f>
        <v>-6735145.629999999</v>
      </c>
      <c r="C20" s="563">
        <f>SUMIFS(Maksājumu_pieprasījumu_iesn.!$AR$12:$AR$441,Maksājumu_pieprasījumu_iesn.!$I$12:$I$441,"5.1.2.", Maksājumu_pieprasījumu_iesn.!$AR$12:$AR$441,"&lt;0")</f>
        <v>0</v>
      </c>
      <c r="D20" s="563">
        <f>SUMIFS(Maksājumu_pieprasījumu_iesn.!$AU$12:$AU$441,Maksājumu_pieprasījumu_iesn.!$I$12:$I$441,"5.1.2.", Maksājumu_pieprasījumu_iesn.!$AU$12:$AU$441,"&gt;0")</f>
        <v>640945.51</v>
      </c>
      <c r="E20" s="563">
        <f>SUMIFS(Maksājumu_pieprasījumu_iesn.!$AR$12:$AR$441,Maksājumu_pieprasījumu_iesn.!$I$12:$I$441,"5.1.2.", Maksājumu_pieprasījumu_iesn.!$AR$12:$AR$441,"&gt;0")</f>
        <v>1418202.87</v>
      </c>
      <c r="F20" s="563">
        <f t="shared" si="1"/>
        <v>-6094200.1199999992</v>
      </c>
      <c r="G20" s="563">
        <f t="shared" si="2"/>
        <v>1418202.87</v>
      </c>
    </row>
    <row r="21" spans="1:7" x14ac:dyDescent="0.25">
      <c r="A21" s="514" t="s">
        <v>119</v>
      </c>
      <c r="B21" s="563">
        <f>SUMIFS(Maksājumu_pieprasījumu_iesn.!$AU$12:$AU$441,Maksājumu_pieprasījumu_iesn.!$I$12:$I$441,"5.3.1.", Maksājumu_pieprasījumu_iesn.!$AU$12:$AU$441,"&lt;0")</f>
        <v>-1735031.3400000003</v>
      </c>
      <c r="C21" s="563">
        <f>SUMIFS(Maksājumu_pieprasījumu_iesn.!$AR$12:$AR$441,Maksājumu_pieprasījumu_iesn.!$I$12:$I$441,"5.3.1.", Maksājumu_pieprasījumu_iesn.!$AR$12:$AR$441,"&lt;0")</f>
        <v>-941926.60000000009</v>
      </c>
      <c r="D21" s="563">
        <f>SUMIFS(Maksājumu_pieprasījumu_iesn.!$AU$12:$AU$441,Maksājumu_pieprasījumu_iesn.!$I$12:$I$441,"5.3.1.", Maksājumu_pieprasījumu_iesn.!$AU$12:$AU$441,"&gt;0")</f>
        <v>842173.25</v>
      </c>
      <c r="E21" s="563">
        <f>SUMIFS(Maksājumu_pieprasījumu_iesn.!$AR$12:$AR$441,Maksājumu_pieprasījumu_iesn.!$I$12:$I$441,"5.3.1.", Maksājumu_pieprasījumu_iesn.!$AR$12:$AR$441,"&gt;0")</f>
        <v>3781663.6500000004</v>
      </c>
      <c r="F21" s="563">
        <f t="shared" si="1"/>
        <v>-892858.09000000032</v>
      </c>
      <c r="G21" s="563">
        <f t="shared" si="2"/>
        <v>2839737.0500000003</v>
      </c>
    </row>
    <row r="22" spans="1:7" x14ac:dyDescent="0.25">
      <c r="A22" s="564" t="s">
        <v>133</v>
      </c>
      <c r="B22" s="563">
        <f>SUMIFS(Maksājumu_pieprasījumu_iesn.!$AU$12:$AU$441,Maksājumu_pieprasījumu_iesn.!$I$12:$I$441,"5.4.2.", Maksājumu_pieprasījumu_iesn.!$AU$12:$AU$441,"&lt;0")</f>
        <v>-310520</v>
      </c>
      <c r="C22" s="563">
        <f>SUMIFS(Maksājumu_pieprasījumu_iesn.!$AR$12:$AR$441,Maksājumu_pieprasījumu_iesn.!$I$12:$I$441,"5.4.2.", Maksājumu_pieprasījumu_iesn.!$AR$12:$AR$441,"&lt;0")</f>
        <v>0</v>
      </c>
      <c r="D22" s="563">
        <f>SUMIFS(Maksājumu_pieprasījumu_iesn.!$AU$12:$AU$441,Maksājumu_pieprasījumu_iesn.!$I$12:$I$441,"5.4.2.", Maksājumu_pieprasījumu_iesn.!$AU$12:$AU$441,"&gt;0")</f>
        <v>0</v>
      </c>
      <c r="E22" s="563">
        <f>SUMIFS(Maksājumu_pieprasījumu_iesn.!$AR$12:$AR$441,Maksājumu_pieprasījumu_iesn.!$I$12:$I$441,"5.4.2.", Maksājumu_pieprasījumu_iesn.!$AR$12:$AR$441,"&gt;0")</f>
        <v>9727.4300000000512</v>
      </c>
      <c r="F22" s="563">
        <f t="shared" si="1"/>
        <v>-310520</v>
      </c>
      <c r="G22" s="563">
        <f t="shared" si="2"/>
        <v>9727.4300000000512</v>
      </c>
    </row>
    <row r="23" spans="1:7" x14ac:dyDescent="0.25">
      <c r="A23" s="514" t="s">
        <v>1773</v>
      </c>
      <c r="B23" s="563">
        <f>SUMIFS(Maksājumu_pieprasījumu_iesn.!$AU$12:$AU$441,Maksājumu_pieprasījumu_iesn.!$I$12:$I$441,"5.5.3.", Maksājumu_pieprasījumu_iesn.!$AU$12:$AU$441,"&lt;0")</f>
        <v>0</v>
      </c>
      <c r="C23" s="563">
        <f>SUMIFS(Maksājumu_pieprasījumu_iesn.!$AR$12:$AR$441,Maksājumu_pieprasījumu_iesn.!$I$12:$I$441,"5.4.3.", Maksājumu_pieprasījumu_iesn.!$AR$12:$AR$441,"&lt;0")</f>
        <v>0</v>
      </c>
      <c r="D23" s="563">
        <f>SUMIFS(Maksājumu_pieprasījumu_iesn.!$AU$12:$AU$441,Maksājumu_pieprasījumu_iesn.!$I$12:$I$441,"5.5.3.", Maksājumu_pieprasījumu_iesn.!$AU$12:$AU$441,"&gt;0")</f>
        <v>0</v>
      </c>
      <c r="E23" s="563">
        <f>SUMIFS(Maksājumu_pieprasījumu_iesn.!$AR$12:$AR$441,Maksājumu_pieprasījumu_iesn.!$I$12:$I$441,"5.4.3.", Maksājumu_pieprasījumu_iesn.!$AR$12:$AR$441,"&gt;0")</f>
        <v>0</v>
      </c>
      <c r="F23" s="563">
        <f t="shared" si="1"/>
        <v>0</v>
      </c>
      <c r="G23" s="563">
        <f t="shared" si="2"/>
        <v>0</v>
      </c>
    </row>
    <row r="24" spans="1:7" x14ac:dyDescent="0.25">
      <c r="A24" s="514" t="s">
        <v>1776</v>
      </c>
      <c r="B24" s="563">
        <f>SUMIFS(Maksājumu_pieprasījumu_iesn.!$AU$12:$AU$441,Maksājumu_pieprasījumu_iesn.!$I$12:$I$441,"5.5.1.", Maksājumu_pieprasījumu_iesn.!$AU$12:$AU$441,"&lt;0")</f>
        <v>0</v>
      </c>
      <c r="C24" s="563">
        <f>SUMIFS(Maksājumu_pieprasījumu_iesn.!$AR$12:$AR$441,Maksājumu_pieprasījumu_iesn.!$I$12:$I$441,"5.5.1.", Maksājumu_pieprasījumu_iesn.!$AR$12:$AR$441,"&lt;0")</f>
        <v>0</v>
      </c>
      <c r="D24" s="563">
        <f>SUMIFS(Maksājumu_pieprasījumu_iesn.!$AU$12:$AU$441,Maksājumu_pieprasījumu_iesn.!$I$12:$I$441,"5.5.1.", Maksājumu_pieprasījumu_iesn.!$AU$12:$AU$441,"&gt;0")</f>
        <v>486239.14</v>
      </c>
      <c r="E24" s="563">
        <f>SUMIFS(Maksājumu_pieprasījumu_iesn.!$AR$12:$AR$441,Maksājumu_pieprasījumu_iesn.!$I$12:$I$441,"5.5.1.", Maksājumu_pieprasījumu_iesn.!$AR$12:$AR$441,"&gt;0")</f>
        <v>486239.14</v>
      </c>
      <c r="F24" s="563">
        <f t="shared" si="1"/>
        <v>486239.14</v>
      </c>
      <c r="G24" s="563">
        <f t="shared" si="2"/>
        <v>486239.14</v>
      </c>
    </row>
    <row r="25" spans="1:7" x14ac:dyDescent="0.25">
      <c r="A25" s="514" t="s">
        <v>804</v>
      </c>
      <c r="B25" s="563">
        <f>SUMIFS(Maksājumu_pieprasījumu_iesn.!$AU$12:$AU$441,Maksājumu_pieprasījumu_iesn.!$I$12:$I$441,"5.6.1.", Maksājumu_pieprasījumu_iesn.!$AU$12:$AU$441,"&lt;0")</f>
        <v>-2097970.0199999996</v>
      </c>
      <c r="C25" s="563">
        <f>SUMIFS(Maksājumu_pieprasījumu_iesn.!$AR$12:$AR$441,Maksājumu_pieprasījumu_iesn.!$I$12:$I$441,"5.6.1.", Maksājumu_pieprasījumu_iesn.!$AR$12:$AR$441,"&lt;0")</f>
        <v>-1277543.69</v>
      </c>
      <c r="D25" s="563">
        <f>SUMIFS(Maksājumu_pieprasījumu_iesn.!$AU$12:$AU$441,Maksājumu_pieprasījumu_iesn.!$I$12:$I$441,"5.6.1.", Maksājumu_pieprasījumu_iesn.!$AU$12:$AU$441,"&gt;0")</f>
        <v>2142654.12</v>
      </c>
      <c r="E25" s="563">
        <f>SUMIFS(Maksājumu_pieprasījumu_iesn.!$AR$12:$AR$441,Maksājumu_pieprasījumu_iesn.!$I$12:$I$441,"5.6.1.", Maksājumu_pieprasījumu_iesn.!$AR$12:$AR$441,"&gt;0")</f>
        <v>246361.74</v>
      </c>
      <c r="F25" s="563">
        <f t="shared" si="1"/>
        <v>44684.100000000559</v>
      </c>
      <c r="G25" s="563">
        <f t="shared" si="2"/>
        <v>-1031181.95</v>
      </c>
    </row>
    <row r="26" spans="1:7" x14ac:dyDescent="0.25">
      <c r="A26" s="514" t="s">
        <v>138</v>
      </c>
      <c r="B26" s="563">
        <f>SUMIFS(Maksājumu_pieprasījumu_iesn.!$AU$12:$AU$441,Maksājumu_pieprasījumu_iesn.!$I$12:$I$441,"5.6.2.", Maksājumu_pieprasījumu_iesn.!$AU$12:$AU$441,"&lt;0")</f>
        <v>-3226577.1399999992</v>
      </c>
      <c r="C26" s="563">
        <f>SUMIFS(Maksājumu_pieprasījumu_iesn.!$AR$12:$AR$441,Maksājumu_pieprasījumu_iesn.!$I$12:$I$441,"5.6.2.", Maksājumu_pieprasījumu_iesn.!$AR$12:$AR$441,"&lt;0")</f>
        <v>-772642.01</v>
      </c>
      <c r="D26" s="563">
        <f>SUMIFS(Maksājumu_pieprasījumu_iesn.!$AU$12:$AU$441,Maksājumu_pieprasījumu_iesn.!$I$12:$I$441,"5.6.2.", Maksājumu_pieprasījumu_iesn.!$AU$12:$AU$441,"&gt;0")</f>
        <v>15850349.459999997</v>
      </c>
      <c r="E26" s="563">
        <f>SUMIFS(Maksājumu_pieprasījumu_iesn.!$AR$12:$AR$441,Maksājumu_pieprasījumu_iesn.!$I$12:$I$441,"5.6.2.", Maksājumu_pieprasījumu_iesn.!$AR$12:$AR$441,"&gt;0")</f>
        <v>4223903.74</v>
      </c>
      <c r="F26" s="563">
        <f t="shared" si="1"/>
        <v>12623772.319999998</v>
      </c>
      <c r="G26" s="563">
        <f t="shared" si="2"/>
        <v>3451261.7300000004</v>
      </c>
    </row>
    <row r="27" spans="1:7" x14ac:dyDescent="0.25">
      <c r="A27" s="514" t="s">
        <v>1947</v>
      </c>
      <c r="B27" s="563">
        <f>SUMIFS(Maksājumu_pieprasījumu_iesn.!$AU$12:$AU$441,Maksājumu_pieprasījumu_iesn.!$I$12:$I$441,"5.6.3.", Maksājumu_pieprasījumu_iesn.!$AU$12:$AU$441,"&lt;0")</f>
        <v>-542638.03650000005</v>
      </c>
      <c r="C27" s="563">
        <f>SUMIFS(Maksājumu_pieprasījumu_iesn.!$AR$12:$AR$441,Maksājumu_pieprasījumu_iesn.!$I$12:$I$441,"5.6.3.", Maksājumu_pieprasījumu_iesn.!$AR$12:$AR$441,"&lt;0")</f>
        <v>-542638.03650000005</v>
      </c>
      <c r="D27" s="563">
        <f>SUMIFS(Maksājumu_pieprasījumu_iesn.!$AU$12:$AU$441,Maksājumu_pieprasījumu_iesn.!$I$12:$I$441,"5.6.3.", Maksājumu_pieprasījumu_iesn.!$AU$12:$AU$441,"&gt;0")</f>
        <v>0</v>
      </c>
      <c r="E27" s="563">
        <f>SUMIFS(Maksājumu_pieprasījumu_iesn.!$AR$12:$AR$441,Maksājumu_pieprasījumu_iesn.!$I$12:$I$441,"5.6.3.", Maksājumu_pieprasījumu_iesn.!$AR$12:$AR$441,"&gt;0")</f>
        <v>0</v>
      </c>
      <c r="F27" s="563">
        <f t="shared" si="1"/>
        <v>-542638.03650000005</v>
      </c>
      <c r="G27" s="563">
        <f t="shared" si="2"/>
        <v>-542638.03650000005</v>
      </c>
    </row>
    <row r="28" spans="1:7" x14ac:dyDescent="0.25">
      <c r="A28" s="514" t="s">
        <v>758</v>
      </c>
      <c r="B28" s="563">
        <f>SUMIFS(Maksājumu_pieprasījumu_iesn.!$AU$12:$AU$441,Maksājumu_pieprasījumu_iesn.!$I$12:$I$441,"6.1.1.", Maksājumu_pieprasījumu_iesn.!$AU$12:$AU$441,"&lt;0")</f>
        <v>-1014630.23</v>
      </c>
      <c r="C28" s="563">
        <f>SUMIFS(Maksājumu_pieprasījumu_iesn.!$AR$12:$AR$441,Maksājumu_pieprasījumu_iesn.!$I$12:$I$441,"6.1.1.", Maksājumu_pieprasījumu_iesn.!$AR$12:$AR$441,"&lt;0")</f>
        <v>-274869.75</v>
      </c>
      <c r="D28" s="563">
        <f>SUMIFS(Maksājumu_pieprasījumu_iesn.!$AU$12:$AU$441,Maksājumu_pieprasījumu_iesn.!$I$12:$I$441,"6.1.1.", Maksājumu_pieprasījumu_iesn.!$AU$12:$AU$441,"&gt;0")</f>
        <v>521000</v>
      </c>
      <c r="E28" s="563">
        <f>SUMIFS(Maksājumu_pieprasījumu_iesn.!$AR$12:$AR$441,Maksājumu_pieprasījumu_iesn.!$I$12:$I$441,"6.1.1.", Maksājumu_pieprasījumu_iesn.!$AR$12:$AR$441,"&gt;0")</f>
        <v>767000</v>
      </c>
      <c r="F28" s="563">
        <f t="shared" si="1"/>
        <v>-493630.23</v>
      </c>
      <c r="G28" s="563">
        <f t="shared" si="2"/>
        <v>492130.25</v>
      </c>
    </row>
    <row r="29" spans="1:7" x14ac:dyDescent="0.25">
      <c r="A29" s="514" t="s">
        <v>1962</v>
      </c>
      <c r="B29" s="563">
        <f>SUMIFS(Maksājumu_pieprasījumu_iesn.!$AU$12:$AU$441,Maksājumu_pieprasījumu_iesn.!$I$12:$I$441,"6.1.2.", Maksājumu_pieprasījumu_iesn.!$AU$12:$AU$441,"&lt;0")</f>
        <v>0</v>
      </c>
      <c r="C29" s="563">
        <f>SUMIFS(Maksājumu_pieprasījumu_iesn.!$AR$12:$AR$441,Maksājumu_pieprasījumu_iesn.!$I$12:$I$441,"6.1.2.", Maksājumu_pieprasījumu_iesn.!$AR$12:$AR$441,"&lt;0")</f>
        <v>0</v>
      </c>
      <c r="D29" s="563">
        <f>SUMIFS(Maksājumu_pieprasījumu_iesn.!$AU$12:$AU$441,Maksājumu_pieprasījumu_iesn.!$I$12:$I$441,"6.1.2.", Maksājumu_pieprasījumu_iesn.!$AU$12:$AU$441,"&gt;0")</f>
        <v>0</v>
      </c>
      <c r="E29" s="563">
        <f>SUMIFS(Maksājumu_pieprasījumu_iesn.!$AR$12:$AR$441,Maksājumu_pieprasījumu_iesn.!$I$12:$I$441,"6.1.2.", Maksājumu_pieprasījumu_iesn.!$AR$12:$AR$441,"&gt;0")</f>
        <v>0</v>
      </c>
      <c r="F29" s="563">
        <f t="shared" si="1"/>
        <v>0</v>
      </c>
      <c r="G29" s="563">
        <f t="shared" si="2"/>
        <v>0</v>
      </c>
    </row>
    <row r="30" spans="1:7" x14ac:dyDescent="0.25">
      <c r="A30" s="514" t="s">
        <v>145</v>
      </c>
      <c r="B30" s="563">
        <f>SUMIFS(Maksājumu_pieprasījumu_iesn.!$AU$12:$AU$441,Maksājumu_pieprasījumu_iesn.!$I$12:$I$441,"6.1.3.", Maksājumu_pieprasījumu_iesn.!$AU$12:$AU$441,"&lt;0")</f>
        <v>-546157.75000000023</v>
      </c>
      <c r="C30" s="563">
        <f>SUMIFS(Maksājumu_pieprasījumu_iesn.!$AR$12:$AR$441,Maksājumu_pieprasījumu_iesn.!$I$12:$I$441,"6.1.3.", Maksājumu_pieprasījumu_iesn.!$AR$12:$AR$441,"&lt;0")</f>
        <v>0</v>
      </c>
      <c r="D30" s="563">
        <f>SUMIFS(Maksājumu_pieprasījumu_iesn.!$AU$12:$AU$441,Maksājumu_pieprasījumu_iesn.!$I$12:$I$441,"6.1.3.", Maksājumu_pieprasījumu_iesn.!$AU$12:$AU$441,"&gt;0")</f>
        <v>0</v>
      </c>
      <c r="E30" s="563">
        <f>SUMIFS(Maksājumu_pieprasījumu_iesn.!$AR$12:$AR$441,Maksājumu_pieprasījumu_iesn.!$I$12:$I$441,"6.1.3.", Maksājumu_pieprasījumu_iesn.!$AR$12:$AR$441,"&gt;0")</f>
        <v>325229.73</v>
      </c>
      <c r="F30" s="563">
        <f t="shared" si="1"/>
        <v>-546157.75000000023</v>
      </c>
      <c r="G30" s="563">
        <f t="shared" si="2"/>
        <v>325229.73</v>
      </c>
    </row>
    <row r="31" spans="1:7" x14ac:dyDescent="0.25">
      <c r="A31" s="514" t="s">
        <v>1976</v>
      </c>
      <c r="B31" s="563">
        <f>SUMIFS(Maksājumu_pieprasījumu_iesn.!$AU$12:$AU$441,Maksājumu_pieprasījumu_iesn.!$I$12:$I$441,"6.1.4.", Maksājumu_pieprasījumu_iesn.!$AU$12:$AU$441,"&lt;0")</f>
        <v>0</v>
      </c>
      <c r="C31" s="563">
        <f>SUMIFS(Maksājumu_pieprasījumu_iesn.!$AR$12:$AR$441,Maksājumu_pieprasījumu_iesn.!$I$12:$I$441,"6.1.4.", Maksājumu_pieprasījumu_iesn.!$AR$12:$AR$441,"&lt;0")</f>
        <v>0</v>
      </c>
      <c r="D31" s="563">
        <f>SUMIFS(Maksājumu_pieprasījumu_iesn.!$AU$12:$AU$441,Maksājumu_pieprasījumu_iesn.!$I$12:$I$441,"6.1.4.", Maksājumu_pieprasījumu_iesn.!$AU$12:$AU$441,"&gt;0")</f>
        <v>3764811.85</v>
      </c>
      <c r="E31" s="563">
        <f>SUMIFS(Maksājumu_pieprasījumu_iesn.!$AR$12:$AR$441,Maksājumu_pieprasījumu_iesn.!$I$12:$I$441,"6.1.4.", Maksājumu_pieprasījumu_iesn.!$AR$12:$AR$441,"&gt;0")</f>
        <v>2250524.77</v>
      </c>
      <c r="F31" s="563">
        <f t="shared" si="1"/>
        <v>3764811.85</v>
      </c>
      <c r="G31" s="563">
        <f t="shared" si="2"/>
        <v>2250524.77</v>
      </c>
    </row>
    <row r="32" spans="1:7" x14ac:dyDescent="0.25">
      <c r="A32" s="514" t="s">
        <v>150</v>
      </c>
      <c r="B32" s="563">
        <f>SUMIFS(Maksājumu_pieprasījumu_iesn.!$AU$12:$AU$441,Maksājumu_pieprasījumu_iesn.!$I$12:$I$441,"6.1.5.", Maksājumu_pieprasījumu_iesn.!$AU$12:$AU$441,"&lt;0")</f>
        <v>-6935913.0999999996</v>
      </c>
      <c r="C32" s="563">
        <f>SUMIFS(Maksājumu_pieprasījumu_iesn.!$AR$12:$AR$441,Maksājumu_pieprasījumu_iesn.!$I$12:$I$441,"6.1.5.", Maksājumu_pieprasījumu_iesn.!$AR$12:$AR$441,"&lt;0")</f>
        <v>-1831127.44</v>
      </c>
      <c r="D32" s="563">
        <f>SUMIFS(Maksājumu_pieprasījumu_iesn.!$AU$12:$AU$441,Maksājumu_pieprasījumu_iesn.!$I$12:$I$441,"6.1.5.", Maksājumu_pieprasījumu_iesn.!$AU$12:$AU$441,"&gt;0")</f>
        <v>821036.33000000019</v>
      </c>
      <c r="E32" s="563">
        <f>SUMIFS(Maksājumu_pieprasījumu_iesn.!$AR$12:$AR$441,Maksājumu_pieprasījumu_iesn.!$I$12:$I$441,"6.1.5.", Maksājumu_pieprasījumu_iesn.!$AR$12:$AR$441,"&gt;0")</f>
        <v>122771.07</v>
      </c>
      <c r="F32" s="563">
        <f t="shared" si="1"/>
        <v>-6114876.7699999996</v>
      </c>
      <c r="G32" s="563">
        <f t="shared" si="2"/>
        <v>-1708356.3699999999</v>
      </c>
    </row>
    <row r="33" spans="1:7" x14ac:dyDescent="0.25">
      <c r="A33" s="514" t="s">
        <v>2017</v>
      </c>
      <c r="B33" s="563">
        <f>SUMIFS(Maksājumu_pieprasījumu_iesn.!$AU$12:$AU$441,Maksājumu_pieprasījumu_iesn.!$I$12:$I$441,"6.2.1.", Maksājumu_pieprasījumu_iesn.!$AU$12:$AU$441,"&lt;0")</f>
        <v>0</v>
      </c>
      <c r="C33" s="563">
        <f>SUMIFS(Maksājumu_pieprasījumu_iesn.!$AR$12:$AR$441,Maksājumu_pieprasījumu_iesn.!$I$12:$I$441,"6.2.1.", Maksājumu_pieprasījumu_iesn.!$AR$12:$AR$441,"&lt;0")</f>
        <v>0</v>
      </c>
      <c r="D33" s="563">
        <f>SUMIFS(Maksājumu_pieprasījumu_iesn.!$AU$12:$AU$441,Maksājumu_pieprasījumu_iesn.!$I$12:$I$441,"6.2.1.", Maksājumu_pieprasījumu_iesn.!$AU$12:$AU$441,"&gt;0")</f>
        <v>0</v>
      </c>
      <c r="E33" s="563">
        <f>SUMIFS(Maksājumu_pieprasījumu_iesn.!$AR$12:$AR$441,Maksājumu_pieprasījumu_iesn.!$I$12:$I$441,"6.2.1.", Maksājumu_pieprasījumu_iesn.!$AR$12:$AR$441,"&gt;0")</f>
        <v>0</v>
      </c>
      <c r="F33" s="563">
        <f t="shared" si="1"/>
        <v>0</v>
      </c>
      <c r="G33" s="563">
        <f t="shared" si="2"/>
        <v>0</v>
      </c>
    </row>
    <row r="34" spans="1:7" x14ac:dyDescent="0.25">
      <c r="A34" s="514" t="s">
        <v>172</v>
      </c>
      <c r="B34" s="563">
        <f>SUMIFS(Maksājumu_pieprasījumu_iesn.!$AU$12:$AU$441,Maksājumu_pieprasījumu_iesn.!$I$12:$I$441,"6.3.1.", Maksājumu_pieprasījumu_iesn.!$AU$12:$AU$441,"&lt;0")</f>
        <v>-17571778.609999999</v>
      </c>
      <c r="C34" s="563">
        <f>SUMIFS(Maksājumu_pieprasījumu_iesn.!$AR$12:$AR$441,Maksājumu_pieprasījumu_iesn.!$I$12:$I$441,"6.3.1.", Maksājumu_pieprasījumu_iesn.!$AR$12:$AR$441,"&lt;0")</f>
        <v>-5714781.8699999992</v>
      </c>
      <c r="D34" s="563">
        <f>SUMIFS(Maksājumu_pieprasījumu_iesn.!$AU$12:$AU$441,Maksājumu_pieprasījumu_iesn.!$I$12:$I$441,"6.3.1.", Maksājumu_pieprasījumu_iesn.!$AU$12:$AU$441,"&gt;0")</f>
        <v>5978462.9999999991</v>
      </c>
      <c r="E34" s="563">
        <f>SUMIFS(Maksājumu_pieprasījumu_iesn.!$AR$12:$AR$441,Maksājumu_pieprasījumu_iesn.!$I$12:$I$441,"6.3.1.", Maksājumu_pieprasījumu_iesn.!$AR$12:$AR$441,"&gt;0")</f>
        <v>7770981.4299999997</v>
      </c>
      <c r="F34" s="563">
        <f t="shared" si="1"/>
        <v>-11593315.609999999</v>
      </c>
      <c r="G34" s="563">
        <f t="shared" si="2"/>
        <v>2056199.5600000005</v>
      </c>
    </row>
    <row r="35" spans="1:7" x14ac:dyDescent="0.25">
      <c r="A35" s="514" t="s">
        <v>208</v>
      </c>
      <c r="B35" s="563">
        <f>SUMIFS(Maksājumu_pieprasījumu_iesn.!$AU$12:$AU$441,Maksājumu_pieprasījumu_iesn.!$I$12:$I$441,"7.1.1.", Maksājumu_pieprasījumu_iesn.!$AU$12:$AU$441,"&lt;0")</f>
        <v>-151863.1100000008</v>
      </c>
      <c r="C35" s="563">
        <f>SUMIFS(Maksājumu_pieprasījumu_iesn.!$AR$12:$AR$441,Maksājumu_pieprasījumu_iesn.!$I$12:$I$441,"7.1.1.", Maksājumu_pieprasījumu_iesn.!$AR$12:$AR$441,"&lt;0")</f>
        <v>0</v>
      </c>
      <c r="D35" s="563">
        <f>SUMIFS(Maksājumu_pieprasījumu_iesn.!$AU$12:$AU$441,Maksājumu_pieprasījumu_iesn.!$I$12:$I$441,"7.1.1.", Maksājumu_pieprasījumu_iesn.!$AU$12:$AU$441,"&gt;0")</f>
        <v>0</v>
      </c>
      <c r="E35" s="563">
        <f>SUMIFS(Maksājumu_pieprasījumu_iesn.!$AR$12:$AR$441,Maksājumu_pieprasījumu_iesn.!$I$12:$I$441,"7.1.1.", Maksājumu_pieprasījumu_iesn.!$AR$12:$AR$441,"&gt;0")</f>
        <v>323678.55999999959</v>
      </c>
      <c r="F35" s="563">
        <f t="shared" si="1"/>
        <v>-151863.1100000008</v>
      </c>
      <c r="G35" s="563">
        <f t="shared" si="2"/>
        <v>323678.55999999959</v>
      </c>
    </row>
    <row r="36" spans="1:7" x14ac:dyDescent="0.25">
      <c r="A36" s="514" t="s">
        <v>214</v>
      </c>
      <c r="B36" s="563">
        <f>SUMIFS(Maksājumu_pieprasījumu_iesn.!$AU$12:$AU$441,Maksājumu_pieprasījumu_iesn.!$I$12:$I$441,"7.1.2.", Maksājumu_pieprasījumu_iesn.!$AU$12:$AU$441,"&lt;0")</f>
        <v>-5109.7500000000036</v>
      </c>
      <c r="C36" s="563">
        <f>SUMIFS(Maksājumu_pieprasījumu_iesn.!$AR$12:$AR$441,Maksājumu_pieprasījumu_iesn.!$I$12:$I$441,"7.1.2.", Maksājumu_pieprasījumu_iesn.!$AR$12:$AR$441,"&lt;0")</f>
        <v>0</v>
      </c>
      <c r="D36" s="563">
        <f>SUMIFS(Maksājumu_pieprasījumu_iesn.!$AU$12:$AU$441,Maksājumu_pieprasījumu_iesn.!$I$12:$I$441,"7.1.2.", Maksājumu_pieprasījumu_iesn.!$AU$12:$AU$441,"&gt;0")</f>
        <v>4812.9899999999989</v>
      </c>
      <c r="E36" s="563">
        <f>SUMIFS(Maksājumu_pieprasījumu_iesn.!$AR$12:$AR$441,Maksājumu_pieprasījumu_iesn.!$I$12:$I$441,"7.1.2.", Maksājumu_pieprasījumu_iesn.!$AR$12:$AR$441,"&gt;0")</f>
        <v>0</v>
      </c>
      <c r="F36" s="563">
        <f t="shared" si="1"/>
        <v>-296.76000000000477</v>
      </c>
      <c r="G36" s="563">
        <f t="shared" si="2"/>
        <v>0</v>
      </c>
    </row>
    <row r="37" spans="1:7" x14ac:dyDescent="0.25">
      <c r="A37" s="514" t="s">
        <v>221</v>
      </c>
      <c r="B37" s="563">
        <f>SUMIFS(Maksājumu_pieprasījumu_iesn.!$AU$12:$AU$441,Maksājumu_pieprasījumu_iesn.!$I$12:$I$441,"7.2.1.", Maksājumu_pieprasījumu_iesn.!$AU$12:$AU$441,"&lt;0")</f>
        <v>-2524463.29</v>
      </c>
      <c r="C37" s="563">
        <f>SUMIFS(Maksājumu_pieprasījumu_iesn.!$AR$12:$AR$441,Maksājumu_pieprasījumu_iesn.!$I$12:$I$441,"7.2.1.", Maksājumu_pieprasījumu_iesn.!$AR$12:$AR$441,"&lt;0")</f>
        <v>-513772.87999999989</v>
      </c>
      <c r="D37" s="563">
        <f>SUMIFS(Maksājumu_pieprasījumu_iesn.!$AU$12:$AU$441,Maksājumu_pieprasījumu_iesn.!$I$12:$I$441,"7.2.1.", Maksājumu_pieprasījumu_iesn.!$AU$12:$AU$441,"&gt;0")</f>
        <v>0</v>
      </c>
      <c r="E37" s="563">
        <f>SUMIFS(Maksājumu_pieprasījumu_iesn.!$AR$12:$AR$441,Maksājumu_pieprasījumu_iesn.!$I$12:$I$441,"7.2.1.", Maksājumu_pieprasījumu_iesn.!$AR$12:$AR$441,"&gt;0")</f>
        <v>0</v>
      </c>
      <c r="F37" s="563">
        <f t="shared" si="1"/>
        <v>-2524463.29</v>
      </c>
      <c r="G37" s="563">
        <f t="shared" si="2"/>
        <v>-513772.87999999989</v>
      </c>
    </row>
    <row r="38" spans="1:7" x14ac:dyDescent="0.25">
      <c r="A38" s="514" t="s">
        <v>224</v>
      </c>
      <c r="B38" s="563">
        <f>SUMIFS(Maksājumu_pieprasījumu_iesn.!$AU$12:$AU$441,Maksājumu_pieprasījumu_iesn.!$I$12:$I$441,"7.3.1.", Maksājumu_pieprasījumu_iesn.!$AU$12:$AU$441,"&lt;0")</f>
        <v>-713524.14</v>
      </c>
      <c r="C38" s="563">
        <f>SUMIFS(Maksājumu_pieprasījumu_iesn.!$AR$12:$AR$441,Maksājumu_pieprasījumu_iesn.!$I$12:$I$441,"7.3.1.", Maksājumu_pieprasījumu_iesn.!$AR$12:$AR$441,"&lt;0")</f>
        <v>-562779.64</v>
      </c>
      <c r="D38" s="563">
        <f>SUMIFS(Maksājumu_pieprasījumu_iesn.!$AU$12:$AU$441,Maksājumu_pieprasījumu_iesn.!$I$12:$I$441,"7.3.1.", Maksājumu_pieprasījumu_iesn.!$AU$12:$AU$441,"&gt;0")</f>
        <v>0</v>
      </c>
      <c r="E38" s="563">
        <f>SUMIFS(Maksājumu_pieprasījumu_iesn.!$AR$12:$AR$441,Maksājumu_pieprasījumu_iesn.!$I$12:$I$441,"7.3.1.", Maksājumu_pieprasījumu_iesn.!$AR$12:$AR$441,"&gt;0")</f>
        <v>0</v>
      </c>
      <c r="F38" s="563">
        <f t="shared" si="1"/>
        <v>-713524.14</v>
      </c>
      <c r="G38" s="563">
        <f t="shared" si="2"/>
        <v>-562779.64</v>
      </c>
    </row>
    <row r="39" spans="1:7" x14ac:dyDescent="0.25">
      <c r="A39" s="514" t="s">
        <v>229</v>
      </c>
      <c r="B39" s="563">
        <f>SUMIFS(Maksājumu_pieprasījumu_iesn.!$AU$12:$AU$441,Maksājumu_pieprasījumu_iesn.!$I$12:$I$441,"7.3.2.", Maksājumu_pieprasījumu_iesn.!$AU$12:$AU$441,"&lt;0")</f>
        <v>-433634.43000000005</v>
      </c>
      <c r="C39" s="563">
        <f>SUMIFS(Maksājumu_pieprasījumu_iesn.!$AR$12:$AR$441,Maksājumu_pieprasījumu_iesn.!$I$12:$I$441,"7.3.2.", Maksājumu_pieprasījumu_iesn.!$AR$12:$AR$441,"&lt;0")</f>
        <v>-366788.9</v>
      </c>
      <c r="D39" s="563">
        <f>SUMIFS(Maksājumu_pieprasījumu_iesn.!$AU$12:$AU$441,Maksājumu_pieprasījumu_iesn.!$I$12:$I$441,"7.3.2.", Maksājumu_pieprasījumu_iesn.!$AU$12:$AU$441,"&gt;0")</f>
        <v>0</v>
      </c>
      <c r="E39" s="563">
        <f>SUMIFS(Maksājumu_pieprasījumu_iesn.!$AR$12:$AR$441,Maksājumu_pieprasījumu_iesn.!$I$12:$I$441,"7.3.2.", Maksājumu_pieprasījumu_iesn.!$AR$12:$AR$441,"&gt;0")</f>
        <v>0</v>
      </c>
      <c r="F39" s="563">
        <f t="shared" si="1"/>
        <v>-433634.43000000005</v>
      </c>
      <c r="G39" s="563">
        <f t="shared" si="2"/>
        <v>-366788.9</v>
      </c>
    </row>
    <row r="40" spans="1:7" x14ac:dyDescent="0.25">
      <c r="A40" s="514" t="s">
        <v>2107</v>
      </c>
      <c r="B40" s="563">
        <f>SUMIFS(Maksājumu_pieprasījumu_iesn.!$AU$12:$AU$441,Maksājumu_pieprasījumu_iesn.!$I$12:$I$441,"8.1.1.", Maksājumu_pieprasījumu_iesn.!$AU$12:$AU$441,"&lt;0")</f>
        <v>-761722.23</v>
      </c>
      <c r="C40" s="563">
        <f>SUMIFS(Maksājumu_pieprasījumu_iesn.!$AR$12:$AR$441,Maksājumu_pieprasījumu_iesn.!$I$12:$I$441,"8.1.1.", Maksājumu_pieprasījumu_iesn.!$AR$12:$AR$441,"&lt;0")</f>
        <v>-684616.18</v>
      </c>
      <c r="D40" s="563">
        <f>SUMIFS(Maksājumu_pieprasījumu_iesn.!$AU$12:$AU$441,Maksājumu_pieprasījumu_iesn.!$I$12:$I$441,"8.1.1.", Maksājumu_pieprasījumu_iesn.!$AU$12:$AU$441,"&gt;0")</f>
        <v>620958.25</v>
      </c>
      <c r="E40" s="563">
        <f>SUMIFS(Maksājumu_pieprasījumu_iesn.!$AR$12:$AR$441,Maksājumu_pieprasījumu_iesn.!$I$12:$I$441,"8.1.1.", Maksājumu_pieprasījumu_iesn.!$AR$12:$AR$441,"&gt;0")</f>
        <v>579367.97</v>
      </c>
      <c r="F40" s="563">
        <f t="shared" si="1"/>
        <v>-140763.97999999998</v>
      </c>
      <c r="G40" s="563">
        <f t="shared" si="2"/>
        <v>-105248.21000000008</v>
      </c>
    </row>
    <row r="41" spans="1:7" x14ac:dyDescent="0.25">
      <c r="A41" s="514" t="s">
        <v>2134</v>
      </c>
      <c r="B41" s="563">
        <f>SUMIFS(Maksājumu_pieprasījumu_iesn.!$AU$12:$AU$441,Maksājumu_pieprasījumu_iesn.!$I$12:$I$441,"8.1.2.", Maksājumu_pieprasījumu_iesn.!$AU$12:$AU$441,"&lt;0")</f>
        <v>-1154330.8</v>
      </c>
      <c r="C41" s="563">
        <f>SUMIFS(Maksājumu_pieprasījumu_iesn.!$AR$12:$AR$441,Maksājumu_pieprasījumu_iesn.!$I$12:$I$441,"8.1.2.", Maksājumu_pieprasījumu_iesn.!$AR$12:$AR$441,"&lt;0")</f>
        <v>-594330.80000000005</v>
      </c>
      <c r="D41" s="563">
        <f>SUMIFS(Maksājumu_pieprasījumu_iesn.!$AU$12:$AU$441,Maksājumu_pieprasījumu_iesn.!$I$12:$I$441,"8.1.2.", Maksājumu_pieprasījumu_iesn.!$AU$12:$AU$441,"&gt;0")</f>
        <v>5571559.96</v>
      </c>
      <c r="E41" s="563">
        <f>SUMIFS(Maksājumu_pieprasījumu_iesn.!$AR$12:$AR$441,Maksājumu_pieprasījumu_iesn.!$I$12:$I$441,"8.1.2.", Maksājumu_pieprasījumu_iesn.!$AR$12:$AR$441,"&gt;0")</f>
        <v>2207735.91</v>
      </c>
      <c r="F41" s="563">
        <f t="shared" si="1"/>
        <v>4417229.16</v>
      </c>
      <c r="G41" s="563">
        <f t="shared" si="2"/>
        <v>1613405.11</v>
      </c>
    </row>
    <row r="42" spans="1:7" x14ac:dyDescent="0.25">
      <c r="A42" s="514" t="s">
        <v>233</v>
      </c>
      <c r="B42" s="563">
        <f>SUMIFS(Maksājumu_pieprasījumu_iesn.!$AU$12:$AU$441,Maksājumu_pieprasījumu_iesn.!$I$12:$I$441,"8.1.3.", Maksājumu_pieprasījumu_iesn.!$AU$12:$AU$441,"&lt;0")</f>
        <v>-2188275.3199999998</v>
      </c>
      <c r="C42" s="563">
        <f>SUMIFS(Maksājumu_pieprasījumu_iesn.!$AR$12:$AR$441,Maksājumu_pieprasījumu_iesn.!$I$12:$I$441,"8.1.3.", Maksājumu_pieprasījumu_iesn.!$AR$12:$AR$441,"&lt;0")</f>
        <v>-1089323.99</v>
      </c>
      <c r="D42" s="563">
        <f>SUMIFS(Maksājumu_pieprasījumu_iesn.!$AU$12:$AU$441,Maksājumu_pieprasījumu_iesn.!$I$12:$I$441,"8.1.3.", Maksājumu_pieprasījumu_iesn.!$AU$12:$AU$441,"&gt;0")</f>
        <v>536038.07000000007</v>
      </c>
      <c r="E42" s="563">
        <f>SUMIFS(Maksājumu_pieprasījumu_iesn.!$AR$12:$AR$441,Maksājumu_pieprasījumu_iesn.!$I$12:$I$441,"8.1.3.", Maksājumu_pieprasījumu_iesn.!$AR$12:$AR$441,"&gt;0")</f>
        <v>478865.56000000006</v>
      </c>
      <c r="F42" s="563">
        <f t="shared" si="1"/>
        <v>-1652237.2499999998</v>
      </c>
      <c r="G42" s="563">
        <f t="shared" si="2"/>
        <v>-610458.42999999993</v>
      </c>
    </row>
    <row r="43" spans="1:7" x14ac:dyDescent="0.25">
      <c r="A43" s="514" t="s">
        <v>2233</v>
      </c>
      <c r="B43" s="563">
        <f>SUMIFS(Maksājumu_pieprasījumu_iesn.!$AU$12:$AU$441,Maksājumu_pieprasījumu_iesn.!$I$12:$I$441,"8.1.4.", Maksājumu_pieprasījumu_iesn.!$AU$12:$AU$441,"&lt;0")</f>
        <v>0</v>
      </c>
      <c r="C43" s="563">
        <f>SUMIFS(Maksājumu_pieprasījumu_iesn.!$AR$12:$AR$441,Maksājumu_pieprasījumu_iesn.!$I$12:$I$441,"8.1.4.", Maksājumu_pieprasījumu_iesn.!$AR$12:$AR$441,"&lt;0")</f>
        <v>0</v>
      </c>
      <c r="D43" s="563">
        <f>SUMIFS(Maksājumu_pieprasījumu_iesn.!$AU$12:$AU$441,Maksājumu_pieprasījumu_iesn.!$I$12:$I$441,"8.1.4.", Maksājumu_pieprasījumu_iesn.!$AU$12:$AU$441,"&gt;0")</f>
        <v>228793.89</v>
      </c>
      <c r="E43" s="563">
        <f>SUMIFS(Maksājumu_pieprasījumu_iesn.!$AR$12:$AR$441,Maksājumu_pieprasījumu_iesn.!$I$12:$I$441,"8.1.4.", Maksājumu_pieprasījumu_iesn.!$AR$12:$AR$441,"&gt;0")</f>
        <v>220250.85</v>
      </c>
      <c r="F43" s="563">
        <f t="shared" si="1"/>
        <v>228793.89</v>
      </c>
      <c r="G43" s="563">
        <f t="shared" si="2"/>
        <v>220250.85</v>
      </c>
    </row>
    <row r="44" spans="1:7" x14ac:dyDescent="0.25">
      <c r="A44" s="514" t="s">
        <v>276</v>
      </c>
      <c r="B44" s="563">
        <f>SUMIFS(Maksājumu_pieprasījumu_iesn.!$AU$12:$AU$441,Maksājumu_pieprasījumu_iesn.!$I$12:$I$441,"8.2.4.", Maksājumu_pieprasījumu_iesn.!$AU$12:$AU$441,"&lt;0")</f>
        <v>0</v>
      </c>
      <c r="C44" s="563">
        <f>SUMIFS(Maksājumu_pieprasījumu_iesn.!$AR$12:$AR$441,Maksājumu_pieprasījumu_iesn.!$I$12:$I$441,"8.2.4.", Maksājumu_pieprasījumu_iesn.!$AR$12:$AR$441,"&lt;0")</f>
        <v>-19926.650000000001</v>
      </c>
      <c r="D44" s="563">
        <f>SUMIFS(Maksājumu_pieprasījumu_iesn.!$AU$12:$AU$441,Maksājumu_pieprasījumu_iesn.!$I$12:$I$441,"8.2.4.", Maksājumu_pieprasījumu_iesn.!$AU$12:$AU$441,"&gt;0")</f>
        <v>45856.330000000009</v>
      </c>
      <c r="E44" s="563">
        <f>SUMIFS(Maksājumu_pieprasījumu_iesn.!$AR$12:$AR$441,Maksājumu_pieprasījumu_iesn.!$I$12:$I$441,"8.2.4.", Maksājumu_pieprasījumu_iesn.!$AR$12:$AR$441,"&gt;0")</f>
        <v>0</v>
      </c>
      <c r="F44" s="563">
        <f t="shared" si="1"/>
        <v>45856.330000000009</v>
      </c>
      <c r="G44" s="563">
        <f t="shared" si="2"/>
        <v>-19926.650000000001</v>
      </c>
    </row>
    <row r="45" spans="1:7" x14ac:dyDescent="0.25">
      <c r="A45" s="514" t="s">
        <v>281</v>
      </c>
      <c r="B45" s="563">
        <f>SUMIFS(Maksājumu_pieprasījumu_iesn.!$AU$12:$AU$441,Maksājumu_pieprasījumu_iesn.!$I$12:$I$441,"8.3.1.", Maksājumu_pieprasījumu_iesn.!$AU$12:$AU$441,"&lt;0")</f>
        <v>-868973.14000000013</v>
      </c>
      <c r="C45" s="563">
        <f>SUMIFS(Maksājumu_pieprasījumu_iesn.!$AR$12:$AR$441,Maksājumu_pieprasījumu_iesn.!$I$12:$I$441,"8.3.1.", Maksājumu_pieprasījumu_iesn.!$AR$12:$AR$441,"&lt;0")</f>
        <v>0</v>
      </c>
      <c r="D45" s="563">
        <f>SUMIFS(Maksājumu_pieprasījumu_iesn.!$AU$12:$AU$441,Maksājumu_pieprasījumu_iesn.!$I$12:$I$441,"8.3.1.", Maksājumu_pieprasījumu_iesn.!$AU$12:$AU$441,"&gt;0")</f>
        <v>0</v>
      </c>
      <c r="E45" s="563">
        <f>SUMIFS(Maksājumu_pieprasījumu_iesn.!$AR$12:$AR$441,Maksājumu_pieprasījumu_iesn.!$I$12:$I$441,"8.3.1.", Maksājumu_pieprasījumu_iesn.!$AR$12:$AR$441,"&gt;0")</f>
        <v>0</v>
      </c>
      <c r="F45" s="563">
        <f t="shared" si="1"/>
        <v>-868973.14000000013</v>
      </c>
      <c r="G45" s="563">
        <f t="shared" si="2"/>
        <v>0</v>
      </c>
    </row>
    <row r="46" spans="1:7" x14ac:dyDescent="0.25">
      <c r="A46" s="514" t="s">
        <v>287</v>
      </c>
      <c r="B46" s="563">
        <f>SUMIFS(Maksājumu_pieprasījumu_iesn.!$AU$12:$AU$441,Maksājumu_pieprasījumu_iesn.!$I$12:$I$441,"8.3.2.", Maksājumu_pieprasījumu_iesn.!$AU$12:$AU$441,"&lt;0")</f>
        <v>-1673962.64</v>
      </c>
      <c r="C46" s="563">
        <f>SUMIFS(Maksājumu_pieprasījumu_iesn.!$AR$12:$AR$441,Maksājumu_pieprasījumu_iesn.!$I$12:$I$441,"8.3.2.", Maksājumu_pieprasījumu_iesn.!$AR$12:$AR$441,"&lt;0")</f>
        <v>-1349675.3</v>
      </c>
      <c r="D46" s="563">
        <f>SUMIFS(Maksājumu_pieprasījumu_iesn.!$AU$12:$AU$441,Maksājumu_pieprasījumu_iesn.!$I$12:$I$441,"8.3.2.", Maksājumu_pieprasījumu_iesn.!$AU$12:$AU$441,"&gt;0")</f>
        <v>0</v>
      </c>
      <c r="E46" s="563">
        <f>SUMIFS(Maksājumu_pieprasījumu_iesn.!$AR$12:$AR$441,Maksājumu_pieprasījumu_iesn.!$I$12:$I$441,"8.3.2.", Maksājumu_pieprasījumu_iesn.!$AR$12:$AR$441,"&gt;0")</f>
        <v>0</v>
      </c>
      <c r="F46" s="563">
        <f t="shared" si="1"/>
        <v>-1673962.64</v>
      </c>
      <c r="G46" s="563">
        <f t="shared" si="2"/>
        <v>-1349675.3</v>
      </c>
    </row>
    <row r="47" spans="1:7" x14ac:dyDescent="0.25">
      <c r="A47" s="514" t="s">
        <v>294</v>
      </c>
      <c r="B47" s="563">
        <f>SUMIFS(Maksājumu_pieprasījumu_iesn.!$AU$12:$AU$441,Maksājumu_pieprasījumu_iesn.!$I$12:$I$441,"8.3.3.", Maksājumu_pieprasījumu_iesn.!$AU$12:$AU$441,"&lt;0")</f>
        <v>-892701.5199999999</v>
      </c>
      <c r="C47" s="563">
        <f>SUMIFS(Maksājumu_pieprasījumu_iesn.!$AR$12:$AR$441,Maksājumu_pieprasījumu_iesn.!$I$12:$I$441,"8.3.3.", Maksājumu_pieprasījumu_iesn.!$AR$12:$AR$441,"&lt;0")</f>
        <v>0</v>
      </c>
      <c r="D47" s="563">
        <f>SUMIFS(Maksājumu_pieprasījumu_iesn.!$AU$12:$AU$441,Maksājumu_pieprasījumu_iesn.!$I$12:$I$441,"8.3.3.", Maksājumu_pieprasījumu_iesn.!$AU$12:$AU$441,"&gt;0")</f>
        <v>0</v>
      </c>
      <c r="E47" s="563">
        <f>SUMIFS(Maksājumu_pieprasījumu_iesn.!$AR$12:$AR$441,Maksājumu_pieprasījumu_iesn.!$I$12:$I$441,"8.3.3.", Maksājumu_pieprasījumu_iesn.!$AR$12:$AR$441,"&gt;0")</f>
        <v>0</v>
      </c>
      <c r="F47" s="563">
        <f t="shared" si="1"/>
        <v>-892701.5199999999</v>
      </c>
      <c r="G47" s="563">
        <f t="shared" si="2"/>
        <v>0</v>
      </c>
    </row>
    <row r="48" spans="1:7" x14ac:dyDescent="0.25">
      <c r="A48" s="514" t="s">
        <v>299</v>
      </c>
      <c r="B48" s="563">
        <f>SUMIFS(Maksājumu_pieprasījumu_iesn.!$AU$12:$AU$441,Maksājumu_pieprasījumu_iesn.!$I$12:$I$441,"8.3.4.", Maksājumu_pieprasījumu_iesn.!$AU$12:$AU$441,"&lt;0")</f>
        <v>-684569.31</v>
      </c>
      <c r="C48" s="563">
        <f>SUMIFS(Maksājumu_pieprasījumu_iesn.!$AR$12:$AR$441,Maksājumu_pieprasījumu_iesn.!$I$12:$I$441,"8.3.4.", Maksājumu_pieprasījumu_iesn.!$AR$12:$AR$441,"&lt;0")</f>
        <v>0</v>
      </c>
      <c r="D48" s="563">
        <f>SUMIFS(Maksājumu_pieprasījumu_iesn.!$AU$12:$AU$441,Maksājumu_pieprasījumu_iesn.!$I$12:$I$441,"8.3.4.", Maksājumu_pieprasījumu_iesn.!$AU$12:$AU$441,"&gt;0")</f>
        <v>0</v>
      </c>
      <c r="E48" s="563">
        <f>SUMIFS(Maksājumu_pieprasījumu_iesn.!$AR$12:$AR$441,Maksājumu_pieprasījumu_iesn.!$I$12:$I$441,"8.3.4.", Maksājumu_pieprasījumu_iesn.!$AR$12:$AR$441,"&gt;0")</f>
        <v>0</v>
      </c>
      <c r="F48" s="563">
        <f t="shared" si="1"/>
        <v>-684569.31</v>
      </c>
      <c r="G48" s="563">
        <f t="shared" si="2"/>
        <v>0</v>
      </c>
    </row>
    <row r="49" spans="1:7" x14ac:dyDescent="0.25">
      <c r="A49" s="514" t="s">
        <v>304</v>
      </c>
      <c r="B49" s="563">
        <f>SUMIFS(Maksājumu_pieprasījumu_iesn.!$AU$12:$AU$441,Maksājumu_pieprasījumu_iesn.!$I$12:$I$441,"8.3.5.", Maksājumu_pieprasījumu_iesn.!$AU$12:$AU$441,"&lt;0")</f>
        <v>-1553147.2200000002</v>
      </c>
      <c r="C49" s="563">
        <f>SUMIFS(Maksājumu_pieprasījumu_iesn.!$AR$12:$AR$441,Maksājumu_pieprasījumu_iesn.!$I$12:$I$441,"8.3.5.", Maksājumu_pieprasījumu_iesn.!$AR$12:$AR$441,"&lt;0")</f>
        <v>0</v>
      </c>
      <c r="D49" s="563">
        <f>SUMIFS(Maksājumu_pieprasījumu_iesn.!$AU$12:$AU$441,Maksājumu_pieprasījumu_iesn.!$I$12:$I$441,"8.3.5.", Maksājumu_pieprasījumu_iesn.!$AU$12:$AU$441,"&gt;0")</f>
        <v>0</v>
      </c>
      <c r="E49" s="563">
        <f>SUMIFS(Maksājumu_pieprasījumu_iesn.!$AR$12:$AR$441,Maksājumu_pieprasījumu_iesn.!$I$12:$I$441,"8.3.5.", Maksājumu_pieprasījumu_iesn.!$AR$12:$AR$441,"&gt;0")</f>
        <v>0</v>
      </c>
      <c r="F49" s="563">
        <f t="shared" si="1"/>
        <v>-1553147.2200000002</v>
      </c>
      <c r="G49" s="563">
        <f t="shared" si="2"/>
        <v>0</v>
      </c>
    </row>
    <row r="50" spans="1:7" x14ac:dyDescent="0.25">
      <c r="A50" s="514" t="s">
        <v>308</v>
      </c>
      <c r="B50" s="563">
        <f>SUMIFS(Maksājumu_pieprasījumu_iesn.!$AU$12:$AU$441,Maksājumu_pieprasījumu_iesn.!$I$12:$I$441,"8.3.6.", Maksājumu_pieprasījumu_iesn.!$AU$12:$AU$441,"&lt;0")</f>
        <v>-97398.839999999953</v>
      </c>
      <c r="C50" s="563">
        <f>SUMIFS(Maksājumu_pieprasījumu_iesn.!$AR$12:$AR$441,Maksājumu_pieprasījumu_iesn.!$I$12:$I$441,"8.3.6.", Maksājumu_pieprasījumu_iesn.!$AR$12:$AR$441,"&lt;0")</f>
        <v>-77473.56</v>
      </c>
      <c r="D50" s="563">
        <f>SUMIFS(Maksājumu_pieprasījumu_iesn.!$AU$12:$AU$441,Maksājumu_pieprasījumu_iesn.!$I$12:$I$441,"8.3.6.", Maksājumu_pieprasījumu_iesn.!$AU$12:$AU$441,"&gt;0")</f>
        <v>0</v>
      </c>
      <c r="E50" s="563">
        <f>SUMIFS(Maksājumu_pieprasījumu_iesn.!$AR$12:$AR$441,Maksājumu_pieprasījumu_iesn.!$I$12:$I$441,"8.3.6.", Maksājumu_pieprasījumu_iesn.!$AR$12:$AR$441,"&gt;0")</f>
        <v>0</v>
      </c>
      <c r="F50" s="563">
        <f t="shared" si="1"/>
        <v>-97398.839999999953</v>
      </c>
      <c r="G50" s="563">
        <f t="shared" si="2"/>
        <v>-77473.56</v>
      </c>
    </row>
    <row r="51" spans="1:7" x14ac:dyDescent="0.25">
      <c r="A51" s="514" t="s">
        <v>313</v>
      </c>
      <c r="B51" s="563">
        <f>SUMIFS(Maksājumu_pieprasījumu_iesn.!$AU$12:$AU$441,Maksājumu_pieprasījumu_iesn.!$I$12:$I$441,"8.4.1.", Maksājumu_pieprasījumu_iesn.!$AU$12:$AU$441,"&lt;0")</f>
        <v>-10630.220000000001</v>
      </c>
      <c r="C51" s="563">
        <f>SUMIFS(Maksājumu_pieprasījumu_iesn.!$AR$12:$AR$441,Maksājumu_pieprasījumu_iesn.!$I$12:$I$441,"8.4.1.", Maksājumu_pieprasījumu_iesn.!$AR$12:$AR$441,"&lt;0")</f>
        <v>-15563.57</v>
      </c>
      <c r="D51" s="563">
        <f>SUMIFS(Maksājumu_pieprasījumu_iesn.!$AU$12:$AU$441,Maksājumu_pieprasījumu_iesn.!$I$12:$I$441,"8.4.1.", Maksājumu_pieprasījumu_iesn.!$AU$12:$AU$441,"&gt;0")</f>
        <v>0</v>
      </c>
      <c r="E51" s="563">
        <f>SUMIFS(Maksājumu_pieprasījumu_iesn.!$AR$12:$AR$441,Maksājumu_pieprasījumu_iesn.!$I$12:$I$441,"8.4.1.", Maksājumu_pieprasījumu_iesn.!$AR$12:$AR$441,"&gt;0")</f>
        <v>0</v>
      </c>
      <c r="F51" s="563">
        <f t="shared" si="1"/>
        <v>-10630.220000000001</v>
      </c>
      <c r="G51" s="563">
        <f t="shared" si="2"/>
        <v>-15563.57</v>
      </c>
    </row>
    <row r="52" spans="1:7" x14ac:dyDescent="0.25">
      <c r="A52" s="514" t="s">
        <v>317</v>
      </c>
      <c r="B52" s="563">
        <f>SUMIFS(Maksājumu_pieprasījumu_iesn.!$AU$12:$AU$441,Maksājumu_pieprasījumu_iesn.!$I$12:$I$441,"8.5.1.", Maksājumu_pieprasījumu_iesn.!$AU$12:$AU$441,"&lt;0")</f>
        <v>-609839.35</v>
      </c>
      <c r="C52" s="563">
        <f>SUMIFS(Maksājumu_pieprasījumu_iesn.!$AR$12:$AR$441,Maksājumu_pieprasījumu_iesn.!$I$12:$I$441,"8.5.1.", Maksājumu_pieprasījumu_iesn.!$AR$12:$AR$441,"&lt;0")</f>
        <v>0</v>
      </c>
      <c r="D52" s="563">
        <f>SUMIFS(Maksājumu_pieprasījumu_iesn.!$AU$12:$AU$441,Maksājumu_pieprasījumu_iesn.!$I$12:$I$441,"8.5.1.", Maksājumu_pieprasījumu_iesn.!$AU$12:$AU$441,"&gt;0")</f>
        <v>0</v>
      </c>
      <c r="E52" s="563">
        <f>SUMIFS(Maksājumu_pieprasījumu_iesn.!$AR$12:$AR$441,Maksājumu_pieprasījumu_iesn.!$I$12:$I$441,"8.5.1.", Maksājumu_pieprasījumu_iesn.!$AR$12:$AR$441,"&gt;0")</f>
        <v>71313.13</v>
      </c>
      <c r="F52" s="563">
        <f t="shared" si="1"/>
        <v>-609839.35</v>
      </c>
      <c r="G52" s="563">
        <f t="shared" si="2"/>
        <v>71313.13</v>
      </c>
    </row>
    <row r="53" spans="1:7" x14ac:dyDescent="0.25">
      <c r="A53" s="514" t="s">
        <v>322</v>
      </c>
      <c r="B53" s="563">
        <f>SUMIFS(Maksājumu_pieprasījumu_iesn.!$AU$12:$AU$441,Maksājumu_pieprasījumu_iesn.!$I$12:$I$441,"8.5.2.", Maksājumu_pieprasījumu_iesn.!$AU$12:$AU$441,"&lt;0")</f>
        <v>-965215.6399999999</v>
      </c>
      <c r="C53" s="563">
        <f>SUMIFS(Maksājumu_pieprasījumu_iesn.!$AR$12:$AR$441,Maksājumu_pieprasījumu_iesn.!$I$12:$I$441,"8.5.2.", Maksājumu_pieprasījumu_iesn.!$AR$12:$AR$441,"&lt;0")</f>
        <v>-588506.17999999993</v>
      </c>
      <c r="D53" s="563">
        <f>SUMIFS(Maksājumu_pieprasījumu_iesn.!$AU$12:$AU$441,Maksājumu_pieprasījumu_iesn.!$I$12:$I$441,"8.5.2.", Maksājumu_pieprasījumu_iesn.!$AU$12:$AU$441,"&gt;0")</f>
        <v>0</v>
      </c>
      <c r="E53" s="563">
        <f>SUMIFS(Maksājumu_pieprasījumu_iesn.!$AR$12:$AR$441,Maksājumu_pieprasījumu_iesn.!$I$12:$I$441,"8.5.2.", Maksājumu_pieprasījumu_iesn.!$AR$12:$AR$441,"&gt;0")</f>
        <v>0</v>
      </c>
      <c r="F53" s="563">
        <f t="shared" si="1"/>
        <v>-965215.6399999999</v>
      </c>
      <c r="G53" s="563">
        <f t="shared" si="2"/>
        <v>-588506.17999999993</v>
      </c>
    </row>
    <row r="54" spans="1:7" x14ac:dyDescent="0.25">
      <c r="A54" s="514" t="s">
        <v>326</v>
      </c>
      <c r="B54" s="563">
        <f>SUMIFS(Maksājumu_pieprasījumu_iesn.!$AU$12:$AU$441,Maksājumu_pieprasījumu_iesn.!$I$12:$I$441,"8.5.3.", Maksājumu_pieprasījumu_iesn.!$AU$12:$AU$441,"&lt;0")</f>
        <v>-250540.91000000003</v>
      </c>
      <c r="C54" s="563">
        <f>SUMIFS(Maksājumu_pieprasījumu_iesn.!$AR$12:$AR$441,Maksājumu_pieprasījumu_iesn.!$I$12:$I$441,"8.5.3.", Maksājumu_pieprasījumu_iesn.!$AR$12:$AR$441,"&lt;0")</f>
        <v>-32925.209999999992</v>
      </c>
      <c r="D54" s="563">
        <f>SUMIFS(Maksājumu_pieprasījumu_iesn.!$AU$12:$AU$441,Maksājumu_pieprasījumu_iesn.!$I$12:$I$441,"8.5.3.", Maksājumu_pieprasījumu_iesn.!$AU$12:$AU$441,"&gt;0")</f>
        <v>0</v>
      </c>
      <c r="E54" s="563">
        <f>SUMIFS(Maksājumu_pieprasījumu_iesn.!$AR$12:$AR$441,Maksājumu_pieprasījumu_iesn.!$I$12:$I$441,"8.5.3.", Maksājumu_pieprasījumu_iesn.!$AR$12:$AR$441,"&gt;0")</f>
        <v>0</v>
      </c>
      <c r="F54" s="563">
        <f t="shared" si="1"/>
        <v>-250540.91000000003</v>
      </c>
      <c r="G54" s="563">
        <f t="shared" si="2"/>
        <v>-32925.209999999992</v>
      </c>
    </row>
    <row r="55" spans="1:7" x14ac:dyDescent="0.25">
      <c r="A55" s="514" t="s">
        <v>330</v>
      </c>
      <c r="B55" s="563">
        <f>SUMIFS(Maksājumu_pieprasījumu_iesn.!$AU$12:$AU$441,Maksājumu_pieprasījumu_iesn.!$I$12:$I$441,"9.1.1.", Maksājumu_pieprasījumu_iesn.!$AU$12:$AU$441,"&lt;0")</f>
        <v>-4913680.16</v>
      </c>
      <c r="C55" s="563">
        <f>SUMIFS(Maksājumu_pieprasījumu_iesn.!$AR$12:$AR$441,Maksājumu_pieprasījumu_iesn.!$I$12:$I$441,"9.1.1.", Maksājumu_pieprasījumu_iesn.!$AR$12:$AR$441,"&lt;0")</f>
        <v>-3351233.79</v>
      </c>
      <c r="D55" s="563">
        <f>SUMIFS(Maksājumu_pieprasījumu_iesn.!$AU$12:$AU$441,Maksājumu_pieprasījumu_iesn.!$I$12:$I$441,"9.1.1.", Maksājumu_pieprasījumu_iesn.!$AU$12:$AU$441,"&gt;0")</f>
        <v>0</v>
      </c>
      <c r="E55" s="563">
        <f>SUMIFS(Maksājumu_pieprasījumu_iesn.!$AR$12:$AR$441,Maksājumu_pieprasījumu_iesn.!$I$12:$I$441,"9.1.1.", Maksājumu_pieprasījumu_iesn.!$AR$12:$AR$441,"&gt;0")</f>
        <v>210940.09999999986</v>
      </c>
      <c r="F55" s="563">
        <f t="shared" si="1"/>
        <v>-4913680.16</v>
      </c>
      <c r="G55" s="563">
        <f t="shared" si="2"/>
        <v>-3140293.6900000004</v>
      </c>
    </row>
    <row r="56" spans="1:7" x14ac:dyDescent="0.25">
      <c r="A56" s="514" t="s">
        <v>340</v>
      </c>
      <c r="B56" s="563">
        <f>SUMIFS(Maksājumu_pieprasījumu_iesn.!$AU$12:$AU$441,Maksājumu_pieprasījumu_iesn.!$I$12:$I$441,"9.1.2.", Maksājumu_pieprasījumu_iesn.!$AU$12:$AU$441,"&lt;0")</f>
        <v>-414054.81000000006</v>
      </c>
      <c r="C56" s="563">
        <f>SUMIFS(Maksājumu_pieprasījumu_iesn.!$AR$12:$AR$441,Maksājumu_pieprasījumu_iesn.!$I$12:$I$441,"9.1.2.", Maksājumu_pieprasījumu_iesn.!$AR$12:$AR$441,"&lt;0")</f>
        <v>-231649.98</v>
      </c>
      <c r="D56" s="563">
        <f>SUMIFS(Maksājumu_pieprasījumu_iesn.!$AU$12:$AU$441,Maksājumu_pieprasījumu_iesn.!$I$12:$I$441,"9.1.2.", Maksājumu_pieprasījumu_iesn.!$AU$12:$AU$441,"&gt;0")</f>
        <v>0</v>
      </c>
      <c r="E56" s="563">
        <f>SUMIFS(Maksājumu_pieprasījumu_iesn.!$AR$12:$AR$441,Maksājumu_pieprasījumu_iesn.!$I$12:$I$441,"9.1.2.", Maksājumu_pieprasījumu_iesn.!$AR$12:$AR$441,"&gt;0")</f>
        <v>0</v>
      </c>
      <c r="F56" s="563">
        <f t="shared" si="1"/>
        <v>-414054.81000000006</v>
      </c>
      <c r="G56" s="563">
        <f t="shared" si="2"/>
        <v>-231649.98</v>
      </c>
    </row>
    <row r="57" spans="1:7" x14ac:dyDescent="0.25">
      <c r="A57" s="564" t="s">
        <v>346</v>
      </c>
      <c r="B57" s="563">
        <f>SUMIFS(Maksājumu_pieprasījumu_iesn.!$AU$12:$AU$441,Maksājumu_pieprasījumu_iesn.!$I$12:$I$441,"9.1.3.", Maksājumu_pieprasījumu_iesn.!$AU$12:$AU$441,"&lt;0")</f>
        <v>-331423.53000000003</v>
      </c>
      <c r="C57" s="563">
        <f>SUMIFS(Maksājumu_pieprasījumu_iesn.!$AR$12:$AR$441,Maksājumu_pieprasījumu_iesn.!$I$12:$I$441,"9.1.3.", Maksājumu_pieprasījumu_iesn.!$AR$12:$AR$441,"&lt;0")</f>
        <v>-143024.82</v>
      </c>
      <c r="D57" s="563">
        <f>SUMIFS(Maksājumu_pieprasījumu_iesn.!$AU$12:$AU$441,Maksājumu_pieprasījumu_iesn.!$I$12:$I$441,"9.1.3.", Maksājumu_pieprasījumu_iesn.!$AU$12:$AU$441,"&gt;0")</f>
        <v>0</v>
      </c>
      <c r="E57" s="563">
        <f>SUMIFS(Maksājumu_pieprasījumu_iesn.!$AR$12:$AR$441,Maksājumu_pieprasījumu_iesn.!$I$12:$I$441,"9.1.3.", Maksājumu_pieprasījumu_iesn.!$AR$12:$AR$441,"&gt;0")</f>
        <v>0</v>
      </c>
      <c r="F57" s="563">
        <f t="shared" si="1"/>
        <v>-331423.53000000003</v>
      </c>
      <c r="G57" s="563">
        <f t="shared" si="2"/>
        <v>-143024.82</v>
      </c>
    </row>
    <row r="58" spans="1:7" x14ac:dyDescent="0.25">
      <c r="A58" s="514" t="s">
        <v>350</v>
      </c>
      <c r="B58" s="563">
        <f>SUMIFS(Maksājumu_pieprasījumu_iesn.!$AU$12:$AU$441,Maksājumu_pieprasījumu_iesn.!$I$12:$I$441,"9.1.4.", Maksājumu_pieprasījumu_iesn.!$AU$12:$AU$441,"&lt;0")</f>
        <v>-526258.65999999992</v>
      </c>
      <c r="C58" s="563">
        <f>SUMIFS(Maksājumu_pieprasījumu_iesn.!$AR$12:$AR$441,Maksājumu_pieprasījumu_iesn.!$I$12:$I$441,"9.1.4.", Maksājumu_pieprasījumu_iesn.!$AR$12:$AR$441,"&lt;0")</f>
        <v>-329216.73</v>
      </c>
      <c r="D58" s="563">
        <f>SUMIFS(Maksājumu_pieprasījumu_iesn.!$AU$12:$AU$441,Maksājumu_pieprasījumu_iesn.!$I$12:$I$441,"9.1.4.", Maksājumu_pieprasījumu_iesn.!$AU$12:$AU$441,"&gt;0")</f>
        <v>0</v>
      </c>
      <c r="E58" s="563">
        <f>SUMIFS(Maksājumu_pieprasījumu_iesn.!$AR$12:$AR$441,Maksājumu_pieprasījumu_iesn.!$I$12:$I$441,"9.1.4.", Maksājumu_pieprasījumu_iesn.!$AR$12:$AR$441,"&gt;0")</f>
        <v>0</v>
      </c>
      <c r="F58" s="563">
        <f t="shared" si="1"/>
        <v>-526258.65999999992</v>
      </c>
      <c r="G58" s="563">
        <f t="shared" si="2"/>
        <v>-329216.73</v>
      </c>
    </row>
    <row r="59" spans="1:7" x14ac:dyDescent="0.25">
      <c r="A59" s="514" t="s">
        <v>368</v>
      </c>
      <c r="B59" s="563">
        <f>SUMIFS(Maksājumu_pieprasījumu_iesn.!$AU$12:$AU$441,Maksājumu_pieprasījumu_iesn.!$I$12:$I$441,"9.2.1.", Maksājumu_pieprasījumu_iesn.!$AU$12:$AU$441,"&lt;0")</f>
        <v>-196188.42</v>
      </c>
      <c r="C59" s="563">
        <f>SUMIFS(Maksājumu_pieprasījumu_iesn.!$AR$12:$AR$441,Maksājumu_pieprasījumu_iesn.!$I$12:$I$441,"9.2.1.", Maksājumu_pieprasījumu_iesn.!$AR$12:$AR$441,"&lt;0")</f>
        <v>0</v>
      </c>
      <c r="D59" s="563">
        <f>SUMIFS(Maksājumu_pieprasījumu_iesn.!$AU$12:$AU$441,Maksājumu_pieprasījumu_iesn.!$I$12:$I$441,"9.2.1.", Maksājumu_pieprasījumu_iesn.!$AU$12:$AU$441,"&gt;0")</f>
        <v>0</v>
      </c>
      <c r="E59" s="563">
        <f>SUMIFS(Maksājumu_pieprasījumu_iesn.!$AR$12:$AR$441,Maksājumu_pieprasījumu_iesn.!$I$12:$I$441,"9.2.1.", Maksājumu_pieprasījumu_iesn.!$AR$12:$AR$441,"&gt;0")</f>
        <v>0</v>
      </c>
      <c r="F59" s="563">
        <f t="shared" si="1"/>
        <v>-196188.42</v>
      </c>
      <c r="G59" s="563">
        <f t="shared" si="2"/>
        <v>0</v>
      </c>
    </row>
    <row r="60" spans="1:7" x14ac:dyDescent="0.25">
      <c r="A60" s="514" t="s">
        <v>379</v>
      </c>
      <c r="B60" s="563">
        <f>SUMIFS(Maksājumu_pieprasījumu_iesn.!$AU$12:$AU$441,Maksājumu_pieprasījumu_iesn.!$I$12:$I$441,"9.2.2.", Maksājumu_pieprasījumu_iesn.!$AU$12:$AU$441,"&lt;0")</f>
        <v>-1855852.39</v>
      </c>
      <c r="C60" s="563">
        <f>SUMIFS(Maksājumu_pieprasījumu_iesn.!$AR$12:$AR$441,Maksājumu_pieprasījumu_iesn.!$I$12:$I$441,"9.2.2.", Maksājumu_pieprasījumu_iesn.!$AR$12:$AR$441,"&lt;0")</f>
        <v>-909770.02</v>
      </c>
      <c r="D60" s="563">
        <f>SUMIFS(Maksājumu_pieprasījumu_iesn.!$AU$12:$AU$441,Maksājumu_pieprasījumu_iesn.!$I$12:$I$441,"9.2.2.", Maksājumu_pieprasījumu_iesn.!$AU$12:$AU$441,"&gt;0")</f>
        <v>3271.4900000000052</v>
      </c>
      <c r="E60" s="563">
        <f>SUMIFS(Maksājumu_pieprasījumu_iesn.!$AR$12:$AR$441,Maksājumu_pieprasījumu_iesn.!$I$12:$I$441,"9.2.2.", Maksājumu_pieprasījumu_iesn.!$AR$12:$AR$441,"&gt;0")</f>
        <v>0</v>
      </c>
      <c r="F60" s="563">
        <f t="shared" si="1"/>
        <v>-1852580.9</v>
      </c>
      <c r="G60" s="563">
        <f t="shared" si="2"/>
        <v>-909770.02</v>
      </c>
    </row>
    <row r="61" spans="1:7" x14ac:dyDescent="0.25">
      <c r="A61" s="514" t="s">
        <v>400</v>
      </c>
      <c r="B61" s="563">
        <f>SUMIFS(Maksājumu_pieprasījumu_iesn.!$AU$12:$AU$441,Maksājumu_pieprasījumu_iesn.!$I$12:$I$441,"9.2.3.", Maksājumu_pieprasījumu_iesn.!$AU$12:$AU$441,"&lt;0")</f>
        <v>-38306.400000000001</v>
      </c>
      <c r="C61" s="563">
        <f>SUMIFS(Maksājumu_pieprasījumu_iesn.!$AR$12:$AR$441,Maksājumu_pieprasījumu_iesn.!$I$12:$I$441,"9.2.3.", Maksājumu_pieprasījumu_iesn.!$AR$12:$AR$441,"&lt;0")</f>
        <v>-40553.5</v>
      </c>
      <c r="D61" s="563">
        <f>SUMIFS(Maksājumu_pieprasījumu_iesn.!$AU$12:$AU$441,Maksājumu_pieprasījumu_iesn.!$I$12:$I$441,"9.2.3.", Maksājumu_pieprasījumu_iesn.!$AU$12:$AU$441,"&gt;0")</f>
        <v>0</v>
      </c>
      <c r="E61" s="563">
        <f>SUMIFS(Maksājumu_pieprasījumu_iesn.!$AR$12:$AR$441,Maksājumu_pieprasījumu_iesn.!$I$12:$I$441,"9.2.3.", Maksājumu_pieprasījumu_iesn.!$AR$12:$AR$441,"&gt;0")</f>
        <v>0</v>
      </c>
      <c r="F61" s="563">
        <f t="shared" si="1"/>
        <v>-38306.400000000001</v>
      </c>
      <c r="G61" s="563">
        <f t="shared" si="2"/>
        <v>-40553.5</v>
      </c>
    </row>
    <row r="62" spans="1:7" x14ac:dyDescent="0.25">
      <c r="A62" s="514" t="s">
        <v>406</v>
      </c>
      <c r="B62" s="563">
        <f>SUMIFS(Maksājumu_pieprasījumu_iesn.!$AU$12:$AU$441,Maksājumu_pieprasījumu_iesn.!$I$12:$I$441,"9.2.4.", Maksājumu_pieprasījumu_iesn.!$AU$12:$AU$441,"&lt;0")</f>
        <v>-974978.91</v>
      </c>
      <c r="C62" s="563">
        <f>SUMIFS(Maksājumu_pieprasījumu_iesn.!$AR$12:$AR$441,Maksājumu_pieprasījumu_iesn.!$I$12:$I$441,"9.2.4.", Maksājumu_pieprasījumu_iesn.!$AR$12:$AR$441,"&lt;0")</f>
        <v>-255155.09999999998</v>
      </c>
      <c r="D62" s="563">
        <f>SUMIFS(Maksājumu_pieprasījumu_iesn.!$AU$12:$AU$441,Maksājumu_pieprasījumu_iesn.!$I$12:$I$441,"9.2.4.", Maksājumu_pieprasījumu_iesn.!$AU$12:$AU$441,"&gt;0")</f>
        <v>1372793.9299999997</v>
      </c>
      <c r="E62" s="563">
        <f>SUMIFS(Maksājumu_pieprasījumu_iesn.!$AR$12:$AR$441,Maksājumu_pieprasījumu_iesn.!$I$12:$I$441,"9.2.4.", Maksājumu_pieprasījumu_iesn.!$AR$12:$AR$441,"&gt;0")</f>
        <v>358344.13000000006</v>
      </c>
      <c r="F62" s="563">
        <f t="shared" si="1"/>
        <v>397815.01999999967</v>
      </c>
      <c r="G62" s="563">
        <f t="shared" si="2"/>
        <v>103189.03000000009</v>
      </c>
    </row>
    <row r="63" spans="1:7" x14ac:dyDescent="0.25">
      <c r="A63" s="514" t="s">
        <v>2516</v>
      </c>
      <c r="B63" s="563">
        <f>SUMIFS(Maksājumu_pieprasījumu_iesn.!$AU$12:$AU$441,Maksājumu_pieprasījumu_iesn.!$I$12:$I$441,"9.2.5.", Maksājumu_pieprasījumu_iesn.!$AU$12:$AU$441,"&lt;0")</f>
        <v>0</v>
      </c>
      <c r="C63" s="563">
        <f>SUMIFS(Maksājumu_pieprasījumu_iesn.!$AR$12:$AR$441,Maksājumu_pieprasījumu_iesn.!$I$12:$I$441,"9.2.5.", Maksājumu_pieprasījumu_iesn.!$AR$12:$AR$441,"&lt;0")</f>
        <v>0</v>
      </c>
      <c r="D63" s="563">
        <f>SUMIFS(Maksājumu_pieprasījumu_iesn.!$AU$12:$AU$441,Maksājumu_pieprasījumu_iesn.!$I$12:$I$441,"9.2.5.", Maksājumu_pieprasījumu_iesn.!$AU$12:$AU$441,"&gt;0")</f>
        <v>0</v>
      </c>
      <c r="E63" s="563">
        <f>SUMIFS(Maksājumu_pieprasījumu_iesn.!$AR$12:$AR$441,Maksājumu_pieprasījumu_iesn.!$I$12:$I$441,"9.2.5.", Maksājumu_pieprasījumu_iesn.!$AR$12:$AR$441,"&gt;0")</f>
        <v>0</v>
      </c>
      <c r="F63" s="563">
        <f t="shared" si="1"/>
        <v>0</v>
      </c>
      <c r="G63" s="563">
        <f t="shared" si="2"/>
        <v>0</v>
      </c>
    </row>
    <row r="64" spans="1:7" x14ac:dyDescent="0.25">
      <c r="A64" s="514" t="s">
        <v>2519</v>
      </c>
      <c r="B64" s="563">
        <f>SUMIFS(Maksājumu_pieprasījumu_iesn.!$AU$12:$AU$441,Maksājumu_pieprasījumu_iesn.!$I$12:$I$441,"9.2.6.", Maksājumu_pieprasījumu_iesn.!$AU$12:$AU$441,"&lt;0")</f>
        <v>0</v>
      </c>
      <c r="C64" s="563">
        <f>SUMIFS(Maksājumu_pieprasījumu_iesn.!$AR$12:$AR$441,Maksājumu_pieprasījumu_iesn.!$I$12:$I$441,"9.2.6.", Maksājumu_pieprasījumu_iesn.!$AR$12:$AR$441,"&lt;0")</f>
        <v>0</v>
      </c>
      <c r="D64" s="563">
        <f>SUMIFS(Maksājumu_pieprasījumu_iesn.!$AU$12:$AU$441,Maksājumu_pieprasījumu_iesn.!$I$12:$I$441,"9.2.6.", Maksājumu_pieprasījumu_iesn.!$AU$12:$AU$441,"&gt;0")</f>
        <v>7069.51</v>
      </c>
      <c r="E64" s="563">
        <f>SUMIFS(Maksājumu_pieprasījumu_iesn.!$AR$12:$AR$441,Maksājumu_pieprasījumu_iesn.!$I$12:$I$441,"9.2.6.", Maksājumu_pieprasījumu_iesn.!$AR$12:$AR$441,"&gt;0")</f>
        <v>7069.51</v>
      </c>
      <c r="F64" s="563">
        <f t="shared" si="1"/>
        <v>7069.51</v>
      </c>
      <c r="G64" s="563">
        <f t="shared" si="2"/>
        <v>7069.51</v>
      </c>
    </row>
    <row r="65" spans="1:7" x14ac:dyDescent="0.25">
      <c r="A65" s="514" t="s">
        <v>448</v>
      </c>
      <c r="B65" s="563">
        <f>SUMIFS(Maksājumu_pieprasījumu_iesn.!$AU$12:$AU$441,Maksājumu_pieprasījumu_iesn.!$I$12:$I$441,"9.3.1.", Maksājumu_pieprasījumu_iesn.!$AU$12:$AU$441,"&lt;0")</f>
        <v>-650405.1</v>
      </c>
      <c r="C65" s="563">
        <f>SUMIFS(Maksājumu_pieprasījumu_iesn.!$AR$12:$AR$441,Maksājumu_pieprasījumu_iesn.!$I$12:$I$441,"9.3.1.", Maksājumu_pieprasījumu_iesn.!$AR$12:$AR$441,"&lt;0")</f>
        <v>-8857.65</v>
      </c>
      <c r="D65" s="563">
        <f>SUMIFS(Maksājumu_pieprasījumu_iesn.!$AU$12:$AU$441,Maksājumu_pieprasījumu_iesn.!$I$12:$I$441,"9.3.1.", Maksājumu_pieprasījumu_iesn.!$AU$12:$AU$441,"&gt;0")</f>
        <v>0</v>
      </c>
      <c r="E65" s="563">
        <f>SUMIFS(Maksājumu_pieprasījumu_iesn.!$AR$12:$AR$441,Maksājumu_pieprasījumu_iesn.!$I$12:$I$441,"9.3.1.", Maksājumu_pieprasījumu_iesn.!$AR$12:$AR$441,"&gt;0")</f>
        <v>0</v>
      </c>
      <c r="F65" s="563">
        <f t="shared" si="1"/>
        <v>-650405.1</v>
      </c>
      <c r="G65" s="563">
        <f t="shared" si="2"/>
        <v>-8857.65</v>
      </c>
    </row>
    <row r="66" spans="1:7" x14ac:dyDescent="0.25">
      <c r="A66" s="514" t="s">
        <v>2639</v>
      </c>
      <c r="B66" s="563">
        <f>SUMIFS(Maksājumu_pieprasījumu_iesn.!$AU$12:$AU$441,Maksājumu_pieprasījumu_iesn.!$I$12:$I$441,"9.3.2.", Maksājumu_pieprasījumu_iesn.!$AU$12:$AU$441,"&lt;0")</f>
        <v>-300059.93</v>
      </c>
      <c r="C66" s="563">
        <f>SUMIFS(Maksājumu_pieprasījumu_iesn.!$AR$12:$AR$441,Maksājumu_pieprasījumu_iesn.!$I$12:$I$441,"9.3.2.", Maksājumu_pieprasījumu_iesn.!$AR$12:$AR$441,"&lt;0")</f>
        <v>-300059.93</v>
      </c>
      <c r="D66" s="563">
        <f>SUMIFS(Maksājumu_pieprasījumu_iesn.!$AU$12:$AU$441,Maksājumu_pieprasījumu_iesn.!$I$12:$I$441,"9.3.2.", Maksājumu_pieprasījumu_iesn.!$AU$12:$AU$441,"&gt;0")</f>
        <v>2100971.42</v>
      </c>
      <c r="E66" s="563">
        <f>SUMIFS(Maksājumu_pieprasījumu_iesn.!$AR$12:$AR$441,Maksājumu_pieprasījumu_iesn.!$I$12:$I$441,"9.3.2.", Maksājumu_pieprasījumu_iesn.!$AR$12:$AR$441,"&gt;0")</f>
        <v>1100971.42</v>
      </c>
      <c r="F66" s="563">
        <f t="shared" si="1"/>
        <v>1800911.49</v>
      </c>
      <c r="G66" s="563">
        <f t="shared" si="2"/>
        <v>800911.49</v>
      </c>
    </row>
    <row r="67" spans="1:7" x14ac:dyDescent="0.25">
      <c r="A67" s="514" t="s">
        <v>452</v>
      </c>
      <c r="B67" s="563">
        <f>SUMIFS(Maksājumu_pieprasījumu_iesn.!$AU$12:$AU$441,Maksājumu_pieprasījumu_iesn.!$I$12:$I$441,"10.1.1.", Maksājumu_pieprasījumu_iesn.!$AU$12:$AU$441,"&lt;0")</f>
        <v>-526242.82000000007</v>
      </c>
      <c r="C67" s="563">
        <f>SUMIFS(Maksājumu_pieprasījumu_iesn.!$AR$12:$AR$441,Maksājumu_pieprasījumu_iesn.!$I$12:$I$441,"10.1.1.", Maksājumu_pieprasījumu_iesn.!$AR$12:$AR$441,"&lt;0")</f>
        <v>-219771.06000000003</v>
      </c>
      <c r="D67" s="563">
        <f>SUMIFS(Maksājumu_pieprasījumu_iesn.!$AU$12:$AU$441,Maksājumu_pieprasījumu_iesn.!$I$12:$I$441,"10.1.1.", Maksājumu_pieprasījumu_iesn.!$AU$12:$AU$441,"&gt;0")</f>
        <v>0</v>
      </c>
      <c r="E67" s="563">
        <f>SUMIFS(Maksājumu_pieprasījumu_iesn.!$AR$12:$AR$441,Maksājumu_pieprasījumu_iesn.!$I$12:$I$441,"10.1.1.", Maksājumu_pieprasījumu_iesn.!$AR$12:$AR$441,"&gt;0")</f>
        <v>0</v>
      </c>
      <c r="F67" s="563">
        <f t="shared" si="1"/>
        <v>-526242.82000000007</v>
      </c>
      <c r="G67" s="563">
        <f t="shared" si="2"/>
        <v>-219771.06000000003</v>
      </c>
    </row>
    <row r="68" spans="1:7" x14ac:dyDescent="0.25">
      <c r="A68" s="514" t="s">
        <v>458</v>
      </c>
      <c r="B68" s="563">
        <f>SUMIFS(Maksājumu_pieprasījumu_iesn.!$AU$12:$AU$441,Maksājumu_pieprasījumu_iesn.!$I$12:$I$441,"10.1.2.", Maksājumu_pieprasījumu_iesn.!$AU$12:$AU$441,"&lt;0")</f>
        <v>-363568.26</v>
      </c>
      <c r="C68" s="563">
        <f>SUMIFS(Maksājumu_pieprasījumu_iesn.!$AR$12:$AR$441,Maksājumu_pieprasījumu_iesn.!$I$12:$I$441,"10.1.2.", Maksājumu_pieprasījumu_iesn.!$AR$12:$AR$441,"&lt;0")</f>
        <v>-163114.34000000003</v>
      </c>
      <c r="D68" s="563">
        <f>SUMIFS(Maksājumu_pieprasījumu_iesn.!$AU$12:$AU$441,Maksājumu_pieprasījumu_iesn.!$I$12:$I$441,"10.1.2.", Maksājumu_pieprasījumu_iesn.!$AU$12:$AU$441,"&gt;0")</f>
        <v>4020.4799999999996</v>
      </c>
      <c r="E68" s="563">
        <f>SUMIFS(Maksājumu_pieprasījumu_iesn.!$AR$12:$AR$441,Maksājumu_pieprasījumu_iesn.!$I$12:$I$441,"10.1.2.", Maksājumu_pieprasījumu_iesn.!$AR$12:$AR$441,"&gt;0")</f>
        <v>297</v>
      </c>
      <c r="F68" s="563">
        <f t="shared" si="1"/>
        <v>-359547.78</v>
      </c>
      <c r="G68" s="563">
        <f t="shared" si="2"/>
        <v>-162817.34000000003</v>
      </c>
    </row>
    <row r="69" spans="1:7" x14ac:dyDescent="0.25">
      <c r="A69" s="565" t="s">
        <v>485</v>
      </c>
      <c r="B69" s="563">
        <f>SUMIFS(Maksājumu_pieprasījumu_iesn.!$AU$12:$AU$441,Maksājumu_pieprasījumu_iesn.!$I$12:$I$441,"11.1.1.", Maksājumu_pieprasījumu_iesn.!$AU$12:$AU$441,"&lt;0")</f>
        <v>-761625.76999999979</v>
      </c>
      <c r="C69" s="563">
        <f>SUMIFS(Maksājumu_pieprasījumu_iesn.!$AR$12:$AR$441,Maksājumu_pieprasījumu_iesn.!$I$12:$I$441,"11.1.1.", Maksājumu_pieprasījumu_iesn.!$AR$12:$AR$441,"&lt;0")</f>
        <v>-188174.93</v>
      </c>
      <c r="D69" s="566">
        <f>SUMIFS(Maksājumu_pieprasījumu_iesn.!$AU$12:$AU$441,Maksājumu_pieprasījumu_iesn.!$I$12:$I$441,"11.1.1.", Maksājumu_pieprasījumu_iesn.!$AU$12:$AU$441,"&gt;0")</f>
        <v>43742.720000000008</v>
      </c>
      <c r="E69" s="566">
        <f>SUMIFS(Maksājumu_pieprasījumu_iesn.!$AR$12:$AR$441,Maksājumu_pieprasījumu_iesn.!$I$12:$I$441,"11.1.1.", Maksājumu_pieprasījumu_iesn.!$AR$12:$AR$441,"&gt;0")</f>
        <v>233823.57</v>
      </c>
      <c r="F69" s="563">
        <f t="shared" ref="F69:F70" si="3">B69+D69</f>
        <v>-717883.04999999981</v>
      </c>
      <c r="G69" s="563">
        <f t="shared" ref="G69:G70" si="4">C69+E69</f>
        <v>45648.640000000014</v>
      </c>
    </row>
    <row r="70" spans="1:7" x14ac:dyDescent="0.25">
      <c r="A70" s="514" t="s">
        <v>537</v>
      </c>
      <c r="B70" s="563">
        <f>SUMIFS(Maksājumu_pieprasījumu_iesn.!$AU$12:$AU$441,Maksājumu_pieprasījumu_iesn.!$I$12:$I$441,"12.1.1.", Maksājumu_pieprasījumu_iesn.!$AU$12:$AU$441,"&lt;0")</f>
        <v>-454728.72000000009</v>
      </c>
      <c r="C70" s="563">
        <f>SUMIFS(Maksājumu_pieprasījumu_iesn.!$AR$12:$AR$441,Maksājumu_pieprasījumu_iesn.!$I$12:$I$441,"12.1.1.", Maksājumu_pieprasījumu_iesn.!$AR$12:$AR$441,"&lt;0")</f>
        <v>-75564.710000000006</v>
      </c>
      <c r="D70" s="563">
        <f>SUMIFS(Maksājumu_pieprasījumu_iesn.!$AU$12:$AU$441,Maksājumu_pieprasījumu_iesn.!$I$12:$I$441,"12.1.1.", Maksājumu_pieprasījumu_iesn.!$AU$12:$AU$441,"&gt;0")</f>
        <v>0</v>
      </c>
      <c r="E70" s="563">
        <f>SUMIFS(Maksājumu_pieprasījumu_iesn.!$AR$12:$AR$441,Maksājumu_pieprasījumu_iesn.!$I$12:$I$441,"12.1.1.", Maksājumu_pieprasījumu_iesn.!$AR$12:$AR$441,"&gt;0")</f>
        <v>0</v>
      </c>
      <c r="F70" s="563">
        <f t="shared" si="3"/>
        <v>-454728.72000000009</v>
      </c>
      <c r="G70" s="563">
        <f t="shared" si="4"/>
        <v>-75564.710000000006</v>
      </c>
    </row>
  </sheetData>
  <autoFilter ref="A2:G70"/>
  <customSheetViews>
    <customSheetView guid="{31BFF91F-CC67-47B5-A533-CBCA2A3DFD88}" fitToPage="1" showAutoFilter="1" state="hidden">
      <selection activeCell="A4" sqref="A4:XFD4"/>
      <pageMargins left="0.70866141732283472" right="0.70866141732283472" top="0.74803149606299213" bottom="0.74803149606299213" header="0.31496062992125984" footer="0.31496062992125984"/>
      <pageSetup paperSize="9" scale="83" fitToHeight="0" orientation="landscape" r:id="rId1"/>
      <autoFilter ref="A2:G70"/>
    </customSheetView>
    <customSheetView guid="{1CE1816D-2CE4-45E4-84A5-7ECDB5D0D0D3}" showPageBreaks="1" fitToPage="1" showAutoFilter="1" state="hidden">
      <selection activeCell="A4" sqref="A4:XFD4"/>
      <pageMargins left="0.70866141732283472" right="0.70866141732283472" top="0.74803149606299213" bottom="0.74803149606299213" header="0.31496062992125984" footer="0.31496062992125984"/>
      <pageSetup paperSize="9" scale="83" fitToHeight="0" orientation="landscape" r:id="rId2"/>
      <autoFilter ref="A2:G70"/>
    </customSheetView>
    <customSheetView guid="{C7376C49-7C70-4EE7-9CF7-79151FBD2399}" showPageBreaks="1" fitToPage="1" showAutoFilter="1" state="hidden">
      <selection activeCell="A4" sqref="A4:XFD4"/>
      <pageMargins left="0.70866141732283472" right="0.70866141732283472" top="0.74803149606299213" bottom="0.74803149606299213" header="0.31496062992125984" footer="0.31496062992125984"/>
      <pageSetup paperSize="9" scale="83" fitToHeight="0" orientation="landscape" r:id="rId3"/>
      <autoFilter ref="A2:G70"/>
    </customSheetView>
  </customSheetViews>
  <mergeCells count="1">
    <mergeCell ref="A1:G1"/>
  </mergeCells>
  <pageMargins left="0.70866141732283472" right="0.70866141732283472" top="0.74803149606299213" bottom="0.74803149606299213" header="0.31496062992125984" footer="0.31496062992125984"/>
  <pageSetup paperSize="9" scale="83" fitToHeight="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workbookViewId="0">
      <selection activeCell="C138" sqref="C138"/>
    </sheetView>
  </sheetViews>
  <sheetFormatPr defaultRowHeight="15.75" x14ac:dyDescent="0.25"/>
  <cols>
    <col min="1" max="1" width="10.75" customWidth="1"/>
    <col min="3" max="3" width="9.875" style="498" bestFit="1" customWidth="1"/>
    <col min="4" max="4" width="9.875" bestFit="1" customWidth="1"/>
    <col min="5" max="5" width="11.375" bestFit="1" customWidth="1"/>
  </cols>
  <sheetData>
    <row r="1" spans="1:8" ht="16.5" customHeight="1" x14ac:dyDescent="0.25">
      <c r="A1" s="41">
        <v>10004144.77</v>
      </c>
      <c r="C1" s="498">
        <v>10004144.77</v>
      </c>
      <c r="D1" s="498">
        <f>C1-A1</f>
        <v>0</v>
      </c>
    </row>
    <row r="2" spans="1:8" x14ac:dyDescent="0.25">
      <c r="A2" s="41">
        <v>4080000</v>
      </c>
      <c r="C2" s="498">
        <v>4080000</v>
      </c>
      <c r="D2" s="498">
        <f t="shared" ref="D2:D9" si="0">C2-A2</f>
        <v>0</v>
      </c>
    </row>
    <row r="3" spans="1:8" x14ac:dyDescent="0.25">
      <c r="A3" s="41">
        <v>3992857.16</v>
      </c>
      <c r="C3" s="498">
        <v>3992857.16</v>
      </c>
      <c r="D3" s="498">
        <f t="shared" si="0"/>
        <v>0</v>
      </c>
    </row>
    <row r="4" spans="1:8" x14ac:dyDescent="0.25">
      <c r="A4" s="41">
        <v>3158128.7</v>
      </c>
      <c r="C4" s="498">
        <v>3158128.7</v>
      </c>
      <c r="D4" s="498">
        <f t="shared" si="0"/>
        <v>0</v>
      </c>
    </row>
    <row r="5" spans="1:8" x14ac:dyDescent="0.25">
      <c r="A5" s="37">
        <v>3072194.1</v>
      </c>
      <c r="C5" s="498">
        <v>3072194.1</v>
      </c>
      <c r="D5" s="498">
        <f t="shared" si="0"/>
        <v>0</v>
      </c>
    </row>
    <row r="6" spans="1:8" x14ac:dyDescent="0.25">
      <c r="A6" s="41">
        <v>2710461.04</v>
      </c>
      <c r="C6" s="498">
        <v>2702556.8</v>
      </c>
      <c r="D6" s="498">
        <v>7904.24</v>
      </c>
      <c r="E6" s="498">
        <f>A6-C6-D6</f>
        <v>2.2373569663614035E-10</v>
      </c>
      <c r="H6" s="153">
        <v>7904.24</v>
      </c>
    </row>
    <row r="7" spans="1:8" x14ac:dyDescent="0.25">
      <c r="A7" s="41">
        <v>2456638.5499999998</v>
      </c>
      <c r="C7" s="498">
        <v>2456638.5499999998</v>
      </c>
      <c r="D7" s="498">
        <f>C7-A7</f>
        <v>0</v>
      </c>
    </row>
    <row r="8" spans="1:8" x14ac:dyDescent="0.25">
      <c r="A8" s="41">
        <v>2428013.1</v>
      </c>
      <c r="C8" s="498">
        <v>2428013.1</v>
      </c>
      <c r="D8" s="498">
        <f t="shared" si="0"/>
        <v>0</v>
      </c>
    </row>
    <row r="9" spans="1:8" x14ac:dyDescent="0.25">
      <c r="A9" s="41">
        <v>2383648.2000000002</v>
      </c>
      <c r="C9" s="498">
        <v>2383648.2000000002</v>
      </c>
      <c r="D9" s="498">
        <f t="shared" si="0"/>
        <v>0</v>
      </c>
    </row>
    <row r="10" spans="1:8" x14ac:dyDescent="0.25">
      <c r="A10" s="515">
        <v>1700000</v>
      </c>
      <c r="D10" s="498"/>
    </row>
    <row r="11" spans="1:8" x14ac:dyDescent="0.25">
      <c r="A11" s="41">
        <v>1670703.9</v>
      </c>
      <c r="C11" s="498">
        <v>1670703.9</v>
      </c>
      <c r="D11" s="498">
        <f>C11-A11</f>
        <v>0</v>
      </c>
    </row>
    <row r="12" spans="1:8" x14ac:dyDescent="0.25">
      <c r="A12" s="41">
        <v>1504372</v>
      </c>
      <c r="C12" s="498">
        <v>1504372</v>
      </c>
      <c r="D12" s="498">
        <f t="shared" ref="D12:D74" si="1">C12-A12</f>
        <v>0</v>
      </c>
    </row>
    <row r="13" spans="1:8" x14ac:dyDescent="0.25">
      <c r="A13" s="41">
        <v>1297763.8500000001</v>
      </c>
      <c r="C13" s="498">
        <v>1297763.8500000001</v>
      </c>
      <c r="D13" s="498">
        <f t="shared" si="1"/>
        <v>0</v>
      </c>
    </row>
    <row r="14" spans="1:8" x14ac:dyDescent="0.25">
      <c r="A14" s="41">
        <v>1292850</v>
      </c>
      <c r="C14" s="498">
        <v>1292850</v>
      </c>
      <c r="D14" s="498">
        <f t="shared" si="1"/>
        <v>0</v>
      </c>
    </row>
    <row r="15" spans="1:8" x14ac:dyDescent="0.25">
      <c r="A15" s="41">
        <v>1254786.1499999999</v>
      </c>
      <c r="C15" s="498">
        <v>1254786.1499999999</v>
      </c>
      <c r="D15" s="498">
        <f t="shared" si="1"/>
        <v>0</v>
      </c>
    </row>
    <row r="16" spans="1:8" x14ac:dyDescent="0.25">
      <c r="A16" s="41">
        <v>1211532.2</v>
      </c>
      <c r="C16" s="498">
        <v>1211532.2</v>
      </c>
      <c r="D16" s="498">
        <f t="shared" si="1"/>
        <v>0</v>
      </c>
    </row>
    <row r="17" spans="1:4" x14ac:dyDescent="0.25">
      <c r="A17" s="41">
        <v>1190495.55</v>
      </c>
      <c r="C17" s="498">
        <v>1190495.55</v>
      </c>
      <c r="D17" s="498">
        <f t="shared" si="1"/>
        <v>0</v>
      </c>
    </row>
    <row r="18" spans="1:4" x14ac:dyDescent="0.25">
      <c r="A18" s="40">
        <v>1155235.21</v>
      </c>
      <c r="C18" s="498">
        <v>1155235.21</v>
      </c>
      <c r="D18" s="498">
        <f t="shared" si="1"/>
        <v>0</v>
      </c>
    </row>
    <row r="19" spans="1:4" x14ac:dyDescent="0.25">
      <c r="A19" s="40">
        <v>1106004.33</v>
      </c>
      <c r="C19" s="498">
        <v>1106004.33</v>
      </c>
      <c r="D19" s="498">
        <f t="shared" si="1"/>
        <v>0</v>
      </c>
    </row>
    <row r="20" spans="1:4" x14ac:dyDescent="0.25">
      <c r="A20" s="41">
        <v>1095854</v>
      </c>
      <c r="C20" s="498">
        <v>1095854</v>
      </c>
      <c r="D20" s="498">
        <f t="shared" si="1"/>
        <v>0</v>
      </c>
    </row>
    <row r="21" spans="1:4" x14ac:dyDescent="0.25">
      <c r="A21" s="41">
        <v>951838.3</v>
      </c>
      <c r="C21" s="498">
        <v>951838.3</v>
      </c>
      <c r="D21" s="498">
        <f t="shared" si="1"/>
        <v>0</v>
      </c>
    </row>
    <row r="22" spans="1:4" x14ac:dyDescent="0.25">
      <c r="A22" s="41">
        <v>947797.13</v>
      </c>
      <c r="C22" s="498">
        <v>947797.13</v>
      </c>
      <c r="D22" s="498">
        <f t="shared" si="1"/>
        <v>0</v>
      </c>
    </row>
    <row r="23" spans="1:4" x14ac:dyDescent="0.25">
      <c r="A23" s="41">
        <v>772642.01</v>
      </c>
      <c r="C23" s="498">
        <v>772642.01</v>
      </c>
      <c r="D23" s="498">
        <f t="shared" si="1"/>
        <v>0</v>
      </c>
    </row>
    <row r="24" spans="1:4" x14ac:dyDescent="0.25">
      <c r="A24" s="37">
        <v>765623.9</v>
      </c>
      <c r="C24" s="498">
        <v>765623.9</v>
      </c>
      <c r="D24" s="498">
        <f t="shared" si="1"/>
        <v>0</v>
      </c>
    </row>
    <row r="25" spans="1:4" x14ac:dyDescent="0.25">
      <c r="A25" s="37">
        <v>730698.25</v>
      </c>
      <c r="C25" s="498">
        <v>730698.25</v>
      </c>
      <c r="D25" s="498">
        <f t="shared" si="1"/>
        <v>0</v>
      </c>
    </row>
    <row r="26" spans="1:4" x14ac:dyDescent="0.25">
      <c r="A26" s="41">
        <v>705330</v>
      </c>
      <c r="C26" s="498">
        <v>705330</v>
      </c>
      <c r="D26" s="498">
        <f t="shared" si="1"/>
        <v>0</v>
      </c>
    </row>
    <row r="27" spans="1:4" x14ac:dyDescent="0.25">
      <c r="A27" s="41">
        <v>673500.42</v>
      </c>
      <c r="C27" s="498">
        <v>673500.42</v>
      </c>
      <c r="D27" s="498">
        <f t="shared" si="1"/>
        <v>0</v>
      </c>
    </row>
    <row r="28" spans="1:4" x14ac:dyDescent="0.25">
      <c r="A28" s="41">
        <v>658142.28</v>
      </c>
      <c r="C28" s="498">
        <v>658142.28</v>
      </c>
      <c r="D28" s="498">
        <f t="shared" si="1"/>
        <v>0</v>
      </c>
    </row>
    <row r="29" spans="1:4" x14ac:dyDescent="0.25">
      <c r="A29" s="41">
        <v>655703.35</v>
      </c>
      <c r="C29" s="498">
        <v>655703.35</v>
      </c>
      <c r="D29" s="498">
        <f t="shared" si="1"/>
        <v>0</v>
      </c>
    </row>
    <row r="30" spans="1:4" x14ac:dyDescent="0.25">
      <c r="A30" s="41">
        <v>636744.39</v>
      </c>
      <c r="C30" s="498">
        <v>636744.39</v>
      </c>
      <c r="D30" s="498">
        <f t="shared" si="1"/>
        <v>0</v>
      </c>
    </row>
    <row r="31" spans="1:4" x14ac:dyDescent="0.25">
      <c r="A31" s="35">
        <v>628831.59</v>
      </c>
      <c r="C31" s="498">
        <v>628831.59</v>
      </c>
      <c r="D31" s="498">
        <f t="shared" si="1"/>
        <v>0</v>
      </c>
    </row>
    <row r="32" spans="1:4" x14ac:dyDescent="0.25">
      <c r="A32" s="41">
        <v>581343.9</v>
      </c>
      <c r="C32" s="498">
        <v>581343.9</v>
      </c>
      <c r="D32" s="498">
        <f t="shared" si="1"/>
        <v>0</v>
      </c>
    </row>
    <row r="33" spans="1:4" x14ac:dyDescent="0.25">
      <c r="A33" s="41">
        <v>566407.87</v>
      </c>
      <c r="C33" s="498">
        <v>566407.87</v>
      </c>
      <c r="D33" s="498">
        <f t="shared" si="1"/>
        <v>0</v>
      </c>
    </row>
    <row r="34" spans="1:4" x14ac:dyDescent="0.25">
      <c r="A34" s="41">
        <v>542638.03650000005</v>
      </c>
      <c r="C34" s="498">
        <v>542638.03650000005</v>
      </c>
      <c r="D34" s="498">
        <f t="shared" si="1"/>
        <v>0</v>
      </c>
    </row>
    <row r="35" spans="1:4" x14ac:dyDescent="0.25">
      <c r="A35" s="41">
        <v>527849</v>
      </c>
      <c r="C35" s="498">
        <v>527849</v>
      </c>
      <c r="D35" s="498">
        <f t="shared" si="1"/>
        <v>0</v>
      </c>
    </row>
    <row r="36" spans="1:4" x14ac:dyDescent="0.25">
      <c r="A36" s="432">
        <v>462713</v>
      </c>
      <c r="C36" s="498">
        <v>462713</v>
      </c>
      <c r="D36" s="498">
        <f t="shared" si="1"/>
        <v>0</v>
      </c>
    </row>
    <row r="37" spans="1:4" x14ac:dyDescent="0.25">
      <c r="A37" s="514">
        <v>460637.31</v>
      </c>
      <c r="C37" s="498">
        <v>460637.31</v>
      </c>
      <c r="D37" s="498">
        <f t="shared" si="1"/>
        <v>0</v>
      </c>
    </row>
    <row r="38" spans="1:4" x14ac:dyDescent="0.25">
      <c r="A38" s="41">
        <v>435626.02</v>
      </c>
      <c r="C38" s="498">
        <v>435626.02</v>
      </c>
      <c r="D38" s="498">
        <f t="shared" si="1"/>
        <v>0</v>
      </c>
    </row>
    <row r="39" spans="1:4" x14ac:dyDescent="0.25">
      <c r="A39" s="41">
        <v>392823.57</v>
      </c>
      <c r="C39" s="498">
        <v>392823.57</v>
      </c>
      <c r="D39" s="498">
        <f t="shared" si="1"/>
        <v>0</v>
      </c>
    </row>
    <row r="40" spans="1:4" x14ac:dyDescent="0.25">
      <c r="A40" s="41">
        <v>346059.86</v>
      </c>
      <c r="C40" s="498">
        <v>346059.86</v>
      </c>
      <c r="D40" s="498">
        <f t="shared" si="1"/>
        <v>0</v>
      </c>
    </row>
    <row r="41" spans="1:4" x14ac:dyDescent="0.25">
      <c r="A41" s="41">
        <v>319338.74</v>
      </c>
      <c r="C41" s="498">
        <v>319338.74</v>
      </c>
      <c r="D41" s="498">
        <f t="shared" si="1"/>
        <v>0</v>
      </c>
    </row>
    <row r="42" spans="1:4" x14ac:dyDescent="0.25">
      <c r="A42" s="41">
        <v>300000</v>
      </c>
      <c r="C42" s="498">
        <v>300000</v>
      </c>
      <c r="D42" s="498">
        <f t="shared" si="1"/>
        <v>0</v>
      </c>
    </row>
    <row r="43" spans="1:4" x14ac:dyDescent="0.25">
      <c r="A43" s="41">
        <v>300000</v>
      </c>
      <c r="C43" s="498">
        <v>300000</v>
      </c>
      <c r="D43" s="498">
        <f t="shared" si="1"/>
        <v>0</v>
      </c>
    </row>
    <row r="44" spans="1:4" x14ac:dyDescent="0.25">
      <c r="A44" s="41">
        <v>294330.8</v>
      </c>
      <c r="C44" s="498">
        <v>294330.8</v>
      </c>
      <c r="D44" s="498">
        <f t="shared" si="1"/>
        <v>0</v>
      </c>
    </row>
    <row r="45" spans="1:4" x14ac:dyDescent="0.25">
      <c r="A45" s="41">
        <v>284201.02</v>
      </c>
      <c r="C45" s="498">
        <v>284201.02</v>
      </c>
      <c r="D45" s="498">
        <f t="shared" si="1"/>
        <v>0</v>
      </c>
    </row>
    <row r="46" spans="1:4" x14ac:dyDescent="0.25">
      <c r="A46" s="37">
        <v>265517.90000000002</v>
      </c>
      <c r="C46" s="498">
        <v>265517.90000000002</v>
      </c>
      <c r="D46" s="498">
        <f t="shared" si="1"/>
        <v>0</v>
      </c>
    </row>
    <row r="47" spans="1:4" x14ac:dyDescent="0.25">
      <c r="A47" s="37">
        <v>231649.98</v>
      </c>
      <c r="C47" s="498">
        <v>231649.98</v>
      </c>
      <c r="D47" s="498">
        <f t="shared" si="1"/>
        <v>0</v>
      </c>
    </row>
    <row r="48" spans="1:4" x14ac:dyDescent="0.25">
      <c r="A48" s="41">
        <v>227015.28</v>
      </c>
      <c r="C48" s="498">
        <v>227015.28</v>
      </c>
      <c r="D48" s="498">
        <f t="shared" si="1"/>
        <v>0</v>
      </c>
    </row>
    <row r="49" spans="1:4" x14ac:dyDescent="0.25">
      <c r="A49" s="41">
        <v>221382</v>
      </c>
      <c r="C49" s="498">
        <v>221382</v>
      </c>
      <c r="D49" s="498">
        <f t="shared" si="1"/>
        <v>0</v>
      </c>
    </row>
    <row r="50" spans="1:4" x14ac:dyDescent="0.25">
      <c r="A50" s="41">
        <v>219200.76</v>
      </c>
      <c r="C50" s="498">
        <v>219200.76</v>
      </c>
      <c r="D50" s="498">
        <f t="shared" si="1"/>
        <v>0</v>
      </c>
    </row>
    <row r="51" spans="1:4" x14ac:dyDescent="0.25">
      <c r="A51" s="41">
        <v>207049.8</v>
      </c>
      <c r="C51" s="498">
        <v>207049.8</v>
      </c>
      <c r="D51" s="498">
        <f t="shared" si="1"/>
        <v>0</v>
      </c>
    </row>
    <row r="52" spans="1:4" x14ac:dyDescent="0.25">
      <c r="A52" s="41">
        <v>182919.15</v>
      </c>
      <c r="C52" s="498">
        <v>182919.15</v>
      </c>
      <c r="D52" s="498">
        <f t="shared" si="1"/>
        <v>0</v>
      </c>
    </row>
    <row r="53" spans="1:4" x14ac:dyDescent="0.25">
      <c r="A53" s="41">
        <v>168189.49</v>
      </c>
      <c r="C53" s="498">
        <v>168189.49</v>
      </c>
      <c r="D53" s="498">
        <f t="shared" si="1"/>
        <v>0</v>
      </c>
    </row>
    <row r="54" spans="1:4" x14ac:dyDescent="0.25">
      <c r="A54" s="41">
        <v>165750</v>
      </c>
      <c r="C54" s="498">
        <v>165750</v>
      </c>
      <c r="D54" s="498">
        <f t="shared" si="1"/>
        <v>0</v>
      </c>
    </row>
    <row r="55" spans="1:4" x14ac:dyDescent="0.25">
      <c r="A55" s="41">
        <v>153296.65</v>
      </c>
      <c r="C55" s="498">
        <v>153296.65</v>
      </c>
      <c r="D55" s="498">
        <f t="shared" si="1"/>
        <v>0</v>
      </c>
    </row>
    <row r="56" spans="1:4" x14ac:dyDescent="0.25">
      <c r="A56" s="37">
        <v>149827.97</v>
      </c>
      <c r="C56" s="498">
        <v>149827.97</v>
      </c>
      <c r="D56" s="498">
        <f t="shared" si="1"/>
        <v>0</v>
      </c>
    </row>
    <row r="57" spans="1:4" x14ac:dyDescent="0.25">
      <c r="A57" s="41">
        <v>145981.54999999999</v>
      </c>
      <c r="C57" s="498">
        <v>145981.54999999999</v>
      </c>
      <c r="D57" s="498">
        <f t="shared" si="1"/>
        <v>0</v>
      </c>
    </row>
    <row r="58" spans="1:4" x14ac:dyDescent="0.25">
      <c r="A58" s="41">
        <v>143653.01999999999</v>
      </c>
      <c r="C58" s="498">
        <v>143653.01999999999</v>
      </c>
      <c r="D58" s="498">
        <f t="shared" si="1"/>
        <v>0</v>
      </c>
    </row>
    <row r="59" spans="1:4" x14ac:dyDescent="0.25">
      <c r="A59" s="41">
        <v>142121.09</v>
      </c>
      <c r="C59" s="498">
        <v>142121.09</v>
      </c>
      <c r="D59" s="498">
        <f t="shared" si="1"/>
        <v>0</v>
      </c>
    </row>
    <row r="60" spans="1:4" x14ac:dyDescent="0.25">
      <c r="A60" s="41">
        <v>142020.04999999999</v>
      </c>
      <c r="C60" s="498">
        <v>142020.04999999999</v>
      </c>
      <c r="D60" s="498">
        <f t="shared" si="1"/>
        <v>0</v>
      </c>
    </row>
    <row r="61" spans="1:4" x14ac:dyDescent="0.25">
      <c r="A61" s="41">
        <v>139701.26999999999</v>
      </c>
      <c r="C61" s="498">
        <v>139701.26999999999</v>
      </c>
      <c r="D61" s="498">
        <f t="shared" si="1"/>
        <v>0</v>
      </c>
    </row>
    <row r="62" spans="1:4" x14ac:dyDescent="0.25">
      <c r="A62" s="41">
        <v>139538.54999999999</v>
      </c>
      <c r="C62" s="498">
        <v>139538.54999999999</v>
      </c>
      <c r="D62" s="498">
        <f t="shared" si="1"/>
        <v>0</v>
      </c>
    </row>
    <row r="63" spans="1:4" x14ac:dyDescent="0.25">
      <c r="A63" s="41">
        <v>138747.20000000001</v>
      </c>
      <c r="C63" s="498">
        <v>138747.20000000001</v>
      </c>
      <c r="D63" s="498">
        <f t="shared" si="1"/>
        <v>0</v>
      </c>
    </row>
    <row r="64" spans="1:4" x14ac:dyDescent="0.25">
      <c r="A64" s="41">
        <v>137395.20000000001</v>
      </c>
      <c r="C64" s="498">
        <v>137395.20000000001</v>
      </c>
      <c r="D64" s="498">
        <f t="shared" si="1"/>
        <v>0</v>
      </c>
    </row>
    <row r="65" spans="1:8" x14ac:dyDescent="0.25">
      <c r="A65" s="41">
        <v>130277.98</v>
      </c>
      <c r="C65" s="498">
        <v>130277.98</v>
      </c>
      <c r="D65" s="498">
        <f t="shared" si="1"/>
        <v>0</v>
      </c>
    </row>
    <row r="66" spans="1:8" x14ac:dyDescent="0.25">
      <c r="A66" s="41">
        <v>129804.48</v>
      </c>
      <c r="C66" s="498">
        <v>129804.48</v>
      </c>
      <c r="D66" s="498">
        <f t="shared" si="1"/>
        <v>0</v>
      </c>
    </row>
    <row r="67" spans="1:8" x14ac:dyDescent="0.25">
      <c r="A67" s="41">
        <v>127325.11</v>
      </c>
      <c r="C67" s="498">
        <v>127325.11</v>
      </c>
      <c r="D67" s="498">
        <f t="shared" si="1"/>
        <v>0</v>
      </c>
    </row>
    <row r="68" spans="1:8" x14ac:dyDescent="0.25">
      <c r="A68" s="41">
        <v>118614.95000000001</v>
      </c>
      <c r="C68" s="498">
        <v>118614.95000000001</v>
      </c>
      <c r="D68" s="498">
        <f t="shared" si="1"/>
        <v>0</v>
      </c>
    </row>
    <row r="69" spans="1:8" x14ac:dyDescent="0.25">
      <c r="A69" s="41">
        <v>116279.33</v>
      </c>
      <c r="C69" s="498">
        <v>116279.33</v>
      </c>
      <c r="D69" s="498">
        <f t="shared" si="1"/>
        <v>0</v>
      </c>
    </row>
    <row r="70" spans="1:8" x14ac:dyDescent="0.25">
      <c r="A70" s="41">
        <v>115892.40000000001</v>
      </c>
      <c r="C70" s="498">
        <v>115892.40000000001</v>
      </c>
      <c r="D70" s="498">
        <f t="shared" si="1"/>
        <v>0</v>
      </c>
    </row>
    <row r="71" spans="1:8" x14ac:dyDescent="0.25">
      <c r="A71" s="41">
        <v>101497.81</v>
      </c>
      <c r="C71" s="498">
        <v>101497.81</v>
      </c>
      <c r="D71" s="498">
        <f t="shared" si="1"/>
        <v>0</v>
      </c>
    </row>
    <row r="72" spans="1:8" x14ac:dyDescent="0.25">
      <c r="A72" s="41">
        <v>96837.1</v>
      </c>
      <c r="C72" s="498">
        <v>96837.1</v>
      </c>
      <c r="D72" s="498">
        <f t="shared" si="1"/>
        <v>0</v>
      </c>
    </row>
    <row r="73" spans="1:8" x14ac:dyDescent="0.25">
      <c r="A73" s="41">
        <v>92276.93</v>
      </c>
      <c r="C73" s="498">
        <v>92276.93</v>
      </c>
      <c r="D73" s="498">
        <f t="shared" si="1"/>
        <v>0</v>
      </c>
    </row>
    <row r="74" spans="1:8" x14ac:dyDescent="0.25">
      <c r="A74" s="41">
        <v>90147.42</v>
      </c>
      <c r="C74" s="498">
        <v>90147.42</v>
      </c>
      <c r="D74" s="498">
        <f t="shared" si="1"/>
        <v>0</v>
      </c>
    </row>
    <row r="75" spans="1:8" x14ac:dyDescent="0.25">
      <c r="A75" s="41">
        <v>81949</v>
      </c>
      <c r="C75" s="498">
        <v>42987.9</v>
      </c>
      <c r="D75" s="498">
        <v>38961</v>
      </c>
      <c r="E75" s="498">
        <f>A75-C75-D75</f>
        <v>9.9999999998544808E-2</v>
      </c>
      <c r="H75" s="224">
        <v>38960.6</v>
      </c>
    </row>
    <row r="76" spans="1:8" x14ac:dyDescent="0.25">
      <c r="A76" s="41">
        <v>79991.25</v>
      </c>
      <c r="C76" s="498">
        <v>79991.25</v>
      </c>
      <c r="D76" s="498">
        <f>C76-A76</f>
        <v>0</v>
      </c>
    </row>
    <row r="77" spans="1:8" x14ac:dyDescent="0.25">
      <c r="A77" s="41">
        <v>79842.460000000006</v>
      </c>
      <c r="C77" s="498">
        <v>79842.460000000006</v>
      </c>
      <c r="D77" s="498">
        <f t="shared" ref="D77:D130" si="2">C77-A77</f>
        <v>0</v>
      </c>
    </row>
    <row r="78" spans="1:8" x14ac:dyDescent="0.25">
      <c r="A78" s="41">
        <v>77900</v>
      </c>
      <c r="C78" s="498">
        <v>77900</v>
      </c>
      <c r="D78" s="498">
        <f t="shared" si="2"/>
        <v>0</v>
      </c>
    </row>
    <row r="79" spans="1:8" x14ac:dyDescent="0.25">
      <c r="A79" s="41">
        <v>77337.13</v>
      </c>
      <c r="C79" s="498">
        <v>77337.13</v>
      </c>
      <c r="D79" s="498">
        <f t="shared" si="2"/>
        <v>0</v>
      </c>
    </row>
    <row r="80" spans="1:8" x14ac:dyDescent="0.25">
      <c r="A80" s="41">
        <v>72697.95</v>
      </c>
      <c r="C80" s="498">
        <v>72697.95</v>
      </c>
      <c r="D80" s="498">
        <f t="shared" si="2"/>
        <v>0</v>
      </c>
    </row>
    <row r="81" spans="1:4" x14ac:dyDescent="0.25">
      <c r="A81" s="41">
        <v>68000</v>
      </c>
      <c r="C81" s="498">
        <v>68000</v>
      </c>
      <c r="D81" s="498">
        <f t="shared" si="2"/>
        <v>0</v>
      </c>
    </row>
    <row r="82" spans="1:4" x14ac:dyDescent="0.25">
      <c r="A82" s="41">
        <v>66215.09</v>
      </c>
      <c r="C82" s="498">
        <v>66215.09</v>
      </c>
      <c r="D82" s="498">
        <f t="shared" si="2"/>
        <v>0</v>
      </c>
    </row>
    <row r="83" spans="1:4" x14ac:dyDescent="0.25">
      <c r="A83" s="38">
        <v>64600</v>
      </c>
      <c r="C83" s="498">
        <v>64600</v>
      </c>
      <c r="D83" s="498">
        <f t="shared" si="2"/>
        <v>0</v>
      </c>
    </row>
    <row r="84" spans="1:4" x14ac:dyDescent="0.25">
      <c r="A84" s="41">
        <v>56423</v>
      </c>
      <c r="C84" s="498">
        <v>56423</v>
      </c>
      <c r="D84" s="498">
        <f t="shared" si="2"/>
        <v>0</v>
      </c>
    </row>
    <row r="85" spans="1:4" x14ac:dyDescent="0.25">
      <c r="A85" s="41">
        <v>51085</v>
      </c>
      <c r="C85" s="498">
        <v>51085</v>
      </c>
      <c r="D85" s="498">
        <f t="shared" si="2"/>
        <v>0</v>
      </c>
    </row>
    <row r="86" spans="1:4" x14ac:dyDescent="0.25">
      <c r="A86" s="41">
        <v>50968.55</v>
      </c>
      <c r="C86" s="498">
        <v>50968.55</v>
      </c>
      <c r="D86" s="498">
        <f t="shared" si="2"/>
        <v>0</v>
      </c>
    </row>
    <row r="87" spans="1:4" x14ac:dyDescent="0.25">
      <c r="A87" s="41">
        <v>48346.5</v>
      </c>
      <c r="C87" s="498">
        <v>48346.5</v>
      </c>
      <c r="D87" s="498">
        <f t="shared" si="2"/>
        <v>0</v>
      </c>
    </row>
    <row r="88" spans="1:4" x14ac:dyDescent="0.25">
      <c r="A88" s="37">
        <v>45050</v>
      </c>
      <c r="C88" s="498">
        <v>45050</v>
      </c>
      <c r="D88" s="498">
        <f t="shared" si="2"/>
        <v>0</v>
      </c>
    </row>
    <row r="89" spans="1:4" x14ac:dyDescent="0.25">
      <c r="A89" s="41">
        <v>42304.5</v>
      </c>
      <c r="C89" s="498">
        <v>42304.5</v>
      </c>
      <c r="D89" s="498">
        <f t="shared" si="2"/>
        <v>0</v>
      </c>
    </row>
    <row r="90" spans="1:4" x14ac:dyDescent="0.25">
      <c r="A90" s="41">
        <v>40553.5</v>
      </c>
      <c r="C90" s="498">
        <v>40553.5</v>
      </c>
      <c r="D90" s="498">
        <f t="shared" si="2"/>
        <v>0</v>
      </c>
    </row>
    <row r="91" spans="1:4" x14ac:dyDescent="0.25">
      <c r="A91" s="41">
        <v>39058.03</v>
      </c>
      <c r="C91" s="498">
        <v>39058.03</v>
      </c>
      <c r="D91" s="498">
        <f t="shared" si="2"/>
        <v>0</v>
      </c>
    </row>
    <row r="92" spans="1:4" x14ac:dyDescent="0.25">
      <c r="A92" s="41">
        <v>38777.42</v>
      </c>
      <c r="C92" s="498">
        <v>38777.42</v>
      </c>
      <c r="D92" s="498">
        <f t="shared" si="2"/>
        <v>0</v>
      </c>
    </row>
    <row r="93" spans="1:4" x14ac:dyDescent="0.25">
      <c r="A93" s="41">
        <v>34708.050000000003</v>
      </c>
      <c r="C93" s="498">
        <v>34708.050000000003</v>
      </c>
      <c r="D93" s="498">
        <f t="shared" si="2"/>
        <v>0</v>
      </c>
    </row>
    <row r="94" spans="1:4" x14ac:dyDescent="0.25">
      <c r="A94" s="41">
        <v>32300</v>
      </c>
      <c r="C94" s="498">
        <v>32300</v>
      </c>
      <c r="D94" s="498">
        <f t="shared" si="2"/>
        <v>0</v>
      </c>
    </row>
    <row r="95" spans="1:4" x14ac:dyDescent="0.25">
      <c r="A95" s="41">
        <v>29999.9</v>
      </c>
      <c r="C95" s="498">
        <v>29999.9</v>
      </c>
      <c r="D95" s="498">
        <f t="shared" si="2"/>
        <v>0</v>
      </c>
    </row>
    <row r="96" spans="1:4" x14ac:dyDescent="0.25">
      <c r="A96" s="38">
        <v>29951.45</v>
      </c>
      <c r="C96" s="498">
        <v>29951.45</v>
      </c>
      <c r="D96" s="498">
        <f t="shared" si="2"/>
        <v>0</v>
      </c>
    </row>
    <row r="97" spans="1:8" x14ac:dyDescent="0.25">
      <c r="A97" s="41">
        <v>26688.67</v>
      </c>
      <c r="C97" s="498">
        <v>26688.67</v>
      </c>
      <c r="D97" s="498">
        <f t="shared" si="2"/>
        <v>0</v>
      </c>
    </row>
    <row r="98" spans="1:8" x14ac:dyDescent="0.25">
      <c r="A98" s="37">
        <v>25330.85</v>
      </c>
      <c r="C98" s="498">
        <v>25330.85</v>
      </c>
      <c r="D98" s="498">
        <f t="shared" si="2"/>
        <v>0</v>
      </c>
    </row>
    <row r="99" spans="1:8" x14ac:dyDescent="0.25">
      <c r="A99" s="37">
        <v>24085.88</v>
      </c>
      <c r="C99" s="498">
        <v>24085.88</v>
      </c>
      <c r="D99" s="498">
        <f t="shared" si="2"/>
        <v>0</v>
      </c>
    </row>
    <row r="100" spans="1:8" x14ac:dyDescent="0.25">
      <c r="A100" s="41">
        <v>23525</v>
      </c>
      <c r="C100" s="498">
        <v>23525</v>
      </c>
      <c r="D100" s="498">
        <f t="shared" si="2"/>
        <v>0</v>
      </c>
    </row>
    <row r="101" spans="1:8" x14ac:dyDescent="0.25">
      <c r="A101" s="41">
        <v>22266</v>
      </c>
      <c r="C101" s="498">
        <v>22266</v>
      </c>
      <c r="D101" s="498">
        <f t="shared" si="2"/>
        <v>0</v>
      </c>
    </row>
    <row r="102" spans="1:8" x14ac:dyDescent="0.25">
      <c r="A102" s="41">
        <v>19732</v>
      </c>
      <c r="C102" s="498">
        <v>19732</v>
      </c>
      <c r="D102" s="498">
        <f t="shared" si="2"/>
        <v>0</v>
      </c>
    </row>
    <row r="103" spans="1:8" x14ac:dyDescent="0.25">
      <c r="A103" s="41">
        <v>19264.400000000001</v>
      </c>
      <c r="C103" s="498">
        <v>19264.400000000001</v>
      </c>
      <c r="D103" s="498">
        <f t="shared" si="2"/>
        <v>0</v>
      </c>
    </row>
    <row r="104" spans="1:8" x14ac:dyDescent="0.25">
      <c r="A104" s="41">
        <v>19180.25</v>
      </c>
      <c r="C104" s="498">
        <v>19180.25</v>
      </c>
      <c r="D104" s="498">
        <f t="shared" si="2"/>
        <v>0</v>
      </c>
    </row>
    <row r="105" spans="1:8" x14ac:dyDescent="0.25">
      <c r="A105" s="41">
        <v>18673.650000000001</v>
      </c>
      <c r="C105" s="498">
        <v>18673.650000000001</v>
      </c>
      <c r="D105" s="498">
        <f t="shared" si="2"/>
        <v>0</v>
      </c>
    </row>
    <row r="106" spans="1:8" x14ac:dyDescent="0.25">
      <c r="A106" s="41">
        <v>18579.59</v>
      </c>
      <c r="C106" s="498">
        <v>18579.59</v>
      </c>
      <c r="D106" s="498">
        <f t="shared" si="2"/>
        <v>0</v>
      </c>
    </row>
    <row r="107" spans="1:8" x14ac:dyDescent="0.25">
      <c r="A107" s="41">
        <v>17241.5</v>
      </c>
      <c r="C107" s="498">
        <v>15940.93</v>
      </c>
      <c r="D107" s="498">
        <v>1300.5</v>
      </c>
      <c r="E107" s="498">
        <f>A107-C107-D107</f>
        <v>6.9999999999708962E-2</v>
      </c>
      <c r="H107" s="153">
        <v>1300.5</v>
      </c>
    </row>
    <row r="108" spans="1:8" x14ac:dyDescent="0.25">
      <c r="A108" s="41">
        <v>15728.4</v>
      </c>
      <c r="C108" s="498">
        <v>15728.4</v>
      </c>
      <c r="D108" s="498">
        <f t="shared" si="2"/>
        <v>0</v>
      </c>
    </row>
    <row r="109" spans="1:8" x14ac:dyDescent="0.25">
      <c r="A109" s="41">
        <v>13683.3</v>
      </c>
      <c r="C109" s="498">
        <v>13683.3</v>
      </c>
      <c r="D109" s="498">
        <f t="shared" si="2"/>
        <v>0</v>
      </c>
    </row>
    <row r="110" spans="1:8" x14ac:dyDescent="0.25">
      <c r="A110" s="41">
        <v>12455</v>
      </c>
      <c r="C110" s="498">
        <v>12455</v>
      </c>
      <c r="D110" s="498">
        <f t="shared" si="2"/>
        <v>0</v>
      </c>
    </row>
    <row r="111" spans="1:8" x14ac:dyDescent="0.25">
      <c r="A111" s="41">
        <v>11745.58</v>
      </c>
      <c r="C111" s="498">
        <v>11745.58</v>
      </c>
      <c r="D111" s="498">
        <f t="shared" si="2"/>
        <v>0</v>
      </c>
    </row>
    <row r="112" spans="1:8" x14ac:dyDescent="0.25">
      <c r="A112" s="41">
        <v>10837.5</v>
      </c>
      <c r="C112" s="498">
        <v>10837.5</v>
      </c>
      <c r="D112" s="498">
        <f t="shared" si="2"/>
        <v>0</v>
      </c>
    </row>
    <row r="113" spans="1:4" x14ac:dyDescent="0.25">
      <c r="A113" s="41">
        <v>10660.49</v>
      </c>
      <c r="C113" s="498">
        <v>10660.49</v>
      </c>
      <c r="D113" s="498">
        <f t="shared" si="2"/>
        <v>0</v>
      </c>
    </row>
    <row r="114" spans="1:4" x14ac:dyDescent="0.25">
      <c r="A114" s="41">
        <v>10622.45</v>
      </c>
      <c r="C114" s="498">
        <v>10622.45</v>
      </c>
      <c r="D114" s="498">
        <f t="shared" si="2"/>
        <v>0</v>
      </c>
    </row>
    <row r="115" spans="1:4" x14ac:dyDescent="0.25">
      <c r="A115" s="41">
        <v>9989.7900000000009</v>
      </c>
      <c r="C115" s="498">
        <v>9989.7900000000009</v>
      </c>
      <c r="D115" s="498">
        <f t="shared" si="2"/>
        <v>0</v>
      </c>
    </row>
    <row r="116" spans="1:4" x14ac:dyDescent="0.25">
      <c r="A116" s="41">
        <v>9916.74</v>
      </c>
      <c r="C116" s="498">
        <v>9916.74</v>
      </c>
      <c r="D116" s="498">
        <f t="shared" si="2"/>
        <v>0</v>
      </c>
    </row>
    <row r="117" spans="1:4" x14ac:dyDescent="0.25">
      <c r="A117" s="37">
        <v>9305.2800000000007</v>
      </c>
      <c r="C117" s="498">
        <v>9305.2800000000007</v>
      </c>
      <c r="D117" s="498">
        <f t="shared" si="2"/>
        <v>0</v>
      </c>
    </row>
    <row r="118" spans="1:4" x14ac:dyDescent="0.25">
      <c r="A118" s="41">
        <v>8857.65</v>
      </c>
      <c r="C118" s="498">
        <v>8857.65</v>
      </c>
      <c r="D118" s="498">
        <f t="shared" si="2"/>
        <v>0</v>
      </c>
    </row>
    <row r="119" spans="1:4" x14ac:dyDescent="0.25">
      <c r="A119" s="41">
        <v>8662.35</v>
      </c>
      <c r="C119" s="498">
        <v>8662.35</v>
      </c>
      <c r="D119" s="498">
        <f t="shared" si="2"/>
        <v>0</v>
      </c>
    </row>
    <row r="120" spans="1:4" x14ac:dyDescent="0.25">
      <c r="A120" s="41">
        <v>8008.81</v>
      </c>
      <c r="C120" s="498">
        <v>8008.81</v>
      </c>
      <c r="D120" s="498">
        <f t="shared" si="2"/>
        <v>0</v>
      </c>
    </row>
    <row r="121" spans="1:4" x14ac:dyDescent="0.25">
      <c r="A121" s="41">
        <v>7897.7</v>
      </c>
      <c r="C121" s="498">
        <v>7897.7</v>
      </c>
      <c r="D121" s="498">
        <f t="shared" si="2"/>
        <v>0</v>
      </c>
    </row>
    <row r="122" spans="1:4" x14ac:dyDescent="0.25">
      <c r="A122" s="41">
        <v>7337.04</v>
      </c>
      <c r="C122" s="498">
        <v>7337.04</v>
      </c>
      <c r="D122" s="498">
        <f t="shared" si="2"/>
        <v>0</v>
      </c>
    </row>
    <row r="123" spans="1:4" x14ac:dyDescent="0.25">
      <c r="A123" s="41">
        <v>7063.02</v>
      </c>
      <c r="C123" s="498">
        <v>7063.02</v>
      </c>
      <c r="D123" s="498">
        <f t="shared" si="2"/>
        <v>0</v>
      </c>
    </row>
    <row r="124" spans="1:4" x14ac:dyDescent="0.25">
      <c r="A124" s="41">
        <v>5525</v>
      </c>
      <c r="C124" s="498">
        <v>5525</v>
      </c>
      <c r="D124" s="498">
        <f t="shared" si="2"/>
        <v>0</v>
      </c>
    </row>
    <row r="125" spans="1:4" x14ac:dyDescent="0.25">
      <c r="A125" s="41">
        <v>5304.94</v>
      </c>
      <c r="C125" s="498">
        <v>5304.94</v>
      </c>
      <c r="D125" s="498">
        <f t="shared" si="2"/>
        <v>0</v>
      </c>
    </row>
    <row r="126" spans="1:4" x14ac:dyDescent="0.25">
      <c r="A126" s="41">
        <v>4788.99</v>
      </c>
      <c r="C126" s="498">
        <v>4788.99</v>
      </c>
      <c r="D126" s="498">
        <f t="shared" si="2"/>
        <v>0</v>
      </c>
    </row>
    <row r="127" spans="1:4" x14ac:dyDescent="0.25">
      <c r="A127" s="41">
        <v>4592.55</v>
      </c>
      <c r="C127" s="498">
        <v>4592.55</v>
      </c>
      <c r="D127" s="498">
        <f t="shared" si="2"/>
        <v>0</v>
      </c>
    </row>
    <row r="128" spans="1:4" x14ac:dyDescent="0.25">
      <c r="A128" s="41">
        <v>4215.29</v>
      </c>
      <c r="C128" s="498">
        <v>4215.29</v>
      </c>
      <c r="D128" s="498">
        <f t="shared" si="2"/>
        <v>0</v>
      </c>
    </row>
    <row r="129" spans="1:5" x14ac:dyDescent="0.25">
      <c r="A129" s="41">
        <v>3805</v>
      </c>
      <c r="C129" s="498">
        <v>3805</v>
      </c>
      <c r="D129" s="498">
        <f t="shared" si="2"/>
        <v>0</v>
      </c>
    </row>
    <row r="130" spans="1:5" x14ac:dyDescent="0.25">
      <c r="A130" s="152">
        <v>3805</v>
      </c>
      <c r="C130" s="498">
        <v>3805</v>
      </c>
      <c r="D130" s="498">
        <f t="shared" si="2"/>
        <v>0</v>
      </c>
    </row>
    <row r="131" spans="1:5" x14ac:dyDescent="0.25">
      <c r="A131" s="41">
        <v>3400</v>
      </c>
      <c r="C131" s="498">
        <v>1700</v>
      </c>
      <c r="D131" s="498">
        <v>1700</v>
      </c>
      <c r="E131" s="498">
        <f>A131-C131-D131</f>
        <v>0</v>
      </c>
    </row>
    <row r="132" spans="1:5" x14ac:dyDescent="0.25">
      <c r="A132" s="152">
        <v>3269.85</v>
      </c>
      <c r="C132" s="498">
        <v>3269.85</v>
      </c>
      <c r="D132" s="498">
        <f>C132-A132</f>
        <v>0</v>
      </c>
    </row>
    <row r="133" spans="1:5" x14ac:dyDescent="0.25">
      <c r="A133" s="38">
        <v>3123.19</v>
      </c>
      <c r="C133" s="498">
        <v>3123.19</v>
      </c>
      <c r="D133" s="498">
        <f t="shared" ref="D133:D137" si="3">C133-A133</f>
        <v>0</v>
      </c>
    </row>
    <row r="134" spans="1:5" x14ac:dyDescent="0.25">
      <c r="A134" s="41">
        <v>2990.01</v>
      </c>
      <c r="C134" s="498">
        <v>2990.01</v>
      </c>
      <c r="D134" s="498">
        <f t="shared" si="3"/>
        <v>0</v>
      </c>
    </row>
    <row r="135" spans="1:5" x14ac:dyDescent="0.25">
      <c r="A135" s="38">
        <v>2975</v>
      </c>
      <c r="C135" s="498">
        <v>2975</v>
      </c>
      <c r="D135" s="498">
        <f t="shared" si="3"/>
        <v>0</v>
      </c>
    </row>
    <row r="136" spans="1:5" x14ac:dyDescent="0.25">
      <c r="A136" s="41">
        <v>2387.0500000000002</v>
      </c>
      <c r="C136" s="498">
        <v>2387.0500000000002</v>
      </c>
      <c r="D136" s="498">
        <f t="shared" si="3"/>
        <v>0</v>
      </c>
    </row>
    <row r="137" spans="1:5" x14ac:dyDescent="0.25">
      <c r="A137" s="41">
        <v>1658.3</v>
      </c>
      <c r="C137" s="498">
        <v>1658.3</v>
      </c>
      <c r="D137" s="498">
        <f t="shared" si="3"/>
        <v>0</v>
      </c>
    </row>
    <row r="138" spans="1:5" x14ac:dyDescent="0.25">
      <c r="A138" s="498">
        <f>SUM(A1:A137)</f>
        <v>68803651.816500008</v>
      </c>
      <c r="C138" s="498">
        <f>SUM(C1:C137)</f>
        <v>67053785.906500012</v>
      </c>
      <c r="D138" s="498">
        <f>SUM(D1:D137)</f>
        <v>49865.74</v>
      </c>
      <c r="E138" s="505">
        <v>1700000</v>
      </c>
    </row>
    <row r="139" spans="1:5" x14ac:dyDescent="0.25">
      <c r="D139" s="498"/>
    </row>
    <row r="140" spans="1:5" x14ac:dyDescent="0.25">
      <c r="B140" s="498">
        <f>SUM(B1:B139)</f>
        <v>0</v>
      </c>
      <c r="D140" s="498"/>
    </row>
    <row r="141" spans="1:5" x14ac:dyDescent="0.25">
      <c r="D141" s="498"/>
    </row>
  </sheetData>
  <customSheetViews>
    <customSheetView guid="{31BFF91F-CC67-47B5-A533-CBCA2A3DFD88}" state="hidden">
      <selection activeCell="C138" sqref="C138"/>
      <pageMargins left="0.7" right="0.7" top="0.75" bottom="0.75" header="0.3" footer="0.3"/>
      <pageSetup paperSize="9" orientation="portrait" verticalDpi="0" r:id="rId1"/>
    </customSheetView>
    <customSheetView guid="{1CE1816D-2CE4-45E4-84A5-7ECDB5D0D0D3}" state="hidden">
      <selection activeCell="C138" sqref="C138"/>
      <pageMargins left="0.7" right="0.7" top="0.75" bottom="0.75" header="0.3" footer="0.3"/>
      <pageSetup paperSize="9" orientation="portrait" verticalDpi="0" r:id="rId2"/>
    </customSheetView>
    <customSheetView guid="{C7376C49-7C70-4EE7-9CF7-79151FBD2399}" state="hidden">
      <selection activeCell="C138" sqref="C138"/>
      <pageMargins left="0.7" right="0.7" top="0.75" bottom="0.75" header="0.3" footer="0.3"/>
      <pageSetup paperSize="9" orientation="portrait" verticalDpi="0" r:id="rId3"/>
    </customSheetView>
  </customSheetViews>
  <pageMargins left="0.7" right="0.7" top="0.75" bottom="0.75" header="0.3" footer="0.3"/>
  <pageSetup paperSize="9" orientation="portrait" verticalDpi="0"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topLeftCell="A91" workbookViewId="0">
      <selection activeCell="D50" sqref="D50"/>
    </sheetView>
  </sheetViews>
  <sheetFormatPr defaultRowHeight="15.75" x14ac:dyDescent="0.25"/>
  <cols>
    <col min="1" max="1" width="16.25" bestFit="1" customWidth="1"/>
    <col min="2" max="2" width="19.375" bestFit="1" customWidth="1"/>
    <col min="3" max="3" width="19.375" customWidth="1"/>
    <col min="4" max="4" width="18.75" customWidth="1"/>
  </cols>
  <sheetData>
    <row r="1" spans="1:6" x14ac:dyDescent="0.25">
      <c r="A1" s="434" t="s">
        <v>2680</v>
      </c>
      <c r="B1" s="434" t="s">
        <v>2682</v>
      </c>
      <c r="C1" s="504"/>
    </row>
    <row r="2" spans="1:6" x14ac:dyDescent="0.25">
      <c r="A2" s="435" t="s">
        <v>6</v>
      </c>
      <c r="B2" s="436">
        <v>44962.61</v>
      </c>
      <c r="C2" s="436"/>
      <c r="D2" s="435" t="s">
        <v>6</v>
      </c>
      <c r="E2" s="436">
        <v>44962.61</v>
      </c>
      <c r="F2">
        <f>E2-B2</f>
        <v>0</v>
      </c>
    </row>
    <row r="3" spans="1:6" x14ac:dyDescent="0.25">
      <c r="A3" s="435" t="s">
        <v>12</v>
      </c>
      <c r="B3" s="436">
        <v>17125.11</v>
      </c>
      <c r="C3" s="436"/>
      <c r="D3" s="435" t="s">
        <v>12</v>
      </c>
      <c r="E3" s="436">
        <v>17125.11</v>
      </c>
      <c r="F3">
        <f t="shared" ref="F3:F66" si="0">E3-B3</f>
        <v>0</v>
      </c>
    </row>
    <row r="4" spans="1:6" x14ac:dyDescent="0.25">
      <c r="A4" s="435" t="s">
        <v>21</v>
      </c>
      <c r="B4" s="436">
        <v>281309.15999999997</v>
      </c>
      <c r="C4" s="436"/>
      <c r="D4" s="435" t="s">
        <v>21</v>
      </c>
      <c r="E4" s="436">
        <v>281309.15999999997</v>
      </c>
      <c r="F4">
        <f t="shared" si="0"/>
        <v>0</v>
      </c>
    </row>
    <row r="5" spans="1:6" x14ac:dyDescent="0.25">
      <c r="A5" s="435" t="s">
        <v>455</v>
      </c>
      <c r="B5" s="436">
        <v>5037.17</v>
      </c>
      <c r="C5" s="436"/>
      <c r="D5" s="435" t="s">
        <v>455</v>
      </c>
      <c r="E5" s="436">
        <v>5037.17</v>
      </c>
      <c r="F5">
        <f t="shared" si="0"/>
        <v>0</v>
      </c>
    </row>
    <row r="6" spans="1:6" x14ac:dyDescent="0.25">
      <c r="A6" s="435" t="s">
        <v>460</v>
      </c>
      <c r="B6" s="436">
        <v>87962.67</v>
      </c>
      <c r="C6" s="436"/>
      <c r="D6" s="435" t="s">
        <v>460</v>
      </c>
      <c r="E6" s="436">
        <v>87962.67</v>
      </c>
      <c r="F6">
        <f t="shared" si="0"/>
        <v>0</v>
      </c>
    </row>
    <row r="7" spans="1:6" x14ac:dyDescent="0.25">
      <c r="A7" s="435" t="s">
        <v>463</v>
      </c>
      <c r="B7" s="436">
        <v>4254.6000000000004</v>
      </c>
      <c r="C7" s="436"/>
      <c r="D7" s="435" t="s">
        <v>463</v>
      </c>
      <c r="E7" s="436">
        <v>4254.6000000000004</v>
      </c>
      <c r="F7">
        <f t="shared" si="0"/>
        <v>0</v>
      </c>
    </row>
    <row r="8" spans="1:6" x14ac:dyDescent="0.25">
      <c r="A8" s="435" t="s">
        <v>465</v>
      </c>
      <c r="B8" s="436">
        <v>29521.570000000003</v>
      </c>
      <c r="C8" s="436"/>
      <c r="D8" s="435" t="s">
        <v>465</v>
      </c>
      <c r="E8" s="436">
        <v>29521.570000000003</v>
      </c>
      <c r="F8">
        <f t="shared" si="0"/>
        <v>0</v>
      </c>
    </row>
    <row r="9" spans="1:6" x14ac:dyDescent="0.25">
      <c r="A9" s="435" t="s">
        <v>467</v>
      </c>
      <c r="B9" s="436">
        <v>5968.66</v>
      </c>
      <c r="C9" s="436"/>
      <c r="D9" s="435" t="s">
        <v>467</v>
      </c>
      <c r="E9" s="436">
        <v>5968.66</v>
      </c>
      <c r="F9">
        <f t="shared" si="0"/>
        <v>0</v>
      </c>
    </row>
    <row r="10" spans="1:6" x14ac:dyDescent="0.25">
      <c r="A10" s="435" t="s">
        <v>470</v>
      </c>
      <c r="B10" s="436">
        <v>4401.16</v>
      </c>
      <c r="C10" s="436"/>
      <c r="D10" s="435" t="s">
        <v>470</v>
      </c>
      <c r="E10" s="436">
        <v>4401.16</v>
      </c>
      <c r="F10">
        <f t="shared" si="0"/>
        <v>0</v>
      </c>
    </row>
    <row r="11" spans="1:6" x14ac:dyDescent="0.25">
      <c r="A11" s="435" t="s">
        <v>472</v>
      </c>
      <c r="B11" s="436">
        <v>21275.440000000002</v>
      </c>
      <c r="C11" s="436"/>
      <c r="D11" s="435" t="s">
        <v>472</v>
      </c>
      <c r="E11" s="436">
        <v>21275.440000000002</v>
      </c>
      <c r="F11">
        <f t="shared" si="0"/>
        <v>0</v>
      </c>
    </row>
    <row r="12" spans="1:6" x14ac:dyDescent="0.25">
      <c r="A12" s="435" t="s">
        <v>474</v>
      </c>
      <c r="B12" s="436">
        <v>24363.08</v>
      </c>
      <c r="C12" s="436"/>
      <c r="D12" s="435" t="s">
        <v>474</v>
      </c>
      <c r="E12" s="436">
        <v>24363.08</v>
      </c>
      <c r="F12">
        <f t="shared" si="0"/>
        <v>0</v>
      </c>
    </row>
    <row r="13" spans="1:6" x14ac:dyDescent="0.25">
      <c r="A13" s="435" t="s">
        <v>476</v>
      </c>
      <c r="B13" s="436">
        <v>11355.95</v>
      </c>
      <c r="C13" s="436"/>
      <c r="D13" s="435" t="s">
        <v>476</v>
      </c>
      <c r="E13" s="436">
        <v>11355.95</v>
      </c>
      <c r="F13">
        <f t="shared" si="0"/>
        <v>0</v>
      </c>
    </row>
    <row r="14" spans="1:6" x14ac:dyDescent="0.25">
      <c r="A14" s="435" t="s">
        <v>479</v>
      </c>
      <c r="B14" s="436">
        <v>15106.58</v>
      </c>
      <c r="C14" s="436"/>
      <c r="D14" s="435" t="s">
        <v>479</v>
      </c>
      <c r="E14" s="436">
        <v>15106.58</v>
      </c>
      <c r="F14">
        <f t="shared" si="0"/>
        <v>0</v>
      </c>
    </row>
    <row r="15" spans="1:6" x14ac:dyDescent="0.25">
      <c r="A15" s="435" t="s">
        <v>481</v>
      </c>
      <c r="B15" s="436">
        <v>10820.23</v>
      </c>
      <c r="C15" s="436"/>
      <c r="D15" s="435" t="s">
        <v>481</v>
      </c>
      <c r="E15" s="436">
        <v>10820.23</v>
      </c>
      <c r="F15">
        <f t="shared" si="0"/>
        <v>0</v>
      </c>
    </row>
    <row r="16" spans="1:6" x14ac:dyDescent="0.25">
      <c r="A16" s="435" t="s">
        <v>483</v>
      </c>
      <c r="B16" s="436">
        <v>16633.300000000003</v>
      </c>
      <c r="C16" s="436"/>
      <c r="D16" s="435" t="s">
        <v>483</v>
      </c>
      <c r="E16" s="436">
        <v>16633.300000000003</v>
      </c>
      <c r="F16">
        <f t="shared" si="0"/>
        <v>0</v>
      </c>
    </row>
    <row r="17" spans="1:6" x14ac:dyDescent="0.25">
      <c r="A17" s="435" t="s">
        <v>487</v>
      </c>
      <c r="B17" s="436">
        <v>21028.87</v>
      </c>
      <c r="C17" s="436"/>
      <c r="D17" s="435" t="s">
        <v>487</v>
      </c>
      <c r="E17" s="436">
        <v>14678.69</v>
      </c>
      <c r="F17">
        <f t="shared" si="0"/>
        <v>-6350.1799999999985</v>
      </c>
    </row>
    <row r="18" spans="1:6" x14ac:dyDescent="0.25">
      <c r="A18" s="435" t="s">
        <v>490</v>
      </c>
      <c r="B18" s="436">
        <v>88865.860000000015</v>
      </c>
      <c r="C18" s="436"/>
      <c r="D18" s="435" t="s">
        <v>490</v>
      </c>
      <c r="E18" s="436">
        <v>88865.86</v>
      </c>
      <c r="F18">
        <f t="shared" si="0"/>
        <v>0</v>
      </c>
    </row>
    <row r="19" spans="1:6" x14ac:dyDescent="0.25">
      <c r="A19" s="435" t="s">
        <v>493</v>
      </c>
      <c r="B19" s="436">
        <v>88328.93</v>
      </c>
      <c r="C19" s="436"/>
      <c r="D19" s="435" t="s">
        <v>493</v>
      </c>
      <c r="E19" s="436">
        <v>88328.930000000008</v>
      </c>
      <c r="F19">
        <f t="shared" si="0"/>
        <v>0</v>
      </c>
    </row>
    <row r="20" spans="1:6" x14ac:dyDescent="0.25">
      <c r="A20" s="435" t="s">
        <v>496</v>
      </c>
      <c r="B20" s="436">
        <v>666582.86</v>
      </c>
      <c r="C20" s="436"/>
      <c r="D20" s="435" t="s">
        <v>496</v>
      </c>
      <c r="E20" s="436">
        <v>666582.86</v>
      </c>
      <c r="F20">
        <f t="shared" si="0"/>
        <v>0</v>
      </c>
    </row>
    <row r="21" spans="1:6" x14ac:dyDescent="0.25">
      <c r="A21" s="435" t="s">
        <v>498</v>
      </c>
      <c r="B21" s="436">
        <v>21622.97</v>
      </c>
      <c r="C21" s="436"/>
      <c r="D21" s="435" t="s">
        <v>498</v>
      </c>
      <c r="E21" s="436">
        <v>21622.97</v>
      </c>
      <c r="F21">
        <f t="shared" si="0"/>
        <v>0</v>
      </c>
    </row>
    <row r="22" spans="1:6" x14ac:dyDescent="0.25">
      <c r="A22" s="435" t="s">
        <v>501</v>
      </c>
      <c r="B22" s="436">
        <v>130545.3</v>
      </c>
      <c r="C22" s="436"/>
      <c r="D22" s="435" t="s">
        <v>501</v>
      </c>
      <c r="E22" s="436">
        <v>130545.3</v>
      </c>
      <c r="F22">
        <f t="shared" si="0"/>
        <v>0</v>
      </c>
    </row>
    <row r="23" spans="1:6" x14ac:dyDescent="0.25">
      <c r="A23" s="435" t="s">
        <v>503</v>
      </c>
      <c r="B23" s="436">
        <v>37462.080000000002</v>
      </c>
      <c r="C23" s="436"/>
      <c r="D23" s="435" t="s">
        <v>503</v>
      </c>
      <c r="E23" s="436">
        <v>37462.080000000002</v>
      </c>
      <c r="F23">
        <f t="shared" si="0"/>
        <v>0</v>
      </c>
    </row>
    <row r="24" spans="1:6" x14ac:dyDescent="0.25">
      <c r="A24" s="435" t="s">
        <v>505</v>
      </c>
      <c r="B24" s="436">
        <v>112701.37</v>
      </c>
      <c r="C24" s="436"/>
      <c r="D24" s="435" t="s">
        <v>505</v>
      </c>
      <c r="E24" s="436">
        <v>112701.37</v>
      </c>
      <c r="F24">
        <f t="shared" si="0"/>
        <v>0</v>
      </c>
    </row>
    <row r="25" spans="1:6" x14ac:dyDescent="0.25">
      <c r="A25" s="435" t="s">
        <v>507</v>
      </c>
      <c r="B25" s="436">
        <v>5213.43</v>
      </c>
      <c r="C25" s="436"/>
      <c r="D25" s="435" t="s">
        <v>507</v>
      </c>
      <c r="E25" s="436">
        <v>5213.43</v>
      </c>
      <c r="F25">
        <f t="shared" si="0"/>
        <v>0</v>
      </c>
    </row>
    <row r="26" spans="1:6" x14ac:dyDescent="0.25">
      <c r="A26" s="435" t="s">
        <v>887</v>
      </c>
      <c r="B26" s="436">
        <v>0</v>
      </c>
      <c r="C26" s="436"/>
      <c r="D26" s="435" t="s">
        <v>887</v>
      </c>
      <c r="E26" s="436">
        <v>0</v>
      </c>
      <c r="F26">
        <f t="shared" si="0"/>
        <v>0</v>
      </c>
    </row>
    <row r="27" spans="1:6" x14ac:dyDescent="0.25">
      <c r="A27" s="435" t="s">
        <v>510</v>
      </c>
      <c r="B27" s="436">
        <v>1329358.2399999998</v>
      </c>
      <c r="C27" s="436"/>
      <c r="D27" s="435" t="s">
        <v>510</v>
      </c>
      <c r="E27" s="436">
        <v>1329358.2399999998</v>
      </c>
      <c r="F27">
        <f t="shared" si="0"/>
        <v>0</v>
      </c>
    </row>
    <row r="28" spans="1:6" x14ac:dyDescent="0.25">
      <c r="A28" s="435" t="s">
        <v>512</v>
      </c>
      <c r="B28" s="436">
        <v>1045198.4199999999</v>
      </c>
      <c r="C28" s="436"/>
      <c r="D28" s="435" t="s">
        <v>512</v>
      </c>
      <c r="E28" s="436">
        <v>1045198.4199999999</v>
      </c>
      <c r="F28">
        <f t="shared" si="0"/>
        <v>0</v>
      </c>
    </row>
    <row r="29" spans="1:6" x14ac:dyDescent="0.25">
      <c r="A29" s="435" t="s">
        <v>514</v>
      </c>
      <c r="B29" s="436">
        <v>50153.48</v>
      </c>
      <c r="C29" s="436"/>
      <c r="D29" s="435" t="s">
        <v>514</v>
      </c>
      <c r="E29" s="436">
        <v>50153.48</v>
      </c>
      <c r="F29">
        <f t="shared" si="0"/>
        <v>0</v>
      </c>
    </row>
    <row r="30" spans="1:6" x14ac:dyDescent="0.25">
      <c r="A30" s="435" t="s">
        <v>516</v>
      </c>
      <c r="B30" s="436">
        <v>364923.33999999997</v>
      </c>
      <c r="C30" s="436"/>
      <c r="D30" s="435" t="s">
        <v>516</v>
      </c>
      <c r="E30" s="436">
        <v>364923.33999999997</v>
      </c>
      <c r="F30">
        <f t="shared" si="0"/>
        <v>0</v>
      </c>
    </row>
    <row r="31" spans="1:6" x14ac:dyDescent="0.25">
      <c r="A31" s="435" t="s">
        <v>518</v>
      </c>
      <c r="B31" s="436">
        <v>10944.03</v>
      </c>
      <c r="C31" s="436"/>
      <c r="D31" s="435" t="s">
        <v>518</v>
      </c>
      <c r="E31" s="436">
        <v>10944.03</v>
      </c>
      <c r="F31">
        <f t="shared" si="0"/>
        <v>0</v>
      </c>
    </row>
    <row r="32" spans="1:6" x14ac:dyDescent="0.25">
      <c r="A32" s="435" t="s">
        <v>521</v>
      </c>
      <c r="B32" s="436">
        <v>191291.88999999998</v>
      </c>
      <c r="C32" s="436"/>
      <c r="D32" s="435" t="s">
        <v>521</v>
      </c>
      <c r="E32" s="436">
        <v>191291.88999999998</v>
      </c>
      <c r="F32">
        <f t="shared" si="0"/>
        <v>0</v>
      </c>
    </row>
    <row r="33" spans="1:6" x14ac:dyDescent="0.25">
      <c r="A33" s="435" t="s">
        <v>523</v>
      </c>
      <c r="B33" s="436">
        <v>8047.7799999999988</v>
      </c>
      <c r="C33" s="436"/>
      <c r="D33" s="435" t="s">
        <v>523</v>
      </c>
      <c r="E33" s="436">
        <v>8047.7799999999988</v>
      </c>
      <c r="F33">
        <f t="shared" si="0"/>
        <v>0</v>
      </c>
    </row>
    <row r="34" spans="1:6" x14ac:dyDescent="0.25">
      <c r="A34" s="435" t="s">
        <v>526</v>
      </c>
      <c r="B34" s="436">
        <v>14041.929999999998</v>
      </c>
      <c r="C34" s="436"/>
      <c r="D34" s="435" t="s">
        <v>526</v>
      </c>
      <c r="E34" s="436">
        <v>14041.929999999998</v>
      </c>
      <c r="F34">
        <f t="shared" si="0"/>
        <v>0</v>
      </c>
    </row>
    <row r="35" spans="1:6" x14ac:dyDescent="0.25">
      <c r="A35" s="435" t="s">
        <v>529</v>
      </c>
      <c r="B35" s="436">
        <v>14304.98</v>
      </c>
      <c r="C35" s="436"/>
      <c r="D35" s="435" t="s">
        <v>529</v>
      </c>
      <c r="E35" s="436">
        <v>14304.98</v>
      </c>
      <c r="F35">
        <f t="shared" si="0"/>
        <v>0</v>
      </c>
    </row>
    <row r="36" spans="1:6" x14ac:dyDescent="0.25">
      <c r="A36" s="435" t="s">
        <v>532</v>
      </c>
      <c r="B36" s="436">
        <v>600409.5</v>
      </c>
      <c r="C36" s="436"/>
      <c r="D36" s="435" t="s">
        <v>532</v>
      </c>
      <c r="E36" s="436">
        <v>600409.5</v>
      </c>
      <c r="F36">
        <f t="shared" si="0"/>
        <v>0</v>
      </c>
    </row>
    <row r="37" spans="1:6" x14ac:dyDescent="0.25">
      <c r="A37" s="435" t="s">
        <v>534</v>
      </c>
      <c r="B37" s="436">
        <v>1700</v>
      </c>
      <c r="C37" s="436"/>
      <c r="D37" s="435" t="s">
        <v>534</v>
      </c>
      <c r="E37" s="436">
        <v>1700</v>
      </c>
      <c r="F37">
        <f t="shared" si="0"/>
        <v>0</v>
      </c>
    </row>
    <row r="38" spans="1:6" x14ac:dyDescent="0.25">
      <c r="A38" s="435" t="s">
        <v>539</v>
      </c>
      <c r="B38" s="436">
        <v>364704.70999999996</v>
      </c>
      <c r="C38" s="436"/>
      <c r="D38" s="435" t="s">
        <v>539</v>
      </c>
      <c r="E38" s="436">
        <v>364704.70999999996</v>
      </c>
      <c r="F38">
        <f t="shared" si="0"/>
        <v>0</v>
      </c>
    </row>
    <row r="39" spans="1:6" x14ac:dyDescent="0.25">
      <c r="A39" s="435" t="s">
        <v>541</v>
      </c>
      <c r="B39" s="436">
        <v>1306641.76</v>
      </c>
      <c r="C39" s="436"/>
      <c r="D39" s="435" t="s">
        <v>541</v>
      </c>
      <c r="E39" s="436">
        <v>1306641.76</v>
      </c>
      <c r="F39">
        <f t="shared" si="0"/>
        <v>0</v>
      </c>
    </row>
    <row r="40" spans="1:6" x14ac:dyDescent="0.25">
      <c r="A40" s="435" t="s">
        <v>543</v>
      </c>
      <c r="B40" s="436">
        <v>21050.79</v>
      </c>
      <c r="C40" s="436"/>
      <c r="D40" s="435" t="s">
        <v>543</v>
      </c>
      <c r="E40" s="436">
        <v>21050.79</v>
      </c>
      <c r="F40">
        <f t="shared" si="0"/>
        <v>0</v>
      </c>
    </row>
    <row r="41" spans="1:6" x14ac:dyDescent="0.25">
      <c r="A41" s="435" t="s">
        <v>545</v>
      </c>
      <c r="B41" s="436">
        <v>1775102.13</v>
      </c>
      <c r="C41" s="436"/>
      <c r="D41" s="435" t="s">
        <v>545</v>
      </c>
      <c r="E41" s="436">
        <v>1775102.13</v>
      </c>
      <c r="F41">
        <f t="shared" si="0"/>
        <v>0</v>
      </c>
    </row>
    <row r="42" spans="1:6" x14ac:dyDescent="0.25">
      <c r="A42" s="435" t="s">
        <v>547</v>
      </c>
      <c r="B42" s="436">
        <v>30084.55</v>
      </c>
      <c r="C42" s="436"/>
      <c r="D42" s="435" t="s">
        <v>547</v>
      </c>
      <c r="E42" s="436">
        <v>30084.55</v>
      </c>
      <c r="F42">
        <f t="shared" si="0"/>
        <v>0</v>
      </c>
    </row>
    <row r="43" spans="1:6" x14ac:dyDescent="0.25">
      <c r="A43" s="435" t="s">
        <v>30</v>
      </c>
      <c r="B43" s="436">
        <v>19992.78</v>
      </c>
      <c r="C43" s="436"/>
      <c r="D43" s="435" t="s">
        <v>30</v>
      </c>
      <c r="E43" s="436">
        <v>19992.78</v>
      </c>
      <c r="F43">
        <f t="shared" si="0"/>
        <v>0</v>
      </c>
    </row>
    <row r="44" spans="1:6" x14ac:dyDescent="0.25">
      <c r="A44" s="435" t="s">
        <v>45</v>
      </c>
      <c r="B44" s="436">
        <v>91066.98</v>
      </c>
      <c r="C44" s="436"/>
      <c r="D44" s="435" t="s">
        <v>45</v>
      </c>
      <c r="E44" s="436">
        <v>91066.98</v>
      </c>
      <c r="F44">
        <f t="shared" si="0"/>
        <v>0</v>
      </c>
    </row>
    <row r="45" spans="1:6" x14ac:dyDescent="0.25">
      <c r="A45" s="435" t="s">
        <v>53</v>
      </c>
      <c r="B45" s="436">
        <v>3337947.05</v>
      </c>
      <c r="C45" s="436"/>
      <c r="D45" s="435" t="s">
        <v>53</v>
      </c>
      <c r="E45" s="436">
        <v>3337947.05</v>
      </c>
      <c r="F45">
        <f t="shared" si="0"/>
        <v>0</v>
      </c>
    </row>
    <row r="46" spans="1:6" x14ac:dyDescent="0.25">
      <c r="A46" s="435" t="s">
        <v>55</v>
      </c>
      <c r="B46" s="436">
        <v>3191236.83</v>
      </c>
      <c r="C46" s="436"/>
      <c r="D46" s="435" t="s">
        <v>55</v>
      </c>
      <c r="E46" s="436">
        <v>3191236.83</v>
      </c>
      <c r="F46">
        <f t="shared" si="0"/>
        <v>0</v>
      </c>
    </row>
    <row r="47" spans="1:6" x14ac:dyDescent="0.25">
      <c r="A47" s="435" t="s">
        <v>71</v>
      </c>
      <c r="B47" s="436">
        <v>951654.78</v>
      </c>
      <c r="C47" s="436"/>
      <c r="D47" s="435" t="s">
        <v>71</v>
      </c>
      <c r="E47" s="436">
        <v>951654.78</v>
      </c>
      <c r="F47">
        <f t="shared" si="0"/>
        <v>0</v>
      </c>
    </row>
    <row r="48" spans="1:6" x14ac:dyDescent="0.25">
      <c r="A48" s="435" t="s">
        <v>59</v>
      </c>
      <c r="B48" s="436">
        <v>2754851.19</v>
      </c>
      <c r="C48" s="436"/>
      <c r="D48" s="435" t="s">
        <v>59</v>
      </c>
      <c r="E48" s="436">
        <v>2754851.19</v>
      </c>
      <c r="F48">
        <f t="shared" si="0"/>
        <v>0</v>
      </c>
    </row>
    <row r="49" spans="1:6" x14ac:dyDescent="0.25">
      <c r="A49" s="435" t="s">
        <v>615</v>
      </c>
      <c r="B49" s="436">
        <v>90684.13</v>
      </c>
      <c r="C49" s="436"/>
      <c r="D49" s="435" t="s">
        <v>615</v>
      </c>
      <c r="E49" s="436">
        <v>90684.13</v>
      </c>
      <c r="F49">
        <f t="shared" si="0"/>
        <v>0</v>
      </c>
    </row>
    <row r="50" spans="1:6" x14ac:dyDescent="0.25">
      <c r="A50" s="435" t="s">
        <v>78</v>
      </c>
      <c r="B50" s="436">
        <v>94394.14</v>
      </c>
      <c r="C50" s="436"/>
      <c r="D50" s="435" t="s">
        <v>78</v>
      </c>
      <c r="E50" s="436">
        <v>96399.34</v>
      </c>
      <c r="F50">
        <f>E50-B50</f>
        <v>2005.1999999999971</v>
      </c>
    </row>
    <row r="51" spans="1:6" x14ac:dyDescent="0.25">
      <c r="A51" s="435" t="s">
        <v>81</v>
      </c>
      <c r="B51" s="436">
        <v>110962.12999999999</v>
      </c>
      <c r="C51" s="436"/>
      <c r="D51" s="435" t="s">
        <v>81</v>
      </c>
      <c r="E51" s="436">
        <v>112967.33</v>
      </c>
      <c r="F51">
        <f t="shared" si="0"/>
        <v>2005.2000000000116</v>
      </c>
    </row>
    <row r="52" spans="1:6" x14ac:dyDescent="0.25">
      <c r="A52" s="435" t="s">
        <v>83</v>
      </c>
      <c r="B52" s="436">
        <v>6155.97</v>
      </c>
      <c r="C52" s="436"/>
      <c r="D52" s="435" t="s">
        <v>83</v>
      </c>
      <c r="E52" s="436">
        <v>6155.97</v>
      </c>
      <c r="F52">
        <f t="shared" si="0"/>
        <v>0</v>
      </c>
    </row>
    <row r="53" spans="1:6" x14ac:dyDescent="0.25">
      <c r="A53" s="435" t="s">
        <v>97</v>
      </c>
      <c r="B53" s="436">
        <v>17789.87</v>
      </c>
      <c r="C53" s="436"/>
      <c r="D53" s="435" t="s">
        <v>97</v>
      </c>
      <c r="E53" s="436">
        <v>17789.87</v>
      </c>
      <c r="F53">
        <f t="shared" si="0"/>
        <v>0</v>
      </c>
    </row>
    <row r="54" spans="1:6" x14ac:dyDescent="0.25">
      <c r="A54" s="435" t="s">
        <v>623</v>
      </c>
      <c r="B54" s="436">
        <v>56784.18</v>
      </c>
      <c r="C54" s="436"/>
      <c r="D54" s="435" t="s">
        <v>623</v>
      </c>
      <c r="E54" s="436">
        <v>56784.18</v>
      </c>
      <c r="F54">
        <f t="shared" si="0"/>
        <v>0</v>
      </c>
    </row>
    <row r="55" spans="1:6" x14ac:dyDescent="0.25">
      <c r="A55" s="435" t="s">
        <v>625</v>
      </c>
      <c r="B55" s="436">
        <v>59957.56</v>
      </c>
      <c r="C55" s="436"/>
      <c r="D55" s="435" t="s">
        <v>625</v>
      </c>
      <c r="E55" s="436">
        <v>59957.56</v>
      </c>
      <c r="F55">
        <f t="shared" si="0"/>
        <v>0</v>
      </c>
    </row>
    <row r="56" spans="1:6" x14ac:dyDescent="0.25">
      <c r="A56" s="435" t="s">
        <v>152</v>
      </c>
      <c r="B56" s="436">
        <v>10323791.960000001</v>
      </c>
      <c r="C56" s="436"/>
      <c r="D56" s="435" t="s">
        <v>152</v>
      </c>
      <c r="E56" s="436">
        <v>10323791.960000001</v>
      </c>
      <c r="F56">
        <f t="shared" si="0"/>
        <v>0</v>
      </c>
    </row>
    <row r="57" spans="1:6" x14ac:dyDescent="0.25">
      <c r="A57" s="435" t="s">
        <v>627</v>
      </c>
      <c r="B57" s="436">
        <v>9496003.2400000002</v>
      </c>
      <c r="C57" s="436"/>
      <c r="D57" s="435" t="s">
        <v>627</v>
      </c>
      <c r="E57" s="436">
        <v>9496003.2400000002</v>
      </c>
      <c r="F57">
        <f t="shared" si="0"/>
        <v>0</v>
      </c>
    </row>
    <row r="58" spans="1:6" x14ac:dyDescent="0.25">
      <c r="A58" s="435" t="s">
        <v>154</v>
      </c>
      <c r="B58" s="436">
        <v>8704224.8099999987</v>
      </c>
      <c r="C58" s="436"/>
      <c r="D58" s="435" t="s">
        <v>154</v>
      </c>
      <c r="E58" s="436">
        <v>8704224.8099999987</v>
      </c>
      <c r="F58">
        <f t="shared" si="0"/>
        <v>0</v>
      </c>
    </row>
    <row r="59" spans="1:6" x14ac:dyDescent="0.25">
      <c r="A59" s="435" t="s">
        <v>156</v>
      </c>
      <c r="B59" s="436">
        <v>3789226.87</v>
      </c>
      <c r="C59" s="436"/>
      <c r="D59" s="435" t="s">
        <v>156</v>
      </c>
      <c r="E59" s="436">
        <v>3789226.87</v>
      </c>
      <c r="F59">
        <f t="shared" si="0"/>
        <v>0</v>
      </c>
    </row>
    <row r="60" spans="1:6" x14ac:dyDescent="0.25">
      <c r="A60" s="435" t="s">
        <v>629</v>
      </c>
      <c r="B60" s="436">
        <v>6015672.9899999993</v>
      </c>
      <c r="C60" s="436"/>
      <c r="D60" s="435" t="s">
        <v>629</v>
      </c>
      <c r="E60" s="436">
        <v>6015672.9899999993</v>
      </c>
      <c r="F60">
        <f t="shared" si="0"/>
        <v>0</v>
      </c>
    </row>
    <row r="61" spans="1:6" x14ac:dyDescent="0.25">
      <c r="A61" s="435" t="s">
        <v>158</v>
      </c>
      <c r="B61" s="436">
        <v>956429.63</v>
      </c>
      <c r="C61" s="436"/>
      <c r="D61" s="435" t="s">
        <v>158</v>
      </c>
      <c r="E61" s="436">
        <v>956429.63</v>
      </c>
      <c r="F61">
        <f t="shared" si="0"/>
        <v>0</v>
      </c>
    </row>
    <row r="62" spans="1:6" x14ac:dyDescent="0.25">
      <c r="A62" s="435" t="s">
        <v>631</v>
      </c>
      <c r="B62" s="436">
        <v>3108785.7600000002</v>
      </c>
      <c r="C62" s="436"/>
      <c r="D62" s="435" t="s">
        <v>631</v>
      </c>
      <c r="E62" s="436">
        <v>3108785.7600000002</v>
      </c>
      <c r="F62">
        <f t="shared" si="0"/>
        <v>0</v>
      </c>
    </row>
    <row r="63" spans="1:6" x14ac:dyDescent="0.25">
      <c r="A63" s="435" t="s">
        <v>160</v>
      </c>
      <c r="B63" s="436">
        <v>2615029.0300000003</v>
      </c>
      <c r="C63" s="436"/>
      <c r="D63" s="435" t="s">
        <v>160</v>
      </c>
      <c r="E63" s="436">
        <v>2615029.0300000003</v>
      </c>
      <c r="F63">
        <f t="shared" si="0"/>
        <v>0</v>
      </c>
    </row>
    <row r="64" spans="1:6" x14ac:dyDescent="0.25">
      <c r="A64" s="435" t="s">
        <v>162</v>
      </c>
      <c r="B64" s="436">
        <v>7980164.3499999996</v>
      </c>
      <c r="C64" s="436"/>
      <c r="D64" s="435" t="s">
        <v>162</v>
      </c>
      <c r="E64" s="436">
        <v>7980164.3499999996</v>
      </c>
      <c r="F64">
        <f t="shared" si="0"/>
        <v>0</v>
      </c>
    </row>
    <row r="65" spans="1:6" x14ac:dyDescent="0.25">
      <c r="A65" s="435" t="s">
        <v>164</v>
      </c>
      <c r="B65" s="436">
        <v>8074353.8699999992</v>
      </c>
      <c r="C65" s="436"/>
      <c r="D65" s="435" t="s">
        <v>164</v>
      </c>
      <c r="E65" s="436">
        <v>8074353.8699999992</v>
      </c>
      <c r="F65">
        <f t="shared" si="0"/>
        <v>0</v>
      </c>
    </row>
    <row r="66" spans="1:6" x14ac:dyDescent="0.25">
      <c r="A66" s="435" t="s">
        <v>166</v>
      </c>
      <c r="B66" s="436">
        <v>3076197.67</v>
      </c>
      <c r="C66" s="436"/>
      <c r="D66" s="435" t="s">
        <v>166</v>
      </c>
      <c r="E66" s="436">
        <v>3076197.67</v>
      </c>
      <c r="F66">
        <f t="shared" si="0"/>
        <v>0</v>
      </c>
    </row>
    <row r="67" spans="1:6" x14ac:dyDescent="0.25">
      <c r="A67" s="435" t="s">
        <v>168</v>
      </c>
      <c r="B67" s="436">
        <v>3552987.47</v>
      </c>
      <c r="C67" s="436"/>
      <c r="D67" s="435" t="s">
        <v>168</v>
      </c>
      <c r="E67" s="436">
        <v>3552987.47</v>
      </c>
      <c r="F67">
        <f t="shared" ref="F67:F111" si="1">E67-B67</f>
        <v>0</v>
      </c>
    </row>
    <row r="68" spans="1:6" x14ac:dyDescent="0.25">
      <c r="A68" s="435" t="s">
        <v>717</v>
      </c>
      <c r="B68" s="436">
        <v>0</v>
      </c>
      <c r="C68" s="436"/>
      <c r="D68" s="435" t="s">
        <v>717</v>
      </c>
      <c r="E68" s="436">
        <v>0</v>
      </c>
      <c r="F68">
        <f t="shared" si="1"/>
        <v>0</v>
      </c>
    </row>
    <row r="69" spans="1:6" x14ac:dyDescent="0.25">
      <c r="A69" s="435" t="s">
        <v>174</v>
      </c>
      <c r="B69" s="436">
        <v>3400304.68</v>
      </c>
      <c r="C69" s="436"/>
      <c r="D69" s="435" t="s">
        <v>174</v>
      </c>
      <c r="E69" s="436">
        <v>3400304.68</v>
      </c>
      <c r="F69">
        <f t="shared" si="1"/>
        <v>0</v>
      </c>
    </row>
    <row r="70" spans="1:6" x14ac:dyDescent="0.25">
      <c r="A70" s="435" t="s">
        <v>176</v>
      </c>
      <c r="B70" s="436">
        <v>1604865.1300000001</v>
      </c>
      <c r="C70" s="436"/>
      <c r="D70" s="435" t="s">
        <v>176</v>
      </c>
      <c r="E70" s="436">
        <v>1604865.1300000001</v>
      </c>
      <c r="F70">
        <f t="shared" si="1"/>
        <v>0</v>
      </c>
    </row>
    <row r="71" spans="1:6" x14ac:dyDescent="0.25">
      <c r="A71" s="435" t="s">
        <v>633</v>
      </c>
      <c r="B71" s="436">
        <v>874497.26</v>
      </c>
      <c r="C71" s="436"/>
      <c r="D71" s="435" t="s">
        <v>633</v>
      </c>
      <c r="E71" s="436">
        <v>874497.26</v>
      </c>
      <c r="F71">
        <f t="shared" si="1"/>
        <v>0</v>
      </c>
    </row>
    <row r="72" spans="1:6" x14ac:dyDescent="0.25">
      <c r="A72" s="435" t="s">
        <v>178</v>
      </c>
      <c r="B72" s="436">
        <v>9774606.3599999994</v>
      </c>
      <c r="C72" s="436"/>
      <c r="D72" s="435" t="s">
        <v>178</v>
      </c>
      <c r="E72" s="436">
        <v>9774606.3599999994</v>
      </c>
      <c r="F72">
        <f t="shared" si="1"/>
        <v>0</v>
      </c>
    </row>
    <row r="73" spans="1:6" x14ac:dyDescent="0.25">
      <c r="A73" s="435" t="s">
        <v>180</v>
      </c>
      <c r="B73" s="436">
        <v>5149736.75</v>
      </c>
      <c r="C73" s="436"/>
      <c r="D73" s="435" t="s">
        <v>180</v>
      </c>
      <c r="E73" s="436">
        <v>5149736.75</v>
      </c>
      <c r="F73">
        <f t="shared" si="1"/>
        <v>0</v>
      </c>
    </row>
    <row r="74" spans="1:6" x14ac:dyDescent="0.25">
      <c r="A74" s="435" t="s">
        <v>182</v>
      </c>
      <c r="B74" s="436">
        <v>3402729.03</v>
      </c>
      <c r="C74" s="436"/>
      <c r="D74" s="435" t="s">
        <v>182</v>
      </c>
      <c r="E74" s="436">
        <v>3402729.03</v>
      </c>
      <c r="F74">
        <f t="shared" si="1"/>
        <v>0</v>
      </c>
    </row>
    <row r="75" spans="1:6" x14ac:dyDescent="0.25">
      <c r="A75" s="435" t="s">
        <v>184</v>
      </c>
      <c r="B75" s="436">
        <v>9869613.2200000007</v>
      </c>
      <c r="C75" s="436"/>
      <c r="D75" s="435" t="s">
        <v>184</v>
      </c>
      <c r="E75" s="436">
        <v>9869613.2200000007</v>
      </c>
      <c r="F75">
        <f t="shared" si="1"/>
        <v>0</v>
      </c>
    </row>
    <row r="76" spans="1:6" x14ac:dyDescent="0.25">
      <c r="A76" s="435" t="s">
        <v>186</v>
      </c>
      <c r="B76" s="436">
        <v>1522923.67</v>
      </c>
      <c r="C76" s="436"/>
      <c r="D76" s="435" t="s">
        <v>186</v>
      </c>
      <c r="E76" s="436">
        <v>1522923.67</v>
      </c>
      <c r="F76">
        <f t="shared" si="1"/>
        <v>0</v>
      </c>
    </row>
    <row r="77" spans="1:6" x14ac:dyDescent="0.25">
      <c r="A77" s="435" t="s">
        <v>188</v>
      </c>
      <c r="B77" s="436">
        <v>7322373.2699999996</v>
      </c>
      <c r="C77" s="436"/>
      <c r="D77" s="435" t="s">
        <v>188</v>
      </c>
      <c r="E77" s="436">
        <v>7322373.2699999996</v>
      </c>
      <c r="F77">
        <f t="shared" si="1"/>
        <v>0</v>
      </c>
    </row>
    <row r="78" spans="1:6" x14ac:dyDescent="0.25">
      <c r="A78" s="435" t="s">
        <v>190</v>
      </c>
      <c r="B78" s="436">
        <v>6264562.7599999998</v>
      </c>
      <c r="C78" s="436"/>
      <c r="D78" s="435" t="s">
        <v>190</v>
      </c>
      <c r="E78" s="436">
        <v>6264562.7599999998</v>
      </c>
      <c r="F78">
        <f t="shared" si="1"/>
        <v>0</v>
      </c>
    </row>
    <row r="79" spans="1:6" x14ac:dyDescent="0.25">
      <c r="A79" s="435" t="s">
        <v>192</v>
      </c>
      <c r="B79" s="436">
        <v>2720576.09</v>
      </c>
      <c r="C79" s="436"/>
      <c r="D79" s="435" t="s">
        <v>192</v>
      </c>
      <c r="E79" s="436">
        <v>2720576.09</v>
      </c>
      <c r="F79">
        <f t="shared" si="1"/>
        <v>0</v>
      </c>
    </row>
    <row r="80" spans="1:6" x14ac:dyDescent="0.25">
      <c r="A80" s="435" t="s">
        <v>194</v>
      </c>
      <c r="B80" s="436">
        <v>1715140.56</v>
      </c>
      <c r="C80" s="436"/>
      <c r="D80" s="435" t="s">
        <v>194</v>
      </c>
      <c r="E80" s="436">
        <v>1715140.56</v>
      </c>
      <c r="F80">
        <f t="shared" si="1"/>
        <v>0</v>
      </c>
    </row>
    <row r="81" spans="1:6" x14ac:dyDescent="0.25">
      <c r="A81" s="435" t="s">
        <v>196</v>
      </c>
      <c r="B81" s="436">
        <v>679941.73</v>
      </c>
      <c r="C81" s="436"/>
      <c r="D81" s="435" t="s">
        <v>196</v>
      </c>
      <c r="E81" s="436">
        <v>679941.73</v>
      </c>
      <c r="F81">
        <f t="shared" si="1"/>
        <v>0</v>
      </c>
    </row>
    <row r="82" spans="1:6" x14ac:dyDescent="0.25">
      <c r="A82" s="435" t="s">
        <v>198</v>
      </c>
      <c r="B82" s="436">
        <v>987365</v>
      </c>
      <c r="C82" s="436"/>
      <c r="D82" s="435" t="s">
        <v>198</v>
      </c>
      <c r="E82" s="436">
        <v>987365</v>
      </c>
      <c r="F82">
        <f t="shared" si="1"/>
        <v>0</v>
      </c>
    </row>
    <row r="83" spans="1:6" x14ac:dyDescent="0.25">
      <c r="A83" s="435" t="s">
        <v>200</v>
      </c>
      <c r="B83" s="436">
        <v>2125547.64</v>
      </c>
      <c r="C83" s="436"/>
      <c r="D83" s="435" t="s">
        <v>200</v>
      </c>
      <c r="E83" s="436">
        <v>2125547.64</v>
      </c>
      <c r="F83">
        <f t="shared" si="1"/>
        <v>0</v>
      </c>
    </row>
    <row r="84" spans="1:6" x14ac:dyDescent="0.25">
      <c r="A84" s="435" t="s">
        <v>211</v>
      </c>
      <c r="B84" s="436">
        <v>13006349.91</v>
      </c>
      <c r="C84" s="436"/>
      <c r="D84" s="435" t="s">
        <v>211</v>
      </c>
      <c r="E84" s="436">
        <v>13006349.91</v>
      </c>
      <c r="F84">
        <f t="shared" si="1"/>
        <v>0</v>
      </c>
    </row>
    <row r="85" spans="1:6" x14ac:dyDescent="0.25">
      <c r="A85" s="435" t="s">
        <v>216</v>
      </c>
      <c r="B85" s="436">
        <v>77427.61</v>
      </c>
      <c r="C85" s="436"/>
      <c r="D85" s="435" t="s">
        <v>216</v>
      </c>
      <c r="E85" s="436">
        <v>77427.61</v>
      </c>
      <c r="F85">
        <f t="shared" si="1"/>
        <v>0</v>
      </c>
    </row>
    <row r="86" spans="1:6" x14ac:dyDescent="0.25">
      <c r="A86" s="435" t="s">
        <v>219</v>
      </c>
      <c r="B86" s="436">
        <v>25552.83</v>
      </c>
      <c r="C86" s="436"/>
      <c r="D86" s="435" t="s">
        <v>219</v>
      </c>
      <c r="E86" s="436">
        <v>25552.83</v>
      </c>
      <c r="F86">
        <f t="shared" si="1"/>
        <v>0</v>
      </c>
    </row>
    <row r="87" spans="1:6" x14ac:dyDescent="0.25">
      <c r="A87" s="435" t="s">
        <v>635</v>
      </c>
      <c r="B87" s="436">
        <v>7576985.3999999994</v>
      </c>
      <c r="C87" s="436"/>
      <c r="D87" s="435" t="s">
        <v>635</v>
      </c>
      <c r="E87" s="436">
        <v>7576985.3999999994</v>
      </c>
      <c r="F87">
        <f t="shared" si="1"/>
        <v>0</v>
      </c>
    </row>
    <row r="88" spans="1:6" x14ac:dyDescent="0.25">
      <c r="A88" s="435" t="s">
        <v>222</v>
      </c>
      <c r="B88" s="436">
        <v>14296734.449999999</v>
      </c>
      <c r="C88" s="436"/>
      <c r="D88" s="435" t="s">
        <v>222</v>
      </c>
      <c r="E88" s="436">
        <v>14296734.449999999</v>
      </c>
      <c r="F88">
        <f t="shared" si="1"/>
        <v>0</v>
      </c>
    </row>
    <row r="89" spans="1:6" x14ac:dyDescent="0.25">
      <c r="A89" s="435" t="s">
        <v>226</v>
      </c>
      <c r="B89" s="436">
        <v>5412.46</v>
      </c>
      <c r="C89" s="436"/>
      <c r="D89" s="435" t="s">
        <v>226</v>
      </c>
      <c r="E89" s="436">
        <v>5412.46</v>
      </c>
      <c r="F89">
        <f t="shared" si="1"/>
        <v>0</v>
      </c>
    </row>
    <row r="90" spans="1:6" x14ac:dyDescent="0.25">
      <c r="A90" s="435" t="s">
        <v>278</v>
      </c>
      <c r="B90" s="436">
        <v>180462.75</v>
      </c>
      <c r="C90" s="436"/>
      <c r="D90" s="435" t="s">
        <v>278</v>
      </c>
      <c r="E90" s="436">
        <v>180462.75</v>
      </c>
      <c r="F90">
        <f t="shared" si="1"/>
        <v>0</v>
      </c>
    </row>
    <row r="91" spans="1:6" x14ac:dyDescent="0.25">
      <c r="A91" s="435" t="s">
        <v>289</v>
      </c>
      <c r="B91" s="436">
        <v>14168.29</v>
      </c>
      <c r="C91" s="436"/>
      <c r="D91" s="435" t="s">
        <v>289</v>
      </c>
      <c r="E91" s="436">
        <v>14168.29</v>
      </c>
      <c r="F91">
        <f t="shared" si="1"/>
        <v>0</v>
      </c>
    </row>
    <row r="92" spans="1:6" x14ac:dyDescent="0.25">
      <c r="A92" s="435" t="s">
        <v>296</v>
      </c>
      <c r="B92" s="436">
        <v>234516.74</v>
      </c>
      <c r="C92" s="436"/>
      <c r="D92" s="435" t="s">
        <v>296</v>
      </c>
      <c r="E92" s="436">
        <v>234516.74</v>
      </c>
      <c r="F92">
        <f t="shared" si="1"/>
        <v>0</v>
      </c>
    </row>
    <row r="93" spans="1:6" x14ac:dyDescent="0.25">
      <c r="A93" s="435" t="s">
        <v>306</v>
      </c>
      <c r="B93" s="436">
        <v>114482.35</v>
      </c>
      <c r="C93" s="436"/>
      <c r="D93" s="435" t="s">
        <v>306</v>
      </c>
      <c r="E93" s="436">
        <v>114482.35</v>
      </c>
      <c r="F93">
        <f t="shared" si="1"/>
        <v>0</v>
      </c>
    </row>
    <row r="94" spans="1:6" x14ac:dyDescent="0.25">
      <c r="A94" s="435" t="s">
        <v>310</v>
      </c>
      <c r="B94" s="436">
        <v>125019.91</v>
      </c>
      <c r="C94" s="436"/>
      <c r="D94" s="435" t="s">
        <v>310</v>
      </c>
      <c r="E94" s="436">
        <v>125019.91</v>
      </c>
      <c r="F94">
        <f t="shared" si="1"/>
        <v>0</v>
      </c>
    </row>
    <row r="95" spans="1:6" x14ac:dyDescent="0.25">
      <c r="A95" s="435" t="s">
        <v>332</v>
      </c>
      <c r="B95" s="436">
        <v>2850352.76</v>
      </c>
      <c r="C95" s="436"/>
      <c r="D95" s="435" t="s">
        <v>332</v>
      </c>
      <c r="E95" s="436">
        <v>2850352.76</v>
      </c>
      <c r="F95">
        <f t="shared" si="1"/>
        <v>0</v>
      </c>
    </row>
    <row r="96" spans="1:6" x14ac:dyDescent="0.25">
      <c r="A96" s="435" t="s">
        <v>335</v>
      </c>
      <c r="B96" s="436">
        <v>678549.26</v>
      </c>
      <c r="C96" s="436"/>
      <c r="D96" s="435" t="s">
        <v>335</v>
      </c>
      <c r="E96" s="436">
        <v>678549.26</v>
      </c>
      <c r="F96">
        <f t="shared" si="1"/>
        <v>0</v>
      </c>
    </row>
    <row r="97" spans="1:6" x14ac:dyDescent="0.25">
      <c r="A97" s="435" t="s">
        <v>339</v>
      </c>
      <c r="B97" s="436">
        <v>78759.69</v>
      </c>
      <c r="C97" s="436"/>
      <c r="D97" s="435" t="s">
        <v>339</v>
      </c>
      <c r="E97" s="436">
        <v>78759.69</v>
      </c>
      <c r="F97">
        <f t="shared" si="1"/>
        <v>0</v>
      </c>
    </row>
    <row r="98" spans="1:6" x14ac:dyDescent="0.25">
      <c r="A98" s="435" t="s">
        <v>353</v>
      </c>
      <c r="B98" s="436">
        <v>76711.28</v>
      </c>
      <c r="C98" s="436"/>
      <c r="D98" s="435" t="s">
        <v>353</v>
      </c>
      <c r="E98" s="436">
        <v>76711.28</v>
      </c>
      <c r="F98">
        <f t="shared" si="1"/>
        <v>0</v>
      </c>
    </row>
    <row r="99" spans="1:6" x14ac:dyDescent="0.25">
      <c r="A99" s="435" t="s">
        <v>357</v>
      </c>
      <c r="B99" s="436">
        <v>26833.629999999997</v>
      </c>
      <c r="C99" s="436"/>
      <c r="D99" s="435" t="s">
        <v>357</v>
      </c>
      <c r="E99" s="436">
        <v>26833.629999999997</v>
      </c>
      <c r="F99">
        <f t="shared" si="1"/>
        <v>0</v>
      </c>
    </row>
    <row r="100" spans="1:6" x14ac:dyDescent="0.25">
      <c r="A100" s="435" t="s">
        <v>365</v>
      </c>
      <c r="B100" s="436">
        <v>69814.100000000006</v>
      </c>
      <c r="C100" s="436"/>
      <c r="D100" s="435" t="s">
        <v>365</v>
      </c>
      <c r="E100" s="436">
        <v>69814.100000000006</v>
      </c>
      <c r="F100">
        <f t="shared" si="1"/>
        <v>0</v>
      </c>
    </row>
    <row r="101" spans="1:6" x14ac:dyDescent="0.25">
      <c r="A101" s="435" t="s">
        <v>371</v>
      </c>
      <c r="B101" s="436">
        <v>301537.65000000002</v>
      </c>
      <c r="C101" s="436"/>
      <c r="D101" s="435" t="s">
        <v>371</v>
      </c>
      <c r="E101" s="436">
        <v>301537.65000000002</v>
      </c>
      <c r="F101">
        <f t="shared" si="1"/>
        <v>0</v>
      </c>
    </row>
    <row r="102" spans="1:6" x14ac:dyDescent="0.25">
      <c r="A102" s="435" t="s">
        <v>374</v>
      </c>
      <c r="B102" s="436">
        <v>52082.48</v>
      </c>
      <c r="C102" s="436"/>
      <c r="D102" s="435" t="s">
        <v>374</v>
      </c>
      <c r="E102" s="436">
        <v>52082.48</v>
      </c>
      <c r="F102">
        <f t="shared" si="1"/>
        <v>0</v>
      </c>
    </row>
    <row r="103" spans="1:6" x14ac:dyDescent="0.25">
      <c r="A103" s="435" t="s">
        <v>376</v>
      </c>
      <c r="B103" s="436">
        <v>127067.51000000001</v>
      </c>
      <c r="C103" s="436"/>
      <c r="D103" s="435" t="s">
        <v>376</v>
      </c>
      <c r="E103" s="436">
        <v>127067.51000000001</v>
      </c>
      <c r="F103">
        <f t="shared" si="1"/>
        <v>0</v>
      </c>
    </row>
    <row r="104" spans="1:6" x14ac:dyDescent="0.25">
      <c r="A104" s="435" t="s">
        <v>382</v>
      </c>
      <c r="B104" s="436">
        <v>163128.72999999998</v>
      </c>
      <c r="C104" s="436"/>
      <c r="D104" s="435" t="s">
        <v>382</v>
      </c>
      <c r="E104" s="436">
        <v>163128.72999999998</v>
      </c>
      <c r="F104">
        <f t="shared" si="1"/>
        <v>0</v>
      </c>
    </row>
    <row r="105" spans="1:6" x14ac:dyDescent="0.25">
      <c r="A105" s="435" t="s">
        <v>385</v>
      </c>
      <c r="B105" s="436">
        <v>99647.639999999985</v>
      </c>
      <c r="C105" s="436"/>
      <c r="D105" s="435" t="s">
        <v>385</v>
      </c>
      <c r="E105" s="436">
        <v>99647.639999999985</v>
      </c>
      <c r="F105">
        <f t="shared" si="1"/>
        <v>0</v>
      </c>
    </row>
    <row r="106" spans="1:6" x14ac:dyDescent="0.25">
      <c r="A106" s="435" t="s">
        <v>388</v>
      </c>
      <c r="B106" s="436">
        <v>89609.84</v>
      </c>
      <c r="C106" s="436"/>
      <c r="D106" s="435" t="s">
        <v>388</v>
      </c>
      <c r="E106" s="436">
        <v>89609.84</v>
      </c>
      <c r="F106">
        <f t="shared" si="1"/>
        <v>0</v>
      </c>
    </row>
    <row r="107" spans="1:6" x14ac:dyDescent="0.25">
      <c r="A107" s="435" t="s">
        <v>391</v>
      </c>
      <c r="B107" s="436">
        <v>104876.21</v>
      </c>
      <c r="C107" s="436"/>
      <c r="D107" s="435" t="s">
        <v>391</v>
      </c>
      <c r="E107" s="436">
        <v>104876.21</v>
      </c>
      <c r="F107">
        <f t="shared" si="1"/>
        <v>0</v>
      </c>
    </row>
    <row r="108" spans="1:6" x14ac:dyDescent="0.25">
      <c r="A108" s="435" t="s">
        <v>394</v>
      </c>
      <c r="B108" s="436">
        <v>62464.83</v>
      </c>
      <c r="C108" s="436"/>
      <c r="D108" s="435" t="s">
        <v>394</v>
      </c>
      <c r="E108" s="436">
        <v>62464.83</v>
      </c>
      <c r="F108">
        <f t="shared" si="1"/>
        <v>0</v>
      </c>
    </row>
    <row r="109" spans="1:6" x14ac:dyDescent="0.25">
      <c r="A109" s="435" t="s">
        <v>399</v>
      </c>
      <c r="B109" s="436">
        <v>12588.65</v>
      </c>
      <c r="C109" s="436"/>
      <c r="D109" s="435" t="s">
        <v>399</v>
      </c>
      <c r="E109" s="436">
        <v>12588.65</v>
      </c>
      <c r="F109">
        <f t="shared" si="1"/>
        <v>0</v>
      </c>
    </row>
    <row r="110" spans="1:6" x14ac:dyDescent="0.25">
      <c r="A110" s="435" t="s">
        <v>403</v>
      </c>
      <c r="B110" s="436">
        <v>614156.57000000007</v>
      </c>
      <c r="C110" s="436"/>
      <c r="D110" s="435" t="s">
        <v>403</v>
      </c>
      <c r="E110" s="436">
        <v>614156.57000000007</v>
      </c>
      <c r="F110">
        <f t="shared" si="1"/>
        <v>0</v>
      </c>
    </row>
    <row r="111" spans="1:6" x14ac:dyDescent="0.25">
      <c r="A111" s="435" t="s">
        <v>450</v>
      </c>
      <c r="B111" s="436">
        <v>34582.57</v>
      </c>
      <c r="C111" s="436"/>
      <c r="D111" s="435" t="s">
        <v>450</v>
      </c>
      <c r="E111" s="436">
        <v>34582.57</v>
      </c>
      <c r="F111">
        <f t="shared" si="1"/>
        <v>0</v>
      </c>
    </row>
    <row r="112" spans="1:6" x14ac:dyDescent="0.25">
      <c r="D112" s="506" t="s">
        <v>2858</v>
      </c>
      <c r="E112" s="507">
        <v>185869071.19999996</v>
      </c>
    </row>
  </sheetData>
  <customSheetViews>
    <customSheetView guid="{31BFF91F-CC67-47B5-A533-CBCA2A3DFD88}" state="hidden" topLeftCell="A91">
      <selection activeCell="D50" sqref="D50"/>
      <pageMargins left="0.7" right="0.7" top="0.75" bottom="0.75" header="0.3" footer="0.3"/>
    </customSheetView>
    <customSheetView guid="{1CE1816D-2CE4-45E4-84A5-7ECDB5D0D0D3}" state="hidden" topLeftCell="A91">
      <selection activeCell="D50" sqref="D50"/>
      <pageMargins left="0.7" right="0.7" top="0.75" bottom="0.75" header="0.3" footer="0.3"/>
    </customSheetView>
    <customSheetView guid="{C7376C49-7C70-4EE7-9CF7-79151FBD2399}" state="hidden" topLeftCell="A91">
      <selection activeCell="D50" sqref="D50"/>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7"/>
  <sheetViews>
    <sheetView topLeftCell="A352" workbookViewId="0">
      <selection activeCell="H375" sqref="H375"/>
    </sheetView>
  </sheetViews>
  <sheetFormatPr defaultRowHeight="15.75" x14ac:dyDescent="0.25"/>
  <cols>
    <col min="1" max="1" width="16.25" bestFit="1" customWidth="1"/>
    <col min="2" max="2" width="19.375" style="505" bestFit="1" customWidth="1"/>
    <col min="5" max="5" width="15" customWidth="1"/>
  </cols>
  <sheetData>
    <row r="1" spans="1:7" x14ac:dyDescent="0.25">
      <c r="A1" s="434" t="s">
        <v>2680</v>
      </c>
      <c r="B1" s="434" t="s">
        <v>2682</v>
      </c>
    </row>
    <row r="2" spans="1:7" x14ac:dyDescent="0.25">
      <c r="A2" s="435" t="s">
        <v>6</v>
      </c>
      <c r="B2" s="436">
        <v>437729.63999999996</v>
      </c>
      <c r="E2" s="435" t="s">
        <v>6</v>
      </c>
      <c r="F2" s="436">
        <v>437729.63999999996</v>
      </c>
      <c r="G2" t="b">
        <f>F2=B2</f>
        <v>1</v>
      </c>
    </row>
    <row r="3" spans="1:7" x14ac:dyDescent="0.25">
      <c r="A3" s="435" t="s">
        <v>2779</v>
      </c>
      <c r="B3" s="436">
        <v>1853843.9300000002</v>
      </c>
      <c r="E3" s="435" t="s">
        <v>2779</v>
      </c>
      <c r="F3" s="436">
        <v>1853843.9300000002</v>
      </c>
      <c r="G3" t="b">
        <f t="shared" ref="G3:G66" si="0">F3=B3</f>
        <v>1</v>
      </c>
    </row>
    <row r="4" spans="1:7" x14ac:dyDescent="0.25">
      <c r="A4" s="435" t="s">
        <v>2845</v>
      </c>
      <c r="B4" s="436">
        <v>180676.82</v>
      </c>
      <c r="E4" s="435" t="s">
        <v>2845</v>
      </c>
      <c r="F4" s="436">
        <v>180676.82</v>
      </c>
      <c r="G4" t="b">
        <f t="shared" si="0"/>
        <v>1</v>
      </c>
    </row>
    <row r="5" spans="1:7" x14ac:dyDescent="0.25">
      <c r="A5" s="435" t="s">
        <v>12</v>
      </c>
      <c r="B5" s="436">
        <v>79283.570000000007</v>
      </c>
      <c r="E5" s="435" t="s">
        <v>12</v>
      </c>
      <c r="F5" s="436">
        <v>79283.570000000007</v>
      </c>
      <c r="G5" t="b">
        <f t="shared" si="0"/>
        <v>1</v>
      </c>
    </row>
    <row r="6" spans="1:7" x14ac:dyDescent="0.25">
      <c r="A6" s="435" t="s">
        <v>16</v>
      </c>
      <c r="B6" s="436">
        <v>634824.05000000005</v>
      </c>
      <c r="E6" s="435" t="s">
        <v>16</v>
      </c>
      <c r="F6" s="436">
        <v>634824.05000000005</v>
      </c>
      <c r="G6" t="b">
        <f t="shared" si="0"/>
        <v>1</v>
      </c>
    </row>
    <row r="7" spans="1:7" x14ac:dyDescent="0.25">
      <c r="A7" s="435" t="s">
        <v>656</v>
      </c>
      <c r="B7" s="436">
        <v>480404.33</v>
      </c>
      <c r="E7" s="435" t="s">
        <v>656</v>
      </c>
      <c r="F7" s="436">
        <v>480404.33</v>
      </c>
      <c r="G7" t="b">
        <f t="shared" si="0"/>
        <v>1</v>
      </c>
    </row>
    <row r="8" spans="1:7" x14ac:dyDescent="0.25">
      <c r="A8" s="435" t="s">
        <v>657</v>
      </c>
      <c r="B8" s="436">
        <v>126000</v>
      </c>
      <c r="E8" s="435" t="s">
        <v>657</v>
      </c>
      <c r="F8" s="436">
        <v>126000</v>
      </c>
      <c r="G8" t="b">
        <f t="shared" si="0"/>
        <v>1</v>
      </c>
    </row>
    <row r="9" spans="1:7" x14ac:dyDescent="0.25">
      <c r="A9" s="435" t="s">
        <v>21</v>
      </c>
      <c r="B9" s="436">
        <v>152952.85999999999</v>
      </c>
      <c r="E9" s="435" t="s">
        <v>21</v>
      </c>
      <c r="F9" s="436">
        <v>152952.85999999999</v>
      </c>
      <c r="G9" t="b">
        <f t="shared" si="0"/>
        <v>1</v>
      </c>
    </row>
    <row r="10" spans="1:7" x14ac:dyDescent="0.25">
      <c r="A10" s="435" t="s">
        <v>24</v>
      </c>
      <c r="B10" s="436">
        <v>46756.709999999992</v>
      </c>
      <c r="E10" s="435" t="s">
        <v>24</v>
      </c>
      <c r="F10" s="436">
        <v>46756.709999999992</v>
      </c>
      <c r="G10" t="b">
        <f t="shared" si="0"/>
        <v>1</v>
      </c>
    </row>
    <row r="11" spans="1:7" x14ac:dyDescent="0.25">
      <c r="A11" s="435" t="s">
        <v>455</v>
      </c>
      <c r="B11" s="436">
        <v>92802.72</v>
      </c>
      <c r="E11" s="435" t="s">
        <v>455</v>
      </c>
      <c r="F11" s="436">
        <v>92802.72</v>
      </c>
      <c r="G11" t="b">
        <f t="shared" si="0"/>
        <v>1</v>
      </c>
    </row>
    <row r="12" spans="1:7" x14ac:dyDescent="0.25">
      <c r="A12" s="435" t="s">
        <v>460</v>
      </c>
      <c r="B12" s="436">
        <v>152943.19</v>
      </c>
      <c r="E12" s="435" t="s">
        <v>460</v>
      </c>
      <c r="F12" s="436">
        <v>152943.19</v>
      </c>
      <c r="G12" t="b">
        <f t="shared" si="0"/>
        <v>1</v>
      </c>
    </row>
    <row r="13" spans="1:7" x14ac:dyDescent="0.25">
      <c r="A13" s="435" t="s">
        <v>463</v>
      </c>
      <c r="B13" s="436">
        <v>4042</v>
      </c>
      <c r="E13" s="435" t="s">
        <v>463</v>
      </c>
      <c r="F13" s="436">
        <v>4042</v>
      </c>
      <c r="G13" t="b">
        <f t="shared" si="0"/>
        <v>1</v>
      </c>
    </row>
    <row r="14" spans="1:7" x14ac:dyDescent="0.25">
      <c r="A14" s="435" t="s">
        <v>465</v>
      </c>
      <c r="B14" s="436">
        <v>121182.57</v>
      </c>
      <c r="E14" s="435" t="s">
        <v>465</v>
      </c>
      <c r="F14" s="436">
        <v>121182.57</v>
      </c>
      <c r="G14" t="b">
        <f t="shared" si="0"/>
        <v>1</v>
      </c>
    </row>
    <row r="15" spans="1:7" x14ac:dyDescent="0.25">
      <c r="A15" s="435" t="s">
        <v>467</v>
      </c>
      <c r="B15" s="436">
        <v>9063.2099999999991</v>
      </c>
      <c r="E15" s="435" t="s">
        <v>467</v>
      </c>
      <c r="F15" s="436">
        <v>9063.2099999999991</v>
      </c>
      <c r="G15" t="b">
        <f t="shared" si="0"/>
        <v>1</v>
      </c>
    </row>
    <row r="16" spans="1:7" x14ac:dyDescent="0.25">
      <c r="A16" s="435" t="s">
        <v>470</v>
      </c>
      <c r="B16" s="436">
        <v>20282.39</v>
      </c>
      <c r="E16" s="435" t="s">
        <v>470</v>
      </c>
      <c r="F16" s="436">
        <v>20282.39</v>
      </c>
      <c r="G16" t="b">
        <f t="shared" si="0"/>
        <v>1</v>
      </c>
    </row>
    <row r="17" spans="1:7" x14ac:dyDescent="0.25">
      <c r="A17" s="435" t="s">
        <v>472</v>
      </c>
      <c r="B17" s="436">
        <v>23723.960000000003</v>
      </c>
      <c r="E17" s="435" t="s">
        <v>472</v>
      </c>
      <c r="F17" s="436">
        <v>23723.960000000003</v>
      </c>
      <c r="G17" t="b">
        <f t="shared" si="0"/>
        <v>1</v>
      </c>
    </row>
    <row r="18" spans="1:7" x14ac:dyDescent="0.25">
      <c r="A18" s="435" t="s">
        <v>474</v>
      </c>
      <c r="B18" s="436">
        <v>43610.95</v>
      </c>
      <c r="E18" s="435" t="s">
        <v>474</v>
      </c>
      <c r="F18" s="436">
        <v>43610.95</v>
      </c>
      <c r="G18" t="b">
        <f t="shared" si="0"/>
        <v>1</v>
      </c>
    </row>
    <row r="19" spans="1:7" x14ac:dyDescent="0.25">
      <c r="A19" s="435" t="s">
        <v>476</v>
      </c>
      <c r="B19" s="436">
        <v>14627.54</v>
      </c>
      <c r="E19" s="435" t="s">
        <v>476</v>
      </c>
      <c r="F19" s="436">
        <v>14627.54</v>
      </c>
      <c r="G19" t="b">
        <f t="shared" si="0"/>
        <v>1</v>
      </c>
    </row>
    <row r="20" spans="1:7" x14ac:dyDescent="0.25">
      <c r="A20" s="435" t="s">
        <v>479</v>
      </c>
      <c r="B20" s="436">
        <v>44685.74</v>
      </c>
      <c r="E20" s="435" t="s">
        <v>479</v>
      </c>
      <c r="F20" s="436">
        <v>44685.74</v>
      </c>
      <c r="G20" t="b">
        <f t="shared" si="0"/>
        <v>1</v>
      </c>
    </row>
    <row r="21" spans="1:7" x14ac:dyDescent="0.25">
      <c r="A21" s="435" t="s">
        <v>481</v>
      </c>
      <c r="B21" s="436">
        <v>16100.28</v>
      </c>
      <c r="E21" s="435" t="s">
        <v>481</v>
      </c>
      <c r="F21" s="436">
        <v>16100.28</v>
      </c>
      <c r="G21" t="b">
        <f t="shared" si="0"/>
        <v>1</v>
      </c>
    </row>
    <row r="22" spans="1:7" x14ac:dyDescent="0.25">
      <c r="A22" s="435" t="s">
        <v>483</v>
      </c>
      <c r="B22" s="436">
        <v>37446.86</v>
      </c>
      <c r="E22" s="435" t="s">
        <v>483</v>
      </c>
      <c r="F22" s="436">
        <v>37446.86</v>
      </c>
      <c r="G22" t="b">
        <f t="shared" si="0"/>
        <v>1</v>
      </c>
    </row>
    <row r="23" spans="1:7" x14ac:dyDescent="0.25">
      <c r="A23" s="435" t="s">
        <v>487</v>
      </c>
      <c r="B23" s="436">
        <v>12498.689999999999</v>
      </c>
      <c r="E23" s="435" t="s">
        <v>487</v>
      </c>
      <c r="F23" s="436">
        <v>12498.689999999999</v>
      </c>
      <c r="G23" t="b">
        <f t="shared" si="0"/>
        <v>1</v>
      </c>
    </row>
    <row r="24" spans="1:7" x14ac:dyDescent="0.25">
      <c r="A24" s="435" t="s">
        <v>490</v>
      </c>
      <c r="B24" s="436">
        <v>100764.67000000001</v>
      </c>
      <c r="E24" s="435" t="s">
        <v>490</v>
      </c>
      <c r="F24" s="436">
        <v>100764.67000000001</v>
      </c>
      <c r="G24" t="b">
        <f t="shared" si="0"/>
        <v>1</v>
      </c>
    </row>
    <row r="25" spans="1:7" x14ac:dyDescent="0.25">
      <c r="A25" s="435" t="s">
        <v>493</v>
      </c>
      <c r="B25" s="436">
        <v>133782.57</v>
      </c>
      <c r="E25" s="435" t="s">
        <v>493</v>
      </c>
      <c r="F25" s="436">
        <v>133782.57</v>
      </c>
      <c r="G25" t="b">
        <f t="shared" si="0"/>
        <v>1</v>
      </c>
    </row>
    <row r="26" spans="1:7" x14ac:dyDescent="0.25">
      <c r="A26" s="435" t="s">
        <v>496</v>
      </c>
      <c r="B26" s="436">
        <v>1273998.5899999999</v>
      </c>
      <c r="E26" s="435" t="s">
        <v>496</v>
      </c>
      <c r="F26" s="436">
        <v>1273998.5899999999</v>
      </c>
      <c r="G26" t="b">
        <f t="shared" si="0"/>
        <v>1</v>
      </c>
    </row>
    <row r="27" spans="1:7" x14ac:dyDescent="0.25">
      <c r="A27" s="435" t="s">
        <v>498</v>
      </c>
      <c r="B27" s="436">
        <v>17906.41</v>
      </c>
      <c r="E27" s="435" t="s">
        <v>498</v>
      </c>
      <c r="F27" s="436">
        <v>17906.41</v>
      </c>
      <c r="G27" t="b">
        <f t="shared" si="0"/>
        <v>1</v>
      </c>
    </row>
    <row r="28" spans="1:7" x14ac:dyDescent="0.25">
      <c r="A28" s="435" t="s">
        <v>501</v>
      </c>
      <c r="B28" s="436">
        <v>230573.62</v>
      </c>
      <c r="E28" s="435" t="s">
        <v>501</v>
      </c>
      <c r="F28" s="436">
        <v>230573.62</v>
      </c>
      <c r="G28" t="b">
        <f t="shared" si="0"/>
        <v>1</v>
      </c>
    </row>
    <row r="29" spans="1:7" x14ac:dyDescent="0.25">
      <c r="A29" s="435" t="s">
        <v>503</v>
      </c>
      <c r="B29" s="436">
        <v>61699.35</v>
      </c>
      <c r="E29" s="435" t="s">
        <v>503</v>
      </c>
      <c r="F29" s="436">
        <v>61699.35</v>
      </c>
      <c r="G29" t="b">
        <f t="shared" si="0"/>
        <v>1</v>
      </c>
    </row>
    <row r="30" spans="1:7" x14ac:dyDescent="0.25">
      <c r="A30" s="435" t="s">
        <v>505</v>
      </c>
      <c r="B30" s="436">
        <v>209457.92000000001</v>
      </c>
      <c r="E30" s="435" t="s">
        <v>505</v>
      </c>
      <c r="F30" s="436">
        <v>209457.92000000001</v>
      </c>
      <c r="G30" t="b">
        <f t="shared" si="0"/>
        <v>1</v>
      </c>
    </row>
    <row r="31" spans="1:7" x14ac:dyDescent="0.25">
      <c r="A31" s="435" t="s">
        <v>507</v>
      </c>
      <c r="B31" s="436">
        <v>383.56</v>
      </c>
      <c r="E31" s="435" t="s">
        <v>507</v>
      </c>
      <c r="F31" s="436">
        <v>383.56</v>
      </c>
      <c r="G31" t="b">
        <f t="shared" si="0"/>
        <v>1</v>
      </c>
    </row>
    <row r="32" spans="1:7" x14ac:dyDescent="0.25">
      <c r="A32" s="435" t="s">
        <v>887</v>
      </c>
      <c r="B32" s="436">
        <v>8530.18</v>
      </c>
      <c r="E32" s="435" t="s">
        <v>887</v>
      </c>
      <c r="F32" s="436">
        <v>8530.18</v>
      </c>
      <c r="G32" t="b">
        <f t="shared" si="0"/>
        <v>1</v>
      </c>
    </row>
    <row r="33" spans="1:7" x14ac:dyDescent="0.25">
      <c r="A33" s="435" t="s">
        <v>510</v>
      </c>
      <c r="B33" s="436">
        <v>1083172.6600000001</v>
      </c>
      <c r="E33" s="435" t="s">
        <v>510</v>
      </c>
      <c r="F33" s="436">
        <v>1083172.6600000001</v>
      </c>
      <c r="G33" t="b">
        <f t="shared" si="0"/>
        <v>1</v>
      </c>
    </row>
    <row r="34" spans="1:7" x14ac:dyDescent="0.25">
      <c r="A34" s="435" t="s">
        <v>512</v>
      </c>
      <c r="B34" s="436">
        <v>853967.29</v>
      </c>
      <c r="E34" s="435" t="s">
        <v>512</v>
      </c>
      <c r="F34" s="436">
        <v>853967.29</v>
      </c>
      <c r="G34" t="b">
        <f t="shared" si="0"/>
        <v>1</v>
      </c>
    </row>
    <row r="35" spans="1:7" x14ac:dyDescent="0.25">
      <c r="A35" s="435" t="s">
        <v>514</v>
      </c>
      <c r="B35" s="436">
        <v>115050.39</v>
      </c>
      <c r="E35" s="435" t="s">
        <v>514</v>
      </c>
      <c r="F35" s="436">
        <v>115050.39</v>
      </c>
      <c r="G35" t="b">
        <f t="shared" si="0"/>
        <v>1</v>
      </c>
    </row>
    <row r="36" spans="1:7" x14ac:dyDescent="0.25">
      <c r="A36" s="435" t="s">
        <v>516</v>
      </c>
      <c r="B36" s="436">
        <v>488150.24</v>
      </c>
      <c r="E36" s="435" t="s">
        <v>516</v>
      </c>
      <c r="F36" s="436">
        <v>488150.24</v>
      </c>
      <c r="G36" t="b">
        <f t="shared" si="0"/>
        <v>1</v>
      </c>
    </row>
    <row r="37" spans="1:7" x14ac:dyDescent="0.25">
      <c r="A37" s="435" t="s">
        <v>518</v>
      </c>
      <c r="B37" s="436">
        <v>8155.7800000000007</v>
      </c>
      <c r="E37" s="435" t="s">
        <v>518</v>
      </c>
      <c r="F37" s="436">
        <v>8155.7800000000007</v>
      </c>
      <c r="G37" t="b">
        <f t="shared" si="0"/>
        <v>1</v>
      </c>
    </row>
    <row r="38" spans="1:7" x14ac:dyDescent="0.25">
      <c r="A38" s="435" t="s">
        <v>521</v>
      </c>
      <c r="B38" s="436">
        <v>243865.44</v>
      </c>
      <c r="E38" s="435" t="s">
        <v>521</v>
      </c>
      <c r="F38" s="436">
        <v>243865.44</v>
      </c>
      <c r="G38" t="b">
        <f t="shared" si="0"/>
        <v>1</v>
      </c>
    </row>
    <row r="39" spans="1:7" x14ac:dyDescent="0.25">
      <c r="A39" s="435" t="s">
        <v>523</v>
      </c>
      <c r="B39" s="436">
        <v>14413.03</v>
      </c>
      <c r="E39" s="435" t="s">
        <v>523</v>
      </c>
      <c r="F39" s="436">
        <v>14413.03</v>
      </c>
      <c r="G39" t="b">
        <f t="shared" si="0"/>
        <v>1</v>
      </c>
    </row>
    <row r="40" spans="1:7" x14ac:dyDescent="0.25">
      <c r="A40" s="435" t="s">
        <v>526</v>
      </c>
      <c r="B40" s="436">
        <v>12321.58</v>
      </c>
      <c r="E40" s="435" t="s">
        <v>526</v>
      </c>
      <c r="F40" s="436">
        <v>12321.58</v>
      </c>
      <c r="G40" t="b">
        <f t="shared" si="0"/>
        <v>1</v>
      </c>
    </row>
    <row r="41" spans="1:7" x14ac:dyDescent="0.25">
      <c r="A41" s="435" t="s">
        <v>529</v>
      </c>
      <c r="B41" s="436">
        <v>15376.48</v>
      </c>
      <c r="E41" s="435" t="s">
        <v>529</v>
      </c>
      <c r="F41" s="436">
        <v>15376.48</v>
      </c>
      <c r="G41" t="b">
        <f t="shared" si="0"/>
        <v>1</v>
      </c>
    </row>
    <row r="42" spans="1:7" x14ac:dyDescent="0.25">
      <c r="A42" s="435" t="s">
        <v>532</v>
      </c>
      <c r="B42" s="436">
        <v>825856.64</v>
      </c>
      <c r="E42" s="435" t="s">
        <v>532</v>
      </c>
      <c r="F42" s="436">
        <v>825856.64</v>
      </c>
      <c r="G42" t="b">
        <f t="shared" si="0"/>
        <v>1</v>
      </c>
    </row>
    <row r="43" spans="1:7" x14ac:dyDescent="0.25">
      <c r="A43" s="435" t="s">
        <v>534</v>
      </c>
      <c r="B43" s="436">
        <v>1700</v>
      </c>
      <c r="E43" s="435" t="s">
        <v>534</v>
      </c>
      <c r="F43" s="436">
        <v>1700</v>
      </c>
      <c r="G43" t="b">
        <f t="shared" si="0"/>
        <v>1</v>
      </c>
    </row>
    <row r="44" spans="1:7" x14ac:dyDescent="0.25">
      <c r="A44" s="435" t="s">
        <v>539</v>
      </c>
      <c r="B44" s="436">
        <v>510242.34</v>
      </c>
      <c r="E44" s="435" t="s">
        <v>539</v>
      </c>
      <c r="F44" s="436">
        <v>510242.34</v>
      </c>
      <c r="G44" t="b">
        <f t="shared" si="0"/>
        <v>1</v>
      </c>
    </row>
    <row r="45" spans="1:7" x14ac:dyDescent="0.25">
      <c r="A45" s="435" t="s">
        <v>541</v>
      </c>
      <c r="B45" s="436">
        <v>2051966.24</v>
      </c>
      <c r="E45" s="435" t="s">
        <v>541</v>
      </c>
      <c r="F45" s="436">
        <v>2051966.24</v>
      </c>
      <c r="G45" t="b">
        <f t="shared" si="0"/>
        <v>1</v>
      </c>
    </row>
    <row r="46" spans="1:7" x14ac:dyDescent="0.25">
      <c r="A46" s="435" t="s">
        <v>543</v>
      </c>
      <c r="B46" s="436">
        <v>34289.789999999994</v>
      </c>
      <c r="E46" s="435" t="s">
        <v>543</v>
      </c>
      <c r="F46" s="436">
        <v>34289.789999999994</v>
      </c>
      <c r="G46" t="b">
        <f t="shared" si="0"/>
        <v>1</v>
      </c>
    </row>
    <row r="47" spans="1:7" x14ac:dyDescent="0.25">
      <c r="A47" s="435" t="s">
        <v>545</v>
      </c>
      <c r="B47" s="436">
        <v>3542343.3499999996</v>
      </c>
      <c r="E47" s="435" t="s">
        <v>545</v>
      </c>
      <c r="F47" s="436">
        <v>3542343.3499999996</v>
      </c>
      <c r="G47" t="b">
        <f t="shared" si="0"/>
        <v>1</v>
      </c>
    </row>
    <row r="48" spans="1:7" x14ac:dyDescent="0.25">
      <c r="A48" s="435" t="s">
        <v>547</v>
      </c>
      <c r="B48" s="436">
        <v>29525.93</v>
      </c>
      <c r="E48" s="435" t="s">
        <v>547</v>
      </c>
      <c r="F48" s="436">
        <v>29525.93</v>
      </c>
      <c r="G48" t="b">
        <f t="shared" si="0"/>
        <v>1</v>
      </c>
    </row>
    <row r="49" spans="1:7" x14ac:dyDescent="0.25">
      <c r="A49" s="435" t="s">
        <v>30</v>
      </c>
      <c r="B49" s="436">
        <v>341572.74</v>
      </c>
      <c r="E49" s="435" t="s">
        <v>30</v>
      </c>
      <c r="F49" s="436">
        <v>341572.74</v>
      </c>
      <c r="G49" t="b">
        <f t="shared" si="0"/>
        <v>1</v>
      </c>
    </row>
    <row r="50" spans="1:7" x14ac:dyDescent="0.25">
      <c r="A50" s="435" t="s">
        <v>36</v>
      </c>
      <c r="B50" s="436">
        <v>408591.57999999996</v>
      </c>
      <c r="E50" s="435" t="s">
        <v>36</v>
      </c>
      <c r="F50" s="436">
        <v>408591.57999999996</v>
      </c>
      <c r="G50" t="b">
        <f t="shared" si="0"/>
        <v>1</v>
      </c>
    </row>
    <row r="51" spans="1:7" x14ac:dyDescent="0.25">
      <c r="A51" s="435" t="s">
        <v>740</v>
      </c>
      <c r="B51" s="436">
        <v>39951.07</v>
      </c>
      <c r="E51" s="435" t="s">
        <v>740</v>
      </c>
      <c r="F51" s="436">
        <v>39951.07</v>
      </c>
      <c r="G51" t="b">
        <f t="shared" si="0"/>
        <v>1</v>
      </c>
    </row>
    <row r="52" spans="1:7" x14ac:dyDescent="0.25">
      <c r="A52" s="435" t="s">
        <v>39</v>
      </c>
      <c r="B52" s="436">
        <v>106188.64</v>
      </c>
      <c r="E52" s="435" t="s">
        <v>39</v>
      </c>
      <c r="F52" s="436">
        <v>106188.64</v>
      </c>
      <c r="G52" t="b">
        <f t="shared" si="0"/>
        <v>1</v>
      </c>
    </row>
    <row r="53" spans="1:7" x14ac:dyDescent="0.25">
      <c r="A53" s="435" t="s">
        <v>743</v>
      </c>
      <c r="B53" s="436">
        <v>749778.29</v>
      </c>
      <c r="E53" s="435" t="s">
        <v>743</v>
      </c>
      <c r="F53" s="436">
        <v>749778.29</v>
      </c>
      <c r="G53" t="b">
        <f t="shared" si="0"/>
        <v>1</v>
      </c>
    </row>
    <row r="54" spans="1:7" x14ac:dyDescent="0.25">
      <c r="A54" s="435" t="s">
        <v>1093</v>
      </c>
      <c r="B54" s="436">
        <v>9782.31</v>
      </c>
      <c r="E54" s="435" t="s">
        <v>1093</v>
      </c>
      <c r="F54" s="436">
        <v>9782.31</v>
      </c>
      <c r="G54" t="b">
        <f t="shared" si="0"/>
        <v>1</v>
      </c>
    </row>
    <row r="55" spans="1:7" x14ac:dyDescent="0.25">
      <c r="A55" s="435" t="s">
        <v>1097</v>
      </c>
      <c r="B55" s="436">
        <v>862450.96</v>
      </c>
      <c r="E55" s="435" t="s">
        <v>1097</v>
      </c>
      <c r="F55" s="436">
        <v>862450.96</v>
      </c>
      <c r="G55" t="b">
        <f t="shared" si="0"/>
        <v>1</v>
      </c>
    </row>
    <row r="56" spans="1:7" x14ac:dyDescent="0.25">
      <c r="A56" s="435" t="s">
        <v>2683</v>
      </c>
      <c r="B56" s="436">
        <v>48434.8</v>
      </c>
      <c r="E56" s="435" t="s">
        <v>2683</v>
      </c>
      <c r="F56" s="436">
        <v>48434.8</v>
      </c>
      <c r="G56" t="b">
        <f t="shared" si="0"/>
        <v>1</v>
      </c>
    </row>
    <row r="57" spans="1:7" x14ac:dyDescent="0.25">
      <c r="A57" s="435" t="s">
        <v>1179</v>
      </c>
      <c r="B57" s="436">
        <v>199750</v>
      </c>
      <c r="E57" s="435" t="s">
        <v>1179</v>
      </c>
      <c r="F57" s="436">
        <v>199750</v>
      </c>
      <c r="G57" t="b">
        <f t="shared" si="0"/>
        <v>1</v>
      </c>
    </row>
    <row r="58" spans="1:7" x14ac:dyDescent="0.25">
      <c r="A58" s="435" t="s">
        <v>45</v>
      </c>
      <c r="B58" s="436">
        <v>1581682.06</v>
      </c>
      <c r="E58" s="435" t="s">
        <v>45</v>
      </c>
      <c r="F58" s="436">
        <v>1581682.06</v>
      </c>
      <c r="G58" t="b">
        <f t="shared" si="0"/>
        <v>1</v>
      </c>
    </row>
    <row r="59" spans="1:7" x14ac:dyDescent="0.25">
      <c r="A59" s="435" t="s">
        <v>53</v>
      </c>
      <c r="B59" s="436">
        <v>8980523.4400000013</v>
      </c>
      <c r="E59" s="435" t="s">
        <v>53</v>
      </c>
      <c r="F59" s="436">
        <v>8980523.4400000013</v>
      </c>
      <c r="G59" t="b">
        <f t="shared" si="0"/>
        <v>1</v>
      </c>
    </row>
    <row r="60" spans="1:7" x14ac:dyDescent="0.25">
      <c r="A60" s="435" t="s">
        <v>55</v>
      </c>
      <c r="B60" s="436">
        <v>1367766.19</v>
      </c>
      <c r="E60" s="435" t="s">
        <v>55</v>
      </c>
      <c r="F60" s="436">
        <v>1367766.19</v>
      </c>
      <c r="G60" t="b">
        <f t="shared" si="0"/>
        <v>1</v>
      </c>
    </row>
    <row r="61" spans="1:7" x14ac:dyDescent="0.25">
      <c r="A61" s="435" t="s">
        <v>664</v>
      </c>
      <c r="B61" s="436">
        <v>855335.03</v>
      </c>
      <c r="E61" s="435" t="s">
        <v>664</v>
      </c>
      <c r="F61" s="436">
        <v>855335.03</v>
      </c>
      <c r="G61" t="b">
        <f t="shared" si="0"/>
        <v>1</v>
      </c>
    </row>
    <row r="62" spans="1:7" x14ac:dyDescent="0.25">
      <c r="A62" s="435" t="s">
        <v>62</v>
      </c>
      <c r="B62" s="436">
        <v>375459.86</v>
      </c>
      <c r="E62" s="435" t="s">
        <v>62</v>
      </c>
      <c r="F62" s="436">
        <v>375459.86</v>
      </c>
      <c r="G62" t="b">
        <f t="shared" si="0"/>
        <v>1</v>
      </c>
    </row>
    <row r="63" spans="1:7" x14ac:dyDescent="0.25">
      <c r="A63" s="435" t="s">
        <v>661</v>
      </c>
      <c r="B63" s="436">
        <v>305644.87</v>
      </c>
      <c r="E63" s="435" t="s">
        <v>661</v>
      </c>
      <c r="F63" s="436">
        <v>305644.87</v>
      </c>
      <c r="G63" t="b">
        <f t="shared" si="0"/>
        <v>1</v>
      </c>
    </row>
    <row r="64" spans="1:7" x14ac:dyDescent="0.25">
      <c r="A64" s="435" t="s">
        <v>59</v>
      </c>
      <c r="B64" s="436">
        <v>2851584.51</v>
      </c>
      <c r="E64" s="435" t="s">
        <v>59</v>
      </c>
      <c r="F64" s="436">
        <v>2851584.51</v>
      </c>
      <c r="G64" t="b">
        <f t="shared" si="0"/>
        <v>1</v>
      </c>
    </row>
    <row r="65" spans="1:7" x14ac:dyDescent="0.25">
      <c r="A65" s="435" t="s">
        <v>68</v>
      </c>
      <c r="B65" s="436">
        <v>811714.30999999994</v>
      </c>
      <c r="E65" s="435" t="s">
        <v>68</v>
      </c>
      <c r="F65" s="436">
        <v>811714.30999999994</v>
      </c>
      <c r="G65" t="b">
        <f t="shared" si="0"/>
        <v>1</v>
      </c>
    </row>
    <row r="66" spans="1:7" x14ac:dyDescent="0.25">
      <c r="A66" s="435" t="s">
        <v>65</v>
      </c>
      <c r="B66" s="436">
        <v>825141.06</v>
      </c>
      <c r="E66" s="435" t="s">
        <v>65</v>
      </c>
      <c r="F66" s="436">
        <v>825141.06</v>
      </c>
      <c r="G66" t="b">
        <f t="shared" si="0"/>
        <v>1</v>
      </c>
    </row>
    <row r="67" spans="1:7" x14ac:dyDescent="0.25">
      <c r="A67" s="435" t="s">
        <v>1279</v>
      </c>
      <c r="B67" s="436">
        <v>1324668.47</v>
      </c>
      <c r="E67" s="435" t="s">
        <v>1279</v>
      </c>
      <c r="F67" s="436">
        <v>1324668.47</v>
      </c>
      <c r="G67" t="b">
        <f t="shared" ref="G67:G130" si="1">F67=B67</f>
        <v>1</v>
      </c>
    </row>
    <row r="68" spans="1:7" x14ac:dyDescent="0.25">
      <c r="A68" s="435" t="s">
        <v>1237</v>
      </c>
      <c r="B68" s="436">
        <v>811710.19</v>
      </c>
      <c r="E68" s="435" t="s">
        <v>1237</v>
      </c>
      <c r="F68" s="436">
        <v>811710.19</v>
      </c>
      <c r="G68" t="b">
        <f t="shared" si="1"/>
        <v>1</v>
      </c>
    </row>
    <row r="69" spans="1:7" x14ac:dyDescent="0.25">
      <c r="A69" s="435" t="s">
        <v>859</v>
      </c>
      <c r="B69" s="436">
        <v>548059.06000000006</v>
      </c>
      <c r="E69" s="435" t="s">
        <v>859</v>
      </c>
      <c r="F69" s="436">
        <v>548059.06000000006</v>
      </c>
      <c r="G69" t="b">
        <f t="shared" si="1"/>
        <v>1</v>
      </c>
    </row>
    <row r="70" spans="1:7" x14ac:dyDescent="0.25">
      <c r="A70" s="435" t="s">
        <v>1252</v>
      </c>
      <c r="B70" s="436">
        <v>226986.36</v>
      </c>
      <c r="E70" s="435" t="s">
        <v>1252</v>
      </c>
      <c r="F70" s="436">
        <v>226986.36</v>
      </c>
      <c r="G70" t="b">
        <f t="shared" si="1"/>
        <v>1</v>
      </c>
    </row>
    <row r="71" spans="1:7" x14ac:dyDescent="0.25">
      <c r="A71" s="435" t="s">
        <v>899</v>
      </c>
      <c r="B71" s="436">
        <v>1976566.4</v>
      </c>
      <c r="E71" s="435" t="s">
        <v>899</v>
      </c>
      <c r="F71" s="436">
        <v>1976566.4</v>
      </c>
      <c r="G71" t="b">
        <f t="shared" si="1"/>
        <v>1</v>
      </c>
    </row>
    <row r="72" spans="1:7" x14ac:dyDescent="0.25">
      <c r="A72" s="435" t="s">
        <v>680</v>
      </c>
      <c r="B72" s="436">
        <v>573450</v>
      </c>
      <c r="E72" s="435" t="s">
        <v>680</v>
      </c>
      <c r="F72" s="436">
        <v>573450</v>
      </c>
      <c r="G72" t="b">
        <f t="shared" si="1"/>
        <v>1</v>
      </c>
    </row>
    <row r="73" spans="1:7" x14ac:dyDescent="0.25">
      <c r="A73" s="435" t="s">
        <v>1255</v>
      </c>
      <c r="B73" s="436">
        <v>912235.29</v>
      </c>
      <c r="E73" s="435" t="s">
        <v>1255</v>
      </c>
      <c r="F73" s="436">
        <v>912235.29</v>
      </c>
      <c r="G73" t="b">
        <f t="shared" si="1"/>
        <v>1</v>
      </c>
    </row>
    <row r="74" spans="1:7" x14ac:dyDescent="0.25">
      <c r="A74" s="435" t="s">
        <v>667</v>
      </c>
      <c r="B74" s="436">
        <v>750622.45</v>
      </c>
      <c r="E74" s="435" t="s">
        <v>667</v>
      </c>
      <c r="F74" s="436">
        <v>750622.45</v>
      </c>
      <c r="G74" t="b">
        <f t="shared" si="1"/>
        <v>1</v>
      </c>
    </row>
    <row r="75" spans="1:7" x14ac:dyDescent="0.25">
      <c r="A75" s="435" t="s">
        <v>673</v>
      </c>
      <c r="B75" s="436">
        <v>4665.63</v>
      </c>
      <c r="E75" s="435" t="s">
        <v>673</v>
      </c>
      <c r="F75" s="436">
        <v>4665.63</v>
      </c>
      <c r="G75" t="b">
        <f t="shared" si="1"/>
        <v>1</v>
      </c>
    </row>
    <row r="76" spans="1:7" x14ac:dyDescent="0.25">
      <c r="A76" s="435" t="s">
        <v>676</v>
      </c>
      <c r="B76" s="436">
        <v>4642.54</v>
      </c>
      <c r="E76" s="435" t="s">
        <v>676</v>
      </c>
      <c r="F76" s="436">
        <v>4642.54</v>
      </c>
      <c r="G76" t="b">
        <f t="shared" si="1"/>
        <v>1</v>
      </c>
    </row>
    <row r="77" spans="1:7" x14ac:dyDescent="0.25">
      <c r="A77" s="435" t="s">
        <v>678</v>
      </c>
      <c r="B77" s="436">
        <v>7954.51</v>
      </c>
      <c r="E77" s="435" t="s">
        <v>678</v>
      </c>
      <c r="F77" s="436">
        <v>7954.51</v>
      </c>
      <c r="G77" t="b">
        <f t="shared" si="1"/>
        <v>1</v>
      </c>
    </row>
    <row r="78" spans="1:7" x14ac:dyDescent="0.25">
      <c r="A78" s="435" t="s">
        <v>682</v>
      </c>
      <c r="B78" s="436">
        <v>0</v>
      </c>
      <c r="E78" s="435" t="s">
        <v>682</v>
      </c>
      <c r="F78" s="436">
        <v>0</v>
      </c>
      <c r="G78" t="b">
        <f t="shared" si="1"/>
        <v>1</v>
      </c>
    </row>
    <row r="79" spans="1:7" x14ac:dyDescent="0.25">
      <c r="A79" s="435" t="s">
        <v>1206</v>
      </c>
      <c r="B79" s="436">
        <v>822325.78</v>
      </c>
      <c r="E79" s="435" t="s">
        <v>1206</v>
      </c>
      <c r="F79" s="436">
        <v>822325.78</v>
      </c>
      <c r="G79" t="b">
        <f t="shared" si="1"/>
        <v>1</v>
      </c>
    </row>
    <row r="80" spans="1:7" x14ac:dyDescent="0.25">
      <c r="A80" s="435" t="s">
        <v>1282</v>
      </c>
      <c r="B80" s="436">
        <v>3175639.26</v>
      </c>
      <c r="E80" s="435" t="s">
        <v>1282</v>
      </c>
      <c r="F80" s="436">
        <v>3175639.26</v>
      </c>
      <c r="G80" t="b">
        <f t="shared" si="1"/>
        <v>1</v>
      </c>
    </row>
    <row r="81" spans="1:7" x14ac:dyDescent="0.25">
      <c r="A81" s="435" t="s">
        <v>1303</v>
      </c>
      <c r="B81" s="436">
        <v>1460850</v>
      </c>
      <c r="E81" s="435" t="s">
        <v>1303</v>
      </c>
      <c r="F81" s="436">
        <v>1460850</v>
      </c>
      <c r="G81" t="b">
        <f t="shared" si="1"/>
        <v>1</v>
      </c>
    </row>
    <row r="82" spans="1:7" x14ac:dyDescent="0.25">
      <c r="A82" s="435" t="s">
        <v>1336</v>
      </c>
      <c r="B82" s="436">
        <v>811127.1</v>
      </c>
      <c r="E82" s="435" t="s">
        <v>1336</v>
      </c>
      <c r="F82" s="436">
        <v>811127.1</v>
      </c>
      <c r="G82" t="b">
        <f t="shared" si="1"/>
        <v>1</v>
      </c>
    </row>
    <row r="83" spans="1:7" x14ac:dyDescent="0.25">
      <c r="A83" s="435" t="s">
        <v>2780</v>
      </c>
      <c r="B83" s="436">
        <v>808718.66999999993</v>
      </c>
      <c r="E83" s="435" t="s">
        <v>2780</v>
      </c>
      <c r="F83" s="436">
        <v>808718.66999999993</v>
      </c>
      <c r="G83" t="b">
        <f t="shared" si="1"/>
        <v>1</v>
      </c>
    </row>
    <row r="84" spans="1:7" x14ac:dyDescent="0.25">
      <c r="A84" s="435" t="s">
        <v>943</v>
      </c>
      <c r="B84" s="436">
        <v>629475.86</v>
      </c>
      <c r="E84" s="435" t="s">
        <v>943</v>
      </c>
      <c r="F84" s="436">
        <v>629475.86</v>
      </c>
      <c r="G84" t="b">
        <f t="shared" si="1"/>
        <v>1</v>
      </c>
    </row>
    <row r="85" spans="1:7" x14ac:dyDescent="0.25">
      <c r="A85" s="435" t="s">
        <v>2861</v>
      </c>
      <c r="B85" s="436">
        <v>175000</v>
      </c>
      <c r="E85" s="435" t="s">
        <v>2861</v>
      </c>
      <c r="F85" s="436">
        <v>175000</v>
      </c>
      <c r="G85" t="b">
        <f t="shared" si="1"/>
        <v>1</v>
      </c>
    </row>
    <row r="86" spans="1:7" x14ac:dyDescent="0.25">
      <c r="A86" s="435" t="s">
        <v>615</v>
      </c>
      <c r="B86" s="436">
        <v>1563388.49</v>
      </c>
      <c r="E86" s="435" t="s">
        <v>615</v>
      </c>
      <c r="F86" s="436">
        <v>1563388.49</v>
      </c>
      <c r="G86" t="b">
        <f t="shared" si="1"/>
        <v>1</v>
      </c>
    </row>
    <row r="87" spans="1:7" x14ac:dyDescent="0.25">
      <c r="A87" s="435" t="s">
        <v>78</v>
      </c>
      <c r="B87" s="436">
        <v>334950.15999999997</v>
      </c>
      <c r="E87" s="435" t="s">
        <v>78</v>
      </c>
      <c r="F87" s="436">
        <v>334950.15999999997</v>
      </c>
      <c r="G87" t="b">
        <f t="shared" si="1"/>
        <v>1</v>
      </c>
    </row>
    <row r="88" spans="1:7" x14ac:dyDescent="0.25">
      <c r="A88" s="435" t="s">
        <v>81</v>
      </c>
      <c r="B88" s="436">
        <v>389913.27</v>
      </c>
      <c r="E88" s="435" t="s">
        <v>81</v>
      </c>
      <c r="F88" s="436">
        <v>389913.27</v>
      </c>
      <c r="G88" t="b">
        <f t="shared" si="1"/>
        <v>1</v>
      </c>
    </row>
    <row r="89" spans="1:7" x14ac:dyDescent="0.25">
      <c r="A89" s="435" t="s">
        <v>83</v>
      </c>
      <c r="B89" s="436">
        <v>125030.78000000001</v>
      </c>
      <c r="E89" s="435" t="s">
        <v>83</v>
      </c>
      <c r="F89" s="436">
        <v>125030.78000000001</v>
      </c>
      <c r="G89" t="b">
        <f t="shared" si="1"/>
        <v>1</v>
      </c>
    </row>
    <row r="90" spans="1:7" x14ac:dyDescent="0.25">
      <c r="A90" s="435" t="s">
        <v>86</v>
      </c>
      <c r="B90" s="436">
        <v>15786.330000000002</v>
      </c>
      <c r="E90" s="435" t="s">
        <v>86</v>
      </c>
      <c r="F90" s="436">
        <v>15786.330000000002</v>
      </c>
      <c r="G90" t="b">
        <f t="shared" si="1"/>
        <v>1</v>
      </c>
    </row>
    <row r="91" spans="1:7" x14ac:dyDescent="0.25">
      <c r="A91" s="435" t="s">
        <v>1345</v>
      </c>
      <c r="B91" s="436">
        <v>70886.2</v>
      </c>
      <c r="E91" s="435" t="s">
        <v>1345</v>
      </c>
      <c r="F91" s="436">
        <v>70886.2</v>
      </c>
      <c r="G91" t="b">
        <f t="shared" si="1"/>
        <v>1</v>
      </c>
    </row>
    <row r="92" spans="1:7" x14ac:dyDescent="0.25">
      <c r="A92" s="435" t="s">
        <v>772</v>
      </c>
      <c r="B92" s="436">
        <v>137575.67000000001</v>
      </c>
      <c r="E92" s="435" t="s">
        <v>772</v>
      </c>
      <c r="F92" s="436">
        <v>137575.67000000001</v>
      </c>
      <c r="G92" t="b">
        <f t="shared" si="1"/>
        <v>1</v>
      </c>
    </row>
    <row r="93" spans="1:7" x14ac:dyDescent="0.25">
      <c r="A93" s="435" t="s">
        <v>93</v>
      </c>
      <c r="B93" s="436">
        <v>2567682.56</v>
      </c>
      <c r="E93" s="435" t="s">
        <v>93</v>
      </c>
      <c r="F93" s="436">
        <v>4740007.66</v>
      </c>
      <c r="G93" t="b">
        <f t="shared" si="1"/>
        <v>0</v>
      </c>
    </row>
    <row r="94" spans="1:7" x14ac:dyDescent="0.25">
      <c r="A94" s="435" t="s">
        <v>1355</v>
      </c>
      <c r="B94" s="436">
        <v>471855.39999999997</v>
      </c>
      <c r="E94" s="435" t="s">
        <v>1355</v>
      </c>
      <c r="F94" s="436">
        <v>471855.39999999997</v>
      </c>
      <c r="G94" t="b">
        <f t="shared" si="1"/>
        <v>1</v>
      </c>
    </row>
    <row r="95" spans="1:7" x14ac:dyDescent="0.25">
      <c r="A95" s="435" t="s">
        <v>773</v>
      </c>
      <c r="B95" s="436">
        <v>116669.97</v>
      </c>
      <c r="E95" s="435" t="s">
        <v>773</v>
      </c>
      <c r="F95" s="436">
        <v>116669.97</v>
      </c>
      <c r="G95" t="b">
        <f t="shared" si="1"/>
        <v>1</v>
      </c>
    </row>
    <row r="96" spans="1:7" x14ac:dyDescent="0.25">
      <c r="A96" s="435" t="s">
        <v>1360</v>
      </c>
      <c r="B96" s="436">
        <v>131672.20000000001</v>
      </c>
      <c r="E96" s="435" t="s">
        <v>1360</v>
      </c>
      <c r="F96" s="436">
        <v>131672.20000000001</v>
      </c>
      <c r="G96" t="b">
        <f t="shared" si="1"/>
        <v>1</v>
      </c>
    </row>
    <row r="97" spans="1:7" x14ac:dyDescent="0.25">
      <c r="A97" s="435" t="s">
        <v>902</v>
      </c>
      <c r="B97" s="436">
        <v>82380.160000000003</v>
      </c>
      <c r="E97" s="435" t="s">
        <v>902</v>
      </c>
      <c r="F97" s="436">
        <v>82380.160000000003</v>
      </c>
      <c r="G97" t="b">
        <f t="shared" si="1"/>
        <v>1</v>
      </c>
    </row>
    <row r="98" spans="1:7" x14ac:dyDescent="0.25">
      <c r="A98" s="435" t="s">
        <v>774</v>
      </c>
      <c r="B98" s="436">
        <v>1211250</v>
      </c>
      <c r="E98" s="435" t="s">
        <v>774</v>
      </c>
      <c r="F98" s="436">
        <v>1211250</v>
      </c>
      <c r="G98" t="b">
        <f t="shared" si="1"/>
        <v>1</v>
      </c>
    </row>
    <row r="99" spans="1:7" x14ac:dyDescent="0.25">
      <c r="A99" s="435" t="s">
        <v>2846</v>
      </c>
      <c r="B99" s="436">
        <v>612476.85</v>
      </c>
      <c r="E99" s="435" t="s">
        <v>2846</v>
      </c>
      <c r="F99" s="436">
        <v>612476.85</v>
      </c>
      <c r="G99" t="b">
        <f t="shared" si="1"/>
        <v>1</v>
      </c>
    </row>
    <row r="100" spans="1:7" x14ac:dyDescent="0.25">
      <c r="A100" s="435" t="s">
        <v>904</v>
      </c>
      <c r="B100" s="436">
        <v>261461.24</v>
      </c>
      <c r="E100" s="435" t="s">
        <v>904</v>
      </c>
      <c r="F100" s="436">
        <v>261461.24</v>
      </c>
      <c r="G100" t="b">
        <f t="shared" si="1"/>
        <v>1</v>
      </c>
    </row>
    <row r="101" spans="1:7" x14ac:dyDescent="0.25">
      <c r="A101" s="435" t="s">
        <v>775</v>
      </c>
      <c r="B101" s="436">
        <v>295490.03000000003</v>
      </c>
      <c r="E101" s="435" t="s">
        <v>775</v>
      </c>
      <c r="F101" s="436">
        <v>295490.03000000003</v>
      </c>
      <c r="G101" t="b">
        <f t="shared" si="1"/>
        <v>1</v>
      </c>
    </row>
    <row r="102" spans="1:7" x14ac:dyDescent="0.25">
      <c r="A102" s="435" t="s">
        <v>909</v>
      </c>
      <c r="B102" s="436">
        <v>770585.05999999994</v>
      </c>
      <c r="E102" s="435" t="s">
        <v>909</v>
      </c>
      <c r="F102" s="436">
        <v>770585.05999999994</v>
      </c>
      <c r="G102" t="b">
        <f t="shared" si="1"/>
        <v>1</v>
      </c>
    </row>
    <row r="103" spans="1:7" x14ac:dyDescent="0.25">
      <c r="A103" s="435" t="s">
        <v>907</v>
      </c>
      <c r="B103" s="436">
        <v>860586.46</v>
      </c>
      <c r="E103" s="435" t="s">
        <v>907</v>
      </c>
      <c r="F103" s="436">
        <v>860586.46</v>
      </c>
      <c r="G103" t="b">
        <f t="shared" si="1"/>
        <v>1</v>
      </c>
    </row>
    <row r="104" spans="1:7" x14ac:dyDescent="0.25">
      <c r="A104" s="435" t="s">
        <v>944</v>
      </c>
      <c r="B104" s="436">
        <v>1993651.56</v>
      </c>
      <c r="E104" s="435" t="s">
        <v>944</v>
      </c>
      <c r="F104" s="436">
        <v>1993651.56</v>
      </c>
      <c r="G104" t="b">
        <f t="shared" si="1"/>
        <v>1</v>
      </c>
    </row>
    <row r="105" spans="1:7" x14ac:dyDescent="0.25">
      <c r="A105" s="435" t="s">
        <v>1446</v>
      </c>
      <c r="B105" s="436">
        <v>820165.03</v>
      </c>
      <c r="E105" s="435" t="s">
        <v>1446</v>
      </c>
      <c r="F105" s="436">
        <v>820165.03</v>
      </c>
      <c r="G105" t="b">
        <f t="shared" si="1"/>
        <v>1</v>
      </c>
    </row>
    <row r="106" spans="1:7" x14ac:dyDescent="0.25">
      <c r="A106" s="435" t="s">
        <v>1574</v>
      </c>
      <c r="B106" s="436">
        <v>359621.07</v>
      </c>
      <c r="E106" s="435" t="s">
        <v>1574</v>
      </c>
      <c r="F106" s="436">
        <v>359621.07</v>
      </c>
      <c r="G106" t="b">
        <f t="shared" si="1"/>
        <v>1</v>
      </c>
    </row>
    <row r="107" spans="1:7" x14ac:dyDescent="0.25">
      <c r="A107" s="435" t="s">
        <v>1571</v>
      </c>
      <c r="B107" s="436">
        <v>0</v>
      </c>
      <c r="E107" s="435" t="s">
        <v>1571</v>
      </c>
      <c r="F107" s="436">
        <v>0</v>
      </c>
      <c r="G107" t="b">
        <f t="shared" si="1"/>
        <v>1</v>
      </c>
    </row>
    <row r="108" spans="1:7" x14ac:dyDescent="0.25">
      <c r="A108" s="435" t="s">
        <v>2847</v>
      </c>
      <c r="B108" s="436">
        <v>116200</v>
      </c>
      <c r="E108" s="435" t="s">
        <v>2847</v>
      </c>
      <c r="F108" s="436">
        <v>116200</v>
      </c>
      <c r="G108" t="b">
        <f t="shared" si="1"/>
        <v>1</v>
      </c>
    </row>
    <row r="109" spans="1:7" x14ac:dyDescent="0.25">
      <c r="A109" s="435" t="s">
        <v>1516</v>
      </c>
      <c r="B109" s="436">
        <v>57514.5</v>
      </c>
      <c r="E109" s="435" t="s">
        <v>1516</v>
      </c>
      <c r="F109" s="436">
        <v>57514.5</v>
      </c>
      <c r="G109" t="b">
        <f t="shared" si="1"/>
        <v>1</v>
      </c>
    </row>
    <row r="110" spans="1:7" x14ac:dyDescent="0.25">
      <c r="A110" s="435" t="s">
        <v>1534</v>
      </c>
      <c r="B110" s="436">
        <v>227969.5</v>
      </c>
      <c r="E110" s="435" t="s">
        <v>1534</v>
      </c>
      <c r="F110" s="436">
        <v>227969.5</v>
      </c>
      <c r="G110" t="b">
        <f t="shared" si="1"/>
        <v>1</v>
      </c>
    </row>
    <row r="111" spans="1:7" x14ac:dyDescent="0.25">
      <c r="A111" s="435" t="s">
        <v>1454</v>
      </c>
      <c r="B111" s="436">
        <v>89258.53</v>
      </c>
      <c r="E111" s="435" t="s">
        <v>1454</v>
      </c>
      <c r="F111" s="436">
        <v>89258.53</v>
      </c>
      <c r="G111" t="b">
        <f t="shared" si="1"/>
        <v>1</v>
      </c>
    </row>
    <row r="112" spans="1:7" x14ac:dyDescent="0.25">
      <c r="A112" s="435" t="s">
        <v>911</v>
      </c>
      <c r="B112" s="436">
        <v>66948</v>
      </c>
      <c r="E112" s="435" t="s">
        <v>911</v>
      </c>
      <c r="F112" s="436">
        <v>66948</v>
      </c>
      <c r="G112" t="b">
        <f t="shared" si="1"/>
        <v>1</v>
      </c>
    </row>
    <row r="113" spans="1:7" x14ac:dyDescent="0.25">
      <c r="A113" s="435" t="s">
        <v>2862</v>
      </c>
      <c r="B113" s="436">
        <v>322300</v>
      </c>
      <c r="E113" s="435" t="s">
        <v>2862</v>
      </c>
      <c r="F113" s="436">
        <v>322300</v>
      </c>
      <c r="G113" t="b">
        <f t="shared" si="1"/>
        <v>1</v>
      </c>
    </row>
    <row r="114" spans="1:7" x14ac:dyDescent="0.25">
      <c r="A114" s="435" t="s">
        <v>2781</v>
      </c>
      <c r="B114" s="436">
        <v>343729</v>
      </c>
      <c r="E114" s="435" t="s">
        <v>2781</v>
      </c>
      <c r="F114" s="436">
        <v>343729</v>
      </c>
      <c r="G114" t="b">
        <f t="shared" si="1"/>
        <v>1</v>
      </c>
    </row>
    <row r="115" spans="1:7" x14ac:dyDescent="0.25">
      <c r="A115" s="435" t="s">
        <v>2782</v>
      </c>
      <c r="B115" s="436">
        <v>343729</v>
      </c>
      <c r="E115" s="435" t="s">
        <v>2782</v>
      </c>
      <c r="F115" s="436">
        <v>343729</v>
      </c>
      <c r="G115" t="b">
        <f t="shared" si="1"/>
        <v>1</v>
      </c>
    </row>
    <row r="116" spans="1:7" x14ac:dyDescent="0.25">
      <c r="A116" s="435" t="s">
        <v>2783</v>
      </c>
      <c r="B116" s="436">
        <v>343729</v>
      </c>
      <c r="E116" s="435" t="s">
        <v>2783</v>
      </c>
      <c r="F116" s="436">
        <v>343729</v>
      </c>
      <c r="G116" t="b">
        <f t="shared" si="1"/>
        <v>1</v>
      </c>
    </row>
    <row r="117" spans="1:7" x14ac:dyDescent="0.25">
      <c r="A117" s="435" t="s">
        <v>2784</v>
      </c>
      <c r="B117" s="436">
        <v>343729</v>
      </c>
      <c r="E117" s="435" t="s">
        <v>2784</v>
      </c>
      <c r="F117" s="436">
        <v>343729</v>
      </c>
      <c r="G117" t="b">
        <f t="shared" si="1"/>
        <v>1</v>
      </c>
    </row>
    <row r="118" spans="1:7" x14ac:dyDescent="0.25">
      <c r="A118" s="435" t="s">
        <v>2785</v>
      </c>
      <c r="B118" s="436">
        <v>343729</v>
      </c>
      <c r="E118" s="435" t="s">
        <v>2785</v>
      </c>
      <c r="F118" s="436">
        <v>343729</v>
      </c>
      <c r="G118" t="b">
        <f t="shared" si="1"/>
        <v>1</v>
      </c>
    </row>
    <row r="119" spans="1:7" x14ac:dyDescent="0.25">
      <c r="A119" s="435" t="s">
        <v>2786</v>
      </c>
      <c r="B119" s="436">
        <v>343729</v>
      </c>
      <c r="E119" s="435" t="s">
        <v>2786</v>
      </c>
      <c r="F119" s="436">
        <v>343729</v>
      </c>
      <c r="G119" t="b">
        <f t="shared" si="1"/>
        <v>1</v>
      </c>
    </row>
    <row r="120" spans="1:7" x14ac:dyDescent="0.25">
      <c r="A120" s="435" t="s">
        <v>2787</v>
      </c>
      <c r="B120" s="436">
        <v>343729</v>
      </c>
      <c r="E120" s="435" t="s">
        <v>2787</v>
      </c>
      <c r="F120" s="436">
        <v>343729</v>
      </c>
      <c r="G120" t="b">
        <f t="shared" si="1"/>
        <v>1</v>
      </c>
    </row>
    <row r="121" spans="1:7" x14ac:dyDescent="0.25">
      <c r="A121" s="435" t="s">
        <v>2788</v>
      </c>
      <c r="B121" s="436">
        <v>343729</v>
      </c>
      <c r="E121" s="435" t="s">
        <v>2788</v>
      </c>
      <c r="F121" s="436">
        <v>343729</v>
      </c>
      <c r="G121" t="b">
        <f t="shared" si="1"/>
        <v>1</v>
      </c>
    </row>
    <row r="122" spans="1:7" x14ac:dyDescent="0.25">
      <c r="A122" s="435" t="s">
        <v>2789</v>
      </c>
      <c r="B122" s="436">
        <v>343729</v>
      </c>
      <c r="E122" s="435" t="s">
        <v>2789</v>
      </c>
      <c r="F122" s="436">
        <v>343729</v>
      </c>
      <c r="G122" t="b">
        <f t="shared" si="1"/>
        <v>1</v>
      </c>
    </row>
    <row r="123" spans="1:7" x14ac:dyDescent="0.25">
      <c r="A123" s="435" t="s">
        <v>2790</v>
      </c>
      <c r="B123" s="436">
        <v>506548</v>
      </c>
      <c r="E123" s="435" t="s">
        <v>2790</v>
      </c>
      <c r="F123" s="436">
        <v>506548</v>
      </c>
      <c r="G123" t="b">
        <f t="shared" si="1"/>
        <v>1</v>
      </c>
    </row>
    <row r="124" spans="1:7" x14ac:dyDescent="0.25">
      <c r="A124" s="435" t="s">
        <v>2791</v>
      </c>
      <c r="B124" s="436">
        <v>343729</v>
      </c>
      <c r="E124" s="435" t="s">
        <v>2791</v>
      </c>
      <c r="F124" s="436">
        <v>343729</v>
      </c>
      <c r="G124" t="b">
        <f t="shared" si="1"/>
        <v>1</v>
      </c>
    </row>
    <row r="125" spans="1:7" x14ac:dyDescent="0.25">
      <c r="A125" s="435" t="s">
        <v>2792</v>
      </c>
      <c r="B125" s="436">
        <v>343729</v>
      </c>
      <c r="E125" s="435" t="s">
        <v>2792</v>
      </c>
      <c r="F125" s="436">
        <v>343729</v>
      </c>
      <c r="G125" t="b">
        <f t="shared" si="1"/>
        <v>1</v>
      </c>
    </row>
    <row r="126" spans="1:7" x14ac:dyDescent="0.25">
      <c r="A126" s="435" t="s">
        <v>2793</v>
      </c>
      <c r="B126" s="436">
        <v>343729</v>
      </c>
      <c r="E126" s="435" t="s">
        <v>2793</v>
      </c>
      <c r="F126" s="436">
        <v>343729</v>
      </c>
      <c r="G126" t="b">
        <f t="shared" si="1"/>
        <v>1</v>
      </c>
    </row>
    <row r="127" spans="1:7" x14ac:dyDescent="0.25">
      <c r="A127" s="435" t="s">
        <v>2794</v>
      </c>
      <c r="B127" s="436">
        <v>343729</v>
      </c>
      <c r="E127" s="435" t="s">
        <v>2794</v>
      </c>
      <c r="F127" s="436">
        <v>343729</v>
      </c>
      <c r="G127" t="b">
        <f t="shared" si="1"/>
        <v>1</v>
      </c>
    </row>
    <row r="128" spans="1:7" x14ac:dyDescent="0.25">
      <c r="A128" s="435" t="s">
        <v>2795</v>
      </c>
      <c r="B128" s="436">
        <v>343729</v>
      </c>
      <c r="E128" s="435" t="s">
        <v>2795</v>
      </c>
      <c r="F128" s="436">
        <v>343729</v>
      </c>
      <c r="G128" t="b">
        <f t="shared" si="1"/>
        <v>1</v>
      </c>
    </row>
    <row r="129" spans="1:7" x14ac:dyDescent="0.25">
      <c r="A129" s="435" t="s">
        <v>2796</v>
      </c>
      <c r="B129" s="436">
        <v>343729</v>
      </c>
      <c r="E129" s="435" t="s">
        <v>2796</v>
      </c>
      <c r="F129" s="436">
        <v>343729</v>
      </c>
      <c r="G129" t="b">
        <f t="shared" si="1"/>
        <v>1</v>
      </c>
    </row>
    <row r="130" spans="1:7" x14ac:dyDescent="0.25">
      <c r="A130" s="435" t="s">
        <v>2797</v>
      </c>
      <c r="B130" s="436">
        <v>343729</v>
      </c>
      <c r="E130" s="435" t="s">
        <v>2797</v>
      </c>
      <c r="F130" s="436">
        <v>343729</v>
      </c>
      <c r="G130" t="b">
        <f t="shared" si="1"/>
        <v>1</v>
      </c>
    </row>
    <row r="131" spans="1:7" x14ac:dyDescent="0.25">
      <c r="A131" s="435" t="s">
        <v>2798</v>
      </c>
      <c r="B131" s="436">
        <v>409721.58999999997</v>
      </c>
      <c r="E131" s="435" t="s">
        <v>2798</v>
      </c>
      <c r="F131" s="436">
        <v>409721.58999999997</v>
      </c>
      <c r="G131" t="b">
        <f t="shared" ref="G131:G194" si="2">F131=B131</f>
        <v>1</v>
      </c>
    </row>
    <row r="132" spans="1:7" x14ac:dyDescent="0.25">
      <c r="A132" s="435" t="s">
        <v>2799</v>
      </c>
      <c r="B132" s="436">
        <v>409721.61</v>
      </c>
      <c r="E132" s="435" t="s">
        <v>2799</v>
      </c>
      <c r="F132" s="436">
        <v>409721.61</v>
      </c>
      <c r="G132" t="b">
        <f t="shared" si="2"/>
        <v>1</v>
      </c>
    </row>
    <row r="133" spans="1:7" x14ac:dyDescent="0.25">
      <c r="A133" s="435" t="s">
        <v>2800</v>
      </c>
      <c r="B133" s="436">
        <v>409721.61</v>
      </c>
      <c r="E133" s="435" t="s">
        <v>2800</v>
      </c>
      <c r="F133" s="436">
        <v>409721.61</v>
      </c>
      <c r="G133" t="b">
        <f t="shared" si="2"/>
        <v>1</v>
      </c>
    </row>
    <row r="134" spans="1:7" x14ac:dyDescent="0.25">
      <c r="A134" s="435" t="s">
        <v>2801</v>
      </c>
      <c r="B134" s="436">
        <v>409721.61</v>
      </c>
      <c r="E134" s="435" t="s">
        <v>2801</v>
      </c>
      <c r="F134" s="436">
        <v>409721.61</v>
      </c>
      <c r="G134" t="b">
        <f t="shared" si="2"/>
        <v>1</v>
      </c>
    </row>
    <row r="135" spans="1:7" x14ac:dyDescent="0.25">
      <c r="A135" s="435" t="s">
        <v>2802</v>
      </c>
      <c r="B135" s="436">
        <v>409721.61</v>
      </c>
      <c r="E135" s="435" t="s">
        <v>2802</v>
      </c>
      <c r="F135" s="436">
        <v>409721.61</v>
      </c>
      <c r="G135" t="b">
        <f t="shared" si="2"/>
        <v>1</v>
      </c>
    </row>
    <row r="136" spans="1:7" x14ac:dyDescent="0.25">
      <c r="A136" s="435" t="s">
        <v>2803</v>
      </c>
      <c r="B136" s="436">
        <v>409721.58999999997</v>
      </c>
      <c r="E136" s="435" t="s">
        <v>2803</v>
      </c>
      <c r="F136" s="436">
        <v>409721.58999999997</v>
      </c>
      <c r="G136" t="b">
        <f t="shared" si="2"/>
        <v>1</v>
      </c>
    </row>
    <row r="137" spans="1:7" x14ac:dyDescent="0.25">
      <c r="A137" s="435" t="s">
        <v>2804</v>
      </c>
      <c r="B137" s="436">
        <v>343729</v>
      </c>
      <c r="E137" s="435" t="s">
        <v>2804</v>
      </c>
      <c r="F137" s="436">
        <v>343729</v>
      </c>
      <c r="G137" t="b">
        <f t="shared" si="2"/>
        <v>1</v>
      </c>
    </row>
    <row r="138" spans="1:7" x14ac:dyDescent="0.25">
      <c r="A138" s="435" t="s">
        <v>2805</v>
      </c>
      <c r="B138" s="436">
        <v>343729</v>
      </c>
      <c r="E138" s="435" t="s">
        <v>2805</v>
      </c>
      <c r="F138" s="436">
        <v>343729</v>
      </c>
      <c r="G138" t="b">
        <f t="shared" si="2"/>
        <v>1</v>
      </c>
    </row>
    <row r="139" spans="1:7" x14ac:dyDescent="0.25">
      <c r="A139" s="435" t="s">
        <v>2806</v>
      </c>
      <c r="B139" s="436">
        <v>343729</v>
      </c>
      <c r="E139" s="435" t="s">
        <v>2806</v>
      </c>
      <c r="F139" s="436">
        <v>343729</v>
      </c>
      <c r="G139" t="b">
        <f t="shared" si="2"/>
        <v>1</v>
      </c>
    </row>
    <row r="140" spans="1:7" x14ac:dyDescent="0.25">
      <c r="A140" s="435" t="s">
        <v>2807</v>
      </c>
      <c r="B140" s="436">
        <v>343729</v>
      </c>
      <c r="E140" s="435" t="s">
        <v>2807</v>
      </c>
      <c r="F140" s="436">
        <v>343729</v>
      </c>
      <c r="G140" t="b">
        <f t="shared" si="2"/>
        <v>1</v>
      </c>
    </row>
    <row r="141" spans="1:7" x14ac:dyDescent="0.25">
      <c r="A141" s="435" t="s">
        <v>2808</v>
      </c>
      <c r="B141" s="436">
        <v>343729</v>
      </c>
      <c r="E141" s="435" t="s">
        <v>2808</v>
      </c>
      <c r="F141" s="436">
        <v>343729</v>
      </c>
      <c r="G141" t="b">
        <f t="shared" si="2"/>
        <v>1</v>
      </c>
    </row>
    <row r="142" spans="1:7" x14ac:dyDescent="0.25">
      <c r="A142" s="435" t="s">
        <v>2809</v>
      </c>
      <c r="B142" s="436">
        <v>343729</v>
      </c>
      <c r="E142" s="435" t="s">
        <v>2809</v>
      </c>
      <c r="F142" s="436">
        <v>343729</v>
      </c>
      <c r="G142" t="b">
        <f t="shared" si="2"/>
        <v>1</v>
      </c>
    </row>
    <row r="143" spans="1:7" x14ac:dyDescent="0.25">
      <c r="A143" s="435" t="s">
        <v>2810</v>
      </c>
      <c r="B143" s="436">
        <v>343729</v>
      </c>
      <c r="E143" s="435" t="s">
        <v>2810</v>
      </c>
      <c r="F143" s="436">
        <v>343729</v>
      </c>
      <c r="G143" t="b">
        <f t="shared" si="2"/>
        <v>1</v>
      </c>
    </row>
    <row r="144" spans="1:7" x14ac:dyDescent="0.25">
      <c r="A144" s="435" t="s">
        <v>2811</v>
      </c>
      <c r="B144" s="436">
        <v>343456.35</v>
      </c>
      <c r="E144" s="435" t="s">
        <v>2811</v>
      </c>
      <c r="F144" s="436">
        <v>343456.35</v>
      </c>
      <c r="G144" t="b">
        <f t="shared" si="2"/>
        <v>1</v>
      </c>
    </row>
    <row r="145" spans="1:7" x14ac:dyDescent="0.25">
      <c r="A145" s="435" t="s">
        <v>97</v>
      </c>
      <c r="B145" s="436">
        <v>197786.1</v>
      </c>
      <c r="E145" s="435" t="s">
        <v>97</v>
      </c>
      <c r="F145" s="436">
        <v>197786.1</v>
      </c>
      <c r="G145" t="b">
        <f t="shared" si="2"/>
        <v>1</v>
      </c>
    </row>
    <row r="146" spans="1:7" x14ac:dyDescent="0.25">
      <c r="A146" s="435" t="s">
        <v>749</v>
      </c>
      <c r="B146" s="436">
        <v>2242838.7199999997</v>
      </c>
      <c r="E146" s="435" t="s">
        <v>749</v>
      </c>
      <c r="F146" s="436">
        <v>2242838.7199999997</v>
      </c>
      <c r="G146" t="b">
        <f t="shared" si="2"/>
        <v>1</v>
      </c>
    </row>
    <row r="147" spans="1:7" x14ac:dyDescent="0.25">
      <c r="A147" s="435" t="s">
        <v>1589</v>
      </c>
      <c r="B147" s="436">
        <v>347855.3</v>
      </c>
      <c r="E147" s="435" t="s">
        <v>1589</v>
      </c>
      <c r="F147" s="436">
        <v>347855.3</v>
      </c>
      <c r="G147" t="b">
        <f t="shared" si="2"/>
        <v>1</v>
      </c>
    </row>
    <row r="148" spans="1:7" x14ac:dyDescent="0.25">
      <c r="A148" s="435" t="s">
        <v>103</v>
      </c>
      <c r="B148" s="436">
        <v>3367353.2</v>
      </c>
      <c r="E148" s="435" t="s">
        <v>103</v>
      </c>
      <c r="F148" s="436">
        <v>3367353.2</v>
      </c>
      <c r="G148" t="b">
        <f t="shared" si="2"/>
        <v>1</v>
      </c>
    </row>
    <row r="149" spans="1:7" x14ac:dyDescent="0.25">
      <c r="A149" s="435" t="s">
        <v>1613</v>
      </c>
      <c r="B149" s="436">
        <v>480452.74</v>
      </c>
      <c r="E149" s="435" t="s">
        <v>1613</v>
      </c>
      <c r="F149" s="436">
        <v>480452.74</v>
      </c>
      <c r="G149" t="b">
        <f t="shared" si="2"/>
        <v>1</v>
      </c>
    </row>
    <row r="150" spans="1:7" x14ac:dyDescent="0.25">
      <c r="A150" s="435" t="s">
        <v>2812</v>
      </c>
      <c r="B150" s="436">
        <v>646933.11</v>
      </c>
      <c r="E150" s="435" t="s">
        <v>2812</v>
      </c>
      <c r="F150" s="436">
        <v>646933.11</v>
      </c>
      <c r="G150" t="b">
        <f t="shared" si="2"/>
        <v>1</v>
      </c>
    </row>
    <row r="151" spans="1:7" x14ac:dyDescent="0.25">
      <c r="A151" s="435" t="s">
        <v>623</v>
      </c>
      <c r="B151" s="436">
        <v>3066910.5100000002</v>
      </c>
      <c r="E151" s="435" t="s">
        <v>623</v>
      </c>
      <c r="F151" s="436">
        <v>3066910.5100000002</v>
      </c>
      <c r="G151" t="b">
        <f t="shared" si="2"/>
        <v>1</v>
      </c>
    </row>
    <row r="152" spans="1:7" x14ac:dyDescent="0.25">
      <c r="A152" s="435" t="s">
        <v>625</v>
      </c>
      <c r="B152" s="436">
        <v>3661499.7800000003</v>
      </c>
      <c r="E152" s="435" t="s">
        <v>625</v>
      </c>
      <c r="F152" s="436">
        <v>3661499.7800000003</v>
      </c>
      <c r="G152" t="b">
        <f t="shared" si="2"/>
        <v>1</v>
      </c>
    </row>
    <row r="153" spans="1:7" x14ac:dyDescent="0.25">
      <c r="A153" s="435" t="s">
        <v>110</v>
      </c>
      <c r="B153" s="436">
        <v>787906.53999999992</v>
      </c>
      <c r="E153" s="435" t="s">
        <v>110</v>
      </c>
      <c r="F153" s="436">
        <v>787906.53999999992</v>
      </c>
      <c r="G153" t="b">
        <f t="shared" si="2"/>
        <v>1</v>
      </c>
    </row>
    <row r="154" spans="1:7" x14ac:dyDescent="0.25">
      <c r="A154" s="435" t="s">
        <v>113</v>
      </c>
      <c r="B154" s="436">
        <v>451253.13</v>
      </c>
      <c r="E154" s="435" t="s">
        <v>113</v>
      </c>
      <c r="F154" s="436">
        <v>451253.13</v>
      </c>
      <c r="G154" t="b">
        <f t="shared" si="2"/>
        <v>1</v>
      </c>
    </row>
    <row r="155" spans="1:7" x14ac:dyDescent="0.25">
      <c r="A155" s="435" t="s">
        <v>115</v>
      </c>
      <c r="B155" s="436">
        <v>496114.77999999991</v>
      </c>
      <c r="E155" s="435" t="s">
        <v>115</v>
      </c>
      <c r="F155" s="436">
        <v>496114.77999999991</v>
      </c>
      <c r="G155" t="b">
        <f t="shared" si="2"/>
        <v>1</v>
      </c>
    </row>
    <row r="156" spans="1:7" x14ac:dyDescent="0.25">
      <c r="A156" s="435" t="s">
        <v>117</v>
      </c>
      <c r="B156" s="436">
        <v>760298.77</v>
      </c>
      <c r="E156" s="435" t="s">
        <v>117</v>
      </c>
      <c r="F156" s="436">
        <v>760298.77</v>
      </c>
      <c r="G156" t="b">
        <f t="shared" si="2"/>
        <v>1</v>
      </c>
    </row>
    <row r="157" spans="1:7" x14ac:dyDescent="0.25">
      <c r="A157" s="435" t="s">
        <v>916</v>
      </c>
      <c r="B157" s="436">
        <v>138380</v>
      </c>
      <c r="E157" s="435" t="s">
        <v>916</v>
      </c>
      <c r="F157" s="436">
        <v>138380</v>
      </c>
      <c r="G157" t="b">
        <f t="shared" si="2"/>
        <v>1</v>
      </c>
    </row>
    <row r="158" spans="1:7" x14ac:dyDescent="0.25">
      <c r="A158" s="435" t="s">
        <v>738</v>
      </c>
      <c r="B158" s="436">
        <v>446420</v>
      </c>
      <c r="E158" s="435" t="s">
        <v>738</v>
      </c>
      <c r="F158" s="436">
        <v>446420</v>
      </c>
      <c r="G158" t="b">
        <f t="shared" si="2"/>
        <v>1</v>
      </c>
    </row>
    <row r="159" spans="1:7" x14ac:dyDescent="0.25">
      <c r="A159" s="435" t="s">
        <v>736</v>
      </c>
      <c r="B159" s="436">
        <v>247758</v>
      </c>
      <c r="E159" s="435" t="s">
        <v>736</v>
      </c>
      <c r="F159" s="436">
        <v>247758</v>
      </c>
      <c r="G159" t="b">
        <f t="shared" si="2"/>
        <v>1</v>
      </c>
    </row>
    <row r="160" spans="1:7" x14ac:dyDescent="0.25">
      <c r="A160" s="435" t="s">
        <v>918</v>
      </c>
      <c r="B160" s="436">
        <v>74141.990000000005</v>
      </c>
      <c r="E160" s="435" t="s">
        <v>918</v>
      </c>
      <c r="F160" s="436">
        <v>74141.990000000005</v>
      </c>
      <c r="G160" t="b">
        <f t="shared" si="2"/>
        <v>1</v>
      </c>
    </row>
    <row r="161" spans="1:7" x14ac:dyDescent="0.25">
      <c r="A161" s="435" t="s">
        <v>914</v>
      </c>
      <c r="B161" s="436">
        <v>88043.58</v>
      </c>
      <c r="E161" s="435" t="s">
        <v>914</v>
      </c>
      <c r="F161" s="436">
        <v>88043.58</v>
      </c>
      <c r="G161" t="b">
        <f t="shared" si="2"/>
        <v>1</v>
      </c>
    </row>
    <row r="162" spans="1:7" x14ac:dyDescent="0.25">
      <c r="A162" s="435" t="s">
        <v>695</v>
      </c>
      <c r="B162" s="436">
        <v>385957.4</v>
      </c>
      <c r="E162" s="435" t="s">
        <v>695</v>
      </c>
      <c r="F162" s="436">
        <v>385957.4</v>
      </c>
      <c r="G162" t="b">
        <f t="shared" si="2"/>
        <v>1</v>
      </c>
    </row>
    <row r="163" spans="1:7" x14ac:dyDescent="0.25">
      <c r="A163" s="435" t="s">
        <v>752</v>
      </c>
      <c r="B163" s="436">
        <v>6868869.3599999994</v>
      </c>
      <c r="E163" s="435" t="s">
        <v>752</v>
      </c>
      <c r="F163" s="436">
        <v>6868869.3599999994</v>
      </c>
      <c r="G163" t="b">
        <f t="shared" si="2"/>
        <v>1</v>
      </c>
    </row>
    <row r="164" spans="1:7" x14ac:dyDescent="0.25">
      <c r="A164" s="435" t="s">
        <v>124</v>
      </c>
      <c r="B164" s="436">
        <v>3566334.51</v>
      </c>
      <c r="E164" s="435" t="s">
        <v>124</v>
      </c>
      <c r="F164" s="436">
        <v>3566334.51</v>
      </c>
      <c r="G164" t="b">
        <f t="shared" si="2"/>
        <v>1</v>
      </c>
    </row>
    <row r="165" spans="1:7" x14ac:dyDescent="0.25">
      <c r="A165" s="435" t="s">
        <v>127</v>
      </c>
      <c r="B165" s="436">
        <v>1297356.3699999999</v>
      </c>
      <c r="E165" s="435" t="s">
        <v>127</v>
      </c>
      <c r="F165" s="436">
        <v>1297356.3699999999</v>
      </c>
      <c r="G165" t="b">
        <f t="shared" si="2"/>
        <v>1</v>
      </c>
    </row>
    <row r="166" spans="1:7" x14ac:dyDescent="0.25">
      <c r="A166" s="435" t="s">
        <v>130</v>
      </c>
      <c r="B166" s="436">
        <v>140596.38</v>
      </c>
      <c r="E166" s="435" t="s">
        <v>130</v>
      </c>
      <c r="F166" s="436">
        <v>140596.38</v>
      </c>
      <c r="G166" t="b">
        <f t="shared" si="2"/>
        <v>1</v>
      </c>
    </row>
    <row r="167" spans="1:7" x14ac:dyDescent="0.25">
      <c r="A167" s="435" t="s">
        <v>755</v>
      </c>
      <c r="B167" s="436">
        <v>234021.97</v>
      </c>
      <c r="E167" s="435" t="s">
        <v>755</v>
      </c>
      <c r="F167" s="436">
        <v>234021.97</v>
      </c>
      <c r="G167" t="b">
        <f t="shared" si="2"/>
        <v>1</v>
      </c>
    </row>
    <row r="168" spans="1:7" x14ac:dyDescent="0.25">
      <c r="A168" s="435" t="s">
        <v>776</v>
      </c>
      <c r="B168" s="436">
        <v>531520.36</v>
      </c>
      <c r="E168" s="435" t="s">
        <v>776</v>
      </c>
      <c r="F168" s="436">
        <v>531520.36</v>
      </c>
      <c r="G168" t="b">
        <f t="shared" si="2"/>
        <v>1</v>
      </c>
    </row>
    <row r="169" spans="1:7" x14ac:dyDescent="0.25">
      <c r="A169" s="435" t="s">
        <v>1669</v>
      </c>
      <c r="B169" s="436">
        <v>0</v>
      </c>
      <c r="E169" s="435" t="s">
        <v>1669</v>
      </c>
      <c r="F169" s="436">
        <v>0</v>
      </c>
      <c r="G169" t="b">
        <f t="shared" si="2"/>
        <v>1</v>
      </c>
    </row>
    <row r="170" spans="1:7" x14ac:dyDescent="0.25">
      <c r="A170" s="435" t="s">
        <v>1681</v>
      </c>
      <c r="B170" s="436">
        <v>60448.24</v>
      </c>
      <c r="E170" s="435" t="s">
        <v>1681</v>
      </c>
      <c r="F170" s="436">
        <v>60448.24</v>
      </c>
      <c r="G170" t="b">
        <f t="shared" si="2"/>
        <v>1</v>
      </c>
    </row>
    <row r="171" spans="1:7" x14ac:dyDescent="0.25">
      <c r="A171" s="435" t="s">
        <v>121</v>
      </c>
      <c r="B171" s="436">
        <v>587675.62</v>
      </c>
      <c r="E171" s="435" t="s">
        <v>121</v>
      </c>
      <c r="F171" s="436">
        <v>587675.62</v>
      </c>
      <c r="G171" t="b">
        <f t="shared" si="2"/>
        <v>1</v>
      </c>
    </row>
    <row r="172" spans="1:7" x14ac:dyDescent="0.25">
      <c r="A172" s="435" t="s">
        <v>689</v>
      </c>
      <c r="B172" s="436">
        <v>438928.73</v>
      </c>
      <c r="E172" s="435" t="s">
        <v>689</v>
      </c>
      <c r="F172" s="436">
        <v>438928.73</v>
      </c>
      <c r="G172" t="b">
        <f t="shared" si="2"/>
        <v>1</v>
      </c>
    </row>
    <row r="173" spans="1:7" x14ac:dyDescent="0.25">
      <c r="A173" s="435" t="s">
        <v>1674</v>
      </c>
      <c r="B173" s="436">
        <v>0</v>
      </c>
      <c r="E173" s="435" t="s">
        <v>1674</v>
      </c>
      <c r="F173" s="436">
        <v>0</v>
      </c>
      <c r="G173" t="b">
        <f t="shared" si="2"/>
        <v>1</v>
      </c>
    </row>
    <row r="174" spans="1:7" x14ac:dyDescent="0.25">
      <c r="A174" s="435" t="s">
        <v>1685</v>
      </c>
      <c r="B174" s="436">
        <v>0</v>
      </c>
      <c r="E174" s="435" t="s">
        <v>1685</v>
      </c>
      <c r="F174" s="436">
        <v>0</v>
      </c>
      <c r="G174" t="b">
        <f t="shared" si="2"/>
        <v>1</v>
      </c>
    </row>
    <row r="175" spans="1:7" x14ac:dyDescent="0.25">
      <c r="A175" s="435" t="s">
        <v>692</v>
      </c>
      <c r="B175" s="436">
        <v>576455.05000000005</v>
      </c>
      <c r="E175" s="435" t="s">
        <v>692</v>
      </c>
      <c r="F175" s="436">
        <v>576455.05000000005</v>
      </c>
      <c r="G175" t="b">
        <f t="shared" si="2"/>
        <v>1</v>
      </c>
    </row>
    <row r="176" spans="1:7" x14ac:dyDescent="0.25">
      <c r="A176" s="435" t="s">
        <v>1678</v>
      </c>
      <c r="B176" s="436">
        <v>0</v>
      </c>
      <c r="E176" s="435" t="s">
        <v>1678</v>
      </c>
      <c r="F176" s="436">
        <v>0</v>
      </c>
      <c r="G176" t="b">
        <f t="shared" si="2"/>
        <v>1</v>
      </c>
    </row>
    <row r="177" spans="1:7" x14ac:dyDescent="0.25">
      <c r="A177" s="435" t="s">
        <v>2863</v>
      </c>
      <c r="B177" s="436">
        <v>182088</v>
      </c>
      <c r="E177" s="435" t="s">
        <v>2863</v>
      </c>
      <c r="F177" s="436">
        <v>182088</v>
      </c>
      <c r="G177" t="b">
        <f t="shared" si="2"/>
        <v>1</v>
      </c>
    </row>
    <row r="178" spans="1:7" x14ac:dyDescent="0.25">
      <c r="A178" s="435" t="s">
        <v>135</v>
      </c>
      <c r="B178" s="436">
        <v>1063967.1100000001</v>
      </c>
      <c r="E178" s="435" t="s">
        <v>135</v>
      </c>
      <c r="F178" s="436">
        <v>1063967.1100000001</v>
      </c>
      <c r="G178" t="b">
        <f t="shared" si="2"/>
        <v>1</v>
      </c>
    </row>
    <row r="179" spans="1:7" x14ac:dyDescent="0.25">
      <c r="A179" s="435" t="s">
        <v>2848</v>
      </c>
      <c r="B179" s="436">
        <v>486239.14</v>
      </c>
      <c r="E179" s="435" t="s">
        <v>2848</v>
      </c>
      <c r="F179" s="436">
        <v>486239.14</v>
      </c>
      <c r="G179" t="b">
        <f t="shared" si="2"/>
        <v>1</v>
      </c>
    </row>
    <row r="180" spans="1:7" x14ac:dyDescent="0.25">
      <c r="A180" s="435" t="s">
        <v>777</v>
      </c>
      <c r="B180" s="436">
        <v>8674826.0700000003</v>
      </c>
      <c r="E180" s="435" t="s">
        <v>777</v>
      </c>
      <c r="F180" s="436">
        <v>8674826.0700000003</v>
      </c>
      <c r="G180" t="b">
        <f t="shared" si="2"/>
        <v>1</v>
      </c>
    </row>
    <row r="181" spans="1:7" x14ac:dyDescent="0.25">
      <c r="A181" s="435" t="s">
        <v>778</v>
      </c>
      <c r="B181" s="436">
        <v>8075000</v>
      </c>
      <c r="E181" s="435" t="s">
        <v>778</v>
      </c>
      <c r="F181" s="436">
        <v>8075000</v>
      </c>
      <c r="G181" t="b">
        <f t="shared" si="2"/>
        <v>1</v>
      </c>
    </row>
    <row r="182" spans="1:7" x14ac:dyDescent="0.25">
      <c r="A182" s="435" t="s">
        <v>705</v>
      </c>
      <c r="B182" s="436">
        <v>971960.04</v>
      </c>
      <c r="E182" s="435" t="s">
        <v>705</v>
      </c>
      <c r="F182" s="436">
        <v>971960.04</v>
      </c>
      <c r="G182" t="b">
        <f t="shared" si="2"/>
        <v>1</v>
      </c>
    </row>
    <row r="183" spans="1:7" x14ac:dyDescent="0.25">
      <c r="A183" s="435" t="s">
        <v>140</v>
      </c>
      <c r="B183" s="436">
        <v>2645550.65</v>
      </c>
      <c r="E183" s="435" t="s">
        <v>140</v>
      </c>
      <c r="F183" s="436">
        <v>2645550.65</v>
      </c>
      <c r="G183" t="b">
        <f t="shared" si="2"/>
        <v>1</v>
      </c>
    </row>
    <row r="184" spans="1:7" x14ac:dyDescent="0.25">
      <c r="A184" s="435" t="s">
        <v>715</v>
      </c>
      <c r="B184" s="436">
        <v>2254524.0500000003</v>
      </c>
      <c r="E184" s="435" t="s">
        <v>715</v>
      </c>
      <c r="F184" s="436">
        <v>2254524.0500000003</v>
      </c>
      <c r="G184" t="b">
        <f t="shared" si="2"/>
        <v>1</v>
      </c>
    </row>
    <row r="185" spans="1:7" x14ac:dyDescent="0.25">
      <c r="A185" s="435" t="s">
        <v>713</v>
      </c>
      <c r="B185" s="436">
        <v>1315424.8999999999</v>
      </c>
      <c r="E185" s="435" t="s">
        <v>713</v>
      </c>
      <c r="F185" s="436">
        <v>1315424.8999999999</v>
      </c>
      <c r="G185" t="b">
        <f t="shared" si="2"/>
        <v>1</v>
      </c>
    </row>
    <row r="186" spans="1:7" x14ac:dyDescent="0.25">
      <c r="A186" s="435" t="s">
        <v>779</v>
      </c>
      <c r="B186" s="436">
        <v>689133.14999999991</v>
      </c>
      <c r="E186" s="435" t="s">
        <v>779</v>
      </c>
      <c r="F186" s="436">
        <v>689133.14999999991</v>
      </c>
      <c r="G186" t="b">
        <f t="shared" si="2"/>
        <v>1</v>
      </c>
    </row>
    <row r="187" spans="1:7" x14ac:dyDescent="0.25">
      <c r="A187" s="435" t="s">
        <v>142</v>
      </c>
      <c r="B187" s="436">
        <v>3831604.09</v>
      </c>
      <c r="E187" s="435" t="s">
        <v>142</v>
      </c>
      <c r="F187" s="436">
        <v>3831604.09</v>
      </c>
      <c r="G187" t="b">
        <f t="shared" si="2"/>
        <v>1</v>
      </c>
    </row>
    <row r="188" spans="1:7" x14ac:dyDescent="0.25">
      <c r="A188" s="435" t="s">
        <v>1896</v>
      </c>
      <c r="B188" s="436">
        <v>373045.15</v>
      </c>
      <c r="E188" s="435" t="s">
        <v>1896</v>
      </c>
      <c r="F188" s="436">
        <v>373045.15</v>
      </c>
      <c r="G188" t="b">
        <f t="shared" si="2"/>
        <v>1</v>
      </c>
    </row>
    <row r="189" spans="1:7" x14ac:dyDescent="0.25">
      <c r="A189" s="435" t="s">
        <v>780</v>
      </c>
      <c r="B189" s="436">
        <v>3674940.9699999997</v>
      </c>
      <c r="E189" s="435" t="s">
        <v>780</v>
      </c>
      <c r="F189" s="436">
        <v>3674940.9699999997</v>
      </c>
      <c r="G189" t="b">
        <f t="shared" si="2"/>
        <v>1</v>
      </c>
    </row>
    <row r="190" spans="1:7" x14ac:dyDescent="0.25">
      <c r="A190" s="435" t="s">
        <v>781</v>
      </c>
      <c r="B190" s="436">
        <v>675088.62</v>
      </c>
      <c r="E190" s="435" t="s">
        <v>781</v>
      </c>
      <c r="F190" s="436">
        <v>675088.62</v>
      </c>
      <c r="G190" t="b">
        <f t="shared" si="2"/>
        <v>1</v>
      </c>
    </row>
    <row r="191" spans="1:7" x14ac:dyDescent="0.25">
      <c r="A191" s="435" t="s">
        <v>707</v>
      </c>
      <c r="B191" s="436">
        <v>799646.48</v>
      </c>
      <c r="E191" s="435" t="s">
        <v>707</v>
      </c>
      <c r="F191" s="436">
        <v>799646.48</v>
      </c>
      <c r="G191" t="b">
        <f t="shared" si="2"/>
        <v>1</v>
      </c>
    </row>
    <row r="192" spans="1:7" x14ac:dyDescent="0.25">
      <c r="A192" s="435" t="s">
        <v>1888</v>
      </c>
      <c r="B192" s="436">
        <v>277500</v>
      </c>
      <c r="E192" s="435" t="s">
        <v>1888</v>
      </c>
      <c r="F192" s="436">
        <v>277500</v>
      </c>
      <c r="G192" t="b">
        <f t="shared" si="2"/>
        <v>1</v>
      </c>
    </row>
    <row r="193" spans="1:7" x14ac:dyDescent="0.25">
      <c r="A193" s="435" t="s">
        <v>702</v>
      </c>
      <c r="B193" s="436">
        <v>0</v>
      </c>
      <c r="E193" s="435" t="s">
        <v>702</v>
      </c>
      <c r="F193" s="436">
        <v>0</v>
      </c>
      <c r="G193" t="b">
        <f t="shared" si="2"/>
        <v>1</v>
      </c>
    </row>
    <row r="194" spans="1:7" x14ac:dyDescent="0.25">
      <c r="A194" s="435" t="s">
        <v>710</v>
      </c>
      <c r="B194" s="436">
        <v>3091039.97</v>
      </c>
      <c r="E194" s="435" t="s">
        <v>710</v>
      </c>
      <c r="F194" s="436">
        <v>3091039.97</v>
      </c>
      <c r="G194" t="b">
        <f t="shared" si="2"/>
        <v>1</v>
      </c>
    </row>
    <row r="195" spans="1:7" x14ac:dyDescent="0.25">
      <c r="A195" s="435" t="s">
        <v>1943</v>
      </c>
      <c r="B195" s="436">
        <v>1700000</v>
      </c>
      <c r="E195" s="435" t="s">
        <v>1943</v>
      </c>
      <c r="F195" s="436">
        <v>1700000</v>
      </c>
      <c r="G195" t="b">
        <f t="shared" ref="G195:G258" si="3">F195=B195</f>
        <v>1</v>
      </c>
    </row>
    <row r="196" spans="1:7" x14ac:dyDescent="0.25">
      <c r="A196" s="435" t="s">
        <v>1854</v>
      </c>
      <c r="B196" s="436">
        <v>0</v>
      </c>
      <c r="E196" s="435" t="s">
        <v>1854</v>
      </c>
      <c r="F196" s="436">
        <v>0</v>
      </c>
      <c r="G196" t="b">
        <f t="shared" si="3"/>
        <v>1</v>
      </c>
    </row>
    <row r="197" spans="1:7" x14ac:dyDescent="0.25">
      <c r="A197" s="435" t="s">
        <v>921</v>
      </c>
      <c r="B197" s="436">
        <v>2776965</v>
      </c>
      <c r="E197" s="435" t="s">
        <v>921</v>
      </c>
      <c r="F197" s="436">
        <v>2776965</v>
      </c>
      <c r="G197" t="b">
        <f t="shared" si="3"/>
        <v>1</v>
      </c>
    </row>
    <row r="198" spans="1:7" x14ac:dyDescent="0.25">
      <c r="A198" s="435" t="s">
        <v>923</v>
      </c>
      <c r="B198" s="436">
        <v>891495.02</v>
      </c>
      <c r="E198" s="435" t="s">
        <v>923</v>
      </c>
      <c r="F198" s="436">
        <v>891495.02</v>
      </c>
      <c r="G198" t="b">
        <f t="shared" si="3"/>
        <v>1</v>
      </c>
    </row>
    <row r="199" spans="1:7" x14ac:dyDescent="0.25">
      <c r="A199" s="435" t="s">
        <v>1856</v>
      </c>
      <c r="B199" s="436">
        <v>0</v>
      </c>
      <c r="E199" s="435" t="s">
        <v>1856</v>
      </c>
      <c r="F199" s="436">
        <v>0</v>
      </c>
      <c r="G199" t="b">
        <f t="shared" si="3"/>
        <v>1</v>
      </c>
    </row>
    <row r="200" spans="1:7" x14ac:dyDescent="0.25">
      <c r="A200" s="435" t="s">
        <v>782</v>
      </c>
      <c r="B200" s="436">
        <v>1448286.55</v>
      </c>
      <c r="E200" s="435" t="s">
        <v>782</v>
      </c>
      <c r="F200" s="436">
        <v>1448286.55</v>
      </c>
      <c r="G200" t="b">
        <f t="shared" si="3"/>
        <v>1</v>
      </c>
    </row>
    <row r="201" spans="1:7" x14ac:dyDescent="0.25">
      <c r="A201" s="435" t="s">
        <v>942</v>
      </c>
      <c r="B201" s="436">
        <v>1227570.8399999999</v>
      </c>
      <c r="E201" s="435" t="s">
        <v>942</v>
      </c>
      <c r="F201" s="436">
        <v>1227570.8399999999</v>
      </c>
      <c r="G201" t="b">
        <f t="shared" si="3"/>
        <v>1</v>
      </c>
    </row>
    <row r="202" spans="1:7" x14ac:dyDescent="0.25">
      <c r="A202" s="435" t="s">
        <v>1965</v>
      </c>
      <c r="B202" s="436">
        <v>1641.73</v>
      </c>
      <c r="E202" s="435" t="s">
        <v>1965</v>
      </c>
      <c r="F202" s="436">
        <v>1641.73</v>
      </c>
      <c r="G202" t="b">
        <f t="shared" si="3"/>
        <v>1</v>
      </c>
    </row>
    <row r="203" spans="1:7" x14ac:dyDescent="0.25">
      <c r="A203" s="435" t="s">
        <v>147</v>
      </c>
      <c r="B203" s="436">
        <v>9389632.9100000001</v>
      </c>
      <c r="E203" s="435" t="s">
        <v>147</v>
      </c>
      <c r="F203" s="436">
        <v>9389632.9100000001</v>
      </c>
      <c r="G203" t="b">
        <f t="shared" si="3"/>
        <v>1</v>
      </c>
    </row>
    <row r="204" spans="1:7" x14ac:dyDescent="0.25">
      <c r="A204" s="435" t="s">
        <v>1993</v>
      </c>
      <c r="B204" s="436">
        <v>93278.37</v>
      </c>
      <c r="E204" s="435" t="s">
        <v>1993</v>
      </c>
      <c r="F204" s="436">
        <v>93278.37</v>
      </c>
      <c r="G204" t="b">
        <f t="shared" si="3"/>
        <v>1</v>
      </c>
    </row>
    <row r="205" spans="1:7" x14ac:dyDescent="0.25">
      <c r="A205" s="435" t="s">
        <v>1991</v>
      </c>
      <c r="B205" s="436">
        <v>2399493.9500000002</v>
      </c>
      <c r="E205" s="435" t="s">
        <v>1991</v>
      </c>
      <c r="F205" s="436">
        <v>2399493.9500000002</v>
      </c>
      <c r="G205" t="b">
        <f t="shared" si="3"/>
        <v>1</v>
      </c>
    </row>
    <row r="206" spans="1:7" x14ac:dyDescent="0.25">
      <c r="A206" s="435" t="s">
        <v>1997</v>
      </c>
      <c r="B206" s="436">
        <v>2414094.83</v>
      </c>
      <c r="E206" s="435" t="s">
        <v>1997</v>
      </c>
      <c r="F206" s="436">
        <v>2414094.83</v>
      </c>
      <c r="G206" t="b">
        <f t="shared" si="3"/>
        <v>1</v>
      </c>
    </row>
    <row r="207" spans="1:7" x14ac:dyDescent="0.25">
      <c r="A207" s="435" t="s">
        <v>152</v>
      </c>
      <c r="B207" s="436">
        <v>579756.30000000005</v>
      </c>
      <c r="E207" s="435" t="s">
        <v>152</v>
      </c>
      <c r="F207" s="436">
        <v>579756.30000000005</v>
      </c>
      <c r="G207" t="b">
        <f t="shared" si="3"/>
        <v>1</v>
      </c>
    </row>
    <row r="208" spans="1:7" x14ac:dyDescent="0.25">
      <c r="A208" s="435" t="s">
        <v>627</v>
      </c>
      <c r="B208" s="436">
        <v>881105.68</v>
      </c>
      <c r="E208" s="435" t="s">
        <v>627</v>
      </c>
      <c r="F208" s="436">
        <v>881105.68</v>
      </c>
      <c r="G208" t="b">
        <f t="shared" si="3"/>
        <v>1</v>
      </c>
    </row>
    <row r="209" spans="1:7" x14ac:dyDescent="0.25">
      <c r="A209" s="435" t="s">
        <v>154</v>
      </c>
      <c r="B209" s="436">
        <v>470789.33</v>
      </c>
      <c r="E209" s="435" t="s">
        <v>154</v>
      </c>
      <c r="F209" s="436">
        <v>470789.33</v>
      </c>
      <c r="G209" t="b">
        <f t="shared" si="3"/>
        <v>1</v>
      </c>
    </row>
    <row r="210" spans="1:7" x14ac:dyDescent="0.25">
      <c r="A210" s="435" t="s">
        <v>156</v>
      </c>
      <c r="B210" s="436">
        <v>426006.22</v>
      </c>
      <c r="E210" s="435" t="s">
        <v>156</v>
      </c>
      <c r="F210" s="436">
        <v>426006.22</v>
      </c>
      <c r="G210" t="b">
        <f t="shared" si="3"/>
        <v>1</v>
      </c>
    </row>
    <row r="211" spans="1:7" x14ac:dyDescent="0.25">
      <c r="A211" s="435" t="s">
        <v>158</v>
      </c>
      <c r="B211" s="436">
        <v>4701.59</v>
      </c>
      <c r="E211" s="435" t="s">
        <v>158</v>
      </c>
      <c r="F211" s="436">
        <v>4701.59</v>
      </c>
      <c r="G211" t="b">
        <f t="shared" si="3"/>
        <v>1</v>
      </c>
    </row>
    <row r="212" spans="1:7" x14ac:dyDescent="0.25">
      <c r="A212" s="435" t="s">
        <v>160</v>
      </c>
      <c r="B212" s="436">
        <v>210085.6</v>
      </c>
      <c r="E212" s="435" t="s">
        <v>160</v>
      </c>
      <c r="F212" s="436">
        <v>210085.6</v>
      </c>
      <c r="G212" t="b">
        <f t="shared" si="3"/>
        <v>1</v>
      </c>
    </row>
    <row r="213" spans="1:7" x14ac:dyDescent="0.25">
      <c r="A213" s="435" t="s">
        <v>162</v>
      </c>
      <c r="B213" s="436">
        <v>985867.58</v>
      </c>
      <c r="E213" s="435" t="s">
        <v>162</v>
      </c>
      <c r="F213" s="436">
        <v>985867.58</v>
      </c>
      <c r="G213" t="b">
        <f t="shared" si="3"/>
        <v>1</v>
      </c>
    </row>
    <row r="214" spans="1:7" x14ac:dyDescent="0.25">
      <c r="A214" s="435" t="s">
        <v>164</v>
      </c>
      <c r="B214" s="436">
        <v>7352227.4700000007</v>
      </c>
      <c r="E214" s="435" t="s">
        <v>164</v>
      </c>
      <c r="F214" s="436">
        <v>7352227.4700000007</v>
      </c>
      <c r="G214" t="b">
        <f t="shared" si="3"/>
        <v>1</v>
      </c>
    </row>
    <row r="215" spans="1:7" x14ac:dyDescent="0.25">
      <c r="A215" s="435" t="s">
        <v>166</v>
      </c>
      <c r="B215" s="436">
        <v>6317207.9000000004</v>
      </c>
      <c r="E215" s="435" t="s">
        <v>166</v>
      </c>
      <c r="F215" s="436">
        <v>6317207.9000000004</v>
      </c>
      <c r="G215" t="b">
        <f t="shared" si="3"/>
        <v>1</v>
      </c>
    </row>
    <row r="216" spans="1:7" x14ac:dyDescent="0.25">
      <c r="A216" s="435" t="s">
        <v>168</v>
      </c>
      <c r="B216" s="436">
        <v>3464902.76</v>
      </c>
      <c r="E216" s="435" t="s">
        <v>168</v>
      </c>
      <c r="F216" s="436">
        <v>3464902.76</v>
      </c>
      <c r="G216" t="b">
        <f t="shared" si="3"/>
        <v>1</v>
      </c>
    </row>
    <row r="217" spans="1:7" x14ac:dyDescent="0.25">
      <c r="A217" s="435" t="s">
        <v>717</v>
      </c>
      <c r="B217" s="436">
        <v>6674543.5299999993</v>
      </c>
      <c r="E217" s="435" t="s">
        <v>717</v>
      </c>
      <c r="F217" s="436">
        <v>6674543.5299999993</v>
      </c>
      <c r="G217" t="b">
        <f t="shared" si="3"/>
        <v>1</v>
      </c>
    </row>
    <row r="218" spans="1:7" x14ac:dyDescent="0.25">
      <c r="A218" s="435" t="s">
        <v>170</v>
      </c>
      <c r="B218" s="436">
        <v>8192676.2400000002</v>
      </c>
      <c r="E218" s="435" t="s">
        <v>170</v>
      </c>
      <c r="F218" s="436">
        <v>8192676.2400000002</v>
      </c>
      <c r="G218" t="b">
        <f t="shared" si="3"/>
        <v>1</v>
      </c>
    </row>
    <row r="219" spans="1:7" x14ac:dyDescent="0.25">
      <c r="A219" s="435" t="s">
        <v>783</v>
      </c>
      <c r="B219" s="436">
        <v>10075244.949999999</v>
      </c>
      <c r="E219" s="435" t="s">
        <v>783</v>
      </c>
      <c r="F219" s="436">
        <v>10075244.949999999</v>
      </c>
      <c r="G219" t="b">
        <f t="shared" si="3"/>
        <v>1</v>
      </c>
    </row>
    <row r="220" spans="1:7" x14ac:dyDescent="0.25">
      <c r="A220" s="435" t="s">
        <v>2013</v>
      </c>
      <c r="B220" s="436">
        <v>1451086</v>
      </c>
      <c r="E220" s="435" t="s">
        <v>2013</v>
      </c>
      <c r="F220" s="436">
        <v>1451086</v>
      </c>
      <c r="G220" t="b">
        <f t="shared" si="3"/>
        <v>1</v>
      </c>
    </row>
    <row r="221" spans="1:7" x14ac:dyDescent="0.25">
      <c r="A221" s="435" t="s">
        <v>2002</v>
      </c>
      <c r="B221" s="436">
        <v>4343894.8599999994</v>
      </c>
      <c r="E221" s="435" t="s">
        <v>2002</v>
      </c>
      <c r="F221" s="436">
        <v>4343894.8599999994</v>
      </c>
      <c r="G221" t="b">
        <f t="shared" si="3"/>
        <v>1</v>
      </c>
    </row>
    <row r="222" spans="1:7" x14ac:dyDescent="0.25">
      <c r="A222" s="435" t="s">
        <v>2684</v>
      </c>
      <c r="B222" s="436">
        <v>3581.83</v>
      </c>
      <c r="E222" s="435" t="s">
        <v>2684</v>
      </c>
      <c r="F222" s="436">
        <v>3581.83</v>
      </c>
      <c r="G222" t="b">
        <f t="shared" si="3"/>
        <v>1</v>
      </c>
    </row>
    <row r="223" spans="1:7" x14ac:dyDescent="0.25">
      <c r="A223" s="435" t="s">
        <v>2027</v>
      </c>
      <c r="B223" s="436">
        <v>0</v>
      </c>
      <c r="E223" s="435" t="s">
        <v>2027</v>
      </c>
      <c r="F223" s="436">
        <v>0</v>
      </c>
      <c r="G223" t="b">
        <f t="shared" si="3"/>
        <v>1</v>
      </c>
    </row>
    <row r="224" spans="1:7" x14ac:dyDescent="0.25">
      <c r="A224" s="435" t="s">
        <v>2031</v>
      </c>
      <c r="B224" s="436">
        <v>0</v>
      </c>
      <c r="E224" s="435" t="s">
        <v>2031</v>
      </c>
      <c r="F224" s="436">
        <v>0</v>
      </c>
      <c r="G224" t="b">
        <f t="shared" si="3"/>
        <v>1</v>
      </c>
    </row>
    <row r="225" spans="1:7" x14ac:dyDescent="0.25">
      <c r="A225" s="435" t="s">
        <v>2033</v>
      </c>
      <c r="B225" s="436">
        <v>0</v>
      </c>
      <c r="E225" s="435" t="s">
        <v>2033</v>
      </c>
      <c r="F225" s="436">
        <v>0</v>
      </c>
      <c r="G225" t="b">
        <f t="shared" si="3"/>
        <v>1</v>
      </c>
    </row>
    <row r="226" spans="1:7" x14ac:dyDescent="0.25">
      <c r="A226" s="435" t="s">
        <v>174</v>
      </c>
      <c r="B226" s="436">
        <v>157648.12</v>
      </c>
      <c r="E226" s="435" t="s">
        <v>174</v>
      </c>
      <c r="F226" s="436">
        <v>157648.12</v>
      </c>
      <c r="G226" t="b">
        <f t="shared" si="3"/>
        <v>1</v>
      </c>
    </row>
    <row r="227" spans="1:7" x14ac:dyDescent="0.25">
      <c r="A227" s="435" t="s">
        <v>633</v>
      </c>
      <c r="B227" s="436">
        <v>0</v>
      </c>
      <c r="E227" s="435" t="s">
        <v>633</v>
      </c>
      <c r="F227" s="436">
        <v>0</v>
      </c>
      <c r="G227" t="b">
        <f t="shared" si="3"/>
        <v>1</v>
      </c>
    </row>
    <row r="228" spans="1:7" x14ac:dyDescent="0.25">
      <c r="A228" s="435" t="s">
        <v>180</v>
      </c>
      <c r="B228" s="436">
        <v>2430105.77</v>
      </c>
      <c r="E228" s="435" t="s">
        <v>180</v>
      </c>
      <c r="F228" s="436">
        <v>2430105.77</v>
      </c>
      <c r="G228" t="b">
        <f t="shared" si="3"/>
        <v>1</v>
      </c>
    </row>
    <row r="229" spans="1:7" x14ac:dyDescent="0.25">
      <c r="A229" s="435" t="s">
        <v>182</v>
      </c>
      <c r="B229" s="436">
        <v>4683236.5299999993</v>
      </c>
      <c r="E229" s="435" t="s">
        <v>182</v>
      </c>
      <c r="F229" s="436">
        <v>4683236.5299999993</v>
      </c>
      <c r="G229" t="b">
        <f t="shared" si="3"/>
        <v>1</v>
      </c>
    </row>
    <row r="230" spans="1:7" x14ac:dyDescent="0.25">
      <c r="A230" s="435" t="s">
        <v>184</v>
      </c>
      <c r="B230" s="436">
        <v>205473.04</v>
      </c>
      <c r="E230" s="435" t="s">
        <v>184</v>
      </c>
      <c r="F230" s="436">
        <v>205473.04</v>
      </c>
      <c r="G230" t="b">
        <f t="shared" si="3"/>
        <v>1</v>
      </c>
    </row>
    <row r="231" spans="1:7" x14ac:dyDescent="0.25">
      <c r="A231" s="435" t="s">
        <v>186</v>
      </c>
      <c r="B231" s="436">
        <v>4754589.09</v>
      </c>
      <c r="E231" s="435" t="s">
        <v>186</v>
      </c>
      <c r="F231" s="436">
        <v>4754589.09</v>
      </c>
      <c r="G231" t="b">
        <f t="shared" si="3"/>
        <v>1</v>
      </c>
    </row>
    <row r="232" spans="1:7" x14ac:dyDescent="0.25">
      <c r="A232" s="435" t="s">
        <v>188</v>
      </c>
      <c r="B232" s="436">
        <v>314032.11</v>
      </c>
      <c r="E232" s="435" t="s">
        <v>188</v>
      </c>
      <c r="F232" s="436">
        <v>314032.11</v>
      </c>
      <c r="G232" t="b">
        <f t="shared" si="3"/>
        <v>1</v>
      </c>
    </row>
    <row r="233" spans="1:7" x14ac:dyDescent="0.25">
      <c r="A233" s="435" t="s">
        <v>190</v>
      </c>
      <c r="B233" s="436">
        <v>4807208.5</v>
      </c>
      <c r="E233" s="435" t="s">
        <v>190</v>
      </c>
      <c r="F233" s="436">
        <v>4807208.5</v>
      </c>
      <c r="G233" t="b">
        <f t="shared" si="3"/>
        <v>1</v>
      </c>
    </row>
    <row r="234" spans="1:7" x14ac:dyDescent="0.25">
      <c r="A234" s="435" t="s">
        <v>192</v>
      </c>
      <c r="B234" s="436">
        <v>3364952.4699999997</v>
      </c>
      <c r="E234" s="435" t="s">
        <v>192</v>
      </c>
      <c r="F234" s="436">
        <v>3364952.4699999997</v>
      </c>
      <c r="G234" t="b">
        <f t="shared" si="3"/>
        <v>1</v>
      </c>
    </row>
    <row r="235" spans="1:7" x14ac:dyDescent="0.25">
      <c r="A235" s="435" t="s">
        <v>194</v>
      </c>
      <c r="B235" s="436">
        <v>3758931.69</v>
      </c>
      <c r="E235" s="435" t="s">
        <v>194</v>
      </c>
      <c r="F235" s="436">
        <v>3758931.69</v>
      </c>
      <c r="G235" t="b">
        <f t="shared" si="3"/>
        <v>1</v>
      </c>
    </row>
    <row r="236" spans="1:7" x14ac:dyDescent="0.25">
      <c r="A236" s="435" t="s">
        <v>196</v>
      </c>
      <c r="B236" s="436">
        <v>2012767.2200000002</v>
      </c>
      <c r="E236" s="435" t="s">
        <v>196</v>
      </c>
      <c r="F236" s="436">
        <v>2012767.2200000002</v>
      </c>
      <c r="G236" t="b">
        <f t="shared" si="3"/>
        <v>1</v>
      </c>
    </row>
    <row r="237" spans="1:7" x14ac:dyDescent="0.25">
      <c r="A237" s="435" t="s">
        <v>198</v>
      </c>
      <c r="B237" s="436">
        <v>2037059.77</v>
      </c>
      <c r="E237" s="435" t="s">
        <v>198</v>
      </c>
      <c r="F237" s="436">
        <v>2037059.77</v>
      </c>
      <c r="G237" t="b">
        <f t="shared" si="3"/>
        <v>1</v>
      </c>
    </row>
    <row r="238" spans="1:7" x14ac:dyDescent="0.25">
      <c r="A238" s="435" t="s">
        <v>200</v>
      </c>
      <c r="B238" s="436">
        <v>3493215.4</v>
      </c>
      <c r="E238" s="435" t="s">
        <v>200</v>
      </c>
      <c r="F238" s="436">
        <v>3493215.4</v>
      </c>
      <c r="G238" t="b">
        <f t="shared" si="3"/>
        <v>1</v>
      </c>
    </row>
    <row r="239" spans="1:7" x14ac:dyDescent="0.25">
      <c r="A239" s="435" t="s">
        <v>202</v>
      </c>
      <c r="B239" s="436">
        <v>114.75</v>
      </c>
      <c r="E239" s="435" t="s">
        <v>202</v>
      </c>
      <c r="F239" s="436">
        <v>114.75</v>
      </c>
      <c r="G239" t="b">
        <f t="shared" si="3"/>
        <v>1</v>
      </c>
    </row>
    <row r="240" spans="1:7" x14ac:dyDescent="0.25">
      <c r="A240" s="435" t="s">
        <v>204</v>
      </c>
      <c r="B240" s="436">
        <v>2951251.32</v>
      </c>
      <c r="E240" s="435" t="s">
        <v>204</v>
      </c>
      <c r="F240" s="436">
        <v>2951251.32</v>
      </c>
      <c r="G240" t="b">
        <f t="shared" si="3"/>
        <v>1</v>
      </c>
    </row>
    <row r="241" spans="1:7" x14ac:dyDescent="0.25">
      <c r="A241" s="435" t="s">
        <v>863</v>
      </c>
      <c r="B241" s="436">
        <v>1682023.38</v>
      </c>
      <c r="E241" s="435" t="s">
        <v>863</v>
      </c>
      <c r="F241" s="436">
        <v>1682023.38</v>
      </c>
      <c r="G241" t="b">
        <f t="shared" si="3"/>
        <v>1</v>
      </c>
    </row>
    <row r="242" spans="1:7" x14ac:dyDescent="0.25">
      <c r="A242" s="435" t="s">
        <v>865</v>
      </c>
      <c r="B242" s="436">
        <v>3121850.85</v>
      </c>
      <c r="E242" s="435" t="s">
        <v>865</v>
      </c>
      <c r="F242" s="436">
        <v>3121850.85</v>
      </c>
      <c r="G242" t="b">
        <f t="shared" si="3"/>
        <v>1</v>
      </c>
    </row>
    <row r="243" spans="1:7" x14ac:dyDescent="0.25">
      <c r="A243" s="435" t="s">
        <v>206</v>
      </c>
      <c r="B243" s="436">
        <v>4668077.04</v>
      </c>
      <c r="E243" s="435" t="s">
        <v>206</v>
      </c>
      <c r="F243" s="436">
        <v>4668077.04</v>
      </c>
      <c r="G243" t="b">
        <f t="shared" si="3"/>
        <v>1</v>
      </c>
    </row>
    <row r="244" spans="1:7" x14ac:dyDescent="0.25">
      <c r="A244" s="435" t="s">
        <v>946</v>
      </c>
      <c r="B244" s="436">
        <v>0</v>
      </c>
      <c r="E244" s="435" t="s">
        <v>946</v>
      </c>
      <c r="F244" s="436">
        <v>0</v>
      </c>
      <c r="G244" t="b">
        <f t="shared" si="3"/>
        <v>1</v>
      </c>
    </row>
    <row r="245" spans="1:7" x14ac:dyDescent="0.25">
      <c r="A245" s="435" t="s">
        <v>945</v>
      </c>
      <c r="B245" s="436">
        <v>1345058.6600000001</v>
      </c>
      <c r="E245" s="435" t="s">
        <v>945</v>
      </c>
      <c r="F245" s="436">
        <v>1345058.6600000001</v>
      </c>
      <c r="G245" t="b">
        <f t="shared" si="3"/>
        <v>1</v>
      </c>
    </row>
    <row r="246" spans="1:7" x14ac:dyDescent="0.25">
      <c r="A246" s="435" t="s">
        <v>2685</v>
      </c>
      <c r="B246" s="436">
        <v>2176241.4</v>
      </c>
      <c r="E246" s="435" t="s">
        <v>2685</v>
      </c>
      <c r="F246" s="436">
        <v>2176241.4</v>
      </c>
      <c r="G246" t="b">
        <f t="shared" si="3"/>
        <v>1</v>
      </c>
    </row>
    <row r="247" spans="1:7" x14ac:dyDescent="0.25">
      <c r="A247" s="435" t="s">
        <v>2066</v>
      </c>
      <c r="B247" s="436">
        <v>1713766.95</v>
      </c>
      <c r="E247" s="435" t="s">
        <v>2066</v>
      </c>
      <c r="F247" s="436">
        <v>1713766.95</v>
      </c>
      <c r="G247" t="b">
        <f t="shared" si="3"/>
        <v>1</v>
      </c>
    </row>
    <row r="248" spans="1:7" x14ac:dyDescent="0.25">
      <c r="A248" s="435" t="s">
        <v>2686</v>
      </c>
      <c r="B248" s="436">
        <v>1820536.43</v>
      </c>
      <c r="E248" s="435" t="s">
        <v>2686</v>
      </c>
      <c r="F248" s="436">
        <v>1820536.43</v>
      </c>
      <c r="G248" t="b">
        <f t="shared" si="3"/>
        <v>1</v>
      </c>
    </row>
    <row r="249" spans="1:7" x14ac:dyDescent="0.25">
      <c r="A249" s="435" t="s">
        <v>2048</v>
      </c>
      <c r="B249" s="436">
        <v>0</v>
      </c>
      <c r="E249" s="435" t="s">
        <v>2048</v>
      </c>
      <c r="F249" s="436">
        <v>0</v>
      </c>
      <c r="G249" t="b">
        <f t="shared" si="3"/>
        <v>1</v>
      </c>
    </row>
    <row r="250" spans="1:7" x14ac:dyDescent="0.25">
      <c r="A250" s="435" t="s">
        <v>211</v>
      </c>
      <c r="B250" s="436">
        <v>11303623.309999999</v>
      </c>
      <c r="E250" s="435" t="s">
        <v>211</v>
      </c>
      <c r="F250" s="436">
        <v>11303623.309999999</v>
      </c>
      <c r="G250" t="b">
        <f t="shared" si="3"/>
        <v>1</v>
      </c>
    </row>
    <row r="251" spans="1:7" x14ac:dyDescent="0.25">
      <c r="A251" s="435" t="s">
        <v>216</v>
      </c>
      <c r="B251" s="436">
        <v>85563.83</v>
      </c>
      <c r="E251" s="435" t="s">
        <v>216</v>
      </c>
      <c r="F251" s="436">
        <v>85563.83</v>
      </c>
      <c r="G251" t="b">
        <f t="shared" si="3"/>
        <v>1</v>
      </c>
    </row>
    <row r="252" spans="1:7" x14ac:dyDescent="0.25">
      <c r="A252" s="435" t="s">
        <v>219</v>
      </c>
      <c r="B252" s="436">
        <v>222844.12</v>
      </c>
      <c r="E252" s="435" t="s">
        <v>219</v>
      </c>
      <c r="F252" s="436">
        <v>222844.12</v>
      </c>
      <c r="G252" t="b">
        <f t="shared" si="3"/>
        <v>1</v>
      </c>
    </row>
    <row r="253" spans="1:7" x14ac:dyDescent="0.25">
      <c r="A253" s="435" t="s">
        <v>635</v>
      </c>
      <c r="B253" s="436">
        <v>8577756.6600000001</v>
      </c>
      <c r="E253" s="435" t="s">
        <v>635</v>
      </c>
      <c r="F253" s="436">
        <v>8577756.6600000001</v>
      </c>
      <c r="G253" t="b">
        <f t="shared" si="3"/>
        <v>1</v>
      </c>
    </row>
    <row r="254" spans="1:7" x14ac:dyDescent="0.25">
      <c r="A254" s="435" t="s">
        <v>222</v>
      </c>
      <c r="B254" s="436">
        <v>9566862.2899999991</v>
      </c>
      <c r="E254" s="435" t="s">
        <v>222</v>
      </c>
      <c r="F254" s="436">
        <v>9566862.2899999991</v>
      </c>
      <c r="G254" t="b">
        <f t="shared" si="3"/>
        <v>1</v>
      </c>
    </row>
    <row r="255" spans="1:7" x14ac:dyDescent="0.25">
      <c r="A255" s="435" t="s">
        <v>226</v>
      </c>
      <c r="B255" s="436">
        <v>232490.02000000002</v>
      </c>
      <c r="E255" s="435" t="s">
        <v>226</v>
      </c>
      <c r="F255" s="436">
        <v>232490.02000000002</v>
      </c>
      <c r="G255" t="b">
        <f t="shared" si="3"/>
        <v>1</v>
      </c>
    </row>
    <row r="256" spans="1:7" x14ac:dyDescent="0.25">
      <c r="A256" s="435" t="s">
        <v>231</v>
      </c>
      <c r="B256" s="436">
        <v>59686.87999999999</v>
      </c>
      <c r="E256" s="435" t="s">
        <v>231</v>
      </c>
      <c r="F256" s="436">
        <v>59686.87999999999</v>
      </c>
      <c r="G256" t="b">
        <f t="shared" si="3"/>
        <v>1</v>
      </c>
    </row>
    <row r="257" spans="1:7" x14ac:dyDescent="0.25">
      <c r="A257" s="435" t="s">
        <v>2864</v>
      </c>
      <c r="B257" s="436">
        <v>578595</v>
      </c>
      <c r="E257" s="435" t="s">
        <v>2864</v>
      </c>
      <c r="F257" s="436">
        <v>578595</v>
      </c>
      <c r="G257" t="b">
        <f t="shared" si="3"/>
        <v>1</v>
      </c>
    </row>
    <row r="258" spans="1:7" x14ac:dyDescent="0.25">
      <c r="A258" s="435" t="s">
        <v>2813</v>
      </c>
      <c r="B258" s="436">
        <v>784176.57000000007</v>
      </c>
      <c r="E258" s="435" t="s">
        <v>2813</v>
      </c>
      <c r="F258" s="436">
        <v>784176.57000000007</v>
      </c>
      <c r="G258" t="b">
        <f t="shared" si="3"/>
        <v>1</v>
      </c>
    </row>
    <row r="259" spans="1:7" x14ac:dyDescent="0.25">
      <c r="A259" s="435" t="s">
        <v>2849</v>
      </c>
      <c r="B259" s="436">
        <v>170329.77</v>
      </c>
      <c r="E259" s="435" t="s">
        <v>2849</v>
      </c>
      <c r="F259" s="436">
        <v>170329.77</v>
      </c>
      <c r="G259" t="b">
        <f t="shared" ref="G259:G322" si="4">F259=B259</f>
        <v>1</v>
      </c>
    </row>
    <row r="260" spans="1:7" x14ac:dyDescent="0.25">
      <c r="A260" s="435" t="s">
        <v>2850</v>
      </c>
      <c r="B260" s="436">
        <v>142274.85999999999</v>
      </c>
      <c r="E260" s="435" t="s">
        <v>2850</v>
      </c>
      <c r="F260" s="436">
        <v>142274.85999999999</v>
      </c>
      <c r="G260" t="b">
        <f t="shared" si="4"/>
        <v>1</v>
      </c>
    </row>
    <row r="261" spans="1:7" x14ac:dyDescent="0.25">
      <c r="A261" s="435" t="s">
        <v>2202</v>
      </c>
      <c r="B261" s="436">
        <v>2387389</v>
      </c>
      <c r="E261" s="435" t="s">
        <v>2202</v>
      </c>
      <c r="F261" s="436">
        <v>2387389</v>
      </c>
      <c r="G261" t="b">
        <f t="shared" si="4"/>
        <v>1</v>
      </c>
    </row>
    <row r="262" spans="1:7" x14ac:dyDescent="0.25">
      <c r="A262" s="435" t="s">
        <v>2681</v>
      </c>
      <c r="B262" s="436">
        <v>1684487.18</v>
      </c>
      <c r="E262" s="435" t="s">
        <v>2681</v>
      </c>
      <c r="F262" s="436">
        <v>1684487.18</v>
      </c>
      <c r="G262" t="b">
        <f t="shared" si="4"/>
        <v>1</v>
      </c>
    </row>
    <row r="263" spans="1:7" x14ac:dyDescent="0.25">
      <c r="A263" s="435" t="s">
        <v>2851</v>
      </c>
      <c r="B263" s="436">
        <v>2207735.91</v>
      </c>
      <c r="E263" s="435" t="s">
        <v>2851</v>
      </c>
      <c r="F263" s="436">
        <v>2207735.91</v>
      </c>
      <c r="G263" t="b">
        <f t="shared" si="4"/>
        <v>1</v>
      </c>
    </row>
    <row r="264" spans="1:7" x14ac:dyDescent="0.25">
      <c r="A264" s="435" t="s">
        <v>270</v>
      </c>
      <c r="B264" s="436">
        <v>49267.479999999996</v>
      </c>
      <c r="E264" s="435" t="s">
        <v>270</v>
      </c>
      <c r="F264" s="436">
        <v>49267.479999999996</v>
      </c>
      <c r="G264" t="b">
        <f t="shared" si="4"/>
        <v>1</v>
      </c>
    </row>
    <row r="265" spans="1:7" x14ac:dyDescent="0.25">
      <c r="A265" s="435" t="s">
        <v>250</v>
      </c>
      <c r="B265" s="436">
        <v>35024.870000000003</v>
      </c>
      <c r="E265" s="435" t="s">
        <v>250</v>
      </c>
      <c r="F265" s="436">
        <v>35024.870000000003</v>
      </c>
      <c r="G265" t="b">
        <f t="shared" si="4"/>
        <v>1</v>
      </c>
    </row>
    <row r="266" spans="1:7" x14ac:dyDescent="0.25">
      <c r="A266" s="435" t="s">
        <v>253</v>
      </c>
      <c r="B266" s="436">
        <v>65668.12999999999</v>
      </c>
      <c r="E266" s="435" t="s">
        <v>253</v>
      </c>
      <c r="F266" s="436">
        <v>65668.12999999999</v>
      </c>
      <c r="G266" t="b">
        <f t="shared" si="4"/>
        <v>1</v>
      </c>
    </row>
    <row r="267" spans="1:7" x14ac:dyDescent="0.25">
      <c r="A267" s="435" t="s">
        <v>264</v>
      </c>
      <c r="B267" s="436">
        <v>438587.91</v>
      </c>
      <c r="E267" s="435" t="s">
        <v>264</v>
      </c>
      <c r="F267" s="436">
        <v>438587.91</v>
      </c>
      <c r="G267" t="b">
        <f t="shared" si="4"/>
        <v>1</v>
      </c>
    </row>
    <row r="268" spans="1:7" x14ac:dyDescent="0.25">
      <c r="A268" s="435" t="s">
        <v>241</v>
      </c>
      <c r="B268" s="436">
        <v>93183.97</v>
      </c>
      <c r="E268" s="435" t="s">
        <v>241</v>
      </c>
      <c r="F268" s="436">
        <v>93183.97</v>
      </c>
      <c r="G268" t="b">
        <f t="shared" si="4"/>
        <v>1</v>
      </c>
    </row>
    <row r="269" spans="1:7" x14ac:dyDescent="0.25">
      <c r="A269" s="435" t="s">
        <v>247</v>
      </c>
      <c r="B269" s="436">
        <v>254268.58</v>
      </c>
      <c r="E269" s="435" t="s">
        <v>247</v>
      </c>
      <c r="F269" s="436">
        <v>254268.58</v>
      </c>
      <c r="G269" t="b">
        <f t="shared" si="4"/>
        <v>1</v>
      </c>
    </row>
    <row r="270" spans="1:7" x14ac:dyDescent="0.25">
      <c r="A270" s="435" t="s">
        <v>244</v>
      </c>
      <c r="B270" s="436">
        <v>105358.87</v>
      </c>
      <c r="E270" s="435" t="s">
        <v>244</v>
      </c>
      <c r="F270" s="436">
        <v>105358.87</v>
      </c>
      <c r="G270" t="b">
        <f t="shared" si="4"/>
        <v>1</v>
      </c>
    </row>
    <row r="271" spans="1:7" x14ac:dyDescent="0.25">
      <c r="A271" s="435" t="s">
        <v>255</v>
      </c>
      <c r="B271" s="436">
        <v>94923.12000000001</v>
      </c>
      <c r="E271" s="435" t="s">
        <v>255</v>
      </c>
      <c r="F271" s="436">
        <v>94923.12000000001</v>
      </c>
      <c r="G271" t="b">
        <f t="shared" si="4"/>
        <v>1</v>
      </c>
    </row>
    <row r="272" spans="1:7" x14ac:dyDescent="0.25">
      <c r="A272" s="435" t="s">
        <v>258</v>
      </c>
      <c r="B272" s="436">
        <v>53954.919999999991</v>
      </c>
      <c r="E272" s="435" t="s">
        <v>258</v>
      </c>
      <c r="F272" s="436">
        <v>53954.919999999991</v>
      </c>
      <c r="G272" t="b">
        <f t="shared" si="4"/>
        <v>1</v>
      </c>
    </row>
    <row r="273" spans="1:7" x14ac:dyDescent="0.25">
      <c r="A273" s="435" t="s">
        <v>2222</v>
      </c>
      <c r="B273" s="436">
        <v>8490.92</v>
      </c>
      <c r="E273" s="435" t="s">
        <v>2222</v>
      </c>
      <c r="F273" s="436">
        <v>8490.92</v>
      </c>
      <c r="G273" t="b">
        <f t="shared" si="4"/>
        <v>1</v>
      </c>
    </row>
    <row r="274" spans="1:7" x14ac:dyDescent="0.25">
      <c r="A274" s="435" t="s">
        <v>267</v>
      </c>
      <c r="B274" s="436">
        <v>81371.13</v>
      </c>
      <c r="E274" s="435" t="s">
        <v>267</v>
      </c>
      <c r="F274" s="436">
        <v>81371.13</v>
      </c>
      <c r="G274" t="b">
        <f t="shared" si="4"/>
        <v>1</v>
      </c>
    </row>
    <row r="275" spans="1:7" x14ac:dyDescent="0.25">
      <c r="A275" s="435" t="s">
        <v>784</v>
      </c>
      <c r="B275" s="436">
        <v>74619.650000000009</v>
      </c>
      <c r="E275" s="435" t="s">
        <v>784</v>
      </c>
      <c r="F275" s="436">
        <v>74619.650000000009</v>
      </c>
      <c r="G275" t="b">
        <f t="shared" si="4"/>
        <v>1</v>
      </c>
    </row>
    <row r="276" spans="1:7" x14ac:dyDescent="0.25">
      <c r="A276" s="435" t="s">
        <v>238</v>
      </c>
      <c r="B276" s="436">
        <v>171256.91</v>
      </c>
      <c r="E276" s="435" t="s">
        <v>238</v>
      </c>
      <c r="F276" s="436">
        <v>171256.91</v>
      </c>
      <c r="G276" t="b">
        <f t="shared" si="4"/>
        <v>1</v>
      </c>
    </row>
    <row r="277" spans="1:7" x14ac:dyDescent="0.25">
      <c r="A277" s="435" t="s">
        <v>273</v>
      </c>
      <c r="B277" s="436">
        <v>2683879.3199999998</v>
      </c>
      <c r="E277" s="435" t="s">
        <v>273</v>
      </c>
      <c r="F277" s="436">
        <v>2683879.3199999998</v>
      </c>
      <c r="G277" t="b">
        <f t="shared" si="4"/>
        <v>1</v>
      </c>
    </row>
    <row r="278" spans="1:7" x14ac:dyDescent="0.25">
      <c r="A278" s="435" t="s">
        <v>235</v>
      </c>
      <c r="B278" s="436">
        <v>1914069.1300000001</v>
      </c>
      <c r="E278" s="435" t="s">
        <v>235</v>
      </c>
      <c r="F278" s="436">
        <v>1914069.1300000001</v>
      </c>
      <c r="G278" t="b">
        <f t="shared" si="4"/>
        <v>1</v>
      </c>
    </row>
    <row r="279" spans="1:7" x14ac:dyDescent="0.25">
      <c r="A279" s="435" t="s">
        <v>261</v>
      </c>
      <c r="B279" s="436">
        <v>50823.89</v>
      </c>
      <c r="E279" s="435" t="s">
        <v>261</v>
      </c>
      <c r="F279" s="436">
        <v>50823.89</v>
      </c>
      <c r="G279" t="b">
        <f t="shared" si="4"/>
        <v>1</v>
      </c>
    </row>
    <row r="280" spans="1:7" x14ac:dyDescent="0.25">
      <c r="A280" s="435" t="s">
        <v>785</v>
      </c>
      <c r="B280" s="436">
        <v>31628.93</v>
      </c>
      <c r="E280" s="435" t="s">
        <v>785</v>
      </c>
      <c r="F280" s="436">
        <v>31628.93</v>
      </c>
      <c r="G280" t="b">
        <f t="shared" si="4"/>
        <v>1</v>
      </c>
    </row>
    <row r="281" spans="1:7" x14ac:dyDescent="0.25">
      <c r="A281" s="435" t="s">
        <v>2687</v>
      </c>
      <c r="B281" s="436">
        <v>40301.67</v>
      </c>
      <c r="E281" s="435" t="s">
        <v>2687</v>
      </c>
      <c r="F281" s="436">
        <v>40301.67</v>
      </c>
      <c r="G281" t="b">
        <f t="shared" si="4"/>
        <v>1</v>
      </c>
    </row>
    <row r="282" spans="1:7" x14ac:dyDescent="0.25">
      <c r="A282" s="435" t="s">
        <v>2852</v>
      </c>
      <c r="B282" s="436">
        <v>73545.03</v>
      </c>
      <c r="E282" s="435" t="s">
        <v>2852</v>
      </c>
      <c r="F282" s="436">
        <v>73545.03</v>
      </c>
      <c r="G282" t="b">
        <f t="shared" si="4"/>
        <v>1</v>
      </c>
    </row>
    <row r="283" spans="1:7" x14ac:dyDescent="0.25">
      <c r="A283" s="435" t="s">
        <v>2237</v>
      </c>
      <c r="B283" s="436">
        <v>444680.05</v>
      </c>
      <c r="E283" s="435" t="s">
        <v>2237</v>
      </c>
      <c r="F283" s="436">
        <v>444680.05</v>
      </c>
      <c r="G283" t="b">
        <f t="shared" si="4"/>
        <v>1</v>
      </c>
    </row>
    <row r="284" spans="1:7" x14ac:dyDescent="0.25">
      <c r="A284" s="435" t="s">
        <v>2241</v>
      </c>
      <c r="B284" s="436">
        <v>11455.6</v>
      </c>
      <c r="E284" s="435" t="s">
        <v>2241</v>
      </c>
      <c r="F284" s="436">
        <v>11455.6</v>
      </c>
      <c r="G284" t="b">
        <f t="shared" si="4"/>
        <v>1</v>
      </c>
    </row>
    <row r="285" spans="1:7" x14ac:dyDescent="0.25">
      <c r="A285" s="435" t="s">
        <v>2248</v>
      </c>
      <c r="B285" s="436">
        <v>15080.37</v>
      </c>
      <c r="E285" s="435" t="s">
        <v>2248</v>
      </c>
      <c r="F285" s="436">
        <v>15080.37</v>
      </c>
      <c r="G285" t="b">
        <f t="shared" si="4"/>
        <v>1</v>
      </c>
    </row>
    <row r="286" spans="1:7" x14ac:dyDescent="0.25">
      <c r="A286" s="435" t="s">
        <v>2251</v>
      </c>
      <c r="B286" s="436">
        <v>5584.64</v>
      </c>
      <c r="E286" s="435" t="s">
        <v>2251</v>
      </c>
      <c r="F286" s="436">
        <v>5584.64</v>
      </c>
      <c r="G286" t="b">
        <f t="shared" si="4"/>
        <v>1</v>
      </c>
    </row>
    <row r="287" spans="1:7" x14ac:dyDescent="0.25">
      <c r="A287" s="435" t="s">
        <v>2254</v>
      </c>
      <c r="B287" s="436">
        <v>155271.20000000001</v>
      </c>
      <c r="E287" s="435" t="s">
        <v>2254</v>
      </c>
      <c r="F287" s="436">
        <v>155271.20000000001</v>
      </c>
      <c r="G287" t="b">
        <f t="shared" si="4"/>
        <v>1</v>
      </c>
    </row>
    <row r="288" spans="1:7" x14ac:dyDescent="0.25">
      <c r="A288" s="435" t="s">
        <v>2258</v>
      </c>
      <c r="B288" s="436">
        <v>208758.16</v>
      </c>
      <c r="E288" s="435" t="s">
        <v>2258</v>
      </c>
      <c r="F288" s="436">
        <v>208758.16</v>
      </c>
      <c r="G288" t="b">
        <f t="shared" si="4"/>
        <v>1</v>
      </c>
    </row>
    <row r="289" spans="1:7" x14ac:dyDescent="0.25">
      <c r="A289" s="435" t="s">
        <v>2262</v>
      </c>
      <c r="B289" s="436">
        <v>0</v>
      </c>
      <c r="E289" s="435" t="s">
        <v>2262</v>
      </c>
      <c r="F289" s="436">
        <v>0</v>
      </c>
      <c r="G289" t="b">
        <f t="shared" si="4"/>
        <v>1</v>
      </c>
    </row>
    <row r="290" spans="1:7" x14ac:dyDescent="0.25">
      <c r="A290" s="435" t="s">
        <v>2266</v>
      </c>
      <c r="B290" s="436">
        <v>0</v>
      </c>
      <c r="E290" s="435" t="s">
        <v>2266</v>
      </c>
      <c r="F290" s="436">
        <v>0</v>
      </c>
      <c r="G290" t="b">
        <f t="shared" si="4"/>
        <v>1</v>
      </c>
    </row>
    <row r="291" spans="1:7" x14ac:dyDescent="0.25">
      <c r="A291" s="435" t="s">
        <v>278</v>
      </c>
      <c r="B291" s="436">
        <v>465922.19000000006</v>
      </c>
      <c r="E291" s="435" t="s">
        <v>278</v>
      </c>
      <c r="F291" s="436">
        <v>465922.19000000006</v>
      </c>
      <c r="G291" t="b">
        <f t="shared" si="4"/>
        <v>1</v>
      </c>
    </row>
    <row r="292" spans="1:7" x14ac:dyDescent="0.25">
      <c r="A292" s="435" t="s">
        <v>284</v>
      </c>
      <c r="B292" s="436">
        <v>2383596.38</v>
      </c>
      <c r="E292" s="435" t="s">
        <v>284</v>
      </c>
      <c r="F292" s="436">
        <v>2383596.38</v>
      </c>
      <c r="G292" t="b">
        <f t="shared" si="4"/>
        <v>1</v>
      </c>
    </row>
    <row r="293" spans="1:7" x14ac:dyDescent="0.25">
      <c r="A293" s="435" t="s">
        <v>289</v>
      </c>
      <c r="B293" s="436">
        <v>368079.58</v>
      </c>
      <c r="E293" s="435" t="s">
        <v>289</v>
      </c>
      <c r="F293" s="436">
        <v>368079.58</v>
      </c>
      <c r="G293" t="b">
        <f t="shared" si="4"/>
        <v>1</v>
      </c>
    </row>
    <row r="294" spans="1:7" x14ac:dyDescent="0.25">
      <c r="A294" s="435" t="s">
        <v>293</v>
      </c>
      <c r="B294" s="436">
        <v>309402</v>
      </c>
      <c r="E294" s="435" t="s">
        <v>293</v>
      </c>
      <c r="F294" s="436">
        <v>309402</v>
      </c>
      <c r="G294" t="b">
        <f t="shared" si="4"/>
        <v>1</v>
      </c>
    </row>
    <row r="295" spans="1:7" x14ac:dyDescent="0.25">
      <c r="A295" s="435" t="s">
        <v>296</v>
      </c>
      <c r="B295" s="436">
        <v>593247.17000000004</v>
      </c>
      <c r="E295" s="435" t="s">
        <v>296</v>
      </c>
      <c r="F295" s="436">
        <v>593247.17000000004</v>
      </c>
      <c r="G295" t="b">
        <f t="shared" si="4"/>
        <v>1</v>
      </c>
    </row>
    <row r="296" spans="1:7" x14ac:dyDescent="0.25">
      <c r="A296" s="435" t="s">
        <v>301</v>
      </c>
      <c r="B296" s="436">
        <v>1834000.26</v>
      </c>
      <c r="E296" s="435" t="s">
        <v>301</v>
      </c>
      <c r="F296" s="436">
        <v>1834000.26</v>
      </c>
      <c r="G296" t="b">
        <f t="shared" si="4"/>
        <v>1</v>
      </c>
    </row>
    <row r="297" spans="1:7" x14ac:dyDescent="0.25">
      <c r="A297" s="435" t="s">
        <v>306</v>
      </c>
      <c r="B297" s="436">
        <v>1569532.73</v>
      </c>
      <c r="E297" s="435" t="s">
        <v>306</v>
      </c>
      <c r="F297" s="436">
        <v>1569532.73</v>
      </c>
      <c r="G297" t="b">
        <f t="shared" si="4"/>
        <v>1</v>
      </c>
    </row>
    <row r="298" spans="1:7" x14ac:dyDescent="0.25">
      <c r="A298" s="435" t="s">
        <v>310</v>
      </c>
      <c r="B298" s="436">
        <v>687518.52</v>
      </c>
      <c r="E298" s="435" t="s">
        <v>310</v>
      </c>
      <c r="F298" s="436">
        <v>687518.52</v>
      </c>
      <c r="G298" t="b">
        <f t="shared" si="4"/>
        <v>1</v>
      </c>
    </row>
    <row r="299" spans="1:7" x14ac:dyDescent="0.25">
      <c r="A299" s="435" t="s">
        <v>315</v>
      </c>
      <c r="B299" s="436">
        <v>142995.29</v>
      </c>
      <c r="E299" s="435" t="s">
        <v>315</v>
      </c>
      <c r="F299" s="436">
        <v>142995.29</v>
      </c>
      <c r="G299" t="b">
        <f t="shared" si="4"/>
        <v>1</v>
      </c>
    </row>
    <row r="300" spans="1:7" x14ac:dyDescent="0.25">
      <c r="A300" s="435" t="s">
        <v>319</v>
      </c>
      <c r="B300" s="436">
        <v>779376.58</v>
      </c>
      <c r="E300" s="435" t="s">
        <v>319</v>
      </c>
      <c r="F300" s="436">
        <v>779376.58</v>
      </c>
      <c r="G300" t="b">
        <f t="shared" si="4"/>
        <v>1</v>
      </c>
    </row>
    <row r="301" spans="1:7" x14ac:dyDescent="0.25">
      <c r="A301" s="435" t="s">
        <v>324</v>
      </c>
      <c r="B301" s="436">
        <v>724960.43</v>
      </c>
      <c r="E301" s="435" t="s">
        <v>324</v>
      </c>
      <c r="F301" s="436">
        <v>724960.43</v>
      </c>
      <c r="G301" t="b">
        <f t="shared" si="4"/>
        <v>1</v>
      </c>
    </row>
    <row r="302" spans="1:7" x14ac:dyDescent="0.25">
      <c r="A302" s="435" t="s">
        <v>328</v>
      </c>
      <c r="B302" s="436">
        <v>440113.43</v>
      </c>
      <c r="E302" s="435" t="s">
        <v>328</v>
      </c>
      <c r="F302" s="436">
        <v>440113.43</v>
      </c>
      <c r="G302" t="b">
        <f t="shared" si="4"/>
        <v>1</v>
      </c>
    </row>
    <row r="303" spans="1:7" x14ac:dyDescent="0.25">
      <c r="A303" s="435" t="s">
        <v>332</v>
      </c>
      <c r="B303" s="436">
        <v>4469288.09</v>
      </c>
      <c r="E303" s="435" t="s">
        <v>332</v>
      </c>
      <c r="F303" s="436">
        <v>4469288.09</v>
      </c>
      <c r="G303" t="b">
        <f t="shared" si="4"/>
        <v>1</v>
      </c>
    </row>
    <row r="304" spans="1:7" x14ac:dyDescent="0.25">
      <c r="A304" s="435" t="s">
        <v>335</v>
      </c>
      <c r="B304" s="436">
        <v>2143910.91</v>
      </c>
      <c r="E304" s="435" t="s">
        <v>335</v>
      </c>
      <c r="F304" s="436">
        <v>2143910.91</v>
      </c>
      <c r="G304" t="b">
        <f t="shared" si="4"/>
        <v>1</v>
      </c>
    </row>
    <row r="305" spans="1:7" x14ac:dyDescent="0.25">
      <c r="A305" s="435" t="s">
        <v>339</v>
      </c>
      <c r="B305" s="436">
        <v>321483.7</v>
      </c>
      <c r="E305" s="435" t="s">
        <v>339</v>
      </c>
      <c r="F305" s="436">
        <v>321483.7</v>
      </c>
      <c r="G305" t="b">
        <f t="shared" si="4"/>
        <v>1</v>
      </c>
    </row>
    <row r="306" spans="1:7" x14ac:dyDescent="0.25">
      <c r="A306" s="435" t="s">
        <v>343</v>
      </c>
      <c r="B306" s="436">
        <v>150899.08000000002</v>
      </c>
      <c r="E306" s="435" t="s">
        <v>343</v>
      </c>
      <c r="F306" s="436">
        <v>150899.08000000002</v>
      </c>
      <c r="G306" t="b">
        <f t="shared" si="4"/>
        <v>1</v>
      </c>
    </row>
    <row r="307" spans="1:7" x14ac:dyDescent="0.25">
      <c r="A307" s="435" t="s">
        <v>348</v>
      </c>
      <c r="B307" s="436">
        <v>223033.69</v>
      </c>
      <c r="E307" s="435" t="s">
        <v>348</v>
      </c>
      <c r="F307" s="436">
        <v>223033.69</v>
      </c>
      <c r="G307" t="b">
        <f t="shared" si="4"/>
        <v>1</v>
      </c>
    </row>
    <row r="308" spans="1:7" x14ac:dyDescent="0.25">
      <c r="A308" s="435" t="s">
        <v>353</v>
      </c>
      <c r="B308" s="436">
        <v>138781.54</v>
      </c>
      <c r="E308" s="435" t="s">
        <v>353</v>
      </c>
      <c r="F308" s="436">
        <v>138781.54</v>
      </c>
      <c r="G308" t="b">
        <f t="shared" si="4"/>
        <v>1</v>
      </c>
    </row>
    <row r="309" spans="1:7" x14ac:dyDescent="0.25">
      <c r="A309" s="435" t="s">
        <v>357</v>
      </c>
      <c r="B309" s="436">
        <v>95319.19</v>
      </c>
      <c r="E309" s="435" t="s">
        <v>357</v>
      </c>
      <c r="F309" s="436">
        <v>95319.19</v>
      </c>
      <c r="G309" t="b">
        <f t="shared" si="4"/>
        <v>1</v>
      </c>
    </row>
    <row r="310" spans="1:7" x14ac:dyDescent="0.25">
      <c r="A310" s="435" t="s">
        <v>361</v>
      </c>
      <c r="B310" s="436">
        <v>36258.43</v>
      </c>
      <c r="E310" s="435" t="s">
        <v>361</v>
      </c>
      <c r="F310" s="436">
        <v>36258.43</v>
      </c>
      <c r="G310" t="b">
        <f t="shared" si="4"/>
        <v>1</v>
      </c>
    </row>
    <row r="311" spans="1:7" x14ac:dyDescent="0.25">
      <c r="A311" s="435" t="s">
        <v>365</v>
      </c>
      <c r="B311" s="436">
        <v>332455.74</v>
      </c>
      <c r="E311" s="435" t="s">
        <v>365</v>
      </c>
      <c r="F311" s="436">
        <v>332455.74</v>
      </c>
      <c r="G311" t="b">
        <f t="shared" si="4"/>
        <v>1</v>
      </c>
    </row>
    <row r="312" spans="1:7" x14ac:dyDescent="0.25">
      <c r="A312" s="435" t="s">
        <v>371</v>
      </c>
      <c r="B312" s="436">
        <v>341443.94999999995</v>
      </c>
      <c r="E312" s="435" t="s">
        <v>371</v>
      </c>
      <c r="F312" s="436">
        <v>341443.94999999995</v>
      </c>
      <c r="G312" t="b">
        <f t="shared" si="4"/>
        <v>1</v>
      </c>
    </row>
    <row r="313" spans="1:7" x14ac:dyDescent="0.25">
      <c r="A313" s="435" t="s">
        <v>374</v>
      </c>
      <c r="B313" s="436">
        <v>189169.58</v>
      </c>
      <c r="E313" s="435" t="s">
        <v>374</v>
      </c>
      <c r="F313" s="436">
        <v>189169.58</v>
      </c>
      <c r="G313" t="b">
        <f t="shared" si="4"/>
        <v>1</v>
      </c>
    </row>
    <row r="314" spans="1:7" x14ac:dyDescent="0.25">
      <c r="A314" s="435" t="s">
        <v>376</v>
      </c>
      <c r="B314" s="436">
        <v>378294.86</v>
      </c>
      <c r="E314" s="435" t="s">
        <v>376</v>
      </c>
      <c r="F314" s="436">
        <v>378294.86</v>
      </c>
      <c r="G314" t="b">
        <f t="shared" si="4"/>
        <v>1</v>
      </c>
    </row>
    <row r="315" spans="1:7" x14ac:dyDescent="0.25">
      <c r="A315" s="435" t="s">
        <v>382</v>
      </c>
      <c r="B315" s="436">
        <v>457657.31</v>
      </c>
      <c r="E315" s="435" t="s">
        <v>382</v>
      </c>
      <c r="F315" s="436">
        <v>457657.31</v>
      </c>
      <c r="G315" t="b">
        <f t="shared" si="4"/>
        <v>1</v>
      </c>
    </row>
    <row r="316" spans="1:7" x14ac:dyDescent="0.25">
      <c r="A316" s="435" t="s">
        <v>385</v>
      </c>
      <c r="B316" s="436">
        <v>414996.26</v>
      </c>
      <c r="E316" s="435" t="s">
        <v>385</v>
      </c>
      <c r="F316" s="436">
        <v>414996.26</v>
      </c>
      <c r="G316" t="b">
        <f t="shared" si="4"/>
        <v>1</v>
      </c>
    </row>
    <row r="317" spans="1:7" x14ac:dyDescent="0.25">
      <c r="A317" s="435" t="s">
        <v>388</v>
      </c>
      <c r="B317" s="436">
        <v>391972.51</v>
      </c>
      <c r="E317" s="435" t="s">
        <v>388</v>
      </c>
      <c r="F317" s="436">
        <v>391972.51</v>
      </c>
      <c r="G317" t="b">
        <f t="shared" si="4"/>
        <v>1</v>
      </c>
    </row>
    <row r="318" spans="1:7" x14ac:dyDescent="0.25">
      <c r="A318" s="435" t="s">
        <v>391</v>
      </c>
      <c r="B318" s="436">
        <v>320187.21999999997</v>
      </c>
      <c r="E318" s="435" t="s">
        <v>391</v>
      </c>
      <c r="F318" s="436">
        <v>320187.21999999997</v>
      </c>
      <c r="G318" t="b">
        <f t="shared" si="4"/>
        <v>1</v>
      </c>
    </row>
    <row r="319" spans="1:7" x14ac:dyDescent="0.25">
      <c r="A319" s="435" t="s">
        <v>394</v>
      </c>
      <c r="B319" s="436">
        <v>318122.75</v>
      </c>
      <c r="E319" s="435" t="s">
        <v>394</v>
      </c>
      <c r="F319" s="436">
        <v>318122.75</v>
      </c>
      <c r="G319" t="b">
        <f t="shared" si="4"/>
        <v>1</v>
      </c>
    </row>
    <row r="320" spans="1:7" x14ac:dyDescent="0.25">
      <c r="A320" s="435" t="s">
        <v>399</v>
      </c>
      <c r="B320" s="436">
        <v>143115.66999999998</v>
      </c>
      <c r="E320" s="435" t="s">
        <v>399</v>
      </c>
      <c r="F320" s="436">
        <v>143115.66999999998</v>
      </c>
      <c r="G320" t="b">
        <f t="shared" si="4"/>
        <v>1</v>
      </c>
    </row>
    <row r="321" spans="1:7" x14ac:dyDescent="0.25">
      <c r="A321" s="435" t="s">
        <v>403</v>
      </c>
      <c r="B321" s="436">
        <v>759557.69</v>
      </c>
      <c r="E321" s="435" t="s">
        <v>403</v>
      </c>
      <c r="F321" s="436">
        <v>759557.69</v>
      </c>
      <c r="G321" t="b">
        <f t="shared" si="4"/>
        <v>1</v>
      </c>
    </row>
    <row r="322" spans="1:7" x14ac:dyDescent="0.25">
      <c r="A322" s="435" t="s">
        <v>408</v>
      </c>
      <c r="B322" s="436">
        <v>209286.66</v>
      </c>
      <c r="E322" s="435" t="s">
        <v>408</v>
      </c>
      <c r="F322" s="436">
        <v>209286.66</v>
      </c>
      <c r="G322" t="b">
        <f t="shared" si="4"/>
        <v>1</v>
      </c>
    </row>
    <row r="323" spans="1:7" x14ac:dyDescent="0.25">
      <c r="A323" s="435" t="s">
        <v>412</v>
      </c>
      <c r="B323" s="436">
        <v>42994.270000000004</v>
      </c>
      <c r="E323" s="435" t="s">
        <v>412</v>
      </c>
      <c r="F323" s="436">
        <v>42994.270000000004</v>
      </c>
      <c r="G323" t="b">
        <f t="shared" ref="G323:G386" si="5">F323=B323</f>
        <v>1</v>
      </c>
    </row>
    <row r="324" spans="1:7" x14ac:dyDescent="0.25">
      <c r="A324" s="435" t="s">
        <v>415</v>
      </c>
      <c r="B324" s="436">
        <v>10922.5</v>
      </c>
      <c r="E324" s="435" t="s">
        <v>415</v>
      </c>
      <c r="F324" s="436">
        <v>10922.5</v>
      </c>
      <c r="G324" t="b">
        <f t="shared" si="5"/>
        <v>1</v>
      </c>
    </row>
    <row r="325" spans="1:7" x14ac:dyDescent="0.25">
      <c r="A325" s="435" t="s">
        <v>418</v>
      </c>
      <c r="B325" s="436">
        <v>77035.67</v>
      </c>
      <c r="E325" s="435" t="s">
        <v>418</v>
      </c>
      <c r="F325" s="436">
        <v>77035.67</v>
      </c>
      <c r="G325" t="b">
        <f t="shared" si="5"/>
        <v>1</v>
      </c>
    </row>
    <row r="326" spans="1:7" x14ac:dyDescent="0.25">
      <c r="A326" s="435" t="s">
        <v>719</v>
      </c>
      <c r="B326" s="436">
        <v>38802.689999999995</v>
      </c>
      <c r="E326" s="435" t="s">
        <v>719</v>
      </c>
      <c r="F326" s="436">
        <v>38802.689999999995</v>
      </c>
      <c r="G326" t="b">
        <f t="shared" si="5"/>
        <v>1</v>
      </c>
    </row>
    <row r="327" spans="1:7" x14ac:dyDescent="0.25">
      <c r="A327" s="435" t="s">
        <v>421</v>
      </c>
      <c r="B327" s="436">
        <v>36160.6</v>
      </c>
      <c r="E327" s="435" t="s">
        <v>421</v>
      </c>
      <c r="F327" s="436">
        <v>36160.6</v>
      </c>
      <c r="G327" t="b">
        <f t="shared" si="5"/>
        <v>1</v>
      </c>
    </row>
    <row r="328" spans="1:7" x14ac:dyDescent="0.25">
      <c r="A328" s="435" t="s">
        <v>869</v>
      </c>
      <c r="B328" s="436">
        <v>4896.6900000000005</v>
      </c>
      <c r="E328" s="435" t="s">
        <v>869</v>
      </c>
      <c r="F328" s="436">
        <v>4896.6900000000005</v>
      </c>
      <c r="G328" t="b">
        <f t="shared" si="5"/>
        <v>1</v>
      </c>
    </row>
    <row r="329" spans="1:7" x14ac:dyDescent="0.25">
      <c r="A329" s="435" t="s">
        <v>721</v>
      </c>
      <c r="B329" s="436">
        <v>96467.030000000013</v>
      </c>
      <c r="E329" s="435" t="s">
        <v>721</v>
      </c>
      <c r="F329" s="436">
        <v>96467.030000000013</v>
      </c>
      <c r="G329" t="b">
        <f t="shared" si="5"/>
        <v>1</v>
      </c>
    </row>
    <row r="330" spans="1:7" x14ac:dyDescent="0.25">
      <c r="A330" s="435" t="s">
        <v>424</v>
      </c>
      <c r="B330" s="436">
        <v>98906.650000000009</v>
      </c>
      <c r="E330" s="435" t="s">
        <v>424</v>
      </c>
      <c r="F330" s="436">
        <v>98906.650000000009</v>
      </c>
      <c r="G330" t="b">
        <f t="shared" si="5"/>
        <v>1</v>
      </c>
    </row>
    <row r="331" spans="1:7" x14ac:dyDescent="0.25">
      <c r="A331" s="435" t="s">
        <v>786</v>
      </c>
      <c r="B331" s="436">
        <v>18798.36</v>
      </c>
      <c r="E331" s="435" t="s">
        <v>786</v>
      </c>
      <c r="F331" s="436">
        <v>18798.36</v>
      </c>
      <c r="G331" t="b">
        <f t="shared" si="5"/>
        <v>1</v>
      </c>
    </row>
    <row r="332" spans="1:7" x14ac:dyDescent="0.25">
      <c r="A332" s="435" t="s">
        <v>787</v>
      </c>
      <c r="B332" s="436">
        <v>21898.55</v>
      </c>
      <c r="E332" s="435" t="s">
        <v>787</v>
      </c>
      <c r="F332" s="436">
        <v>21898.55</v>
      </c>
      <c r="G332" t="b">
        <f t="shared" si="5"/>
        <v>1</v>
      </c>
    </row>
    <row r="333" spans="1:7" x14ac:dyDescent="0.25">
      <c r="A333" s="435" t="s">
        <v>427</v>
      </c>
      <c r="B333" s="436">
        <v>20570.710000000003</v>
      </c>
      <c r="E333" s="435" t="s">
        <v>427</v>
      </c>
      <c r="F333" s="436">
        <v>20570.710000000003</v>
      </c>
      <c r="G333" t="b">
        <f t="shared" si="5"/>
        <v>1</v>
      </c>
    </row>
    <row r="334" spans="1:7" x14ac:dyDescent="0.25">
      <c r="A334" s="435" t="s">
        <v>764</v>
      </c>
      <c r="B334" s="436">
        <v>11073.68</v>
      </c>
      <c r="E334" s="435" t="s">
        <v>764</v>
      </c>
      <c r="F334" s="436">
        <v>11073.68</v>
      </c>
      <c r="G334" t="b">
        <f t="shared" si="5"/>
        <v>1</v>
      </c>
    </row>
    <row r="335" spans="1:7" x14ac:dyDescent="0.25">
      <c r="A335" s="435" t="s">
        <v>925</v>
      </c>
      <c r="B335" s="436">
        <v>18024.649999999998</v>
      </c>
      <c r="E335" s="435" t="s">
        <v>925</v>
      </c>
      <c r="F335" s="436">
        <v>18024.649999999998</v>
      </c>
      <c r="G335" t="b">
        <f t="shared" si="5"/>
        <v>1</v>
      </c>
    </row>
    <row r="336" spans="1:7" x14ac:dyDescent="0.25">
      <c r="A336" s="435" t="s">
        <v>928</v>
      </c>
      <c r="B336" s="436">
        <v>45876.55</v>
      </c>
      <c r="E336" s="435" t="s">
        <v>928</v>
      </c>
      <c r="F336" s="436">
        <v>45876.55</v>
      </c>
      <c r="G336" t="b">
        <f t="shared" si="5"/>
        <v>1</v>
      </c>
    </row>
    <row r="337" spans="1:7" x14ac:dyDescent="0.25">
      <c r="A337" s="435" t="s">
        <v>430</v>
      </c>
      <c r="B337" s="436">
        <v>22376.39</v>
      </c>
      <c r="E337" s="435" t="s">
        <v>430</v>
      </c>
      <c r="F337" s="436">
        <v>22376.39</v>
      </c>
      <c r="G337" t="b">
        <f t="shared" si="5"/>
        <v>1</v>
      </c>
    </row>
    <row r="338" spans="1:7" x14ac:dyDescent="0.25">
      <c r="A338" s="435" t="s">
        <v>433</v>
      </c>
      <c r="B338" s="436">
        <v>36555.47</v>
      </c>
      <c r="E338" s="435" t="s">
        <v>433</v>
      </c>
      <c r="F338" s="436">
        <v>36555.47</v>
      </c>
      <c r="G338" t="b">
        <f t="shared" si="5"/>
        <v>1</v>
      </c>
    </row>
    <row r="339" spans="1:7" x14ac:dyDescent="0.25">
      <c r="A339" s="435" t="s">
        <v>436</v>
      </c>
      <c r="B339" s="436">
        <v>700511.58</v>
      </c>
      <c r="E339" s="435" t="s">
        <v>436</v>
      </c>
      <c r="F339" s="436">
        <v>700511.58</v>
      </c>
      <c r="G339" t="b">
        <f t="shared" si="5"/>
        <v>1</v>
      </c>
    </row>
    <row r="340" spans="1:7" x14ac:dyDescent="0.25">
      <c r="A340" s="435" t="s">
        <v>872</v>
      </c>
      <c r="B340" s="436">
        <v>15579.130000000001</v>
      </c>
      <c r="E340" s="435" t="s">
        <v>872</v>
      </c>
      <c r="F340" s="436">
        <v>15579.130000000001</v>
      </c>
      <c r="G340" t="b">
        <f t="shared" si="5"/>
        <v>1</v>
      </c>
    </row>
    <row r="341" spans="1:7" x14ac:dyDescent="0.25">
      <c r="A341" s="435" t="s">
        <v>771</v>
      </c>
      <c r="B341" s="436">
        <v>23109.08</v>
      </c>
      <c r="E341" s="435" t="s">
        <v>771</v>
      </c>
      <c r="F341" s="436">
        <v>23109.08</v>
      </c>
      <c r="G341" t="b">
        <f t="shared" si="5"/>
        <v>1</v>
      </c>
    </row>
    <row r="342" spans="1:7" x14ac:dyDescent="0.25">
      <c r="A342" s="435" t="s">
        <v>930</v>
      </c>
      <c r="B342" s="436">
        <v>17794.489999999998</v>
      </c>
      <c r="E342" s="435" t="s">
        <v>930</v>
      </c>
      <c r="F342" s="436">
        <v>17794.489999999998</v>
      </c>
      <c r="G342" t="b">
        <f t="shared" si="5"/>
        <v>1</v>
      </c>
    </row>
    <row r="343" spans="1:7" x14ac:dyDescent="0.25">
      <c r="A343" s="435" t="s">
        <v>2321</v>
      </c>
      <c r="B343" s="436">
        <v>63625.55</v>
      </c>
      <c r="E343" s="435" t="s">
        <v>2321</v>
      </c>
      <c r="F343" s="436">
        <v>63625.55</v>
      </c>
      <c r="G343" t="b">
        <f t="shared" si="5"/>
        <v>1</v>
      </c>
    </row>
    <row r="344" spans="1:7" x14ac:dyDescent="0.25">
      <c r="A344" s="435" t="s">
        <v>788</v>
      </c>
      <c r="B344" s="436">
        <v>55067.299999999988</v>
      </c>
      <c r="E344" s="435" t="s">
        <v>788</v>
      </c>
      <c r="F344" s="436">
        <v>55067.299999999988</v>
      </c>
      <c r="G344" t="b">
        <f t="shared" si="5"/>
        <v>1</v>
      </c>
    </row>
    <row r="345" spans="1:7" x14ac:dyDescent="0.25">
      <c r="A345" s="435" t="s">
        <v>2324</v>
      </c>
      <c r="B345" s="436">
        <v>21237.34</v>
      </c>
      <c r="E345" s="435" t="s">
        <v>2324</v>
      </c>
      <c r="F345" s="436">
        <v>21237.34</v>
      </c>
      <c r="G345" t="b">
        <f t="shared" si="5"/>
        <v>1</v>
      </c>
    </row>
    <row r="346" spans="1:7" x14ac:dyDescent="0.25">
      <c r="A346" s="435" t="s">
        <v>2328</v>
      </c>
      <c r="B346" s="436">
        <v>25685.040000000001</v>
      </c>
      <c r="E346" s="435" t="s">
        <v>2328</v>
      </c>
      <c r="F346" s="436">
        <v>25685.040000000001</v>
      </c>
      <c r="G346" t="b">
        <f t="shared" si="5"/>
        <v>1</v>
      </c>
    </row>
    <row r="347" spans="1:7" x14ac:dyDescent="0.25">
      <c r="A347" s="435" t="s">
        <v>789</v>
      </c>
      <c r="B347" s="436">
        <v>105801.96</v>
      </c>
      <c r="E347" s="435" t="s">
        <v>789</v>
      </c>
      <c r="F347" s="436">
        <v>105801.96</v>
      </c>
      <c r="G347" t="b">
        <f t="shared" si="5"/>
        <v>1</v>
      </c>
    </row>
    <row r="348" spans="1:7" x14ac:dyDescent="0.25">
      <c r="A348" s="435" t="s">
        <v>790</v>
      </c>
      <c r="B348" s="436">
        <v>92888.76</v>
      </c>
      <c r="E348" s="435" t="s">
        <v>790</v>
      </c>
      <c r="F348" s="436">
        <v>92888.76</v>
      </c>
      <c r="G348" t="b">
        <f t="shared" si="5"/>
        <v>1</v>
      </c>
    </row>
    <row r="349" spans="1:7" x14ac:dyDescent="0.25">
      <c r="A349" s="435" t="s">
        <v>875</v>
      </c>
      <c r="B349" s="436">
        <v>16685.78</v>
      </c>
      <c r="E349" s="435" t="s">
        <v>875</v>
      </c>
      <c r="F349" s="436">
        <v>16685.78</v>
      </c>
      <c r="G349" t="b">
        <f t="shared" si="5"/>
        <v>1</v>
      </c>
    </row>
    <row r="350" spans="1:7" x14ac:dyDescent="0.25">
      <c r="A350" s="435" t="s">
        <v>932</v>
      </c>
      <c r="B350" s="436">
        <v>75925.189999999988</v>
      </c>
      <c r="E350" s="435" t="s">
        <v>932</v>
      </c>
      <c r="F350" s="436">
        <v>75925.189999999988</v>
      </c>
      <c r="G350" t="b">
        <f t="shared" si="5"/>
        <v>1</v>
      </c>
    </row>
    <row r="351" spans="1:7" x14ac:dyDescent="0.25">
      <c r="A351" s="435" t="s">
        <v>2331</v>
      </c>
      <c r="B351" s="436">
        <v>21374.13</v>
      </c>
      <c r="E351" s="435" t="s">
        <v>2331</v>
      </c>
      <c r="F351" s="436">
        <v>21374.13</v>
      </c>
      <c r="G351" t="b">
        <f t="shared" si="5"/>
        <v>1</v>
      </c>
    </row>
    <row r="352" spans="1:7" x14ac:dyDescent="0.25">
      <c r="A352" s="435" t="s">
        <v>439</v>
      </c>
      <c r="B352" s="436">
        <v>29591.46</v>
      </c>
      <c r="E352" s="435" t="s">
        <v>439</v>
      </c>
      <c r="F352" s="436">
        <v>29591.46</v>
      </c>
      <c r="G352" t="b">
        <f t="shared" si="5"/>
        <v>1</v>
      </c>
    </row>
    <row r="353" spans="1:7" x14ac:dyDescent="0.25">
      <c r="A353" s="435" t="s">
        <v>2335</v>
      </c>
      <c r="B353" s="436">
        <v>7795.35</v>
      </c>
      <c r="E353" s="435" t="s">
        <v>2335</v>
      </c>
      <c r="F353" s="436">
        <v>7795.35</v>
      </c>
      <c r="G353" t="b">
        <f t="shared" si="5"/>
        <v>1</v>
      </c>
    </row>
    <row r="354" spans="1:7" x14ac:dyDescent="0.25">
      <c r="A354" s="435" t="s">
        <v>442</v>
      </c>
      <c r="B354" s="436">
        <v>25105.929999999997</v>
      </c>
      <c r="E354" s="435" t="s">
        <v>442</v>
      </c>
      <c r="F354" s="436">
        <v>25105.929999999997</v>
      </c>
      <c r="G354" t="b">
        <f t="shared" si="5"/>
        <v>1</v>
      </c>
    </row>
    <row r="355" spans="1:7" x14ac:dyDescent="0.25">
      <c r="A355" s="435" t="s">
        <v>934</v>
      </c>
      <c r="B355" s="436">
        <v>14032.82</v>
      </c>
      <c r="E355" s="435" t="s">
        <v>934</v>
      </c>
      <c r="F355" s="436">
        <v>14032.82</v>
      </c>
      <c r="G355" t="b">
        <f t="shared" si="5"/>
        <v>1</v>
      </c>
    </row>
    <row r="356" spans="1:7" x14ac:dyDescent="0.25">
      <c r="A356" s="435" t="s">
        <v>2338</v>
      </c>
      <c r="B356" s="436">
        <v>16337</v>
      </c>
      <c r="E356" s="435" t="s">
        <v>2338</v>
      </c>
      <c r="F356" s="436">
        <v>16337</v>
      </c>
      <c r="G356" t="b">
        <f t="shared" si="5"/>
        <v>1</v>
      </c>
    </row>
    <row r="357" spans="1:7" x14ac:dyDescent="0.25">
      <c r="A357" s="435" t="s">
        <v>878</v>
      </c>
      <c r="B357" s="436">
        <v>46652.149999999994</v>
      </c>
      <c r="E357" s="435" t="s">
        <v>878</v>
      </c>
      <c r="F357" s="436">
        <v>46652.149999999994</v>
      </c>
      <c r="G357" t="b">
        <f t="shared" si="5"/>
        <v>1</v>
      </c>
    </row>
    <row r="358" spans="1:7" x14ac:dyDescent="0.25">
      <c r="A358" s="435" t="s">
        <v>723</v>
      </c>
      <c r="B358" s="436">
        <v>103012.15</v>
      </c>
      <c r="E358" s="435" t="s">
        <v>723</v>
      </c>
      <c r="F358" s="436">
        <v>103012.15</v>
      </c>
      <c r="G358" t="b">
        <f t="shared" si="5"/>
        <v>1</v>
      </c>
    </row>
    <row r="359" spans="1:7" x14ac:dyDescent="0.25">
      <c r="A359" s="435" t="s">
        <v>2342</v>
      </c>
      <c r="B359" s="436">
        <v>3592.18</v>
      </c>
      <c r="E359" s="435" t="s">
        <v>2342</v>
      </c>
      <c r="F359" s="436">
        <v>3592.18</v>
      </c>
      <c r="G359" t="b">
        <f t="shared" si="5"/>
        <v>1</v>
      </c>
    </row>
    <row r="360" spans="1:7" x14ac:dyDescent="0.25">
      <c r="A360" s="435" t="s">
        <v>791</v>
      </c>
      <c r="B360" s="436">
        <v>8309.1200000000008</v>
      </c>
      <c r="E360" s="435" t="s">
        <v>791</v>
      </c>
      <c r="F360" s="436">
        <v>8309.1200000000008</v>
      </c>
      <c r="G360" t="b">
        <f t="shared" si="5"/>
        <v>1</v>
      </c>
    </row>
    <row r="361" spans="1:7" x14ac:dyDescent="0.25">
      <c r="A361" s="435" t="s">
        <v>792</v>
      </c>
      <c r="B361" s="436">
        <v>34856.550000000003</v>
      </c>
      <c r="E361" s="435" t="s">
        <v>792</v>
      </c>
      <c r="F361" s="436">
        <v>34856.550000000003</v>
      </c>
      <c r="G361" t="b">
        <f t="shared" si="5"/>
        <v>1</v>
      </c>
    </row>
    <row r="362" spans="1:7" x14ac:dyDescent="0.25">
      <c r="A362" s="435" t="s">
        <v>2346</v>
      </c>
      <c r="B362" s="436">
        <v>3267.92</v>
      </c>
      <c r="E362" s="435" t="s">
        <v>2346</v>
      </c>
      <c r="F362" s="436">
        <v>3267.92</v>
      </c>
      <c r="G362" t="b">
        <f t="shared" si="5"/>
        <v>1</v>
      </c>
    </row>
    <row r="363" spans="1:7" x14ac:dyDescent="0.25">
      <c r="A363" s="435" t="s">
        <v>2350</v>
      </c>
      <c r="B363" s="436">
        <v>22467.040000000001</v>
      </c>
      <c r="E363" s="435" t="s">
        <v>2350</v>
      </c>
      <c r="F363" s="436">
        <v>22467.040000000001</v>
      </c>
      <c r="G363" t="b">
        <f t="shared" si="5"/>
        <v>1</v>
      </c>
    </row>
    <row r="364" spans="1:7" x14ac:dyDescent="0.25">
      <c r="A364" s="435" t="s">
        <v>793</v>
      </c>
      <c r="B364" s="436">
        <v>87898.540000000008</v>
      </c>
      <c r="E364" s="435" t="s">
        <v>793</v>
      </c>
      <c r="F364" s="436">
        <v>87898.540000000008</v>
      </c>
      <c r="G364" t="b">
        <f t="shared" si="5"/>
        <v>1</v>
      </c>
    </row>
    <row r="365" spans="1:7" x14ac:dyDescent="0.25">
      <c r="A365" s="435" t="s">
        <v>2354</v>
      </c>
      <c r="B365" s="436">
        <v>18748.46</v>
      </c>
      <c r="E365" s="435" t="s">
        <v>2354</v>
      </c>
      <c r="F365" s="436">
        <v>18748.46</v>
      </c>
      <c r="G365" t="b">
        <f t="shared" si="5"/>
        <v>1</v>
      </c>
    </row>
    <row r="366" spans="1:7" x14ac:dyDescent="0.25">
      <c r="A366" s="435" t="s">
        <v>768</v>
      </c>
      <c r="B366" s="436">
        <v>60916.599999999991</v>
      </c>
      <c r="E366" s="435" t="s">
        <v>768</v>
      </c>
      <c r="F366" s="436">
        <v>60916.599999999991</v>
      </c>
      <c r="G366" t="b">
        <f t="shared" si="5"/>
        <v>1</v>
      </c>
    </row>
    <row r="367" spans="1:7" x14ac:dyDescent="0.25">
      <c r="A367" s="435" t="s">
        <v>2358</v>
      </c>
      <c r="B367" s="436">
        <v>46496.24</v>
      </c>
      <c r="E367" s="435" t="s">
        <v>2358</v>
      </c>
      <c r="F367" s="436">
        <v>46496.24</v>
      </c>
      <c r="G367" t="b">
        <f t="shared" si="5"/>
        <v>1</v>
      </c>
    </row>
    <row r="368" spans="1:7" x14ac:dyDescent="0.25">
      <c r="A368" s="435" t="s">
        <v>2361</v>
      </c>
      <c r="B368" s="436">
        <v>11539.6</v>
      </c>
      <c r="E368" s="435" t="s">
        <v>2361</v>
      </c>
      <c r="F368" s="436">
        <v>11539.6</v>
      </c>
      <c r="G368" t="b">
        <f t="shared" si="5"/>
        <v>1</v>
      </c>
    </row>
    <row r="369" spans="1:7" x14ac:dyDescent="0.25">
      <c r="A369" s="435" t="s">
        <v>794</v>
      </c>
      <c r="B369" s="436">
        <v>73272.390000000014</v>
      </c>
      <c r="E369" s="435" t="s">
        <v>794</v>
      </c>
      <c r="F369" s="436">
        <v>73272.390000000014</v>
      </c>
      <c r="G369" t="b">
        <f t="shared" si="5"/>
        <v>1</v>
      </c>
    </row>
    <row r="370" spans="1:7" x14ac:dyDescent="0.25">
      <c r="A370" s="435" t="s">
        <v>2365</v>
      </c>
      <c r="B370" s="436">
        <v>2550</v>
      </c>
      <c r="E370" s="435" t="s">
        <v>2365</v>
      </c>
      <c r="F370" s="436">
        <v>2550</v>
      </c>
      <c r="G370" t="b">
        <f t="shared" si="5"/>
        <v>1</v>
      </c>
    </row>
    <row r="371" spans="1:7" x14ac:dyDescent="0.25">
      <c r="A371" s="435" t="s">
        <v>2369</v>
      </c>
      <c r="B371" s="436">
        <v>47053.880000000005</v>
      </c>
      <c r="E371" s="435" t="s">
        <v>2369</v>
      </c>
      <c r="F371" s="436">
        <v>47053.880000000005</v>
      </c>
      <c r="G371" t="b">
        <f t="shared" si="5"/>
        <v>1</v>
      </c>
    </row>
    <row r="372" spans="1:7" x14ac:dyDescent="0.25">
      <c r="A372" s="435" t="s">
        <v>726</v>
      </c>
      <c r="B372" s="436">
        <v>5254.18</v>
      </c>
      <c r="E372" s="435" t="s">
        <v>726</v>
      </c>
      <c r="F372" s="436">
        <v>5254.18</v>
      </c>
      <c r="G372" t="b">
        <f t="shared" si="5"/>
        <v>1</v>
      </c>
    </row>
    <row r="373" spans="1:7" x14ac:dyDescent="0.25">
      <c r="A373" s="435" t="s">
        <v>2371</v>
      </c>
      <c r="B373" s="436">
        <v>2040</v>
      </c>
      <c r="E373" s="435" t="s">
        <v>2371</v>
      </c>
      <c r="F373" s="436">
        <v>2040</v>
      </c>
      <c r="G373" t="b">
        <f t="shared" si="5"/>
        <v>1</v>
      </c>
    </row>
    <row r="374" spans="1:7" x14ac:dyDescent="0.25">
      <c r="A374" s="435" t="s">
        <v>2373</v>
      </c>
      <c r="B374" s="436">
        <v>12889.4</v>
      </c>
      <c r="E374" s="435" t="s">
        <v>2373</v>
      </c>
      <c r="F374" s="436">
        <v>12889.4</v>
      </c>
      <c r="G374" t="b">
        <f t="shared" si="5"/>
        <v>1</v>
      </c>
    </row>
    <row r="375" spans="1:7" x14ac:dyDescent="0.25">
      <c r="A375" s="435" t="s">
        <v>2375</v>
      </c>
      <c r="B375" s="436">
        <v>34072.19</v>
      </c>
      <c r="E375" s="435" t="s">
        <v>2375</v>
      </c>
      <c r="F375" s="436">
        <v>34072.19</v>
      </c>
      <c r="G375" t="b">
        <f t="shared" si="5"/>
        <v>1</v>
      </c>
    </row>
    <row r="376" spans="1:7" x14ac:dyDescent="0.25">
      <c r="A376" s="435" t="s">
        <v>2378</v>
      </c>
      <c r="B376" s="436">
        <v>27988.100000000002</v>
      </c>
      <c r="E376" s="435" t="s">
        <v>2378</v>
      </c>
      <c r="F376" s="436">
        <v>27988.100000000002</v>
      </c>
      <c r="G376" t="b">
        <f t="shared" si="5"/>
        <v>1</v>
      </c>
    </row>
    <row r="377" spans="1:7" x14ac:dyDescent="0.25">
      <c r="A377" s="435" t="s">
        <v>2380</v>
      </c>
      <c r="B377" s="436">
        <v>4474.5200000000004</v>
      </c>
      <c r="E377" s="435" t="s">
        <v>2380</v>
      </c>
      <c r="F377" s="436">
        <v>4474.5200000000004</v>
      </c>
      <c r="G377" t="b">
        <f t="shared" si="5"/>
        <v>1</v>
      </c>
    </row>
    <row r="378" spans="1:7" x14ac:dyDescent="0.25">
      <c r="A378" s="435" t="s">
        <v>2384</v>
      </c>
      <c r="B378" s="436">
        <v>86714.86</v>
      </c>
      <c r="E378" s="435" t="s">
        <v>2384</v>
      </c>
      <c r="F378" s="436">
        <v>86714.86</v>
      </c>
      <c r="G378" t="b">
        <f t="shared" si="5"/>
        <v>1</v>
      </c>
    </row>
    <row r="379" spans="1:7" x14ac:dyDescent="0.25">
      <c r="A379" s="435" t="s">
        <v>2387</v>
      </c>
      <c r="B379" s="436">
        <v>30600</v>
      </c>
      <c r="E379" s="435" t="s">
        <v>2387</v>
      </c>
      <c r="F379" s="436">
        <v>30600</v>
      </c>
      <c r="G379" t="b">
        <f t="shared" si="5"/>
        <v>1</v>
      </c>
    </row>
    <row r="380" spans="1:7" x14ac:dyDescent="0.25">
      <c r="A380" s="435" t="s">
        <v>2390</v>
      </c>
      <c r="B380" s="436">
        <v>3200.25</v>
      </c>
      <c r="E380" s="435" t="s">
        <v>2390</v>
      </c>
      <c r="F380" s="436">
        <v>3200.25</v>
      </c>
      <c r="G380" t="b">
        <f t="shared" si="5"/>
        <v>1</v>
      </c>
    </row>
    <row r="381" spans="1:7" x14ac:dyDescent="0.25">
      <c r="A381" s="435" t="s">
        <v>2394</v>
      </c>
      <c r="B381" s="436">
        <v>89275.33</v>
      </c>
      <c r="E381" s="435" t="s">
        <v>2394</v>
      </c>
      <c r="F381" s="436">
        <v>89275.33</v>
      </c>
      <c r="G381" t="b">
        <f t="shared" si="5"/>
        <v>1</v>
      </c>
    </row>
    <row r="382" spans="1:7" x14ac:dyDescent="0.25">
      <c r="A382" s="435" t="s">
        <v>881</v>
      </c>
      <c r="B382" s="436">
        <v>16288.310000000001</v>
      </c>
      <c r="E382" s="435" t="s">
        <v>881</v>
      </c>
      <c r="F382" s="436">
        <v>16288.310000000001</v>
      </c>
      <c r="G382" t="b">
        <f t="shared" si="5"/>
        <v>1</v>
      </c>
    </row>
    <row r="383" spans="1:7" x14ac:dyDescent="0.25">
      <c r="A383" s="435" t="s">
        <v>2396</v>
      </c>
      <c r="B383" s="436">
        <v>29074.6</v>
      </c>
      <c r="E383" s="435" t="s">
        <v>2396</v>
      </c>
      <c r="F383" s="436">
        <v>29074.6</v>
      </c>
      <c r="G383" t="b">
        <f t="shared" si="5"/>
        <v>1</v>
      </c>
    </row>
    <row r="384" spans="1:7" x14ac:dyDescent="0.25">
      <c r="A384" s="435" t="s">
        <v>2398</v>
      </c>
      <c r="B384" s="436">
        <v>10518.27</v>
      </c>
      <c r="E384" s="435" t="s">
        <v>2398</v>
      </c>
      <c r="F384" s="436">
        <v>10518.27</v>
      </c>
      <c r="G384" t="b">
        <f t="shared" si="5"/>
        <v>1</v>
      </c>
    </row>
    <row r="385" spans="1:7" x14ac:dyDescent="0.25">
      <c r="A385" s="435" t="s">
        <v>2401</v>
      </c>
      <c r="B385" s="436">
        <v>10137.439999999999</v>
      </c>
      <c r="E385" s="435" t="s">
        <v>2401</v>
      </c>
      <c r="F385" s="436">
        <v>10137.439999999999</v>
      </c>
      <c r="G385" t="b">
        <f t="shared" si="5"/>
        <v>1</v>
      </c>
    </row>
    <row r="386" spans="1:7" x14ac:dyDescent="0.25">
      <c r="A386" s="435" t="s">
        <v>795</v>
      </c>
      <c r="B386" s="436">
        <v>93106.449999999983</v>
      </c>
      <c r="E386" s="435" t="s">
        <v>795</v>
      </c>
      <c r="F386" s="436">
        <v>93106.449999999983</v>
      </c>
      <c r="G386" t="b">
        <f t="shared" si="5"/>
        <v>1</v>
      </c>
    </row>
    <row r="387" spans="1:7" x14ac:dyDescent="0.25">
      <c r="A387" s="435" t="s">
        <v>796</v>
      </c>
      <c r="B387" s="436">
        <v>10838.28</v>
      </c>
      <c r="E387" s="435" t="s">
        <v>796</v>
      </c>
      <c r="F387" s="436">
        <v>10838.28</v>
      </c>
      <c r="G387" t="b">
        <f t="shared" ref="G387:G426" si="6">F387=B387</f>
        <v>1</v>
      </c>
    </row>
    <row r="388" spans="1:7" x14ac:dyDescent="0.25">
      <c r="A388" s="435" t="s">
        <v>2408</v>
      </c>
      <c r="B388" s="436">
        <v>10467.75</v>
      </c>
      <c r="E388" s="435" t="s">
        <v>2408</v>
      </c>
      <c r="F388" s="436">
        <v>10467.75</v>
      </c>
      <c r="G388" t="b">
        <f t="shared" si="6"/>
        <v>1</v>
      </c>
    </row>
    <row r="389" spans="1:7" x14ac:dyDescent="0.25">
      <c r="A389" s="435" t="s">
        <v>2411</v>
      </c>
      <c r="B389" s="436">
        <v>4641.1499999999996</v>
      </c>
      <c r="E389" s="435" t="s">
        <v>2411</v>
      </c>
      <c r="F389" s="436">
        <v>4641.1499999999996</v>
      </c>
      <c r="G389" t="b">
        <f t="shared" si="6"/>
        <v>1</v>
      </c>
    </row>
    <row r="390" spans="1:7" x14ac:dyDescent="0.25">
      <c r="A390" s="435" t="s">
        <v>937</v>
      </c>
      <c r="B390" s="436">
        <v>2622.71</v>
      </c>
      <c r="E390" s="435" t="s">
        <v>937</v>
      </c>
      <c r="F390" s="436">
        <v>2622.71</v>
      </c>
      <c r="G390" t="b">
        <f t="shared" si="6"/>
        <v>1</v>
      </c>
    </row>
    <row r="391" spans="1:7" x14ac:dyDescent="0.25">
      <c r="A391" s="435" t="s">
        <v>2415</v>
      </c>
      <c r="B391" s="436">
        <v>3825</v>
      </c>
      <c r="E391" s="435" t="s">
        <v>2415</v>
      </c>
      <c r="F391" s="436">
        <v>3825</v>
      </c>
      <c r="G391" t="b">
        <f t="shared" si="6"/>
        <v>1</v>
      </c>
    </row>
    <row r="392" spans="1:7" x14ac:dyDescent="0.25">
      <c r="A392" s="435" t="s">
        <v>2417</v>
      </c>
      <c r="B392" s="436">
        <v>10752.84</v>
      </c>
      <c r="E392" s="435" t="s">
        <v>2417</v>
      </c>
      <c r="F392" s="436">
        <v>10752.84</v>
      </c>
      <c r="G392" t="b">
        <f t="shared" si="6"/>
        <v>1</v>
      </c>
    </row>
    <row r="393" spans="1:7" x14ac:dyDescent="0.25">
      <c r="A393" s="435" t="s">
        <v>2420</v>
      </c>
      <c r="B393" s="436">
        <v>38122</v>
      </c>
      <c r="E393" s="435" t="s">
        <v>2420</v>
      </c>
      <c r="F393" s="436">
        <v>38122</v>
      </c>
      <c r="G393" t="b">
        <f t="shared" si="6"/>
        <v>1</v>
      </c>
    </row>
    <row r="394" spans="1:7" x14ac:dyDescent="0.25">
      <c r="A394" s="435" t="s">
        <v>2423</v>
      </c>
      <c r="B394" s="436">
        <v>7038</v>
      </c>
      <c r="E394" s="435" t="s">
        <v>2423</v>
      </c>
      <c r="F394" s="436">
        <v>7038</v>
      </c>
      <c r="G394" t="b">
        <f t="shared" si="6"/>
        <v>1</v>
      </c>
    </row>
    <row r="395" spans="1:7" x14ac:dyDescent="0.25">
      <c r="A395" s="435" t="s">
        <v>940</v>
      </c>
      <c r="B395" s="436">
        <v>42130.53</v>
      </c>
      <c r="E395" s="435" t="s">
        <v>940</v>
      </c>
      <c r="F395" s="436">
        <v>42130.53</v>
      </c>
      <c r="G395" t="b">
        <f t="shared" si="6"/>
        <v>1</v>
      </c>
    </row>
    <row r="396" spans="1:7" x14ac:dyDescent="0.25">
      <c r="A396" s="435" t="s">
        <v>2426</v>
      </c>
      <c r="B396" s="436">
        <v>20069.349999999999</v>
      </c>
      <c r="E396" s="435" t="s">
        <v>2426</v>
      </c>
      <c r="F396" s="436">
        <v>20069.349999999999</v>
      </c>
      <c r="G396" t="b">
        <f t="shared" si="6"/>
        <v>1</v>
      </c>
    </row>
    <row r="397" spans="1:7" x14ac:dyDescent="0.25">
      <c r="A397" s="435" t="s">
        <v>2428</v>
      </c>
      <c r="B397" s="436">
        <v>9717.2000000000007</v>
      </c>
      <c r="E397" s="435" t="s">
        <v>2428</v>
      </c>
      <c r="F397" s="436">
        <v>9717.2000000000007</v>
      </c>
      <c r="G397" t="b">
        <f t="shared" si="6"/>
        <v>1</v>
      </c>
    </row>
    <row r="398" spans="1:7" x14ac:dyDescent="0.25">
      <c r="A398" s="435" t="s">
        <v>2432</v>
      </c>
      <c r="B398" s="436">
        <v>20516.120000000003</v>
      </c>
      <c r="E398" s="435" t="s">
        <v>2432</v>
      </c>
      <c r="F398" s="436">
        <v>20516.120000000003</v>
      </c>
      <c r="G398" t="b">
        <f t="shared" si="6"/>
        <v>1</v>
      </c>
    </row>
    <row r="399" spans="1:7" x14ac:dyDescent="0.25">
      <c r="A399" s="435" t="s">
        <v>729</v>
      </c>
      <c r="B399" s="436">
        <v>12674.75</v>
      </c>
      <c r="E399" s="435" t="s">
        <v>729</v>
      </c>
      <c r="F399" s="436">
        <v>12674.75</v>
      </c>
      <c r="G399" t="b">
        <f t="shared" si="6"/>
        <v>1</v>
      </c>
    </row>
    <row r="400" spans="1:7" x14ac:dyDescent="0.25">
      <c r="A400" s="435" t="s">
        <v>732</v>
      </c>
      <c r="B400" s="436">
        <v>133530.47</v>
      </c>
      <c r="E400" s="435" t="s">
        <v>732</v>
      </c>
      <c r="F400" s="436">
        <v>133530.47</v>
      </c>
      <c r="G400" t="b">
        <f t="shared" si="6"/>
        <v>1</v>
      </c>
    </row>
    <row r="401" spans="1:7" x14ac:dyDescent="0.25">
      <c r="A401" s="435" t="s">
        <v>2435</v>
      </c>
      <c r="B401" s="436">
        <v>17347.93</v>
      </c>
      <c r="E401" s="435" t="s">
        <v>2435</v>
      </c>
      <c r="F401" s="436">
        <v>17347.93</v>
      </c>
      <c r="G401" t="b">
        <f t="shared" si="6"/>
        <v>1</v>
      </c>
    </row>
    <row r="402" spans="1:7" x14ac:dyDescent="0.25">
      <c r="A402" s="435" t="s">
        <v>2439</v>
      </c>
      <c r="B402" s="436">
        <v>13537.8</v>
      </c>
      <c r="E402" s="435" t="s">
        <v>2439</v>
      </c>
      <c r="F402" s="436">
        <v>13537.8</v>
      </c>
      <c r="G402" t="b">
        <f t="shared" si="6"/>
        <v>1</v>
      </c>
    </row>
    <row r="403" spans="1:7" x14ac:dyDescent="0.25">
      <c r="A403" s="435" t="s">
        <v>800</v>
      </c>
      <c r="B403" s="436">
        <v>171033.78000000003</v>
      </c>
      <c r="E403" s="435" t="s">
        <v>800</v>
      </c>
      <c r="F403" s="436">
        <v>171033.78000000003</v>
      </c>
      <c r="G403" t="b">
        <f t="shared" si="6"/>
        <v>1</v>
      </c>
    </row>
    <row r="404" spans="1:7" x14ac:dyDescent="0.25">
      <c r="A404" s="435" t="s">
        <v>2447</v>
      </c>
      <c r="B404" s="436">
        <v>20142</v>
      </c>
      <c r="E404" s="435" t="s">
        <v>2447</v>
      </c>
      <c r="F404" s="436">
        <v>20142</v>
      </c>
      <c r="G404" t="b">
        <f t="shared" si="6"/>
        <v>1</v>
      </c>
    </row>
    <row r="405" spans="1:7" x14ac:dyDescent="0.25">
      <c r="A405" s="435" t="s">
        <v>2451</v>
      </c>
      <c r="B405" s="436">
        <v>13860.880000000001</v>
      </c>
      <c r="E405" s="435" t="s">
        <v>2451</v>
      </c>
      <c r="F405" s="436">
        <v>13860.880000000001</v>
      </c>
      <c r="G405" t="b">
        <f t="shared" si="6"/>
        <v>1</v>
      </c>
    </row>
    <row r="406" spans="1:7" x14ac:dyDescent="0.25">
      <c r="A406" s="435" t="s">
        <v>2454</v>
      </c>
      <c r="B406" s="436">
        <v>87116.790000000008</v>
      </c>
      <c r="E406" s="435" t="s">
        <v>2454</v>
      </c>
      <c r="F406" s="436">
        <v>87116.790000000008</v>
      </c>
      <c r="G406" t="b">
        <f t="shared" si="6"/>
        <v>1</v>
      </c>
    </row>
    <row r="407" spans="1:7" x14ac:dyDescent="0.25">
      <c r="A407" s="435" t="s">
        <v>2461</v>
      </c>
      <c r="B407" s="436">
        <v>8925</v>
      </c>
      <c r="E407" s="435" t="s">
        <v>2461</v>
      </c>
      <c r="F407" s="436">
        <v>8925</v>
      </c>
      <c r="G407" t="b">
        <f t="shared" si="6"/>
        <v>1</v>
      </c>
    </row>
    <row r="408" spans="1:7" x14ac:dyDescent="0.25">
      <c r="A408" s="435" t="s">
        <v>2463</v>
      </c>
      <c r="B408" s="436">
        <v>63407.78</v>
      </c>
      <c r="E408" s="435" t="s">
        <v>2463</v>
      </c>
      <c r="F408" s="436">
        <v>63407.78</v>
      </c>
      <c r="G408" t="b">
        <f t="shared" si="6"/>
        <v>1</v>
      </c>
    </row>
    <row r="409" spans="1:7" x14ac:dyDescent="0.25">
      <c r="A409" s="435" t="s">
        <v>2470</v>
      </c>
      <c r="B409" s="436">
        <v>25505.89</v>
      </c>
      <c r="E409" s="435" t="s">
        <v>2470</v>
      </c>
      <c r="F409" s="436">
        <v>25505.89</v>
      </c>
      <c r="G409" t="b">
        <f t="shared" si="6"/>
        <v>1</v>
      </c>
    </row>
    <row r="410" spans="1:7" x14ac:dyDescent="0.25">
      <c r="A410" s="435" t="s">
        <v>445</v>
      </c>
      <c r="B410" s="436">
        <v>3781.67</v>
      </c>
      <c r="E410" s="435" t="s">
        <v>445</v>
      </c>
      <c r="F410" s="436">
        <v>3781.67</v>
      </c>
      <c r="G410" t="b">
        <f t="shared" si="6"/>
        <v>1</v>
      </c>
    </row>
    <row r="411" spans="1:7" x14ac:dyDescent="0.25">
      <c r="A411" s="435" t="s">
        <v>2474</v>
      </c>
      <c r="B411" s="436">
        <v>15664.469999999998</v>
      </c>
      <c r="E411" s="435" t="s">
        <v>2474</v>
      </c>
      <c r="F411" s="436">
        <v>15664.469999999998</v>
      </c>
      <c r="G411" t="b">
        <f t="shared" si="6"/>
        <v>1</v>
      </c>
    </row>
    <row r="412" spans="1:7" x14ac:dyDescent="0.25">
      <c r="A412" s="435" t="s">
        <v>2478</v>
      </c>
      <c r="B412" s="436">
        <v>37155.67</v>
      </c>
      <c r="E412" s="435" t="s">
        <v>2478</v>
      </c>
      <c r="F412" s="436">
        <v>37155.67</v>
      </c>
      <c r="G412" t="b">
        <f t="shared" si="6"/>
        <v>1</v>
      </c>
    </row>
    <row r="413" spans="1:7" x14ac:dyDescent="0.25">
      <c r="A413" s="435" t="s">
        <v>734</v>
      </c>
      <c r="B413" s="436">
        <v>176807.88999999998</v>
      </c>
      <c r="E413" s="435" t="s">
        <v>734</v>
      </c>
      <c r="F413" s="436">
        <v>176807.88999999998</v>
      </c>
      <c r="G413" t="b">
        <f t="shared" si="6"/>
        <v>1</v>
      </c>
    </row>
    <row r="414" spans="1:7" x14ac:dyDescent="0.25">
      <c r="A414" s="435" t="s">
        <v>2480</v>
      </c>
      <c r="B414" s="436">
        <v>7388.91</v>
      </c>
      <c r="E414" s="435" t="s">
        <v>2480</v>
      </c>
      <c r="F414" s="436">
        <v>7388.91</v>
      </c>
      <c r="G414" t="b">
        <f t="shared" si="6"/>
        <v>1</v>
      </c>
    </row>
    <row r="415" spans="1:7" x14ac:dyDescent="0.25">
      <c r="A415" s="435" t="s">
        <v>797</v>
      </c>
      <c r="B415" s="436">
        <v>101218.83</v>
      </c>
      <c r="E415" s="435" t="s">
        <v>797</v>
      </c>
      <c r="F415" s="436">
        <v>101218.83</v>
      </c>
      <c r="G415" t="b">
        <f t="shared" si="6"/>
        <v>1</v>
      </c>
    </row>
    <row r="416" spans="1:7" x14ac:dyDescent="0.25">
      <c r="A416" s="435" t="s">
        <v>798</v>
      </c>
      <c r="B416" s="436">
        <v>15343.52</v>
      </c>
      <c r="E416" s="435" t="s">
        <v>798</v>
      </c>
      <c r="F416" s="436">
        <v>15343.52</v>
      </c>
      <c r="G416" t="b">
        <f t="shared" si="6"/>
        <v>1</v>
      </c>
    </row>
    <row r="417" spans="1:7" x14ac:dyDescent="0.25">
      <c r="A417" s="435" t="s">
        <v>799</v>
      </c>
      <c r="B417" s="436">
        <v>66434.679999999993</v>
      </c>
      <c r="E417" s="435" t="s">
        <v>799</v>
      </c>
      <c r="F417" s="436">
        <v>66434.679999999993</v>
      </c>
      <c r="G417" t="b">
        <f t="shared" si="6"/>
        <v>1</v>
      </c>
    </row>
    <row r="418" spans="1:7" x14ac:dyDescent="0.25">
      <c r="A418" s="435" t="s">
        <v>884</v>
      </c>
      <c r="B418" s="436">
        <v>95043.75</v>
      </c>
      <c r="E418" s="435" t="s">
        <v>884</v>
      </c>
      <c r="F418" s="436">
        <v>95043.75</v>
      </c>
      <c r="G418" t="b">
        <f t="shared" si="6"/>
        <v>1</v>
      </c>
    </row>
    <row r="419" spans="1:7" x14ac:dyDescent="0.25">
      <c r="A419" s="435" t="s">
        <v>2853</v>
      </c>
      <c r="B419" s="436">
        <v>7069.51</v>
      </c>
      <c r="E419" s="435" t="s">
        <v>2853</v>
      </c>
      <c r="F419" s="436">
        <v>7069.51</v>
      </c>
      <c r="G419" t="b">
        <f t="shared" si="6"/>
        <v>1</v>
      </c>
    </row>
    <row r="420" spans="1:7" x14ac:dyDescent="0.25">
      <c r="A420" s="435" t="s">
        <v>450</v>
      </c>
      <c r="B420" s="436">
        <v>1333472.9200000002</v>
      </c>
      <c r="E420" s="435" t="s">
        <v>450</v>
      </c>
      <c r="F420" s="436">
        <v>1333472.9200000002</v>
      </c>
      <c r="G420" t="b">
        <f t="shared" si="6"/>
        <v>1</v>
      </c>
    </row>
    <row r="421" spans="1:7" x14ac:dyDescent="0.25">
      <c r="A421" s="435" t="s">
        <v>2822</v>
      </c>
      <c r="B421" s="436">
        <v>637238.27</v>
      </c>
      <c r="E421" s="435" t="s">
        <v>2822</v>
      </c>
      <c r="F421" s="436">
        <v>637238.27</v>
      </c>
      <c r="G421" t="b">
        <f t="shared" si="6"/>
        <v>1</v>
      </c>
    </row>
    <row r="422" spans="1:7" x14ac:dyDescent="0.25">
      <c r="A422" s="435" t="s">
        <v>2865</v>
      </c>
      <c r="B422" s="436">
        <v>0</v>
      </c>
      <c r="E422" s="435" t="s">
        <v>2865</v>
      </c>
      <c r="F422" s="436">
        <v>0</v>
      </c>
      <c r="G422" t="b">
        <f t="shared" si="6"/>
        <v>1</v>
      </c>
    </row>
    <row r="423" spans="1:7" x14ac:dyDescent="0.25">
      <c r="A423" s="435" t="s">
        <v>2814</v>
      </c>
      <c r="B423" s="436">
        <v>1470753.12</v>
      </c>
      <c r="E423" s="435" t="s">
        <v>2814</v>
      </c>
      <c r="F423" s="436">
        <v>1470753.12</v>
      </c>
      <c r="G423" t="b">
        <f t="shared" si="6"/>
        <v>1</v>
      </c>
    </row>
    <row r="424" spans="1:7" x14ac:dyDescent="0.25">
      <c r="A424" s="435" t="s">
        <v>2824</v>
      </c>
      <c r="B424" s="436">
        <v>413796.83</v>
      </c>
      <c r="E424" s="435" t="s">
        <v>2824</v>
      </c>
      <c r="F424" s="436">
        <v>413796.83</v>
      </c>
      <c r="G424" t="b">
        <f t="shared" si="6"/>
        <v>1</v>
      </c>
    </row>
    <row r="425" spans="1:7" x14ac:dyDescent="0.25">
      <c r="A425" s="435" t="s">
        <v>2854</v>
      </c>
      <c r="B425" s="436">
        <v>509842.46</v>
      </c>
      <c r="E425" s="435" t="s">
        <v>2854</v>
      </c>
      <c r="F425" s="436">
        <v>509842.46</v>
      </c>
      <c r="G425" t="b">
        <f t="shared" si="6"/>
        <v>1</v>
      </c>
    </row>
    <row r="426" spans="1:7" x14ac:dyDescent="0.25">
      <c r="A426" s="435" t="s">
        <v>2857</v>
      </c>
      <c r="B426" s="436">
        <v>73009.87</v>
      </c>
      <c r="E426" s="435" t="s">
        <v>2857</v>
      </c>
      <c r="F426" s="436">
        <v>73009.87</v>
      </c>
      <c r="G426" t="b">
        <f t="shared" si="6"/>
        <v>1</v>
      </c>
    </row>
    <row r="427" spans="1:7" x14ac:dyDescent="0.25">
      <c r="A427" s="506" t="s">
        <v>2858</v>
      </c>
      <c r="B427" s="507">
        <f>SUM(B2:B426)</f>
        <v>349998832.18000013</v>
      </c>
      <c r="E427" s="506" t="s">
        <v>2858</v>
      </c>
      <c r="F427" s="507">
        <v>352171157.28000015</v>
      </c>
    </row>
  </sheetData>
  <autoFilter ref="A1:F427"/>
  <customSheetViews>
    <customSheetView guid="{31BFF91F-CC67-47B5-A533-CBCA2A3DFD88}" showAutoFilter="1" state="hidden" topLeftCell="A352">
      <selection activeCell="H375" sqref="H375"/>
      <pageMargins left="0.7" right="0.7" top="0.75" bottom="0.75" header="0.3" footer="0.3"/>
      <autoFilter ref="A1:F427"/>
    </customSheetView>
    <customSheetView guid="{1CE1816D-2CE4-45E4-84A5-7ECDB5D0D0D3}" showAutoFilter="1" state="hidden" topLeftCell="A352">
      <selection activeCell="H375" sqref="H375"/>
      <pageMargins left="0.7" right="0.7" top="0.75" bottom="0.75" header="0.3" footer="0.3"/>
      <autoFilter ref="A1:F427"/>
    </customSheetView>
    <customSheetView guid="{C7376C49-7C70-4EE7-9CF7-79151FBD2399}" showAutoFilter="1" state="hidden" topLeftCell="A352">
      <selection activeCell="H375" sqref="H375"/>
      <pageMargins left="0.7" right="0.7" top="0.75" bottom="0.75" header="0.3" footer="0.3"/>
      <autoFilter ref="A1:F427"/>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N1662"/>
  <sheetViews>
    <sheetView topLeftCell="AG1663" workbookViewId="0">
      <selection activeCell="J811" sqref="J811"/>
    </sheetView>
  </sheetViews>
  <sheetFormatPr defaultColWidth="8" defaultRowHeight="12.75" outlineLevelRow="2" outlineLevelCol="1" x14ac:dyDescent="0.2"/>
  <cols>
    <col min="1" max="1" width="2.875" style="85" customWidth="1"/>
    <col min="2" max="2" width="6.125" style="86" customWidth="1"/>
    <col min="3" max="3" width="7.125" style="86" customWidth="1"/>
    <col min="4" max="4" width="20.625" style="87" customWidth="1"/>
    <col min="5" max="5" width="3" style="86" customWidth="1"/>
    <col min="6" max="6" width="7.625" style="86" customWidth="1"/>
    <col min="7" max="7" width="5.625" style="86" customWidth="1"/>
    <col min="8" max="8" width="4" style="86" customWidth="1"/>
    <col min="9" max="9" width="4.375" style="86" customWidth="1"/>
    <col min="10" max="10" width="13.25" style="86" customWidth="1"/>
    <col min="11" max="11" width="18.25" style="86" customWidth="1"/>
    <col min="12" max="12" width="11.375" style="88" customWidth="1"/>
    <col min="13" max="13" width="10.375" style="88" customWidth="1"/>
    <col min="14" max="14" width="27.875" style="86" customWidth="1"/>
    <col min="15" max="17" width="11.375" style="89" customWidth="1"/>
    <col min="18" max="18" width="11.25" style="90" customWidth="1"/>
    <col min="19" max="19" width="13.625" style="90" customWidth="1"/>
    <col min="20" max="20" width="10.5" style="90" customWidth="1"/>
    <col min="21" max="21" width="10.125" style="91" customWidth="1"/>
    <col min="22" max="22" width="10.375" style="91" customWidth="1"/>
    <col min="23" max="23" width="10.75" style="91" customWidth="1"/>
    <col min="24" max="24" width="11.5" style="91" customWidth="1"/>
    <col min="25" max="25" width="11.125" style="91" customWidth="1"/>
    <col min="26" max="26" width="11" style="91" customWidth="1"/>
    <col min="27" max="27" width="11.25" style="91" customWidth="1"/>
    <col min="28" max="28" width="11" style="91" customWidth="1"/>
    <col min="29" max="29" width="11.625" style="91" customWidth="1"/>
    <col min="30" max="30" width="10.625" style="91" customWidth="1"/>
    <col min="31" max="31" width="11.5" style="91" customWidth="1"/>
    <col min="32" max="32" width="10" style="414" customWidth="1"/>
    <col min="33" max="33" width="10.125" style="91" customWidth="1"/>
    <col min="34" max="34" width="11.125" style="91" customWidth="1"/>
    <col min="35" max="35" width="11.25" style="91" customWidth="1"/>
    <col min="36" max="36" width="11.875" style="91" customWidth="1"/>
    <col min="37" max="44" width="12.375" style="91" customWidth="1"/>
    <col min="45" max="45" width="12.375" style="82" customWidth="1"/>
    <col min="46" max="46" width="12.375" style="92" customWidth="1"/>
    <col min="47" max="49" width="12" style="84" customWidth="1"/>
    <col min="50" max="50" width="12.375" style="92" customWidth="1"/>
    <col min="51" max="51" width="12.375" style="93" customWidth="1"/>
    <col min="52" max="52" width="28.625" style="93" customWidth="1"/>
    <col min="53" max="53" width="32.625" style="94" customWidth="1" outlineLevel="1"/>
    <col min="54" max="54" width="14.25" style="86" customWidth="1" outlineLevel="1"/>
    <col min="55" max="55" width="13.125" style="86" customWidth="1" outlineLevel="1"/>
    <col min="56" max="56" width="15.25" style="86" customWidth="1" outlineLevel="1"/>
    <col min="57" max="57" width="14.125" style="86" customWidth="1" outlineLevel="1"/>
    <col min="58" max="59" width="13.625" style="86" customWidth="1" outlineLevel="1"/>
    <col min="60" max="60" width="13.75" style="86" customWidth="1" outlineLevel="1"/>
    <col min="61" max="63" width="15.875" style="86" customWidth="1" outlineLevel="1"/>
    <col min="64" max="66" width="14.25" style="86" customWidth="1" outlineLevel="1"/>
    <col min="67" max="16384" width="8" style="86"/>
  </cols>
  <sheetData>
    <row r="1" spans="1:66" ht="69.75" customHeight="1" x14ac:dyDescent="0.3">
      <c r="A1" s="81" t="s">
        <v>955</v>
      </c>
      <c r="B1" s="81"/>
      <c r="C1" s="81"/>
      <c r="D1" s="81"/>
      <c r="E1" s="81"/>
      <c r="F1" s="81"/>
      <c r="G1" s="81"/>
      <c r="H1" s="81"/>
      <c r="I1" s="81"/>
      <c r="J1" s="81"/>
      <c r="K1" s="81"/>
      <c r="L1" s="81"/>
      <c r="M1" s="81"/>
      <c r="N1" s="81"/>
      <c r="O1" s="81"/>
      <c r="P1" s="81"/>
      <c r="Q1" s="81"/>
      <c r="R1" s="81"/>
      <c r="S1" s="81"/>
      <c r="T1" s="81"/>
      <c r="U1" s="81"/>
      <c r="V1" s="82"/>
      <c r="W1" s="82"/>
      <c r="X1" s="82"/>
      <c r="Y1" s="82"/>
      <c r="Z1" s="82"/>
      <c r="AA1" s="82"/>
      <c r="AB1" s="82"/>
      <c r="AC1" s="82"/>
      <c r="AD1" s="82"/>
      <c r="AE1" s="82"/>
      <c r="AF1" s="413"/>
      <c r="AG1" s="82"/>
      <c r="AH1" s="82"/>
      <c r="AI1" s="82"/>
      <c r="AJ1" s="82"/>
      <c r="AK1" s="82"/>
      <c r="AL1" s="82"/>
      <c r="AM1" s="82"/>
      <c r="AN1" s="82"/>
      <c r="AO1" s="82"/>
      <c r="AP1" s="82"/>
      <c r="AQ1" s="82"/>
      <c r="AR1" s="82"/>
      <c r="AT1" s="83"/>
      <c r="AX1" s="83"/>
      <c r="AY1" s="85"/>
      <c r="AZ1" s="85"/>
      <c r="BA1" s="85"/>
      <c r="BB1" s="85"/>
      <c r="BC1" s="85"/>
      <c r="BD1" s="85"/>
      <c r="BE1" s="85"/>
      <c r="BF1" s="85"/>
      <c r="BG1" s="85"/>
      <c r="BH1" s="85"/>
      <c r="BJ1" s="85"/>
      <c r="BK1" s="85"/>
      <c r="BL1" s="85"/>
      <c r="BM1" s="85"/>
      <c r="BN1" s="85"/>
    </row>
    <row r="2" spans="1:66" ht="12" customHeight="1" x14ac:dyDescent="0.2">
      <c r="A2" s="385">
        <v>42865</v>
      </c>
      <c r="B2" s="385"/>
      <c r="C2" s="385"/>
    </row>
    <row r="3" spans="1:66" s="96" customFormat="1" ht="12.75" customHeight="1" x14ac:dyDescent="0.25">
      <c r="A3" s="386" t="s">
        <v>956</v>
      </c>
      <c r="B3" s="386" t="s">
        <v>957</v>
      </c>
      <c r="C3" s="386" t="s">
        <v>549</v>
      </c>
      <c r="D3" s="387" t="s">
        <v>958</v>
      </c>
      <c r="E3" s="386" t="s">
        <v>550</v>
      </c>
      <c r="F3" s="387" t="s">
        <v>959</v>
      </c>
      <c r="G3" s="387" t="s">
        <v>551</v>
      </c>
      <c r="H3" s="387" t="s">
        <v>960</v>
      </c>
      <c r="I3" s="387" t="s">
        <v>961</v>
      </c>
      <c r="J3" s="387" t="s">
        <v>552</v>
      </c>
      <c r="K3" s="387" t="s">
        <v>553</v>
      </c>
      <c r="L3" s="388" t="s">
        <v>962</v>
      </c>
      <c r="M3" s="388" t="s">
        <v>963</v>
      </c>
      <c r="N3" s="387" t="s">
        <v>554</v>
      </c>
      <c r="O3" s="389" t="s">
        <v>964</v>
      </c>
      <c r="P3" s="389" t="s">
        <v>965</v>
      </c>
      <c r="Q3" s="389" t="s">
        <v>966</v>
      </c>
      <c r="R3" s="390" t="s">
        <v>967</v>
      </c>
      <c r="S3" s="390" t="s">
        <v>968</v>
      </c>
      <c r="T3" s="390" t="s">
        <v>969</v>
      </c>
      <c r="U3" s="391" t="s">
        <v>970</v>
      </c>
      <c r="V3" s="392"/>
      <c r="W3" s="392"/>
      <c r="X3" s="392"/>
      <c r="Y3" s="392"/>
      <c r="Z3" s="392"/>
      <c r="AA3" s="392"/>
      <c r="AB3" s="392"/>
      <c r="AC3" s="392"/>
      <c r="AD3" s="392"/>
      <c r="AE3" s="392"/>
      <c r="AF3" s="415"/>
      <c r="AG3" s="392"/>
      <c r="AH3" s="392"/>
      <c r="AI3" s="392"/>
      <c r="AJ3" s="392"/>
      <c r="AK3" s="392"/>
      <c r="AL3" s="392"/>
      <c r="AM3" s="392"/>
      <c r="AN3" s="392"/>
      <c r="AO3" s="392"/>
      <c r="AP3" s="392"/>
      <c r="AQ3" s="392"/>
      <c r="AR3" s="393"/>
      <c r="AS3" s="387" t="s">
        <v>971</v>
      </c>
      <c r="AT3" s="390" t="s">
        <v>972</v>
      </c>
      <c r="AU3" s="394" t="s">
        <v>973</v>
      </c>
      <c r="AV3" s="394"/>
      <c r="AW3" s="394"/>
      <c r="AX3" s="390" t="s">
        <v>974</v>
      </c>
      <c r="AY3" s="390" t="s">
        <v>975</v>
      </c>
      <c r="AZ3" s="387" t="s">
        <v>976</v>
      </c>
      <c r="BA3" s="395" t="s">
        <v>977</v>
      </c>
      <c r="BB3" s="95"/>
      <c r="BC3" s="396" t="s">
        <v>978</v>
      </c>
      <c r="BD3" s="396"/>
      <c r="BE3" s="396"/>
      <c r="BF3" s="396"/>
      <c r="BG3" s="396"/>
      <c r="BH3" s="397" t="s">
        <v>979</v>
      </c>
      <c r="BI3" s="398"/>
      <c r="BJ3" s="398"/>
      <c r="BK3" s="398"/>
      <c r="BL3" s="398"/>
      <c r="BM3" s="398"/>
      <c r="BN3" s="398"/>
    </row>
    <row r="4" spans="1:66" s="98" customFormat="1" ht="51" customHeight="1" x14ac:dyDescent="0.25">
      <c r="A4" s="399"/>
      <c r="B4" s="399"/>
      <c r="C4" s="399"/>
      <c r="D4" s="400"/>
      <c r="E4" s="399"/>
      <c r="F4" s="400"/>
      <c r="G4" s="400"/>
      <c r="H4" s="400"/>
      <c r="I4" s="400"/>
      <c r="J4" s="400"/>
      <c r="K4" s="400"/>
      <c r="L4" s="401"/>
      <c r="M4" s="401"/>
      <c r="N4" s="400"/>
      <c r="O4" s="402"/>
      <c r="P4" s="402"/>
      <c r="Q4" s="402"/>
      <c r="R4" s="403"/>
      <c r="S4" s="403"/>
      <c r="T4" s="403"/>
      <c r="U4" s="404">
        <v>2014</v>
      </c>
      <c r="V4" s="404">
        <v>2015</v>
      </c>
      <c r="W4" s="404">
        <v>2016</v>
      </c>
      <c r="X4" s="404" t="s">
        <v>980</v>
      </c>
      <c r="Y4" s="97">
        <v>2017</v>
      </c>
      <c r="Z4" s="97">
        <v>2017</v>
      </c>
      <c r="AA4" s="97">
        <v>2017</v>
      </c>
      <c r="AB4" s="97">
        <v>2017</v>
      </c>
      <c r="AC4" s="97">
        <v>2017</v>
      </c>
      <c r="AD4" s="97">
        <v>2017</v>
      </c>
      <c r="AE4" s="97">
        <v>2017</v>
      </c>
      <c r="AF4" s="416">
        <v>2017</v>
      </c>
      <c r="AG4" s="97">
        <v>2017</v>
      </c>
      <c r="AH4" s="97">
        <v>2017</v>
      </c>
      <c r="AI4" s="97">
        <v>2017</v>
      </c>
      <c r="AJ4" s="97">
        <v>2017</v>
      </c>
      <c r="AK4" s="387">
        <v>2017</v>
      </c>
      <c r="AL4" s="387">
        <v>2018</v>
      </c>
      <c r="AM4" s="404">
        <v>2019</v>
      </c>
      <c r="AN4" s="404">
        <v>2020</v>
      </c>
      <c r="AO4" s="404">
        <v>2021</v>
      </c>
      <c r="AP4" s="404">
        <v>2022</v>
      </c>
      <c r="AQ4" s="404">
        <v>2023</v>
      </c>
      <c r="AR4" s="404">
        <v>2024</v>
      </c>
      <c r="AS4" s="400"/>
      <c r="AT4" s="403"/>
      <c r="AU4" s="405"/>
      <c r="AV4" s="405" t="s">
        <v>2819</v>
      </c>
      <c r="AW4" s="405" t="s">
        <v>2820</v>
      </c>
      <c r="AX4" s="403"/>
      <c r="AY4" s="403"/>
      <c r="AZ4" s="400"/>
      <c r="BA4" s="395"/>
      <c r="BB4" s="387" t="s">
        <v>981</v>
      </c>
      <c r="BC4" s="387" t="s">
        <v>982</v>
      </c>
      <c r="BD4" s="387" t="s">
        <v>983</v>
      </c>
      <c r="BE4" s="387" t="s">
        <v>984</v>
      </c>
      <c r="BF4" s="387" t="s">
        <v>985</v>
      </c>
      <c r="BG4" s="387" t="s">
        <v>986</v>
      </c>
      <c r="BH4" s="406" t="s">
        <v>987</v>
      </c>
      <c r="BI4" s="406" t="s">
        <v>988</v>
      </c>
      <c r="BJ4" s="406" t="s">
        <v>989</v>
      </c>
      <c r="BK4" s="406" t="s">
        <v>990</v>
      </c>
      <c r="BL4" s="406" t="s">
        <v>991</v>
      </c>
      <c r="BM4" s="406" t="s">
        <v>992</v>
      </c>
      <c r="BN4" s="406" t="s">
        <v>993</v>
      </c>
    </row>
    <row r="5" spans="1:66" s="100" customFormat="1" x14ac:dyDescent="0.25">
      <c r="A5" s="399"/>
      <c r="B5" s="399"/>
      <c r="C5" s="399"/>
      <c r="D5" s="400"/>
      <c r="E5" s="399"/>
      <c r="F5" s="400"/>
      <c r="G5" s="400"/>
      <c r="H5" s="400"/>
      <c r="I5" s="400"/>
      <c r="J5" s="400"/>
      <c r="K5" s="400"/>
      <c r="L5" s="401"/>
      <c r="M5" s="401"/>
      <c r="N5" s="400"/>
      <c r="O5" s="402"/>
      <c r="P5" s="402"/>
      <c r="Q5" s="402"/>
      <c r="R5" s="104"/>
      <c r="S5" s="104"/>
      <c r="T5" s="104"/>
      <c r="U5" s="404"/>
      <c r="V5" s="404"/>
      <c r="W5" s="404"/>
      <c r="X5" s="404"/>
      <c r="Y5" s="99" t="s">
        <v>994</v>
      </c>
      <c r="Z5" s="99" t="s">
        <v>995</v>
      </c>
      <c r="AA5" s="99" t="s">
        <v>996</v>
      </c>
      <c r="AB5" s="99" t="s">
        <v>997</v>
      </c>
      <c r="AC5" s="99" t="s">
        <v>998</v>
      </c>
      <c r="AD5" s="99" t="s">
        <v>999</v>
      </c>
      <c r="AE5" s="99" t="s">
        <v>1000</v>
      </c>
      <c r="AF5" s="417" t="s">
        <v>556</v>
      </c>
      <c r="AG5" s="99" t="s">
        <v>557</v>
      </c>
      <c r="AH5" s="99" t="s">
        <v>558</v>
      </c>
      <c r="AI5" s="99" t="s">
        <v>559</v>
      </c>
      <c r="AJ5" s="99" t="s">
        <v>560</v>
      </c>
      <c r="AK5" s="407"/>
      <c r="AL5" s="407"/>
      <c r="AM5" s="404"/>
      <c r="AN5" s="404"/>
      <c r="AO5" s="404"/>
      <c r="AP5" s="404"/>
      <c r="AQ5" s="404"/>
      <c r="AR5" s="404"/>
      <c r="AS5" s="407"/>
      <c r="AT5" s="104"/>
      <c r="AU5" s="408"/>
      <c r="AV5" s="408"/>
      <c r="AW5" s="408"/>
      <c r="AX5" s="104"/>
      <c r="AY5" s="104"/>
      <c r="AZ5" s="400"/>
      <c r="BA5" s="395"/>
      <c r="BB5" s="407"/>
      <c r="BC5" s="407"/>
      <c r="BD5" s="407"/>
      <c r="BE5" s="407"/>
      <c r="BF5" s="407"/>
      <c r="BG5" s="407"/>
      <c r="BH5" s="409"/>
      <c r="BI5" s="409"/>
      <c r="BJ5" s="409"/>
      <c r="BK5" s="409"/>
      <c r="BL5" s="409"/>
      <c r="BM5" s="409"/>
      <c r="BN5" s="409"/>
    </row>
    <row r="6" spans="1:66" s="100" customFormat="1" x14ac:dyDescent="0.25">
      <c r="A6" s="399"/>
      <c r="B6" s="399"/>
      <c r="C6" s="399"/>
      <c r="D6" s="400"/>
      <c r="E6" s="399"/>
      <c r="F6" s="400"/>
      <c r="G6" s="400"/>
      <c r="H6" s="400"/>
      <c r="I6" s="400"/>
      <c r="J6" s="400"/>
      <c r="K6" s="400"/>
      <c r="L6" s="401"/>
      <c r="M6" s="401"/>
      <c r="N6" s="400"/>
      <c r="O6" s="402"/>
      <c r="P6" s="402"/>
      <c r="Q6" s="402"/>
      <c r="R6" s="101" t="s">
        <v>77</v>
      </c>
      <c r="S6" s="102">
        <f t="shared" ref="S6:AT6" si="0">S150+S959+S985+S1137+S1572</f>
        <v>550574446.70000005</v>
      </c>
      <c r="T6" s="102">
        <f t="shared" si="0"/>
        <v>32088379.251675285</v>
      </c>
      <c r="U6" s="103">
        <f t="shared" si="0"/>
        <v>0</v>
      </c>
      <c r="V6" s="103">
        <f t="shared" si="0"/>
        <v>5299594.9899999993</v>
      </c>
      <c r="W6" s="103">
        <f t="shared" si="0"/>
        <v>22224905.780000001</v>
      </c>
      <c r="X6" s="103">
        <f t="shared" si="0"/>
        <v>27524500.77</v>
      </c>
      <c r="Y6" s="103">
        <f t="shared" si="0"/>
        <v>3235482.6099999994</v>
      </c>
      <c r="Z6" s="103">
        <f t="shared" si="0"/>
        <v>4237861.2200000007</v>
      </c>
      <c r="AA6" s="103">
        <f t="shared" si="0"/>
        <v>897318.57000000007</v>
      </c>
      <c r="AB6" s="103">
        <f t="shared" si="0"/>
        <v>5070493.0599999996</v>
      </c>
      <c r="AC6" s="103">
        <f t="shared" si="0"/>
        <v>1297250.42</v>
      </c>
      <c r="AD6" s="103">
        <f t="shared" si="0"/>
        <v>3842222.5500000007</v>
      </c>
      <c r="AE6" s="103">
        <f t="shared" si="0"/>
        <v>10635093.02</v>
      </c>
      <c r="AF6" s="418">
        <f t="shared" si="0"/>
        <v>1990629.42</v>
      </c>
      <c r="AG6" s="103">
        <f t="shared" si="0"/>
        <v>4191487.07</v>
      </c>
      <c r="AH6" s="103">
        <f t="shared" si="0"/>
        <v>16042817.16</v>
      </c>
      <c r="AI6" s="103">
        <f t="shared" si="0"/>
        <v>2904262.96</v>
      </c>
      <c r="AJ6" s="103">
        <f t="shared" si="0"/>
        <v>3439052.5299999993</v>
      </c>
      <c r="AK6" s="103">
        <f t="shared" si="0"/>
        <v>57783970.589999989</v>
      </c>
      <c r="AL6" s="103">
        <f t="shared" si="0"/>
        <v>119957720.34846154</v>
      </c>
      <c r="AM6" s="103">
        <f t="shared" si="0"/>
        <v>97889132.415443793</v>
      </c>
      <c r="AN6" s="103">
        <f t="shared" si="0"/>
        <v>75658662.33245334</v>
      </c>
      <c r="AO6" s="103">
        <f t="shared" si="0"/>
        <v>58683153.798678964</v>
      </c>
      <c r="AP6" s="103">
        <f t="shared" si="0"/>
        <v>41526910.554962367</v>
      </c>
      <c r="AQ6" s="103">
        <f t="shared" si="0"/>
        <v>8274531.4099999992</v>
      </c>
      <c r="AR6" s="103">
        <f t="shared" si="0"/>
        <v>0</v>
      </c>
      <c r="AS6" s="104">
        <f t="shared" si="0"/>
        <v>487298582.21999997</v>
      </c>
      <c r="AT6" s="104">
        <f t="shared" si="0"/>
        <v>1383161.54</v>
      </c>
      <c r="AU6" s="105"/>
      <c r="AV6" s="105"/>
      <c r="AW6" s="105"/>
      <c r="AX6" s="104">
        <f>AX150+AX959+AX985+AX1137+AX1572</f>
        <v>32570646.768324722</v>
      </c>
      <c r="AY6" s="104">
        <f>AY150+AY959+AY985+AY1137+AY1572</f>
        <v>31194752.109999996</v>
      </c>
      <c r="AZ6" s="400"/>
      <c r="BA6" s="106"/>
      <c r="BB6" s="102">
        <f>BB150+BB959+BB985+BB1137+BB1572</f>
        <v>206102944</v>
      </c>
      <c r="BC6" s="102">
        <f>BC150+BC959+BC985+BC1137+BC1572</f>
        <v>142154059.90423077</v>
      </c>
      <c r="BD6" s="102">
        <f>BD150+BD959+BD985+BD1137+BD1572</f>
        <v>128629263.67667693</v>
      </c>
      <c r="BE6" s="102">
        <f>BE150+BE959+BE985+BE1137+BE1572</f>
        <v>161545599.98303169</v>
      </c>
      <c r="BF6" s="102">
        <f>BF150+BF959+BF985+BF1137+BF1572</f>
        <v>-46859998.428380094</v>
      </c>
      <c r="BG6" s="102"/>
      <c r="BH6" s="107">
        <f t="shared" ref="BH6:BN6" si="1">BH150+BH959+BH985+BH1137+BH1572</f>
        <v>22975677.700000003</v>
      </c>
      <c r="BI6" s="107">
        <f t="shared" si="1"/>
        <v>59705015.933499999</v>
      </c>
      <c r="BJ6" s="107">
        <f t="shared" si="1"/>
        <v>51202283.1972</v>
      </c>
      <c r="BK6" s="107">
        <f t="shared" si="1"/>
        <v>-5878045.1350000044</v>
      </c>
      <c r="BL6" s="107">
        <f t="shared" si="1"/>
        <v>96884819.716644302</v>
      </c>
      <c r="BM6" s="107">
        <f t="shared" si="1"/>
        <v>106216027.81235385</v>
      </c>
      <c r="BN6" s="107">
        <f t="shared" si="1"/>
        <v>16905040.663791317</v>
      </c>
    </row>
    <row r="7" spans="1:66" s="100" customFormat="1" x14ac:dyDescent="0.25">
      <c r="A7" s="399"/>
      <c r="B7" s="399"/>
      <c r="C7" s="399"/>
      <c r="D7" s="400"/>
      <c r="E7" s="399"/>
      <c r="F7" s="400"/>
      <c r="G7" s="400"/>
      <c r="H7" s="400"/>
      <c r="I7" s="400"/>
      <c r="J7" s="400"/>
      <c r="K7" s="400"/>
      <c r="L7" s="401"/>
      <c r="M7" s="401"/>
      <c r="N7" s="400"/>
      <c r="O7" s="402"/>
      <c r="P7" s="402"/>
      <c r="Q7" s="402"/>
      <c r="R7" s="101" t="s">
        <v>5</v>
      </c>
      <c r="S7" s="102">
        <f t="shared" ref="S7:AT7" si="2">S12+S69+S149+S279+S521+S815+S984+S1138+S1603</f>
        <v>2204931885.6100001</v>
      </c>
      <c r="T7" s="102">
        <f t="shared" si="2"/>
        <v>146520895.94603801</v>
      </c>
      <c r="U7" s="103">
        <f t="shared" si="2"/>
        <v>0</v>
      </c>
      <c r="V7" s="103">
        <f t="shared" si="2"/>
        <v>0</v>
      </c>
      <c r="W7" s="103">
        <f t="shared" si="2"/>
        <v>70314633.900000006</v>
      </c>
      <c r="X7" s="103">
        <f t="shared" si="2"/>
        <v>70314633.900000006</v>
      </c>
      <c r="Y7" s="103">
        <f t="shared" si="2"/>
        <v>10506228.510000002</v>
      </c>
      <c r="Z7" s="103">
        <f t="shared" si="2"/>
        <v>4550289.75</v>
      </c>
      <c r="AA7" s="103">
        <f t="shared" si="2"/>
        <v>6915282.8200000012</v>
      </c>
      <c r="AB7" s="103">
        <f t="shared" si="2"/>
        <v>11065923.209999999</v>
      </c>
      <c r="AC7" s="103">
        <f t="shared" si="2"/>
        <v>4263294.74</v>
      </c>
      <c r="AD7" s="103">
        <f t="shared" si="2"/>
        <v>9139819.6600000001</v>
      </c>
      <c r="AE7" s="103">
        <f t="shared" si="2"/>
        <v>24237885.429999996</v>
      </c>
      <c r="AF7" s="418">
        <f t="shared" si="2"/>
        <v>7725200.5000000009</v>
      </c>
      <c r="AG7" s="103">
        <f t="shared" si="2"/>
        <v>23562678.930000003</v>
      </c>
      <c r="AH7" s="103">
        <f t="shared" si="2"/>
        <v>30197759.226500001</v>
      </c>
      <c r="AI7" s="103">
        <f t="shared" si="2"/>
        <v>15487232.502</v>
      </c>
      <c r="AJ7" s="103">
        <f t="shared" si="2"/>
        <v>21990483.929938301</v>
      </c>
      <c r="AK7" s="103">
        <f t="shared" si="2"/>
        <v>169642079.20843825</v>
      </c>
      <c r="AL7" s="103">
        <f t="shared" si="2"/>
        <v>787480380.20603597</v>
      </c>
      <c r="AM7" s="103">
        <f t="shared" si="2"/>
        <v>368174693.01514858</v>
      </c>
      <c r="AN7" s="103">
        <f t="shared" si="2"/>
        <v>220533555.64742535</v>
      </c>
      <c r="AO7" s="103">
        <f t="shared" si="2"/>
        <v>107484585.59999999</v>
      </c>
      <c r="AP7" s="103">
        <f t="shared" si="2"/>
        <v>73039554.109999999</v>
      </c>
      <c r="AQ7" s="103">
        <f t="shared" si="2"/>
        <v>46124563.069999993</v>
      </c>
      <c r="AR7" s="103">
        <f t="shared" si="2"/>
        <v>7243567.0399999991</v>
      </c>
      <c r="AS7" s="104">
        <f t="shared" si="2"/>
        <v>1850037611.7970479</v>
      </c>
      <c r="AT7" s="104">
        <f t="shared" si="2"/>
        <v>19055818.16</v>
      </c>
      <c r="AU7" s="105"/>
      <c r="AV7" s="105"/>
      <c r="AW7" s="105"/>
      <c r="AX7" s="104">
        <f>AX12+AX69+AX149+AX279+AX521+AX815+AX984+AX1138+AX1603</f>
        <v>225510070.56588522</v>
      </c>
      <c r="AY7" s="104">
        <f>AY12+AY69+AY149+AY279+AY521+AY815+AY984+AY1138+AY1603</f>
        <v>209901313.45831913</v>
      </c>
      <c r="AZ7" s="400"/>
      <c r="BA7" s="106"/>
      <c r="BB7" s="102">
        <f>BB12+BB69+BB149+BB279+BB521+BB815+BB984+BB1138+BB1603</f>
        <v>631015169</v>
      </c>
      <c r="BC7" s="102">
        <f>BC12+BC69+BC149+BC279+BC521+BC815+BC984+BC1138+BC1603</f>
        <v>652684089.57645619</v>
      </c>
      <c r="BD7" s="102">
        <f>BD12+BD69+BD149+BD279+BD521+BD815+BD984+BD1138+BD1603</f>
        <v>556012792.96645224</v>
      </c>
      <c r="BE7" s="102">
        <f>BE12+BE69+BE149+BE279+BE521+BE815+BE984+BE1138+BE1603</f>
        <v>696410644.86288524</v>
      </c>
      <c r="BF7" s="102">
        <f>BF12+BF69+BF149+BF279+BF521+BF815+BF984+BF1138+BF1603</f>
        <v>7425391.4832639545</v>
      </c>
      <c r="BG7" s="102"/>
      <c r="BH7" s="107">
        <f t="shared" ref="BH7:BN7" si="3">BH12+BH69+BH149+BH279+BH521+BH815+BH984+BH1138+BH1603</f>
        <v>60034324.740000002</v>
      </c>
      <c r="BI7" s="107">
        <f t="shared" si="3"/>
        <v>211556594.20544839</v>
      </c>
      <c r="BJ7" s="107">
        <f t="shared" si="3"/>
        <v>139752430.8386569</v>
      </c>
      <c r="BK7" s="107">
        <f t="shared" si="3"/>
        <v>-62749097.340293512</v>
      </c>
      <c r="BL7" s="107">
        <f t="shared" si="3"/>
        <v>421033453.08196014</v>
      </c>
      <c r="BM7" s="107">
        <f t="shared" si="3"/>
        <v>669922588.75839078</v>
      </c>
      <c r="BN7" s="107">
        <f t="shared" si="3"/>
        <v>269355165.18995899</v>
      </c>
    </row>
    <row r="8" spans="1:66" s="100" customFormat="1" x14ac:dyDescent="0.25">
      <c r="A8" s="399"/>
      <c r="B8" s="399"/>
      <c r="C8" s="399"/>
      <c r="D8" s="400"/>
      <c r="E8" s="399"/>
      <c r="F8" s="400"/>
      <c r="G8" s="400"/>
      <c r="H8" s="400"/>
      <c r="I8" s="400"/>
      <c r="J8" s="400"/>
      <c r="K8" s="400"/>
      <c r="L8" s="401"/>
      <c r="M8" s="401"/>
      <c r="N8" s="400"/>
      <c r="O8" s="402"/>
      <c r="P8" s="402"/>
      <c r="Q8" s="402"/>
      <c r="R8" s="101" t="s">
        <v>102</v>
      </c>
      <c r="S8" s="102">
        <f t="shared" ref="S8:AT8" si="4">S280+S522+S816+S1649</f>
        <v>1214492193</v>
      </c>
      <c r="T8" s="102">
        <f t="shared" si="4"/>
        <v>66186337.55624155</v>
      </c>
      <c r="U8" s="103">
        <f t="shared" si="4"/>
        <v>0</v>
      </c>
      <c r="V8" s="103">
        <f t="shared" si="4"/>
        <v>37121781.339999996</v>
      </c>
      <c r="W8" s="103">
        <f t="shared" si="4"/>
        <v>72224124.090000004</v>
      </c>
      <c r="X8" s="103">
        <f t="shared" si="4"/>
        <v>109345905.43000001</v>
      </c>
      <c r="Y8" s="103">
        <f t="shared" si="4"/>
        <v>6780826.9000000004</v>
      </c>
      <c r="Z8" s="103">
        <f t="shared" si="4"/>
        <v>6064244.0299999993</v>
      </c>
      <c r="AA8" s="103">
        <f t="shared" si="4"/>
        <v>10887300.02</v>
      </c>
      <c r="AB8" s="103">
        <f t="shared" si="4"/>
        <v>2741585.2800000003</v>
      </c>
      <c r="AC8" s="103">
        <f t="shared" si="4"/>
        <v>4995007.6999999993</v>
      </c>
      <c r="AD8" s="103">
        <f t="shared" si="4"/>
        <v>757938.95</v>
      </c>
      <c r="AE8" s="103">
        <f t="shared" si="4"/>
        <v>5880142.1699999999</v>
      </c>
      <c r="AF8" s="418">
        <f t="shared" si="4"/>
        <v>8340296.6799999997</v>
      </c>
      <c r="AG8" s="103">
        <f t="shared" si="4"/>
        <v>7594499.5199999996</v>
      </c>
      <c r="AH8" s="103">
        <f t="shared" si="4"/>
        <v>9278619.1799999997</v>
      </c>
      <c r="AI8" s="103">
        <f t="shared" si="4"/>
        <v>12637623.9</v>
      </c>
      <c r="AJ8" s="103">
        <f t="shared" si="4"/>
        <v>11695635.59</v>
      </c>
      <c r="AK8" s="103">
        <f t="shared" si="4"/>
        <v>87653719.919999987</v>
      </c>
      <c r="AL8" s="103">
        <f t="shared" si="4"/>
        <v>317763394.82319778</v>
      </c>
      <c r="AM8" s="103">
        <f t="shared" si="4"/>
        <v>193627758.22306031</v>
      </c>
      <c r="AN8" s="103">
        <f t="shared" si="4"/>
        <v>167739389.63066792</v>
      </c>
      <c r="AO8" s="103">
        <f t="shared" si="4"/>
        <v>82674513.972272336</v>
      </c>
      <c r="AP8" s="103">
        <f t="shared" si="4"/>
        <v>57023617.711454473</v>
      </c>
      <c r="AQ8" s="103">
        <f t="shared" si="4"/>
        <v>82120274</v>
      </c>
      <c r="AR8" s="103">
        <f t="shared" si="4"/>
        <v>0</v>
      </c>
      <c r="AS8" s="104">
        <f t="shared" si="4"/>
        <v>1097948573.7106528</v>
      </c>
      <c r="AT8" s="104">
        <f t="shared" si="4"/>
        <v>31808419.139572389</v>
      </c>
      <c r="AU8" s="105"/>
      <c r="AV8" s="105"/>
      <c r="AW8" s="105"/>
      <c r="AX8" s="104">
        <f>AX280+AX522+AX816+AX1649</f>
        <v>79552129.872678071</v>
      </c>
      <c r="AY8" s="104">
        <f>AY280+AY522+AY816+AY1649</f>
        <v>29388690.460834965</v>
      </c>
      <c r="AZ8" s="400"/>
      <c r="BA8" s="106"/>
      <c r="BB8" s="102">
        <f>BB280+BB522+BB816+BB1649</f>
        <v>383839702</v>
      </c>
      <c r="BC8" s="102">
        <f>BC280+BC522+BC816+BC1649</f>
        <v>342010950.02659887</v>
      </c>
      <c r="BD8" s="102">
        <f>BD280+BD522+BD816+BD1649</f>
        <v>283869088.52207702</v>
      </c>
      <c r="BE8" s="102">
        <f>BE280+BE522+BE816+BE1649</f>
        <v>350281719.12597299</v>
      </c>
      <c r="BF8" s="102">
        <f>BF280+BF522+BF816+BF1649</f>
        <v>0</v>
      </c>
      <c r="BG8" s="102"/>
      <c r="BH8" s="107">
        <f t="shared" ref="BH8:BN8" si="5">BH280+BH522+BH816+BH1649</f>
        <v>107256234.75</v>
      </c>
      <c r="BI8" s="107">
        <f t="shared" si="5"/>
        <v>109270076.06755558</v>
      </c>
      <c r="BJ8" s="107">
        <f t="shared" si="5"/>
        <v>73878510.252999991</v>
      </c>
      <c r="BK8" s="107">
        <f t="shared" si="5"/>
        <v>-36319134.634555586</v>
      </c>
      <c r="BL8" s="107">
        <f t="shared" si="5"/>
        <v>192432726.97744554</v>
      </c>
      <c r="BM8" s="107">
        <f t="shared" si="5"/>
        <v>257519092.50475413</v>
      </c>
      <c r="BN8" s="107">
        <f t="shared" si="5"/>
        <v>76251483.407308593</v>
      </c>
    </row>
    <row r="9" spans="1:66" s="100" customFormat="1" x14ac:dyDescent="0.25">
      <c r="A9" s="399"/>
      <c r="B9" s="399"/>
      <c r="C9" s="399"/>
      <c r="D9" s="400"/>
      <c r="E9" s="399"/>
      <c r="F9" s="400"/>
      <c r="G9" s="400"/>
      <c r="H9" s="400"/>
      <c r="I9" s="400"/>
      <c r="J9" s="400"/>
      <c r="K9" s="400"/>
      <c r="L9" s="401"/>
      <c r="M9" s="401"/>
      <c r="N9" s="400"/>
      <c r="O9" s="402"/>
      <c r="P9" s="402"/>
      <c r="Q9" s="402"/>
      <c r="R9" s="101" t="s">
        <v>1001</v>
      </c>
      <c r="S9" s="102">
        <f>S960</f>
        <v>58021278</v>
      </c>
      <c r="T9" s="102">
        <f t="shared" ref="T9:AK9" si="6">T960</f>
        <v>0</v>
      </c>
      <c r="U9" s="103">
        <f t="shared" si="6"/>
        <v>0</v>
      </c>
      <c r="V9" s="103">
        <f t="shared" si="6"/>
        <v>0</v>
      </c>
      <c r="W9" s="103">
        <f t="shared" si="6"/>
        <v>25160416</v>
      </c>
      <c r="X9" s="103">
        <f t="shared" si="6"/>
        <v>25160416</v>
      </c>
      <c r="Y9" s="103">
        <f t="shared" si="6"/>
        <v>0</v>
      </c>
      <c r="Z9" s="103">
        <f t="shared" si="6"/>
        <v>2617244.7599999998</v>
      </c>
      <c r="AA9" s="103">
        <f t="shared" si="6"/>
        <v>1136152.04</v>
      </c>
      <c r="AB9" s="103">
        <f t="shared" si="6"/>
        <v>1552076.4</v>
      </c>
      <c r="AC9" s="103">
        <f t="shared" si="6"/>
        <v>0</v>
      </c>
      <c r="AD9" s="103">
        <f t="shared" si="6"/>
        <v>1305873</v>
      </c>
      <c r="AE9" s="103">
        <f t="shared" si="6"/>
        <v>2702556.8</v>
      </c>
      <c r="AF9" s="418">
        <f t="shared" si="6"/>
        <v>0</v>
      </c>
      <c r="AG9" s="103">
        <f t="shared" si="6"/>
        <v>3243349.08</v>
      </c>
      <c r="AH9" s="103">
        <f t="shared" si="6"/>
        <v>2702556.8</v>
      </c>
      <c r="AI9" s="103">
        <f t="shared" si="6"/>
        <v>0</v>
      </c>
      <c r="AJ9" s="103">
        <f t="shared" si="6"/>
        <v>3301731.1</v>
      </c>
      <c r="AK9" s="103">
        <f t="shared" si="6"/>
        <v>18561539.979999997</v>
      </c>
      <c r="AL9" s="103">
        <f>AL960</f>
        <v>14299322.020000001</v>
      </c>
      <c r="AM9" s="103">
        <f t="shared" ref="AM9:AY9" si="7">AM960</f>
        <v>0</v>
      </c>
      <c r="AN9" s="103">
        <f t="shared" si="7"/>
        <v>0</v>
      </c>
      <c r="AO9" s="103">
        <f t="shared" si="7"/>
        <v>0</v>
      </c>
      <c r="AP9" s="103">
        <f t="shared" si="7"/>
        <v>0</v>
      </c>
      <c r="AQ9" s="103">
        <f t="shared" si="7"/>
        <v>0</v>
      </c>
      <c r="AR9" s="103">
        <f t="shared" si="7"/>
        <v>0</v>
      </c>
      <c r="AS9" s="104">
        <f t="shared" si="7"/>
        <v>58021278</v>
      </c>
      <c r="AT9" s="104">
        <f t="shared" si="7"/>
        <v>0</v>
      </c>
      <c r="AU9" s="105"/>
      <c r="AV9" s="105"/>
      <c r="AW9" s="105"/>
      <c r="AX9" s="104">
        <f t="shared" si="7"/>
        <v>0</v>
      </c>
      <c r="AY9" s="104">
        <f t="shared" si="7"/>
        <v>0</v>
      </c>
      <c r="AZ9" s="400"/>
      <c r="BA9" s="106"/>
      <c r="BB9" s="102">
        <f>BB960</f>
        <v>63140804</v>
      </c>
      <c r="BC9" s="102">
        <f>BC960</f>
        <v>50871616.990000002</v>
      </c>
      <c r="BD9" s="102">
        <f>BD960</f>
        <v>50871616.990000002</v>
      </c>
      <c r="BE9" s="102">
        <f>BE960</f>
        <v>59848961.164705887</v>
      </c>
      <c r="BF9" s="102">
        <f>BF960</f>
        <v>-3291842.8352941126</v>
      </c>
      <c r="BG9" s="102"/>
      <c r="BH9" s="107">
        <f t="shared" ref="BH9:BN9" si="8">BH960</f>
        <v>20546391.68</v>
      </c>
      <c r="BI9" s="107">
        <f t="shared" si="8"/>
        <v>20659544.390000001</v>
      </c>
      <c r="BJ9" s="107">
        <f t="shared" si="8"/>
        <v>17447847.581199996</v>
      </c>
      <c r="BK9" s="107">
        <f t="shared" si="8"/>
        <v>-1879414.7232000008</v>
      </c>
      <c r="BL9" s="107">
        <f t="shared" si="8"/>
        <v>17218398.780000001</v>
      </c>
      <c r="BM9" s="107">
        <f t="shared" si="8"/>
        <v>0</v>
      </c>
      <c r="BN9" s="107">
        <f t="shared" si="8"/>
        <v>0</v>
      </c>
    </row>
    <row r="10" spans="1:66" s="100" customFormat="1" ht="12" customHeight="1" x14ac:dyDescent="0.25">
      <c r="A10" s="410"/>
      <c r="B10" s="410"/>
      <c r="C10" s="410"/>
      <c r="D10" s="407"/>
      <c r="E10" s="410"/>
      <c r="F10" s="407"/>
      <c r="G10" s="407"/>
      <c r="H10" s="407"/>
      <c r="I10" s="407"/>
      <c r="J10" s="407"/>
      <c r="K10" s="407"/>
      <c r="L10" s="411"/>
      <c r="M10" s="411"/>
      <c r="N10" s="407"/>
      <c r="O10" s="412"/>
      <c r="P10" s="412"/>
      <c r="Q10" s="412"/>
      <c r="R10" s="101" t="s">
        <v>1002</v>
      </c>
      <c r="S10" s="102">
        <f t="shared" ref="S10:AF10" si="9">S9+S8+S7+S6</f>
        <v>4028019803.3100004</v>
      </c>
      <c r="T10" s="102">
        <f t="shared" si="9"/>
        <v>244795612.75395483</v>
      </c>
      <c r="U10" s="103">
        <f t="shared" si="9"/>
        <v>0</v>
      </c>
      <c r="V10" s="103">
        <f t="shared" si="9"/>
        <v>42421376.329999998</v>
      </c>
      <c r="W10" s="103">
        <f t="shared" si="9"/>
        <v>189924079.77000001</v>
      </c>
      <c r="X10" s="103">
        <f t="shared" si="9"/>
        <v>232345456.10000002</v>
      </c>
      <c r="Y10" s="103">
        <f t="shared" si="9"/>
        <v>20522538.020000003</v>
      </c>
      <c r="Z10" s="103">
        <f t="shared" si="9"/>
        <v>17469639.759999998</v>
      </c>
      <c r="AA10" s="103">
        <f t="shared" si="9"/>
        <v>19836053.449999999</v>
      </c>
      <c r="AB10" s="103">
        <f t="shared" si="9"/>
        <v>20430077.949999999</v>
      </c>
      <c r="AC10" s="103">
        <f t="shared" si="9"/>
        <v>10555552.859999999</v>
      </c>
      <c r="AD10" s="103">
        <f t="shared" si="9"/>
        <v>15045854.16</v>
      </c>
      <c r="AE10" s="103">
        <f t="shared" si="9"/>
        <v>43455677.419999994</v>
      </c>
      <c r="AF10" s="418">
        <f t="shared" si="9"/>
        <v>18056126.600000001</v>
      </c>
      <c r="AG10" s="103">
        <f t="shared" ref="AG10:AT10" si="10">AG9+AG8+AG7+AG6</f>
        <v>38592014.600000001</v>
      </c>
      <c r="AH10" s="103">
        <f t="shared" si="10"/>
        <v>58221752.366500005</v>
      </c>
      <c r="AI10" s="103">
        <f t="shared" si="10"/>
        <v>31029119.362000003</v>
      </c>
      <c r="AJ10" s="103">
        <f t="shared" si="10"/>
        <v>40426903.1499383</v>
      </c>
      <c r="AK10" s="103">
        <f t="shared" si="10"/>
        <v>333641309.69843823</v>
      </c>
      <c r="AL10" s="103">
        <f t="shared" si="10"/>
        <v>1239500817.3976953</v>
      </c>
      <c r="AM10" s="103">
        <f t="shared" si="10"/>
        <v>659691583.65365267</v>
      </c>
      <c r="AN10" s="103">
        <f t="shared" si="10"/>
        <v>463931607.61054659</v>
      </c>
      <c r="AO10" s="103">
        <f t="shared" si="10"/>
        <v>248842253.37095129</v>
      </c>
      <c r="AP10" s="103">
        <f t="shared" si="10"/>
        <v>171590082.37641683</v>
      </c>
      <c r="AQ10" s="103">
        <f t="shared" si="10"/>
        <v>136519368.47999999</v>
      </c>
      <c r="AR10" s="103">
        <f t="shared" si="10"/>
        <v>7243567.0399999991</v>
      </c>
      <c r="AS10" s="104">
        <f t="shared" si="10"/>
        <v>3493306045.7277007</v>
      </c>
      <c r="AT10" s="104">
        <f t="shared" si="10"/>
        <v>52247398.839572392</v>
      </c>
      <c r="AU10" s="105"/>
      <c r="AV10" s="105"/>
      <c r="AW10" s="105"/>
      <c r="AX10" s="104">
        <f>AX9+AX8+AX7+AX6</f>
        <v>337632847.20688802</v>
      </c>
      <c r="AY10" s="104">
        <f>AY9+AY8+AY7+AY6</f>
        <v>270484756.02915412</v>
      </c>
      <c r="AZ10" s="407"/>
      <c r="BA10" s="106"/>
      <c r="BB10" s="102">
        <f>BB9+BB8+BB7+BB6</f>
        <v>1284098619</v>
      </c>
      <c r="BC10" s="102">
        <f>BC9+BC8+BC7+BC6</f>
        <v>1187720716.4972858</v>
      </c>
      <c r="BD10" s="102">
        <f>BD9+BD8+BD7+BD6</f>
        <v>1019382762.1552062</v>
      </c>
      <c r="BE10" s="102">
        <f>BE9+BE8+BE7+BE6</f>
        <v>1268086925.1365957</v>
      </c>
      <c r="BF10" s="102">
        <f>BF9+BF8+BF7+BF6</f>
        <v>-42726449.780410253</v>
      </c>
      <c r="BG10" s="102"/>
      <c r="BH10" s="107">
        <f t="shared" ref="BH10:BN10" si="11">BH9+BH8+BH7+BH6</f>
        <v>210812628.87</v>
      </c>
      <c r="BI10" s="107">
        <f t="shared" si="11"/>
        <v>401191230.59650397</v>
      </c>
      <c r="BJ10" s="107">
        <f t="shared" si="11"/>
        <v>282281071.87005687</v>
      </c>
      <c r="BK10" s="107">
        <f t="shared" si="11"/>
        <v>-106825691.8330491</v>
      </c>
      <c r="BL10" s="107">
        <f t="shared" si="11"/>
        <v>727569398.55604994</v>
      </c>
      <c r="BM10" s="107">
        <f t="shared" si="11"/>
        <v>1033657709.0754988</v>
      </c>
      <c r="BN10" s="107">
        <f t="shared" si="11"/>
        <v>362511689.26105887</v>
      </c>
    </row>
    <row r="11" spans="1:66" s="119" customFormat="1" x14ac:dyDescent="0.2">
      <c r="A11" s="108">
        <v>1</v>
      </c>
      <c r="B11" s="109">
        <v>2</v>
      </c>
      <c r="C11" s="110">
        <v>3</v>
      </c>
      <c r="D11" s="111">
        <v>4</v>
      </c>
      <c r="E11" s="110">
        <v>5</v>
      </c>
      <c r="F11" s="110">
        <v>6</v>
      </c>
      <c r="G11" s="110">
        <v>7</v>
      </c>
      <c r="H11" s="110" t="s">
        <v>1003</v>
      </c>
      <c r="I11" s="110" t="s">
        <v>1004</v>
      </c>
      <c r="J11" s="109">
        <v>8</v>
      </c>
      <c r="K11" s="109">
        <v>9</v>
      </c>
      <c r="L11" s="112" t="s">
        <v>1005</v>
      </c>
      <c r="M11" s="112" t="s">
        <v>1006</v>
      </c>
      <c r="N11" s="109">
        <v>10</v>
      </c>
      <c r="O11" s="109">
        <v>11</v>
      </c>
      <c r="P11" s="109" t="s">
        <v>1007</v>
      </c>
      <c r="Q11" s="109"/>
      <c r="R11" s="113">
        <v>12</v>
      </c>
      <c r="S11" s="113">
        <v>13</v>
      </c>
      <c r="T11" s="113">
        <v>14</v>
      </c>
      <c r="U11" s="109">
        <v>15</v>
      </c>
      <c r="V11" s="109">
        <v>16</v>
      </c>
      <c r="W11" s="109">
        <v>17</v>
      </c>
      <c r="X11" s="114" t="s">
        <v>1008</v>
      </c>
      <c r="Y11" s="109">
        <v>18</v>
      </c>
      <c r="Z11" s="109">
        <v>19</v>
      </c>
      <c r="AA11" s="109">
        <v>20</v>
      </c>
      <c r="AB11" s="109">
        <v>21</v>
      </c>
      <c r="AC11" s="109">
        <v>22</v>
      </c>
      <c r="AD11" s="109">
        <v>23</v>
      </c>
      <c r="AE11" s="109">
        <v>24</v>
      </c>
      <c r="AF11" s="419">
        <v>25</v>
      </c>
      <c r="AG11" s="109">
        <v>26</v>
      </c>
      <c r="AH11" s="109">
        <v>27</v>
      </c>
      <c r="AI11" s="109">
        <v>28</v>
      </c>
      <c r="AJ11" s="109">
        <v>29</v>
      </c>
      <c r="AK11" s="109">
        <v>30</v>
      </c>
      <c r="AL11" s="109">
        <v>31</v>
      </c>
      <c r="AM11" s="109">
        <v>32</v>
      </c>
      <c r="AN11" s="109">
        <v>33</v>
      </c>
      <c r="AO11" s="109">
        <v>34</v>
      </c>
      <c r="AP11" s="109">
        <v>35</v>
      </c>
      <c r="AQ11" s="109">
        <v>36</v>
      </c>
      <c r="AR11" s="109">
        <v>37</v>
      </c>
      <c r="AS11" s="108">
        <v>38</v>
      </c>
      <c r="AT11" s="115">
        <v>39</v>
      </c>
      <c r="AU11" s="116" t="s">
        <v>1009</v>
      </c>
      <c r="AV11" s="116"/>
      <c r="AW11" s="116"/>
      <c r="AX11" s="117" t="s">
        <v>1010</v>
      </c>
      <c r="AY11" s="115">
        <v>42</v>
      </c>
      <c r="AZ11" s="115">
        <v>43</v>
      </c>
      <c r="BA11" s="118">
        <v>44</v>
      </c>
      <c r="BB11" s="109">
        <v>45</v>
      </c>
      <c r="BC11" s="109" t="s">
        <v>1011</v>
      </c>
      <c r="BD11" s="109" t="s">
        <v>1012</v>
      </c>
      <c r="BE11" s="109" t="s">
        <v>1013</v>
      </c>
      <c r="BF11" s="109" t="s">
        <v>1014</v>
      </c>
      <c r="BG11" s="109">
        <v>49</v>
      </c>
      <c r="BH11" s="109">
        <v>50</v>
      </c>
      <c r="BI11" s="109">
        <v>51</v>
      </c>
      <c r="BJ11" s="109" t="s">
        <v>1015</v>
      </c>
      <c r="BK11" s="109" t="s">
        <v>1016</v>
      </c>
      <c r="BL11" s="109">
        <v>54</v>
      </c>
      <c r="BM11" s="109" t="s">
        <v>1017</v>
      </c>
      <c r="BN11" s="109" t="s">
        <v>1018</v>
      </c>
    </row>
    <row r="12" spans="1:66" s="126" customFormat="1" ht="12.75" hidden="1" customHeight="1" x14ac:dyDescent="0.2">
      <c r="A12" s="120" t="s">
        <v>1019</v>
      </c>
      <c r="B12" s="120" t="s">
        <v>1020</v>
      </c>
      <c r="C12" s="121" t="s">
        <v>5</v>
      </c>
      <c r="D12" s="122" t="s">
        <v>1021</v>
      </c>
      <c r="E12" s="121"/>
      <c r="F12" s="121"/>
      <c r="G12" s="121" t="s">
        <v>5</v>
      </c>
      <c r="H12" s="121"/>
      <c r="I12" s="121" t="s">
        <v>1022</v>
      </c>
      <c r="J12" s="123"/>
      <c r="K12" s="123"/>
      <c r="L12" s="123"/>
      <c r="M12" s="123"/>
      <c r="N12" s="123"/>
      <c r="O12" s="123"/>
      <c r="P12" s="123"/>
      <c r="Q12" s="123"/>
      <c r="R12" s="124"/>
      <c r="S12" s="125">
        <f t="shared" ref="S12:AF12" si="12">S13+S54+S59</f>
        <v>232268872</v>
      </c>
      <c r="T12" s="125">
        <f t="shared" si="12"/>
        <v>26615556.871961921</v>
      </c>
      <c r="U12" s="125">
        <f t="shared" si="12"/>
        <v>0</v>
      </c>
      <c r="V12" s="125">
        <f t="shared" si="12"/>
        <v>0</v>
      </c>
      <c r="W12" s="125">
        <f t="shared" si="12"/>
        <v>62087.72</v>
      </c>
      <c r="X12" s="125">
        <f t="shared" si="12"/>
        <v>62087.72</v>
      </c>
      <c r="Y12" s="125">
        <f t="shared" si="12"/>
        <v>108479.69</v>
      </c>
      <c r="Z12" s="125">
        <f t="shared" si="12"/>
        <v>53751.039999999994</v>
      </c>
      <c r="AA12" s="125">
        <f t="shared" si="12"/>
        <v>94605.04</v>
      </c>
      <c r="AB12" s="125">
        <f t="shared" si="12"/>
        <v>75022</v>
      </c>
      <c r="AC12" s="125">
        <f t="shared" si="12"/>
        <v>240760.75</v>
      </c>
      <c r="AD12" s="125">
        <f t="shared" si="12"/>
        <v>197122.48</v>
      </c>
      <c r="AE12" s="125">
        <f t="shared" si="12"/>
        <v>1695474.6500000001</v>
      </c>
      <c r="AF12" s="125">
        <f t="shared" si="12"/>
        <v>202298.86</v>
      </c>
      <c r="AG12" s="125">
        <f t="shared" ref="AG12:AY12" si="13">AG13+AG54+AG59</f>
        <v>1992971.03</v>
      </c>
      <c r="AH12" s="125">
        <f t="shared" si="13"/>
        <v>1929551.1</v>
      </c>
      <c r="AI12" s="125">
        <f t="shared" si="13"/>
        <v>1780394.0300000003</v>
      </c>
      <c r="AJ12" s="125">
        <f t="shared" si="13"/>
        <v>418719.8</v>
      </c>
      <c r="AK12" s="125">
        <f t="shared" si="13"/>
        <v>8789150.4700000007</v>
      </c>
      <c r="AL12" s="125">
        <f t="shared" si="13"/>
        <v>74800778.600000009</v>
      </c>
      <c r="AM12" s="125">
        <f t="shared" si="13"/>
        <v>43463735.649999999</v>
      </c>
      <c r="AN12" s="125">
        <f t="shared" si="13"/>
        <v>30102474.349999998</v>
      </c>
      <c r="AO12" s="125">
        <f t="shared" si="13"/>
        <v>14948014.079999998</v>
      </c>
      <c r="AP12" s="125">
        <f t="shared" si="13"/>
        <v>9821174.7800000012</v>
      </c>
      <c r="AQ12" s="125">
        <f t="shared" si="13"/>
        <v>4072387.4399999995</v>
      </c>
      <c r="AR12" s="125">
        <f t="shared" si="13"/>
        <v>994014.01</v>
      </c>
      <c r="AS12" s="125">
        <f t="shared" si="13"/>
        <v>187053817.10000002</v>
      </c>
      <c r="AT12" s="125">
        <f t="shared" si="13"/>
        <v>1899309.16</v>
      </c>
      <c r="AU12" s="125">
        <f t="shared" si="13"/>
        <v>185154507.94000003</v>
      </c>
      <c r="AV12" s="125"/>
      <c r="AW12" s="125"/>
      <c r="AX12" s="125">
        <f t="shared" si="13"/>
        <v>20498807.188038055</v>
      </c>
      <c r="AY12" s="125">
        <f t="shared" si="13"/>
        <v>18599466.5</v>
      </c>
      <c r="AZ12" s="125"/>
      <c r="BA12" s="125"/>
      <c r="BB12" s="125">
        <v>83094259</v>
      </c>
      <c r="BC12" s="125">
        <f>BC13+BC54+BC59</f>
        <v>46251627.489999995</v>
      </c>
      <c r="BD12" s="125">
        <f>BD13+BD54+BD59</f>
        <v>44401562.390399992</v>
      </c>
      <c r="BE12" s="125">
        <f>BE13+BE54+BE59</f>
        <v>52237132.223999999</v>
      </c>
      <c r="BF12" s="125">
        <f t="shared" ref="BF12:BN12" si="14">BF13+BF54+BF59</f>
        <v>0</v>
      </c>
      <c r="BG12" s="125">
        <f t="shared" si="14"/>
        <v>0</v>
      </c>
      <c r="BH12" s="125">
        <f t="shared" si="14"/>
        <v>304233.37</v>
      </c>
      <c r="BI12" s="125">
        <f t="shared" si="14"/>
        <v>12747270.992256293</v>
      </c>
      <c r="BJ12" s="125">
        <f>BJ13+BJ54+BJ59</f>
        <v>8437584.4512000009</v>
      </c>
      <c r="BK12" s="125">
        <f>BK13+BK54+BK59</f>
        <v>-4309686.5410562921</v>
      </c>
      <c r="BL12" s="125">
        <f t="shared" si="14"/>
        <v>29024013.89191395</v>
      </c>
      <c r="BM12" s="125">
        <f t="shared" si="14"/>
        <v>71808747.456</v>
      </c>
      <c r="BN12" s="125">
        <f t="shared" si="14"/>
        <v>42784733.564086042</v>
      </c>
    </row>
    <row r="13" spans="1:66" s="126" customFormat="1" ht="25.5" hidden="1" x14ac:dyDescent="0.2">
      <c r="A13" s="127" t="s">
        <v>1019</v>
      </c>
      <c r="B13" s="127" t="s">
        <v>0</v>
      </c>
      <c r="C13" s="127" t="s">
        <v>1023</v>
      </c>
      <c r="D13" s="128" t="s">
        <v>1024</v>
      </c>
      <c r="E13" s="127"/>
      <c r="F13" s="127"/>
      <c r="G13" s="127" t="s">
        <v>5</v>
      </c>
      <c r="H13" s="127"/>
      <c r="I13" s="127"/>
      <c r="J13" s="127"/>
      <c r="K13" s="127"/>
      <c r="L13" s="127"/>
      <c r="M13" s="127"/>
      <c r="N13" s="127"/>
      <c r="O13" s="127"/>
      <c r="P13" s="127"/>
      <c r="Q13" s="127"/>
      <c r="R13" s="128"/>
      <c r="S13" s="129">
        <f t="shared" ref="S13:AF13" si="15">S14+S16+S31+S34+S35</f>
        <v>185059438</v>
      </c>
      <c r="T13" s="129">
        <f t="shared" si="15"/>
        <v>9072706</v>
      </c>
      <c r="U13" s="129">
        <f t="shared" si="15"/>
        <v>0</v>
      </c>
      <c r="V13" s="129">
        <f t="shared" si="15"/>
        <v>0</v>
      </c>
      <c r="W13" s="129">
        <f t="shared" si="15"/>
        <v>44962.61</v>
      </c>
      <c r="X13" s="129">
        <f t="shared" si="15"/>
        <v>44962.61</v>
      </c>
      <c r="Y13" s="129">
        <f t="shared" si="15"/>
        <v>0</v>
      </c>
      <c r="Z13" s="129">
        <f t="shared" si="15"/>
        <v>0</v>
      </c>
      <c r="AA13" s="129">
        <f t="shared" si="15"/>
        <v>94605.04</v>
      </c>
      <c r="AB13" s="129">
        <f t="shared" si="15"/>
        <v>0</v>
      </c>
      <c r="AC13" s="129">
        <f t="shared" si="15"/>
        <v>0</v>
      </c>
      <c r="AD13" s="129">
        <f t="shared" si="15"/>
        <v>197122.48</v>
      </c>
      <c r="AE13" s="129">
        <f t="shared" si="15"/>
        <v>0</v>
      </c>
      <c r="AF13" s="129">
        <f t="shared" si="15"/>
        <v>0</v>
      </c>
      <c r="AG13" s="129">
        <f t="shared" ref="AG13:AY13" si="16">AG14+AG16+AG31+AG34+AG35</f>
        <v>93406.33</v>
      </c>
      <c r="AH13" s="129">
        <f t="shared" si="16"/>
        <v>1641767.2</v>
      </c>
      <c r="AI13" s="129">
        <f t="shared" si="16"/>
        <v>1536057.4500000002</v>
      </c>
      <c r="AJ13" s="129">
        <f t="shared" si="16"/>
        <v>418719.8</v>
      </c>
      <c r="AK13" s="129">
        <f t="shared" si="16"/>
        <v>3981678.3000000003</v>
      </c>
      <c r="AL13" s="129">
        <f t="shared" si="16"/>
        <v>67790881.5</v>
      </c>
      <c r="AM13" s="129">
        <f t="shared" si="16"/>
        <v>37040652.170000002</v>
      </c>
      <c r="AN13" s="129">
        <f t="shared" si="16"/>
        <v>24869061.870000001</v>
      </c>
      <c r="AO13" s="129">
        <f t="shared" si="16"/>
        <v>12064465.129999999</v>
      </c>
      <c r="AP13" s="129">
        <f t="shared" si="16"/>
        <v>7364393.3799999999</v>
      </c>
      <c r="AQ13" s="129">
        <f t="shared" si="16"/>
        <v>3239453.9299999997</v>
      </c>
      <c r="AR13" s="129">
        <f t="shared" si="16"/>
        <v>994014.01</v>
      </c>
      <c r="AS13" s="129">
        <f t="shared" si="16"/>
        <v>157389562.90000004</v>
      </c>
      <c r="AT13" s="129">
        <f t="shared" si="16"/>
        <v>0</v>
      </c>
      <c r="AU13" s="129">
        <f t="shared" si="16"/>
        <v>157389562.90000004</v>
      </c>
      <c r="AV13" s="129"/>
      <c r="AW13" s="129"/>
      <c r="AX13" s="129">
        <f t="shared" si="16"/>
        <v>18597169.099999979</v>
      </c>
      <c r="AY13" s="129">
        <f t="shared" si="16"/>
        <v>18597162</v>
      </c>
      <c r="AZ13" s="129"/>
      <c r="BA13" s="130"/>
      <c r="BB13" s="129">
        <f>BB14+BB16+BB31+BB34+BB35</f>
        <v>0</v>
      </c>
      <c r="BC13" s="129">
        <f>BC14+BC16+BC31+BC34+BC35</f>
        <v>37922081.659999996</v>
      </c>
      <c r="BD13" s="129">
        <f>BC13*0.96</f>
        <v>36405198.393599994</v>
      </c>
      <c r="BE13" s="129">
        <f>BD13/0.85</f>
        <v>42829645.16894117</v>
      </c>
      <c r="BF13" s="129">
        <f>BF14+BF16+BF31+BF34+BF35</f>
        <v>0</v>
      </c>
      <c r="BG13" s="129">
        <f>BG14+BG16+BG31+BG34+BG35</f>
        <v>0</v>
      </c>
      <c r="BH13" s="129">
        <f>BH14+BH16+BH31+BH34+BH35</f>
        <v>5799.1</v>
      </c>
      <c r="BI13" s="129">
        <f>BI14+BI16+BI31+BI34+BI35</f>
        <v>9992919.3940817825</v>
      </c>
      <c r="BJ13" s="129">
        <f>AK13*0.96</f>
        <v>3822411.1680000001</v>
      </c>
      <c r="BK13" s="129">
        <f>BJ13-BI13</f>
        <v>-6170508.226081783</v>
      </c>
      <c r="BL13" s="129">
        <f>BL14+BL16+BL31+BL34+BL35</f>
        <v>23893313.707941599</v>
      </c>
      <c r="BM13" s="129">
        <f>AL13*0.96</f>
        <v>65079246.239999995</v>
      </c>
      <c r="BN13" s="129">
        <f>BM13-BL13</f>
        <v>41185932.532058395</v>
      </c>
    </row>
    <row r="14" spans="1:66" s="91" customFormat="1" ht="25.5" hidden="1" customHeight="1" x14ac:dyDescent="0.2">
      <c r="A14" s="131" t="s">
        <v>1019</v>
      </c>
      <c r="B14" s="132" t="s">
        <v>0</v>
      </c>
      <c r="C14" s="132" t="s">
        <v>1</v>
      </c>
      <c r="D14" s="133" t="s">
        <v>1025</v>
      </c>
      <c r="E14" s="22" t="s">
        <v>3</v>
      </c>
      <c r="F14" s="22" t="s">
        <v>4</v>
      </c>
      <c r="G14" s="22" t="s">
        <v>5</v>
      </c>
      <c r="H14" s="22" t="s">
        <v>3</v>
      </c>
      <c r="I14" s="22" t="s">
        <v>1022</v>
      </c>
      <c r="J14" s="134" t="s">
        <v>1026</v>
      </c>
      <c r="K14" s="133"/>
      <c r="L14" s="133"/>
      <c r="M14" s="133"/>
      <c r="N14" s="133"/>
      <c r="O14" s="135"/>
      <c r="P14" s="135"/>
      <c r="Q14" s="135"/>
      <c r="R14" s="135"/>
      <c r="S14" s="136">
        <v>54424846</v>
      </c>
      <c r="T14" s="136">
        <v>0</v>
      </c>
      <c r="U14" s="137">
        <f>SUM(U15)</f>
        <v>0</v>
      </c>
      <c r="V14" s="137">
        <f>SUM(V15)</f>
        <v>0</v>
      </c>
      <c r="W14" s="137">
        <f>SUM(W15)</f>
        <v>44962.61</v>
      </c>
      <c r="X14" s="138">
        <f>U14+V14+W14</f>
        <v>44962.61</v>
      </c>
      <c r="Y14" s="137">
        <f t="shared" ref="Y14:AF14" si="17">SUM(Y15)</f>
        <v>0</v>
      </c>
      <c r="Z14" s="137">
        <f t="shared" si="17"/>
        <v>0</v>
      </c>
      <c r="AA14" s="137">
        <f t="shared" si="17"/>
        <v>94605.04</v>
      </c>
      <c r="AB14" s="137">
        <f t="shared" si="17"/>
        <v>0</v>
      </c>
      <c r="AC14" s="137">
        <f t="shared" si="17"/>
        <v>0</v>
      </c>
      <c r="AD14" s="137">
        <f t="shared" si="17"/>
        <v>197122.48</v>
      </c>
      <c r="AE14" s="137">
        <f t="shared" si="17"/>
        <v>0</v>
      </c>
      <c r="AF14" s="137">
        <f t="shared" si="17"/>
        <v>0</v>
      </c>
      <c r="AG14" s="137">
        <f t="shared" ref="AG14:AR14" si="18">SUM(AG15)</f>
        <v>93406.33</v>
      </c>
      <c r="AH14" s="137">
        <f t="shared" si="18"/>
        <v>0</v>
      </c>
      <c r="AI14" s="137">
        <f t="shared" si="18"/>
        <v>0</v>
      </c>
      <c r="AJ14" s="137">
        <f t="shared" si="18"/>
        <v>0</v>
      </c>
      <c r="AK14" s="137">
        <f t="shared" si="18"/>
        <v>385133.85000000003</v>
      </c>
      <c r="AL14" s="137">
        <f t="shared" si="18"/>
        <v>8215877.9000000004</v>
      </c>
      <c r="AM14" s="137">
        <f t="shared" si="18"/>
        <v>10045341.42</v>
      </c>
      <c r="AN14" s="137">
        <f t="shared" si="18"/>
        <v>13470569.970000001</v>
      </c>
      <c r="AO14" s="137">
        <f t="shared" si="18"/>
        <v>10665098.93</v>
      </c>
      <c r="AP14" s="137">
        <f t="shared" si="18"/>
        <v>7364393.3799999999</v>
      </c>
      <c r="AQ14" s="137">
        <f t="shared" si="18"/>
        <v>3239453.9299999997</v>
      </c>
      <c r="AR14" s="137">
        <f t="shared" si="18"/>
        <v>994014.01</v>
      </c>
      <c r="AS14" s="137">
        <f t="shared" ref="AS14:AS53" si="19">U14+V14+W14+AK14+AL14+AM14+AN14+AO14+AP14+AQ14+AR14</f>
        <v>54424846</v>
      </c>
      <c r="AT14" s="137">
        <f>AT15</f>
        <v>0</v>
      </c>
      <c r="AU14" s="139">
        <f t="shared" ref="AU14:AU77" si="20">AS14-AT14</f>
        <v>54424846</v>
      </c>
      <c r="AV14" s="146">
        <f>IFERROR(VLOOKUP(J14,Maksājumu_pieprasījumu_iesn.!G:BL,57,0),0)</f>
        <v>0</v>
      </c>
      <c r="AW14" s="139">
        <f>AV14-AU14</f>
        <v>-54424846</v>
      </c>
      <c r="AX14" s="140">
        <f>S14-T14-AU14</f>
        <v>0</v>
      </c>
      <c r="AY14" s="137"/>
      <c r="AZ14" s="137"/>
      <c r="BA14" s="141"/>
      <c r="BB14" s="140"/>
      <c r="BC14" s="140">
        <f>X14+AK14+AL14/2</f>
        <v>4538035.41</v>
      </c>
      <c r="BD14" s="140"/>
      <c r="BE14" s="140">
        <f>BC14/0.85</f>
        <v>5338865.1882352941</v>
      </c>
      <c r="BF14" s="137"/>
      <c r="BG14" s="137"/>
      <c r="BH14" s="138">
        <v>5799.1</v>
      </c>
      <c r="BI14" s="138">
        <v>2302323.4300000002</v>
      </c>
      <c r="BJ14" s="138"/>
      <c r="BK14" s="138"/>
      <c r="BL14" s="138">
        <v>6233836.6200000001</v>
      </c>
      <c r="BM14" s="138"/>
      <c r="BN14" s="138"/>
    </row>
    <row r="15" spans="1:66" ht="25.5" hidden="1" customHeight="1" x14ac:dyDescent="0.2">
      <c r="A15" s="142" t="s">
        <v>1019</v>
      </c>
      <c r="B15" s="18" t="s">
        <v>0</v>
      </c>
      <c r="C15" s="18" t="s">
        <v>1</v>
      </c>
      <c r="D15" s="19" t="s">
        <v>2</v>
      </c>
      <c r="E15" s="18" t="s">
        <v>3</v>
      </c>
      <c r="F15" s="18" t="s">
        <v>4</v>
      </c>
      <c r="G15" s="18" t="s">
        <v>5</v>
      </c>
      <c r="H15" s="18" t="s">
        <v>3</v>
      </c>
      <c r="I15" s="18"/>
      <c r="J15" s="18" t="s">
        <v>6</v>
      </c>
      <c r="K15" s="19" t="s">
        <v>7</v>
      </c>
      <c r="L15" s="19" t="s">
        <v>891</v>
      </c>
      <c r="M15" s="19" t="s">
        <v>4</v>
      </c>
      <c r="N15" s="19" t="s">
        <v>8</v>
      </c>
      <c r="O15" s="143"/>
      <c r="P15" s="143"/>
      <c r="Q15" s="143"/>
      <c r="R15" s="143">
        <v>42606</v>
      </c>
      <c r="S15" s="144">
        <v>54424846</v>
      </c>
      <c r="T15" s="144"/>
      <c r="U15" s="145">
        <v>0</v>
      </c>
      <c r="V15" s="145">
        <v>0</v>
      </c>
      <c r="W15" s="145">
        <v>44962.61</v>
      </c>
      <c r="X15" s="145">
        <f>W15+V15+U15</f>
        <v>44962.61</v>
      </c>
      <c r="Y15" s="145">
        <v>0</v>
      </c>
      <c r="Z15" s="145">
        <v>0</v>
      </c>
      <c r="AA15" s="145">
        <v>94605.04</v>
      </c>
      <c r="AB15" s="145">
        <v>0</v>
      </c>
      <c r="AC15" s="145">
        <v>0</v>
      </c>
      <c r="AD15" s="145">
        <v>197122.48</v>
      </c>
      <c r="AE15" s="145">
        <v>0</v>
      </c>
      <c r="AF15" s="145">
        <v>0</v>
      </c>
      <c r="AG15" s="145">
        <v>93406.33</v>
      </c>
      <c r="AH15" s="145">
        <v>0</v>
      </c>
      <c r="AI15" s="145">
        <v>0</v>
      </c>
      <c r="AJ15" s="145">
        <v>0</v>
      </c>
      <c r="AK15" s="145">
        <f>SUM(Y15:AJ15)</f>
        <v>385133.85000000003</v>
      </c>
      <c r="AL15" s="145">
        <v>8215877.9000000004</v>
      </c>
      <c r="AM15" s="145">
        <v>10045341.42</v>
      </c>
      <c r="AN15" s="145">
        <v>13470569.970000001</v>
      </c>
      <c r="AO15" s="145">
        <v>10665098.93</v>
      </c>
      <c r="AP15" s="145">
        <v>7364393.3799999999</v>
      </c>
      <c r="AQ15" s="145">
        <v>3239453.9299999997</v>
      </c>
      <c r="AR15" s="145">
        <v>994014.01</v>
      </c>
      <c r="AS15" s="144">
        <f t="shared" si="19"/>
        <v>54424846</v>
      </c>
      <c r="AT15" s="144"/>
      <c r="AU15" s="146">
        <f t="shared" si="20"/>
        <v>54424846</v>
      </c>
      <c r="AV15" s="146">
        <f>IFERROR(VLOOKUP(J15,Maksājumu_pieprasījumu_iesn.!G:BL,57,0),0)</f>
        <v>0</v>
      </c>
      <c r="AW15" s="139">
        <f>AV15-AU15</f>
        <v>-54424846</v>
      </c>
      <c r="AX15" s="147">
        <f>S15-T15-AU15</f>
        <v>0</v>
      </c>
      <c r="AY15" s="147"/>
      <c r="AZ15" s="147"/>
      <c r="BA15" s="148"/>
      <c r="BB15" s="144"/>
      <c r="BC15" s="144"/>
      <c r="BD15" s="144"/>
      <c r="BE15" s="144"/>
      <c r="BF15" s="144"/>
      <c r="BG15" s="144"/>
      <c r="BH15" s="149"/>
      <c r="BI15" s="149"/>
      <c r="BJ15" s="149"/>
      <c r="BK15" s="149"/>
      <c r="BL15" s="149"/>
      <c r="BM15" s="149"/>
      <c r="BN15" s="149"/>
    </row>
    <row r="16" spans="1:66" s="91" customFormat="1" ht="25.5" hidden="1" customHeight="1" x14ac:dyDescent="0.2">
      <c r="A16" s="131" t="s">
        <v>1019</v>
      </c>
      <c r="B16" s="132" t="s">
        <v>0</v>
      </c>
      <c r="C16" s="132" t="s">
        <v>1027</v>
      </c>
      <c r="D16" s="133" t="s">
        <v>1028</v>
      </c>
      <c r="E16" s="22" t="s">
        <v>3</v>
      </c>
      <c r="F16" s="22" t="s">
        <v>4</v>
      </c>
      <c r="G16" s="22" t="s">
        <v>5</v>
      </c>
      <c r="H16" s="22" t="s">
        <v>3</v>
      </c>
      <c r="I16" s="22" t="s">
        <v>1022</v>
      </c>
      <c r="J16" s="134" t="s">
        <v>1026</v>
      </c>
      <c r="K16" s="133"/>
      <c r="L16" s="133"/>
      <c r="M16" s="133"/>
      <c r="N16" s="133"/>
      <c r="O16" s="135"/>
      <c r="P16" s="135"/>
      <c r="Q16" s="135"/>
      <c r="R16" s="135"/>
      <c r="S16" s="136">
        <v>102964724</v>
      </c>
      <c r="T16" s="136">
        <v>0</v>
      </c>
      <c r="U16" s="137">
        <f>SUM(U17:U30)</f>
        <v>0</v>
      </c>
      <c r="V16" s="137">
        <f>SUM(V17:V30)</f>
        <v>0</v>
      </c>
      <c r="W16" s="137">
        <f>SUM(W17:W30)</f>
        <v>0</v>
      </c>
      <c r="X16" s="138">
        <f>U16+V16+W16</f>
        <v>0</v>
      </c>
      <c r="Y16" s="137">
        <f t="shared" ref="Y16:AF16" si="21">SUM(Y17:Y30)</f>
        <v>0</v>
      </c>
      <c r="Z16" s="137">
        <f t="shared" si="21"/>
        <v>0</v>
      </c>
      <c r="AA16" s="137">
        <f t="shared" si="21"/>
        <v>0</v>
      </c>
      <c r="AB16" s="137">
        <f t="shared" si="21"/>
        <v>0</v>
      </c>
      <c r="AC16" s="137">
        <f t="shared" si="21"/>
        <v>0</v>
      </c>
      <c r="AD16" s="137">
        <f t="shared" si="21"/>
        <v>0</v>
      </c>
      <c r="AE16" s="137">
        <f t="shared" si="21"/>
        <v>0</v>
      </c>
      <c r="AF16" s="137">
        <f t="shared" si="21"/>
        <v>0</v>
      </c>
      <c r="AG16" s="137">
        <f t="shared" ref="AG16:AR16" si="22">SUM(AG17:AG30)</f>
        <v>0</v>
      </c>
      <c r="AH16" s="137">
        <f t="shared" si="22"/>
        <v>1641767.2</v>
      </c>
      <c r="AI16" s="137">
        <f t="shared" si="22"/>
        <v>1536057.4500000002</v>
      </c>
      <c r="AJ16" s="137">
        <f t="shared" si="22"/>
        <v>418719.8</v>
      </c>
      <c r="AK16" s="137">
        <f t="shared" si="22"/>
        <v>3596544.45</v>
      </c>
      <c r="AL16" s="137">
        <f t="shared" si="22"/>
        <v>59575003.600000001</v>
      </c>
      <c r="AM16" s="137">
        <f t="shared" si="22"/>
        <v>26995310.75</v>
      </c>
      <c r="AN16" s="137">
        <f t="shared" si="22"/>
        <v>11398491.9</v>
      </c>
      <c r="AO16" s="137">
        <f t="shared" si="22"/>
        <v>1399366.2</v>
      </c>
      <c r="AP16" s="137">
        <f t="shared" si="22"/>
        <v>0</v>
      </c>
      <c r="AQ16" s="137">
        <f t="shared" si="22"/>
        <v>0</v>
      </c>
      <c r="AR16" s="137">
        <f t="shared" si="22"/>
        <v>0</v>
      </c>
      <c r="AS16" s="137">
        <f t="shared" si="19"/>
        <v>102964716.90000002</v>
      </c>
      <c r="AT16" s="137">
        <f>SUM(AT17:AT30)</f>
        <v>0</v>
      </c>
      <c r="AU16" s="139">
        <f t="shared" si="20"/>
        <v>102964716.90000002</v>
      </c>
      <c r="AV16" s="146">
        <f>IFERROR(VLOOKUP(J16,Maksājumu_pieprasījumu_iesn.!G:BL,57,0),0)</f>
        <v>0</v>
      </c>
      <c r="AW16" s="139">
        <f t="shared" ref="AW16:AW79" si="23">AV16-AU16</f>
        <v>-102964716.90000002</v>
      </c>
      <c r="AX16" s="140">
        <f>S16-T16-AU16</f>
        <v>7.0999999791383743</v>
      </c>
      <c r="AY16" s="137"/>
      <c r="AZ16" s="137"/>
      <c r="BA16" s="141" t="s">
        <v>1029</v>
      </c>
      <c r="BB16" s="140"/>
      <c r="BC16" s="140">
        <f>X16+AK16+AL16/2</f>
        <v>33384046.25</v>
      </c>
      <c r="BD16" s="140"/>
      <c r="BE16" s="140">
        <f>BC16/0.85</f>
        <v>39275348.529411763</v>
      </c>
      <c r="BF16" s="137"/>
      <c r="BG16" s="137"/>
      <c r="BH16" s="138">
        <v>0</v>
      </c>
      <c r="BI16" s="138">
        <v>6280856.9640817819</v>
      </c>
      <c r="BJ16" s="138"/>
      <c r="BK16" s="138"/>
      <c r="BL16" s="138">
        <v>15203971.0879416</v>
      </c>
      <c r="BM16" s="138"/>
      <c r="BN16" s="138"/>
    </row>
    <row r="17" spans="1:66" s="91" customFormat="1" ht="60" hidden="1" customHeight="1" x14ac:dyDescent="0.2">
      <c r="A17" s="150" t="s">
        <v>1019</v>
      </c>
      <c r="B17" s="18" t="s">
        <v>0</v>
      </c>
      <c r="C17" s="18" t="s">
        <v>1027</v>
      </c>
      <c r="D17" s="19" t="s">
        <v>1028</v>
      </c>
      <c r="E17" s="55" t="s">
        <v>3</v>
      </c>
      <c r="F17" s="55" t="s">
        <v>4</v>
      </c>
      <c r="G17" s="55" t="s">
        <v>5</v>
      </c>
      <c r="H17" s="55" t="s">
        <v>3</v>
      </c>
      <c r="I17" s="55"/>
      <c r="J17" s="55"/>
      <c r="K17" s="19" t="s">
        <v>1030</v>
      </c>
      <c r="L17" s="19" t="s">
        <v>891</v>
      </c>
      <c r="M17" s="19" t="s">
        <v>4</v>
      </c>
      <c r="N17" s="19" t="s">
        <v>1031</v>
      </c>
      <c r="O17" s="151">
        <v>42901</v>
      </c>
      <c r="P17" s="151"/>
      <c r="Q17" s="151"/>
      <c r="R17" s="151"/>
      <c r="S17" s="152"/>
      <c r="T17" s="152"/>
      <c r="U17" s="145">
        <v>0</v>
      </c>
      <c r="V17" s="145">
        <v>0</v>
      </c>
      <c r="W17" s="145">
        <v>0</v>
      </c>
      <c r="X17" s="145">
        <f t="shared" ref="X17:X53" si="24">W17+V17+U17</f>
        <v>0</v>
      </c>
      <c r="Y17" s="145">
        <v>0</v>
      </c>
      <c r="Z17" s="145">
        <v>0</v>
      </c>
      <c r="AA17" s="145">
        <v>0</v>
      </c>
      <c r="AB17" s="145">
        <v>0</v>
      </c>
      <c r="AC17" s="145">
        <v>0</v>
      </c>
      <c r="AD17" s="145">
        <v>0</v>
      </c>
      <c r="AE17" s="145">
        <v>0</v>
      </c>
      <c r="AF17" s="145">
        <v>0</v>
      </c>
      <c r="AG17" s="145">
        <v>0</v>
      </c>
      <c r="AH17" s="145">
        <v>0</v>
      </c>
      <c r="AI17" s="145">
        <v>0</v>
      </c>
      <c r="AJ17" s="145">
        <v>0</v>
      </c>
      <c r="AK17" s="145">
        <f t="shared" ref="AK17:AK27" si="25">SUM(Y17:AJ17)</f>
        <v>0</v>
      </c>
      <c r="AL17" s="145">
        <v>1360000</v>
      </c>
      <c r="AM17" s="145">
        <v>1118770</v>
      </c>
      <c r="AN17" s="145">
        <v>0</v>
      </c>
      <c r="AO17" s="145">
        <v>0</v>
      </c>
      <c r="AP17" s="145">
        <v>0</v>
      </c>
      <c r="AQ17" s="145">
        <v>0</v>
      </c>
      <c r="AR17" s="145">
        <v>0</v>
      </c>
      <c r="AS17" s="145">
        <f t="shared" si="19"/>
        <v>2478770</v>
      </c>
      <c r="AT17" s="145"/>
      <c r="AU17" s="139">
        <f t="shared" si="20"/>
        <v>2478770</v>
      </c>
      <c r="AV17" s="146">
        <f>IFERROR(VLOOKUP(J17,Maksājumu_pieprasījumu_iesn.!G:BL,57,0),0)</f>
        <v>0</v>
      </c>
      <c r="AW17" s="139">
        <f t="shared" si="23"/>
        <v>-2478770</v>
      </c>
      <c r="AX17" s="153"/>
      <c r="AY17" s="153"/>
      <c r="AZ17" s="153"/>
      <c r="BA17" s="154"/>
      <c r="BB17" s="145"/>
      <c r="BC17" s="145"/>
      <c r="BD17" s="145"/>
      <c r="BE17" s="145"/>
      <c r="BF17" s="145"/>
      <c r="BG17" s="145"/>
      <c r="BH17" s="138"/>
      <c r="BI17" s="138"/>
      <c r="BJ17" s="138"/>
      <c r="BK17" s="138"/>
      <c r="BL17" s="138"/>
      <c r="BM17" s="138"/>
      <c r="BN17" s="138"/>
    </row>
    <row r="18" spans="1:66" s="91" customFormat="1" ht="25.5" hidden="1" customHeight="1" x14ac:dyDescent="0.2">
      <c r="A18" s="150" t="s">
        <v>1019</v>
      </c>
      <c r="B18" s="18" t="s">
        <v>0</v>
      </c>
      <c r="C18" s="18" t="s">
        <v>1027</v>
      </c>
      <c r="D18" s="19" t="s">
        <v>1028</v>
      </c>
      <c r="E18" s="55" t="s">
        <v>3</v>
      </c>
      <c r="F18" s="55" t="s">
        <v>4</v>
      </c>
      <c r="G18" s="55" t="s">
        <v>5</v>
      </c>
      <c r="H18" s="55" t="s">
        <v>3</v>
      </c>
      <c r="I18" s="55"/>
      <c r="J18" s="55"/>
      <c r="K18" s="19" t="s">
        <v>1032</v>
      </c>
      <c r="L18" s="19" t="s">
        <v>891</v>
      </c>
      <c r="M18" s="19" t="s">
        <v>4</v>
      </c>
      <c r="N18" s="155" t="s">
        <v>1033</v>
      </c>
      <c r="O18" s="151">
        <v>42916</v>
      </c>
      <c r="P18" s="151"/>
      <c r="Q18" s="151"/>
      <c r="R18" s="151"/>
      <c r="S18" s="152"/>
      <c r="T18" s="152"/>
      <c r="U18" s="145">
        <v>0</v>
      </c>
      <c r="V18" s="145">
        <v>0</v>
      </c>
      <c r="W18" s="145">
        <v>0</v>
      </c>
      <c r="X18" s="145">
        <f t="shared" si="24"/>
        <v>0</v>
      </c>
      <c r="Y18" s="145">
        <v>0</v>
      </c>
      <c r="Z18" s="145">
        <v>0</v>
      </c>
      <c r="AA18" s="145">
        <v>0</v>
      </c>
      <c r="AB18" s="145">
        <v>0</v>
      </c>
      <c r="AC18" s="145">
        <v>0</v>
      </c>
      <c r="AD18" s="145">
        <v>0</v>
      </c>
      <c r="AE18" s="145">
        <v>0</v>
      </c>
      <c r="AF18" s="145">
        <v>0</v>
      </c>
      <c r="AG18" s="145">
        <v>0</v>
      </c>
      <c r="AH18" s="145">
        <v>0</v>
      </c>
      <c r="AI18" s="145">
        <v>13000</v>
      </c>
      <c r="AJ18" s="145">
        <v>1000</v>
      </c>
      <c r="AK18" s="145">
        <f t="shared" si="25"/>
        <v>14000</v>
      </c>
      <c r="AL18" s="145">
        <v>330000</v>
      </c>
      <c r="AM18" s="145">
        <v>200000</v>
      </c>
      <c r="AN18" s="145">
        <v>200000</v>
      </c>
      <c r="AO18" s="145">
        <v>14995</v>
      </c>
      <c r="AP18" s="145">
        <v>0</v>
      </c>
      <c r="AQ18" s="145">
        <v>0</v>
      </c>
      <c r="AR18" s="145">
        <v>0</v>
      </c>
      <c r="AS18" s="145">
        <f t="shared" si="19"/>
        <v>758995</v>
      </c>
      <c r="AT18" s="145"/>
      <c r="AU18" s="139">
        <f t="shared" si="20"/>
        <v>758995</v>
      </c>
      <c r="AV18" s="146">
        <f>IFERROR(VLOOKUP(J18,Maksājumu_pieprasījumu_iesn.!G:BL,57,0),0)</f>
        <v>0</v>
      </c>
      <c r="AW18" s="139">
        <f t="shared" si="23"/>
        <v>-758995</v>
      </c>
      <c r="AX18" s="153"/>
      <c r="AY18" s="153"/>
      <c r="AZ18" s="153"/>
      <c r="BA18" s="154"/>
      <c r="BB18" s="145"/>
      <c r="BC18" s="145"/>
      <c r="BD18" s="145"/>
      <c r="BE18" s="145"/>
      <c r="BF18" s="145"/>
      <c r="BG18" s="145"/>
      <c r="BH18" s="138"/>
      <c r="BI18" s="138"/>
      <c r="BJ18" s="138"/>
      <c r="BK18" s="138"/>
      <c r="BL18" s="138"/>
      <c r="BM18" s="138"/>
      <c r="BN18" s="138"/>
    </row>
    <row r="19" spans="1:66" s="91" customFormat="1" ht="38.25" hidden="1" customHeight="1" x14ac:dyDescent="0.2">
      <c r="A19" s="150" t="s">
        <v>1019</v>
      </c>
      <c r="B19" s="18" t="s">
        <v>0</v>
      </c>
      <c r="C19" s="18" t="s">
        <v>1027</v>
      </c>
      <c r="D19" s="19" t="s">
        <v>1028</v>
      </c>
      <c r="E19" s="55" t="s">
        <v>3</v>
      </c>
      <c r="F19" s="55" t="s">
        <v>4</v>
      </c>
      <c r="G19" s="55" t="s">
        <v>5</v>
      </c>
      <c r="H19" s="55" t="s">
        <v>3</v>
      </c>
      <c r="I19" s="55"/>
      <c r="J19" s="55"/>
      <c r="K19" s="19" t="s">
        <v>1034</v>
      </c>
      <c r="L19" s="19" t="s">
        <v>891</v>
      </c>
      <c r="M19" s="19" t="s">
        <v>4</v>
      </c>
      <c r="N19" s="156" t="s">
        <v>1035</v>
      </c>
      <c r="O19" s="151">
        <v>42885</v>
      </c>
      <c r="P19" s="151"/>
      <c r="Q19" s="151"/>
      <c r="R19" s="151"/>
      <c r="S19" s="152"/>
      <c r="T19" s="152"/>
      <c r="U19" s="145">
        <v>0</v>
      </c>
      <c r="V19" s="145">
        <v>0</v>
      </c>
      <c r="W19" s="145">
        <v>0</v>
      </c>
      <c r="X19" s="145">
        <f t="shared" si="24"/>
        <v>0</v>
      </c>
      <c r="Y19" s="145">
        <v>0</v>
      </c>
      <c r="Z19" s="145">
        <v>0</v>
      </c>
      <c r="AA19" s="145">
        <v>0</v>
      </c>
      <c r="AB19" s="145">
        <v>0</v>
      </c>
      <c r="AC19" s="145">
        <v>0</v>
      </c>
      <c r="AD19" s="145">
        <v>0</v>
      </c>
      <c r="AE19" s="145">
        <v>0</v>
      </c>
      <c r="AF19" s="145">
        <v>0</v>
      </c>
      <c r="AG19" s="145">
        <v>0</v>
      </c>
      <c r="AH19" s="145">
        <v>0</v>
      </c>
      <c r="AI19" s="145">
        <v>0</v>
      </c>
      <c r="AJ19" s="145">
        <v>0</v>
      </c>
      <c r="AK19" s="145">
        <f t="shared" si="25"/>
        <v>0</v>
      </c>
      <c r="AL19" s="145">
        <v>1475716</v>
      </c>
      <c r="AM19" s="145">
        <v>343650</v>
      </c>
      <c r="AN19" s="145">
        <v>560665</v>
      </c>
      <c r="AO19" s="145">
        <v>0</v>
      </c>
      <c r="AP19" s="145">
        <v>0</v>
      </c>
      <c r="AQ19" s="145">
        <v>0</v>
      </c>
      <c r="AR19" s="145">
        <v>0</v>
      </c>
      <c r="AS19" s="145">
        <f t="shared" si="19"/>
        <v>2380031</v>
      </c>
      <c r="AT19" s="145"/>
      <c r="AU19" s="139">
        <f t="shared" si="20"/>
        <v>2380031</v>
      </c>
      <c r="AV19" s="146">
        <f>IFERROR(VLOOKUP(J19,Maksājumu_pieprasījumu_iesn.!G:BL,57,0),0)</f>
        <v>0</v>
      </c>
      <c r="AW19" s="139">
        <f t="shared" si="23"/>
        <v>-2380031</v>
      </c>
      <c r="AX19" s="153"/>
      <c r="AY19" s="153"/>
      <c r="AZ19" s="153"/>
      <c r="BA19" s="154"/>
      <c r="BB19" s="145"/>
      <c r="BC19" s="145"/>
      <c r="BD19" s="145"/>
      <c r="BE19" s="145"/>
      <c r="BF19" s="145"/>
      <c r="BG19" s="145"/>
      <c r="BH19" s="138"/>
      <c r="BI19" s="138"/>
      <c r="BJ19" s="138"/>
      <c r="BK19" s="138"/>
      <c r="BL19" s="138"/>
      <c r="BM19" s="138"/>
      <c r="BN19" s="138"/>
    </row>
    <row r="20" spans="1:66" s="91" customFormat="1" ht="38.25" hidden="1" customHeight="1" x14ac:dyDescent="0.2">
      <c r="A20" s="150" t="s">
        <v>1019</v>
      </c>
      <c r="B20" s="18" t="s">
        <v>0</v>
      </c>
      <c r="C20" s="18" t="s">
        <v>1027</v>
      </c>
      <c r="D20" s="19" t="s">
        <v>1028</v>
      </c>
      <c r="E20" s="55" t="s">
        <v>3</v>
      </c>
      <c r="F20" s="55" t="s">
        <v>4</v>
      </c>
      <c r="G20" s="55" t="s">
        <v>5</v>
      </c>
      <c r="H20" s="55" t="s">
        <v>3</v>
      </c>
      <c r="I20" s="55"/>
      <c r="J20" s="55"/>
      <c r="K20" s="19" t="s">
        <v>1036</v>
      </c>
      <c r="L20" s="19" t="s">
        <v>891</v>
      </c>
      <c r="M20" s="19" t="s">
        <v>4</v>
      </c>
      <c r="N20" s="157" t="s">
        <v>1037</v>
      </c>
      <c r="O20" s="151">
        <v>42886</v>
      </c>
      <c r="P20" s="151"/>
      <c r="Q20" s="151"/>
      <c r="R20" s="151"/>
      <c r="S20" s="152"/>
      <c r="T20" s="152"/>
      <c r="U20" s="145">
        <v>0</v>
      </c>
      <c r="V20" s="145">
        <v>0</v>
      </c>
      <c r="W20" s="145">
        <v>0</v>
      </c>
      <c r="X20" s="145">
        <f t="shared" si="24"/>
        <v>0</v>
      </c>
      <c r="Y20" s="145">
        <v>0</v>
      </c>
      <c r="Z20" s="145">
        <v>0</v>
      </c>
      <c r="AA20" s="145">
        <v>0</v>
      </c>
      <c r="AB20" s="145">
        <v>0</v>
      </c>
      <c r="AC20" s="145">
        <v>0</v>
      </c>
      <c r="AD20" s="145">
        <v>0</v>
      </c>
      <c r="AE20" s="145">
        <v>0</v>
      </c>
      <c r="AF20" s="145">
        <v>0</v>
      </c>
      <c r="AG20" s="145">
        <v>0</v>
      </c>
      <c r="AH20" s="145">
        <v>0</v>
      </c>
      <c r="AI20" s="145">
        <v>0</v>
      </c>
      <c r="AJ20" s="145">
        <v>0</v>
      </c>
      <c r="AK20" s="145">
        <f t="shared" si="25"/>
        <v>0</v>
      </c>
      <c r="AL20" s="145">
        <v>8792095</v>
      </c>
      <c r="AM20" s="145">
        <v>3575563</v>
      </c>
      <c r="AN20" s="145">
        <v>1134672</v>
      </c>
      <c r="AO20" s="145">
        <v>0</v>
      </c>
      <c r="AP20" s="145">
        <v>0</v>
      </c>
      <c r="AQ20" s="145">
        <v>0</v>
      </c>
      <c r="AR20" s="145">
        <v>0</v>
      </c>
      <c r="AS20" s="145">
        <f t="shared" si="19"/>
        <v>13502330</v>
      </c>
      <c r="AT20" s="145"/>
      <c r="AU20" s="139">
        <f t="shared" si="20"/>
        <v>13502330</v>
      </c>
      <c r="AV20" s="146">
        <f>IFERROR(VLOOKUP(J20,Maksājumu_pieprasījumu_iesn.!G:BL,57,0),0)</f>
        <v>0</v>
      </c>
      <c r="AW20" s="139">
        <f t="shared" si="23"/>
        <v>-13502330</v>
      </c>
      <c r="AX20" s="153"/>
      <c r="AY20" s="153"/>
      <c r="AZ20" s="153"/>
      <c r="BA20" s="154"/>
      <c r="BB20" s="145"/>
      <c r="BC20" s="145"/>
      <c r="BD20" s="145"/>
      <c r="BE20" s="145"/>
      <c r="BF20" s="145"/>
      <c r="BG20" s="145"/>
      <c r="BH20" s="138"/>
      <c r="BI20" s="138"/>
      <c r="BJ20" s="138"/>
      <c r="BK20" s="138"/>
      <c r="BL20" s="138"/>
      <c r="BM20" s="138"/>
      <c r="BN20" s="138"/>
    </row>
    <row r="21" spans="1:66" s="91" customFormat="1" ht="63.75" hidden="1" customHeight="1" x14ac:dyDescent="0.2">
      <c r="A21" s="150" t="s">
        <v>1019</v>
      </c>
      <c r="B21" s="18" t="s">
        <v>0</v>
      </c>
      <c r="C21" s="18" t="s">
        <v>1027</v>
      </c>
      <c r="D21" s="19" t="s">
        <v>1028</v>
      </c>
      <c r="E21" s="55" t="s">
        <v>3</v>
      </c>
      <c r="F21" s="55" t="s">
        <v>4</v>
      </c>
      <c r="G21" s="55" t="s">
        <v>5</v>
      </c>
      <c r="H21" s="55" t="s">
        <v>3</v>
      </c>
      <c r="I21" s="55"/>
      <c r="J21" s="55"/>
      <c r="K21" s="19" t="s">
        <v>892</v>
      </c>
      <c r="L21" s="19" t="s">
        <v>891</v>
      </c>
      <c r="M21" s="19" t="s">
        <v>4</v>
      </c>
      <c r="N21" s="19" t="s">
        <v>1038</v>
      </c>
      <c r="O21" s="151">
        <v>42901</v>
      </c>
      <c r="P21" s="151"/>
      <c r="Q21" s="151"/>
      <c r="R21" s="151"/>
      <c r="S21" s="152"/>
      <c r="T21" s="152"/>
      <c r="U21" s="145">
        <v>0</v>
      </c>
      <c r="V21" s="145">
        <v>0</v>
      </c>
      <c r="W21" s="145">
        <v>0</v>
      </c>
      <c r="X21" s="145">
        <f t="shared" si="24"/>
        <v>0</v>
      </c>
      <c r="Y21" s="145">
        <v>0</v>
      </c>
      <c r="Z21" s="145">
        <v>0</v>
      </c>
      <c r="AA21" s="145">
        <v>0</v>
      </c>
      <c r="AB21" s="145">
        <v>0</v>
      </c>
      <c r="AC21" s="145">
        <v>0</v>
      </c>
      <c r="AD21" s="145">
        <v>0</v>
      </c>
      <c r="AE21" s="145">
        <v>0</v>
      </c>
      <c r="AF21" s="145">
        <v>0</v>
      </c>
      <c r="AG21" s="145">
        <v>0</v>
      </c>
      <c r="AH21" s="145">
        <v>0</v>
      </c>
      <c r="AI21" s="145">
        <v>0</v>
      </c>
      <c r="AJ21" s="145">
        <v>31783</v>
      </c>
      <c r="AK21" s="145">
        <f t="shared" si="25"/>
        <v>31783</v>
      </c>
      <c r="AL21" s="145">
        <v>4908085</v>
      </c>
      <c r="AM21" s="145">
        <v>1280034</v>
      </c>
      <c r="AN21" s="145">
        <v>1003786</v>
      </c>
      <c r="AO21" s="145">
        <v>923814</v>
      </c>
      <c r="AP21" s="145">
        <v>0</v>
      </c>
      <c r="AQ21" s="145">
        <v>0</v>
      </c>
      <c r="AR21" s="145">
        <v>0</v>
      </c>
      <c r="AS21" s="145">
        <f t="shared" si="19"/>
        <v>8147502</v>
      </c>
      <c r="AT21" s="145"/>
      <c r="AU21" s="139">
        <f t="shared" si="20"/>
        <v>8147502</v>
      </c>
      <c r="AV21" s="146">
        <f>IFERROR(VLOOKUP(J21,Maksājumu_pieprasījumu_iesn.!G:BL,57,0),0)</f>
        <v>0</v>
      </c>
      <c r="AW21" s="139">
        <f t="shared" si="23"/>
        <v>-8147502</v>
      </c>
      <c r="AX21" s="153"/>
      <c r="AY21" s="153"/>
      <c r="AZ21" s="153"/>
      <c r="BA21" s="154"/>
      <c r="BB21" s="145"/>
      <c r="BC21" s="145"/>
      <c r="BD21" s="145"/>
      <c r="BE21" s="145"/>
      <c r="BF21" s="145"/>
      <c r="BG21" s="145"/>
      <c r="BH21" s="138"/>
      <c r="BI21" s="138"/>
      <c r="BJ21" s="138"/>
      <c r="BK21" s="138"/>
      <c r="BL21" s="138"/>
      <c r="BM21" s="138"/>
      <c r="BN21" s="138"/>
    </row>
    <row r="22" spans="1:66" s="91" customFormat="1" ht="54.75" hidden="1" customHeight="1" x14ac:dyDescent="0.2">
      <c r="A22" s="150" t="s">
        <v>1019</v>
      </c>
      <c r="B22" s="18" t="s">
        <v>0</v>
      </c>
      <c r="C22" s="18" t="s">
        <v>1027</v>
      </c>
      <c r="D22" s="19" t="s">
        <v>1028</v>
      </c>
      <c r="E22" s="55" t="s">
        <v>3</v>
      </c>
      <c r="F22" s="55" t="s">
        <v>4</v>
      </c>
      <c r="G22" s="55" t="s">
        <v>5</v>
      </c>
      <c r="H22" s="55" t="s">
        <v>3</v>
      </c>
      <c r="I22" s="55"/>
      <c r="J22" s="55"/>
      <c r="K22" s="19" t="s">
        <v>1039</v>
      </c>
      <c r="L22" s="19" t="s">
        <v>891</v>
      </c>
      <c r="M22" s="19" t="s">
        <v>4</v>
      </c>
      <c r="N22" s="156" t="s">
        <v>1040</v>
      </c>
      <c r="O22" s="151">
        <v>42886</v>
      </c>
      <c r="P22" s="151"/>
      <c r="Q22" s="151"/>
      <c r="R22" s="151"/>
      <c r="S22" s="152"/>
      <c r="T22" s="152"/>
      <c r="U22" s="145">
        <v>0</v>
      </c>
      <c r="V22" s="145">
        <v>0</v>
      </c>
      <c r="W22" s="145">
        <v>0</v>
      </c>
      <c r="X22" s="145">
        <f t="shared" si="24"/>
        <v>0</v>
      </c>
      <c r="Y22" s="145">
        <v>0</v>
      </c>
      <c r="Z22" s="145">
        <v>0</v>
      </c>
      <c r="AA22" s="145">
        <v>0</v>
      </c>
      <c r="AB22" s="145">
        <v>0</v>
      </c>
      <c r="AC22" s="145">
        <v>0</v>
      </c>
      <c r="AD22" s="145">
        <v>0</v>
      </c>
      <c r="AE22" s="145">
        <v>0</v>
      </c>
      <c r="AF22" s="145">
        <v>0</v>
      </c>
      <c r="AG22" s="145">
        <v>0</v>
      </c>
      <c r="AH22" s="145">
        <v>1504372</v>
      </c>
      <c r="AI22" s="145">
        <v>310382</v>
      </c>
      <c r="AJ22" s="145">
        <v>234358</v>
      </c>
      <c r="AK22" s="145">
        <f t="shared" si="25"/>
        <v>2049112</v>
      </c>
      <c r="AL22" s="145">
        <v>19413391</v>
      </c>
      <c r="AM22" s="145">
        <v>2554095</v>
      </c>
      <c r="AN22" s="145">
        <v>0</v>
      </c>
      <c r="AO22" s="145">
        <v>0</v>
      </c>
      <c r="AP22" s="145">
        <v>0</v>
      </c>
      <c r="AQ22" s="145">
        <v>0</v>
      </c>
      <c r="AR22" s="145">
        <v>0</v>
      </c>
      <c r="AS22" s="145">
        <f t="shared" si="19"/>
        <v>24016598</v>
      </c>
      <c r="AT22" s="145"/>
      <c r="AU22" s="139">
        <f t="shared" si="20"/>
        <v>24016598</v>
      </c>
      <c r="AV22" s="146">
        <f>IFERROR(VLOOKUP(J22,Maksājumu_pieprasījumu_iesn.!G:BL,57,0),0)</f>
        <v>0</v>
      </c>
      <c r="AW22" s="139">
        <f t="shared" si="23"/>
        <v>-24016598</v>
      </c>
      <c r="AX22" s="153"/>
      <c r="AY22" s="153"/>
      <c r="AZ22" s="153"/>
      <c r="BA22" s="154"/>
      <c r="BB22" s="145"/>
      <c r="BC22" s="145"/>
      <c r="BD22" s="145"/>
      <c r="BE22" s="145"/>
      <c r="BF22" s="145"/>
      <c r="BG22" s="145"/>
      <c r="BH22" s="138"/>
      <c r="BI22" s="138"/>
      <c r="BJ22" s="138"/>
      <c r="BK22" s="138"/>
      <c r="BL22" s="138"/>
      <c r="BM22" s="138"/>
      <c r="BN22" s="138"/>
    </row>
    <row r="23" spans="1:66" s="161" customFormat="1" ht="38.25" hidden="1" customHeight="1" x14ac:dyDescent="0.2">
      <c r="A23" s="158" t="s">
        <v>1019</v>
      </c>
      <c r="B23" s="20" t="s">
        <v>0</v>
      </c>
      <c r="C23" s="20" t="s">
        <v>1027</v>
      </c>
      <c r="D23" s="21" t="s">
        <v>1028</v>
      </c>
      <c r="E23" s="20" t="s">
        <v>3</v>
      </c>
      <c r="F23" s="20" t="s">
        <v>4</v>
      </c>
      <c r="G23" s="20" t="s">
        <v>5</v>
      </c>
      <c r="H23" s="20" t="s">
        <v>3</v>
      </c>
      <c r="I23" s="20"/>
      <c r="J23" s="53" t="s">
        <v>1041</v>
      </c>
      <c r="K23" s="21" t="s">
        <v>1042</v>
      </c>
      <c r="L23" s="21" t="s">
        <v>891</v>
      </c>
      <c r="M23" s="21" t="s">
        <v>4</v>
      </c>
      <c r="N23" s="21" t="s">
        <v>1043</v>
      </c>
      <c r="O23" s="159"/>
      <c r="P23" s="159"/>
      <c r="Q23" s="159"/>
      <c r="R23" s="160" t="s">
        <v>1044</v>
      </c>
      <c r="S23" s="147">
        <v>12072166.1</v>
      </c>
      <c r="T23" s="146"/>
      <c r="U23" s="153">
        <v>0</v>
      </c>
      <c r="V23" s="153">
        <v>0</v>
      </c>
      <c r="W23" s="153">
        <v>0</v>
      </c>
      <c r="X23" s="153">
        <f t="shared" si="24"/>
        <v>0</v>
      </c>
      <c r="Y23" s="153">
        <v>0</v>
      </c>
      <c r="Z23" s="153">
        <v>0</v>
      </c>
      <c r="AA23" s="153">
        <v>0</v>
      </c>
      <c r="AB23" s="153">
        <v>0</v>
      </c>
      <c r="AC23" s="153">
        <v>0</v>
      </c>
      <c r="AD23" s="153">
        <v>0</v>
      </c>
      <c r="AE23" s="153">
        <v>0</v>
      </c>
      <c r="AF23" s="153">
        <v>0</v>
      </c>
      <c r="AG23" s="153">
        <v>0</v>
      </c>
      <c r="AH23" s="153"/>
      <c r="AI23" s="153"/>
      <c r="AJ23" s="153"/>
      <c r="AK23" s="153">
        <f t="shared" si="25"/>
        <v>0</v>
      </c>
      <c r="AL23" s="153">
        <v>6639691.2999999998</v>
      </c>
      <c r="AM23" s="153">
        <v>3018041.5</v>
      </c>
      <c r="AN23" s="153">
        <v>2414433.2999999998</v>
      </c>
      <c r="AO23" s="153"/>
      <c r="AP23" s="153"/>
      <c r="AQ23" s="153"/>
      <c r="AR23" s="153">
        <v>0</v>
      </c>
      <c r="AS23" s="147">
        <f t="shared" si="19"/>
        <v>12072166.100000001</v>
      </c>
      <c r="AT23" s="147"/>
      <c r="AU23" s="146">
        <f t="shared" si="20"/>
        <v>12072166.100000001</v>
      </c>
      <c r="AV23" s="146">
        <f>IFERROR(VLOOKUP(J23,Maksājumu_pieprasījumu_iesn.!G:BL,57,0),0)</f>
        <v>0</v>
      </c>
      <c r="AW23" s="139">
        <f t="shared" si="23"/>
        <v>-12072166.100000001</v>
      </c>
      <c r="AX23" s="147"/>
      <c r="AY23" s="147"/>
      <c r="AZ23" s="147"/>
      <c r="BA23" s="148"/>
      <c r="BB23" s="147"/>
      <c r="BC23" s="147"/>
      <c r="BD23" s="147"/>
      <c r="BE23" s="147"/>
      <c r="BF23" s="147"/>
      <c r="BG23" s="147"/>
      <c r="BH23" s="149"/>
      <c r="BI23" s="149"/>
      <c r="BJ23" s="149"/>
      <c r="BK23" s="149"/>
      <c r="BL23" s="149"/>
      <c r="BM23" s="149"/>
      <c r="BN23" s="149"/>
    </row>
    <row r="24" spans="1:66" s="91" customFormat="1" ht="41.25" hidden="1" customHeight="1" x14ac:dyDescent="0.2">
      <c r="A24" s="150" t="s">
        <v>1019</v>
      </c>
      <c r="B24" s="18" t="s">
        <v>0</v>
      </c>
      <c r="C24" s="18" t="s">
        <v>1027</v>
      </c>
      <c r="D24" s="19" t="s">
        <v>1028</v>
      </c>
      <c r="E24" s="55" t="s">
        <v>3</v>
      </c>
      <c r="F24" s="55" t="s">
        <v>4</v>
      </c>
      <c r="G24" s="55" t="s">
        <v>5</v>
      </c>
      <c r="H24" s="55" t="s">
        <v>3</v>
      </c>
      <c r="I24" s="55"/>
      <c r="J24" s="55"/>
      <c r="K24" s="19" t="s">
        <v>1045</v>
      </c>
      <c r="L24" s="19" t="s">
        <v>891</v>
      </c>
      <c r="M24" s="19" t="s">
        <v>4</v>
      </c>
      <c r="N24" s="19" t="s">
        <v>1046</v>
      </c>
      <c r="O24" s="151">
        <v>42916</v>
      </c>
      <c r="P24" s="151"/>
      <c r="Q24" s="151"/>
      <c r="R24" s="151"/>
      <c r="S24" s="152"/>
      <c r="T24" s="152"/>
      <c r="U24" s="145">
        <v>0</v>
      </c>
      <c r="V24" s="145">
        <v>0</v>
      </c>
      <c r="W24" s="145">
        <v>0</v>
      </c>
      <c r="X24" s="145">
        <f t="shared" si="24"/>
        <v>0</v>
      </c>
      <c r="Y24" s="145">
        <v>0</v>
      </c>
      <c r="Z24" s="145">
        <v>0</v>
      </c>
      <c r="AA24" s="145">
        <v>0</v>
      </c>
      <c r="AB24" s="145">
        <v>0</v>
      </c>
      <c r="AC24" s="145">
        <v>0</v>
      </c>
      <c r="AD24" s="145">
        <v>0</v>
      </c>
      <c r="AE24" s="145">
        <v>0</v>
      </c>
      <c r="AF24" s="145">
        <v>0</v>
      </c>
      <c r="AG24" s="145">
        <v>0</v>
      </c>
      <c r="AH24" s="145">
        <v>0</v>
      </c>
      <c r="AI24" s="145">
        <v>0</v>
      </c>
      <c r="AJ24" s="145">
        <v>0</v>
      </c>
      <c r="AK24" s="145">
        <f t="shared" si="25"/>
        <v>0</v>
      </c>
      <c r="AL24" s="145">
        <v>2167500</v>
      </c>
      <c r="AM24" s="145">
        <v>824069.05</v>
      </c>
      <c r="AN24" s="145">
        <v>0</v>
      </c>
      <c r="AO24" s="145">
        <v>0</v>
      </c>
      <c r="AP24" s="145">
        <v>0</v>
      </c>
      <c r="AQ24" s="145">
        <v>0</v>
      </c>
      <c r="AR24" s="145">
        <v>0</v>
      </c>
      <c r="AS24" s="145">
        <f t="shared" si="19"/>
        <v>2991569.05</v>
      </c>
      <c r="AT24" s="145"/>
      <c r="AU24" s="139">
        <f t="shared" si="20"/>
        <v>2991569.05</v>
      </c>
      <c r="AV24" s="146">
        <f>IFERROR(VLOOKUP(J24,Maksājumu_pieprasījumu_iesn.!G:BL,57,0),0)</f>
        <v>0</v>
      </c>
      <c r="AW24" s="139">
        <f t="shared" si="23"/>
        <v>-2991569.05</v>
      </c>
      <c r="AX24" s="153"/>
      <c r="AY24" s="153"/>
      <c r="AZ24" s="153"/>
      <c r="BA24" s="154"/>
      <c r="BB24" s="145"/>
      <c r="BC24" s="145"/>
      <c r="BD24" s="145"/>
      <c r="BE24" s="145"/>
      <c r="BF24" s="145"/>
      <c r="BG24" s="145"/>
      <c r="BH24" s="138"/>
      <c r="BI24" s="138"/>
      <c r="BJ24" s="138"/>
      <c r="BK24" s="138"/>
      <c r="BL24" s="138"/>
      <c r="BM24" s="138"/>
      <c r="BN24" s="138"/>
    </row>
    <row r="25" spans="1:66" s="91" customFormat="1" ht="38.25" hidden="1" customHeight="1" x14ac:dyDescent="0.2">
      <c r="A25" s="150" t="s">
        <v>1019</v>
      </c>
      <c r="B25" s="18" t="s">
        <v>0</v>
      </c>
      <c r="C25" s="18" t="s">
        <v>1027</v>
      </c>
      <c r="D25" s="19" t="s">
        <v>1028</v>
      </c>
      <c r="E25" s="55" t="s">
        <v>3</v>
      </c>
      <c r="F25" s="55" t="s">
        <v>4</v>
      </c>
      <c r="G25" s="55" t="s">
        <v>5</v>
      </c>
      <c r="H25" s="55" t="s">
        <v>3</v>
      </c>
      <c r="I25" s="55"/>
      <c r="J25" s="55"/>
      <c r="K25" s="19" t="s">
        <v>1047</v>
      </c>
      <c r="L25" s="19" t="s">
        <v>891</v>
      </c>
      <c r="M25" s="19" t="s">
        <v>109</v>
      </c>
      <c r="N25" s="155" t="s">
        <v>1048</v>
      </c>
      <c r="O25" s="151">
        <v>42901</v>
      </c>
      <c r="P25" s="151"/>
      <c r="Q25" s="151"/>
      <c r="R25" s="151"/>
      <c r="S25" s="152"/>
      <c r="T25" s="152"/>
      <c r="U25" s="145">
        <v>0</v>
      </c>
      <c r="V25" s="145">
        <v>0</v>
      </c>
      <c r="W25" s="145">
        <v>0</v>
      </c>
      <c r="X25" s="145">
        <f t="shared" si="24"/>
        <v>0</v>
      </c>
      <c r="Y25" s="145">
        <v>0</v>
      </c>
      <c r="Z25" s="145">
        <v>0</v>
      </c>
      <c r="AA25" s="145">
        <v>0</v>
      </c>
      <c r="AB25" s="145">
        <v>0</v>
      </c>
      <c r="AC25" s="145">
        <v>0</v>
      </c>
      <c r="AD25" s="145">
        <v>0</v>
      </c>
      <c r="AE25" s="145">
        <v>0</v>
      </c>
      <c r="AF25" s="145">
        <v>0</v>
      </c>
      <c r="AG25" s="145">
        <v>0</v>
      </c>
      <c r="AH25" s="145">
        <v>0</v>
      </c>
      <c r="AI25" s="145">
        <v>0</v>
      </c>
      <c r="AJ25" s="145">
        <v>0</v>
      </c>
      <c r="AK25" s="145">
        <f t="shared" si="25"/>
        <v>0</v>
      </c>
      <c r="AL25" s="145">
        <v>1700000</v>
      </c>
      <c r="AM25" s="145">
        <v>2975000</v>
      </c>
      <c r="AN25" s="145">
        <v>483030</v>
      </c>
      <c r="AO25" s="145">
        <v>0</v>
      </c>
      <c r="AP25" s="145">
        <v>0</v>
      </c>
      <c r="AQ25" s="145">
        <v>0</v>
      </c>
      <c r="AR25" s="145">
        <v>0</v>
      </c>
      <c r="AS25" s="145">
        <f t="shared" si="19"/>
        <v>5158030</v>
      </c>
      <c r="AT25" s="145"/>
      <c r="AU25" s="139">
        <f t="shared" si="20"/>
        <v>5158030</v>
      </c>
      <c r="AV25" s="146">
        <f>IFERROR(VLOOKUP(J25,Maksājumu_pieprasījumu_iesn.!G:BL,57,0),0)</f>
        <v>0</v>
      </c>
      <c r="AW25" s="139">
        <f t="shared" si="23"/>
        <v>-5158030</v>
      </c>
      <c r="AX25" s="153"/>
      <c r="AY25" s="153"/>
      <c r="AZ25" s="153"/>
      <c r="BA25" s="154"/>
      <c r="BB25" s="145"/>
      <c r="BC25" s="145"/>
      <c r="BD25" s="145"/>
      <c r="BE25" s="145"/>
      <c r="BF25" s="145"/>
      <c r="BG25" s="145"/>
      <c r="BH25" s="138"/>
      <c r="BI25" s="138"/>
      <c r="BJ25" s="138"/>
      <c r="BK25" s="138"/>
      <c r="BL25" s="138"/>
      <c r="BM25" s="138"/>
      <c r="BN25" s="138"/>
    </row>
    <row r="26" spans="1:66" s="91" customFormat="1" ht="51" hidden="1" customHeight="1" x14ac:dyDescent="0.2">
      <c r="A26" s="150" t="s">
        <v>1019</v>
      </c>
      <c r="B26" s="18" t="s">
        <v>0</v>
      </c>
      <c r="C26" s="18" t="s">
        <v>1027</v>
      </c>
      <c r="D26" s="19" t="s">
        <v>1028</v>
      </c>
      <c r="E26" s="55" t="s">
        <v>3</v>
      </c>
      <c r="F26" s="55" t="s">
        <v>4</v>
      </c>
      <c r="G26" s="55" t="s">
        <v>5</v>
      </c>
      <c r="H26" s="55" t="s">
        <v>3</v>
      </c>
      <c r="I26" s="55"/>
      <c r="J26" s="55"/>
      <c r="K26" s="19" t="s">
        <v>1049</v>
      </c>
      <c r="L26" s="19" t="s">
        <v>891</v>
      </c>
      <c r="M26" s="19" t="s">
        <v>109</v>
      </c>
      <c r="N26" s="155" t="s">
        <v>1050</v>
      </c>
      <c r="O26" s="151">
        <v>42901</v>
      </c>
      <c r="P26" s="151"/>
      <c r="Q26" s="151"/>
      <c r="R26" s="151"/>
      <c r="S26" s="152"/>
      <c r="T26" s="152"/>
      <c r="U26" s="145">
        <v>0</v>
      </c>
      <c r="V26" s="145">
        <v>0</v>
      </c>
      <c r="W26" s="145">
        <v>0</v>
      </c>
      <c r="X26" s="145">
        <f t="shared" si="24"/>
        <v>0</v>
      </c>
      <c r="Y26" s="145">
        <v>0</v>
      </c>
      <c r="Z26" s="145">
        <v>0</v>
      </c>
      <c r="AA26" s="145">
        <v>0</v>
      </c>
      <c r="AB26" s="145">
        <v>0</v>
      </c>
      <c r="AC26" s="145">
        <v>0</v>
      </c>
      <c r="AD26" s="145">
        <v>0</v>
      </c>
      <c r="AE26" s="145">
        <v>0</v>
      </c>
      <c r="AF26" s="145">
        <v>0</v>
      </c>
      <c r="AG26" s="145">
        <v>0</v>
      </c>
      <c r="AH26" s="145">
        <v>0</v>
      </c>
      <c r="AI26" s="145">
        <v>3908.3</v>
      </c>
      <c r="AJ26" s="145">
        <v>0</v>
      </c>
      <c r="AK26" s="145">
        <f t="shared" si="25"/>
        <v>3908.3</v>
      </c>
      <c r="AL26" s="145">
        <v>1303387</v>
      </c>
      <c r="AM26" s="145">
        <v>2632465</v>
      </c>
      <c r="AN26" s="145">
        <v>1269141.8</v>
      </c>
      <c r="AO26" s="145">
        <v>0</v>
      </c>
      <c r="AP26" s="145">
        <v>0</v>
      </c>
      <c r="AQ26" s="145">
        <v>0</v>
      </c>
      <c r="AR26" s="145">
        <v>0</v>
      </c>
      <c r="AS26" s="145">
        <f t="shared" si="19"/>
        <v>5208902.0999999996</v>
      </c>
      <c r="AT26" s="145"/>
      <c r="AU26" s="139">
        <f t="shared" si="20"/>
        <v>5208902.0999999996</v>
      </c>
      <c r="AV26" s="146">
        <f>IFERROR(VLOOKUP(J26,Maksājumu_pieprasījumu_iesn.!G:BL,57,0),0)</f>
        <v>0</v>
      </c>
      <c r="AW26" s="139">
        <f t="shared" si="23"/>
        <v>-5208902.0999999996</v>
      </c>
      <c r="AX26" s="153"/>
      <c r="AY26" s="153"/>
      <c r="AZ26" s="153"/>
      <c r="BA26" s="154"/>
      <c r="BB26" s="145"/>
      <c r="BC26" s="145"/>
      <c r="BD26" s="145"/>
      <c r="BE26" s="145"/>
      <c r="BF26" s="145"/>
      <c r="BG26" s="145"/>
      <c r="BH26" s="138"/>
      <c r="BI26" s="138"/>
      <c r="BJ26" s="138"/>
      <c r="BK26" s="138"/>
      <c r="BL26" s="138"/>
      <c r="BM26" s="138"/>
      <c r="BN26" s="138"/>
    </row>
    <row r="27" spans="1:66" s="91" customFormat="1" ht="25.5" hidden="1" customHeight="1" x14ac:dyDescent="0.2">
      <c r="A27" s="150" t="s">
        <v>1019</v>
      </c>
      <c r="B27" s="18" t="s">
        <v>0</v>
      </c>
      <c r="C27" s="18" t="s">
        <v>1027</v>
      </c>
      <c r="D27" s="19" t="s">
        <v>1028</v>
      </c>
      <c r="E27" s="55" t="s">
        <v>3</v>
      </c>
      <c r="F27" s="55" t="s">
        <v>4</v>
      </c>
      <c r="G27" s="55" t="s">
        <v>5</v>
      </c>
      <c r="H27" s="55" t="s">
        <v>3</v>
      </c>
      <c r="I27" s="55"/>
      <c r="J27" s="55"/>
      <c r="K27" s="19" t="s">
        <v>1051</v>
      </c>
      <c r="L27" s="19" t="s">
        <v>891</v>
      </c>
      <c r="M27" s="19" t="s">
        <v>402</v>
      </c>
      <c r="N27" s="19" t="s">
        <v>1052</v>
      </c>
      <c r="O27" s="151">
        <v>42887</v>
      </c>
      <c r="P27" s="151"/>
      <c r="Q27" s="151"/>
      <c r="R27" s="151"/>
      <c r="S27" s="152"/>
      <c r="T27" s="152"/>
      <c r="U27" s="145">
        <v>0</v>
      </c>
      <c r="V27" s="145">
        <v>0</v>
      </c>
      <c r="W27" s="145">
        <v>0</v>
      </c>
      <c r="X27" s="145">
        <f t="shared" si="24"/>
        <v>0</v>
      </c>
      <c r="Y27" s="145">
        <v>0</v>
      </c>
      <c r="Z27" s="145">
        <v>0</v>
      </c>
      <c r="AA27" s="145">
        <v>0</v>
      </c>
      <c r="AB27" s="145">
        <v>0</v>
      </c>
      <c r="AC27" s="145">
        <v>0</v>
      </c>
      <c r="AD27" s="145">
        <v>0</v>
      </c>
      <c r="AE27" s="145">
        <v>0</v>
      </c>
      <c r="AF27" s="145">
        <v>0</v>
      </c>
      <c r="AG27" s="145">
        <v>0</v>
      </c>
      <c r="AH27" s="145">
        <v>0</v>
      </c>
      <c r="AI27" s="145">
        <v>0</v>
      </c>
      <c r="AJ27" s="145">
        <v>0</v>
      </c>
      <c r="AK27" s="145">
        <f t="shared" si="25"/>
        <v>0</v>
      </c>
      <c r="AL27" s="145">
        <v>443784</v>
      </c>
      <c r="AM27" s="145">
        <v>1272899</v>
      </c>
      <c r="AN27" s="145">
        <v>1296737</v>
      </c>
      <c r="AO27" s="145">
        <v>0</v>
      </c>
      <c r="AP27" s="145">
        <v>0</v>
      </c>
      <c r="AQ27" s="145">
        <v>0</v>
      </c>
      <c r="AR27" s="145">
        <v>0</v>
      </c>
      <c r="AS27" s="145">
        <f t="shared" si="19"/>
        <v>3013420</v>
      </c>
      <c r="AT27" s="145"/>
      <c r="AU27" s="139">
        <f t="shared" si="20"/>
        <v>3013420</v>
      </c>
      <c r="AV27" s="146">
        <f>IFERROR(VLOOKUP(J27,Maksājumu_pieprasījumu_iesn.!G:BL,57,0),0)</f>
        <v>0</v>
      </c>
      <c r="AW27" s="139">
        <f t="shared" si="23"/>
        <v>-3013420</v>
      </c>
      <c r="AX27" s="153"/>
      <c r="AY27" s="153"/>
      <c r="AZ27" s="153"/>
      <c r="BA27" s="154"/>
      <c r="BB27" s="145"/>
      <c r="BC27" s="145"/>
      <c r="BD27" s="145"/>
      <c r="BE27" s="145"/>
      <c r="BF27" s="145"/>
      <c r="BG27" s="145"/>
      <c r="BH27" s="138"/>
      <c r="BI27" s="138"/>
      <c r="BJ27" s="138"/>
      <c r="BK27" s="138"/>
      <c r="BL27" s="138"/>
      <c r="BM27" s="138"/>
      <c r="BN27" s="138"/>
    </row>
    <row r="28" spans="1:66" s="91" customFormat="1" ht="25.5" hidden="1" customHeight="1" x14ac:dyDescent="0.2">
      <c r="A28" s="150" t="s">
        <v>1019</v>
      </c>
      <c r="B28" s="18" t="s">
        <v>0</v>
      </c>
      <c r="C28" s="18" t="s">
        <v>1027</v>
      </c>
      <c r="D28" s="19" t="s">
        <v>1028</v>
      </c>
      <c r="E28" s="55" t="s">
        <v>3</v>
      </c>
      <c r="F28" s="55" t="s">
        <v>4</v>
      </c>
      <c r="G28" s="55" t="s">
        <v>5</v>
      </c>
      <c r="H28" s="55" t="s">
        <v>3</v>
      </c>
      <c r="I28" s="55"/>
      <c r="J28" s="55"/>
      <c r="K28" s="19" t="s">
        <v>1053</v>
      </c>
      <c r="L28" s="19" t="s">
        <v>891</v>
      </c>
      <c r="M28" s="19" t="s">
        <v>4</v>
      </c>
      <c r="N28" s="19" t="s">
        <v>1054</v>
      </c>
      <c r="O28" s="151">
        <v>42901</v>
      </c>
      <c r="P28" s="151"/>
      <c r="Q28" s="151"/>
      <c r="R28" s="151"/>
      <c r="S28" s="152"/>
      <c r="T28" s="152"/>
      <c r="U28" s="145">
        <v>0</v>
      </c>
      <c r="V28" s="145">
        <v>0</v>
      </c>
      <c r="W28" s="145">
        <v>0</v>
      </c>
      <c r="X28" s="145">
        <f t="shared" si="24"/>
        <v>0</v>
      </c>
      <c r="Y28" s="145">
        <v>0</v>
      </c>
      <c r="Z28" s="145">
        <v>0</v>
      </c>
      <c r="AA28" s="145">
        <v>0</v>
      </c>
      <c r="AB28" s="145">
        <v>0</v>
      </c>
      <c r="AC28" s="145">
        <v>0</v>
      </c>
      <c r="AD28" s="145">
        <v>0</v>
      </c>
      <c r="AE28" s="145">
        <v>0</v>
      </c>
      <c r="AF28" s="145">
        <v>0</v>
      </c>
      <c r="AG28" s="145">
        <v>0</v>
      </c>
      <c r="AH28" s="145">
        <v>0</v>
      </c>
      <c r="AI28" s="145">
        <v>1208767.1500000001</v>
      </c>
      <c r="AJ28" s="145">
        <v>151578.79999999999</v>
      </c>
      <c r="AK28" s="145">
        <v>1360345.9500000002</v>
      </c>
      <c r="AL28" s="145">
        <v>10106114.1</v>
      </c>
      <c r="AM28" s="145">
        <v>6696725</v>
      </c>
      <c r="AN28" s="145">
        <v>2822137.7</v>
      </c>
      <c r="AO28" s="145">
        <v>460557.19999999995</v>
      </c>
      <c r="AP28" s="145">
        <v>0</v>
      </c>
      <c r="AQ28" s="145">
        <v>0</v>
      </c>
      <c r="AR28" s="145">
        <v>0</v>
      </c>
      <c r="AS28" s="145">
        <f t="shared" si="19"/>
        <v>21445879.949999999</v>
      </c>
      <c r="AT28" s="145"/>
      <c r="AU28" s="139">
        <f t="shared" si="20"/>
        <v>21445879.949999999</v>
      </c>
      <c r="AV28" s="146">
        <f>IFERROR(VLOOKUP(J28,Maksājumu_pieprasījumu_iesn.!G:BL,57,0),0)</f>
        <v>0</v>
      </c>
      <c r="AW28" s="139">
        <f t="shared" si="23"/>
        <v>-21445879.949999999</v>
      </c>
      <c r="AX28" s="153"/>
      <c r="AY28" s="153"/>
      <c r="AZ28" s="153"/>
      <c r="BA28" s="154"/>
      <c r="BB28" s="145"/>
      <c r="BC28" s="145"/>
      <c r="BD28" s="145"/>
      <c r="BE28" s="145"/>
      <c r="BF28" s="145"/>
      <c r="BG28" s="145"/>
      <c r="BH28" s="138"/>
      <c r="BI28" s="138"/>
      <c r="BJ28" s="138"/>
      <c r="BK28" s="138"/>
      <c r="BL28" s="138"/>
      <c r="BM28" s="138"/>
      <c r="BN28" s="138"/>
    </row>
    <row r="29" spans="1:66" s="91" customFormat="1" ht="12.75" hidden="1" customHeight="1" x14ac:dyDescent="0.2">
      <c r="A29" s="150" t="s">
        <v>1019</v>
      </c>
      <c r="B29" s="18" t="s">
        <v>0</v>
      </c>
      <c r="C29" s="18" t="s">
        <v>1027</v>
      </c>
      <c r="D29" s="19" t="s">
        <v>1028</v>
      </c>
      <c r="E29" s="55" t="s">
        <v>3</v>
      </c>
      <c r="F29" s="55" t="s">
        <v>4</v>
      </c>
      <c r="G29" s="55" t="s">
        <v>5</v>
      </c>
      <c r="H29" s="55" t="s">
        <v>3</v>
      </c>
      <c r="I29" s="55"/>
      <c r="J29" s="55"/>
      <c r="K29" s="19" t="s">
        <v>1055</v>
      </c>
      <c r="L29" s="19" t="s">
        <v>891</v>
      </c>
      <c r="M29" s="19" t="s">
        <v>4</v>
      </c>
      <c r="N29" s="19" t="s">
        <v>1056</v>
      </c>
      <c r="O29" s="151">
        <v>42886</v>
      </c>
      <c r="P29" s="151"/>
      <c r="Q29" s="151"/>
      <c r="R29" s="151"/>
      <c r="S29" s="152"/>
      <c r="T29" s="152"/>
      <c r="U29" s="145">
        <v>0</v>
      </c>
      <c r="V29" s="145">
        <v>0</v>
      </c>
      <c r="W29" s="145">
        <v>0</v>
      </c>
      <c r="X29" s="145">
        <f t="shared" si="24"/>
        <v>0</v>
      </c>
      <c r="Y29" s="145">
        <v>0</v>
      </c>
      <c r="Z29" s="145">
        <v>0</v>
      </c>
      <c r="AA29" s="145">
        <v>0</v>
      </c>
      <c r="AB29" s="145">
        <v>0</v>
      </c>
      <c r="AC29" s="145">
        <v>0</v>
      </c>
      <c r="AD29" s="145">
        <v>0</v>
      </c>
      <c r="AE29" s="145">
        <v>0</v>
      </c>
      <c r="AF29" s="145">
        <v>0</v>
      </c>
      <c r="AG29" s="145">
        <v>0</v>
      </c>
      <c r="AH29" s="145">
        <v>0</v>
      </c>
      <c r="AI29" s="145">
        <v>0</v>
      </c>
      <c r="AJ29" s="145">
        <v>0</v>
      </c>
      <c r="AK29" s="145">
        <f>SUM(Y29:AJ29)</f>
        <v>0</v>
      </c>
      <c r="AL29" s="145">
        <v>660450</v>
      </c>
      <c r="AM29" s="145">
        <v>481100</v>
      </c>
      <c r="AN29" s="145">
        <v>190989.9</v>
      </c>
      <c r="AO29" s="145">
        <v>0</v>
      </c>
      <c r="AP29" s="145">
        <v>0</v>
      </c>
      <c r="AQ29" s="145">
        <v>0</v>
      </c>
      <c r="AR29" s="145">
        <v>0</v>
      </c>
      <c r="AS29" s="145">
        <f t="shared" si="19"/>
        <v>1332539.8999999999</v>
      </c>
      <c r="AT29" s="145"/>
      <c r="AU29" s="139">
        <f t="shared" si="20"/>
        <v>1332539.8999999999</v>
      </c>
      <c r="AV29" s="146">
        <f>IFERROR(VLOOKUP(J29,Maksājumu_pieprasījumu_iesn.!G:BL,57,0),0)</f>
        <v>0</v>
      </c>
      <c r="AW29" s="139">
        <f t="shared" si="23"/>
        <v>-1332539.8999999999</v>
      </c>
      <c r="AX29" s="153"/>
      <c r="AY29" s="153"/>
      <c r="AZ29" s="153"/>
      <c r="BA29" s="154"/>
      <c r="BB29" s="145"/>
      <c r="BC29" s="145"/>
      <c r="BD29" s="145"/>
      <c r="BE29" s="145"/>
      <c r="BF29" s="145"/>
      <c r="BG29" s="145"/>
      <c r="BH29" s="138"/>
      <c r="BI29" s="138"/>
      <c r="BJ29" s="138"/>
      <c r="BK29" s="138"/>
      <c r="BL29" s="138"/>
      <c r="BM29" s="138"/>
      <c r="BN29" s="138"/>
    </row>
    <row r="30" spans="1:66" s="91" customFormat="1" ht="51.75" hidden="1" customHeight="1" x14ac:dyDescent="0.2">
      <c r="A30" s="150" t="s">
        <v>1019</v>
      </c>
      <c r="B30" s="18" t="s">
        <v>0</v>
      </c>
      <c r="C30" s="18" t="s">
        <v>1027</v>
      </c>
      <c r="D30" s="19" t="s">
        <v>1028</v>
      </c>
      <c r="E30" s="55" t="s">
        <v>3</v>
      </c>
      <c r="F30" s="55" t="s">
        <v>4</v>
      </c>
      <c r="G30" s="55" t="s">
        <v>5</v>
      </c>
      <c r="H30" s="55" t="s">
        <v>3</v>
      </c>
      <c r="I30" s="55"/>
      <c r="J30" s="55"/>
      <c r="K30" s="19" t="s">
        <v>1057</v>
      </c>
      <c r="L30" s="19" t="s">
        <v>891</v>
      </c>
      <c r="M30" s="19" t="s">
        <v>4</v>
      </c>
      <c r="N30" s="19" t="s">
        <v>1058</v>
      </c>
      <c r="O30" s="162">
        <v>42846</v>
      </c>
      <c r="P30" s="162"/>
      <c r="Q30" s="162"/>
      <c r="R30" s="151"/>
      <c r="S30" s="152"/>
      <c r="T30" s="152"/>
      <c r="U30" s="145">
        <v>0</v>
      </c>
      <c r="V30" s="145">
        <v>0</v>
      </c>
      <c r="W30" s="145">
        <v>0</v>
      </c>
      <c r="X30" s="145">
        <f t="shared" si="24"/>
        <v>0</v>
      </c>
      <c r="Y30" s="145">
        <v>0</v>
      </c>
      <c r="Z30" s="145">
        <v>0</v>
      </c>
      <c r="AA30" s="145">
        <v>0</v>
      </c>
      <c r="AB30" s="145">
        <v>0</v>
      </c>
      <c r="AC30" s="145">
        <v>0</v>
      </c>
      <c r="AD30" s="145">
        <v>0</v>
      </c>
      <c r="AE30" s="145">
        <v>0</v>
      </c>
      <c r="AF30" s="145">
        <v>0</v>
      </c>
      <c r="AG30" s="145">
        <v>0</v>
      </c>
      <c r="AH30" s="145">
        <v>137395.20000000001</v>
      </c>
      <c r="AI30" s="145">
        <v>0</v>
      </c>
      <c r="AJ30" s="145">
        <v>0</v>
      </c>
      <c r="AK30" s="145">
        <f>SUM(Y30:AJ30)</f>
        <v>137395.20000000001</v>
      </c>
      <c r="AL30" s="145">
        <v>274790.2</v>
      </c>
      <c r="AM30" s="145">
        <v>22899.200000000001</v>
      </c>
      <c r="AN30" s="145">
        <v>22899.200000000001</v>
      </c>
      <c r="AO30" s="145">
        <v>0</v>
      </c>
      <c r="AP30" s="145">
        <v>0</v>
      </c>
      <c r="AQ30" s="145">
        <v>0</v>
      </c>
      <c r="AR30" s="145">
        <v>0</v>
      </c>
      <c r="AS30" s="145">
        <f t="shared" si="19"/>
        <v>457983.80000000005</v>
      </c>
      <c r="AT30" s="145"/>
      <c r="AU30" s="139">
        <f t="shared" si="20"/>
        <v>457983.80000000005</v>
      </c>
      <c r="AV30" s="146">
        <f>IFERROR(VLOOKUP(J30,Maksājumu_pieprasījumu_iesn.!G:BL,57,0),0)</f>
        <v>0</v>
      </c>
      <c r="AW30" s="139">
        <f t="shared" si="23"/>
        <v>-457983.80000000005</v>
      </c>
      <c r="AX30" s="153"/>
      <c r="AY30" s="153"/>
      <c r="AZ30" s="153"/>
      <c r="BA30" s="154"/>
      <c r="BB30" s="145"/>
      <c r="BC30" s="145"/>
      <c r="BD30" s="145"/>
      <c r="BE30" s="145"/>
      <c r="BF30" s="145"/>
      <c r="BG30" s="145"/>
      <c r="BH30" s="138"/>
      <c r="BI30" s="138"/>
      <c r="BJ30" s="138"/>
      <c r="BK30" s="138"/>
      <c r="BL30" s="138"/>
      <c r="BM30" s="138"/>
      <c r="BN30" s="138"/>
    </row>
    <row r="31" spans="1:66" s="91" customFormat="1" ht="51" hidden="1" customHeight="1" x14ac:dyDescent="0.2">
      <c r="A31" s="131" t="s">
        <v>1019</v>
      </c>
      <c r="B31" s="132" t="s">
        <v>0</v>
      </c>
      <c r="C31" s="132" t="s">
        <v>1059</v>
      </c>
      <c r="D31" s="133" t="s">
        <v>1060</v>
      </c>
      <c r="E31" s="22"/>
      <c r="F31" s="22" t="s">
        <v>4</v>
      </c>
      <c r="G31" s="22" t="s">
        <v>5</v>
      </c>
      <c r="H31" s="22" t="s">
        <v>3</v>
      </c>
      <c r="I31" s="22" t="s">
        <v>1022</v>
      </c>
      <c r="J31" s="134" t="s">
        <v>1026</v>
      </c>
      <c r="K31" s="133"/>
      <c r="L31" s="133"/>
      <c r="M31" s="133"/>
      <c r="N31" s="133"/>
      <c r="O31" s="135"/>
      <c r="P31" s="135"/>
      <c r="Q31" s="135"/>
      <c r="R31" s="135"/>
      <c r="S31" s="136">
        <v>14229583</v>
      </c>
      <c r="T31" s="136">
        <v>4954696</v>
      </c>
      <c r="U31" s="137">
        <f>SUM(U32:U33)</f>
        <v>0</v>
      </c>
      <c r="V31" s="137">
        <f>SUM(V32:V33)</f>
        <v>0</v>
      </c>
      <c r="W31" s="137">
        <f>SUM(W32:W33)</f>
        <v>0</v>
      </c>
      <c r="X31" s="145">
        <f t="shared" si="24"/>
        <v>0</v>
      </c>
      <c r="Y31" s="137">
        <f t="shared" ref="Y31:AF31" si="26">SUM(Y32:Y33)</f>
        <v>0</v>
      </c>
      <c r="Z31" s="137">
        <f t="shared" si="26"/>
        <v>0</v>
      </c>
      <c r="AA31" s="137">
        <f t="shared" si="26"/>
        <v>0</v>
      </c>
      <c r="AB31" s="137">
        <f t="shared" si="26"/>
        <v>0</v>
      </c>
      <c r="AC31" s="137">
        <f t="shared" si="26"/>
        <v>0</v>
      </c>
      <c r="AD31" s="137">
        <f t="shared" si="26"/>
        <v>0</v>
      </c>
      <c r="AE31" s="137">
        <f t="shared" si="26"/>
        <v>0</v>
      </c>
      <c r="AF31" s="137">
        <f t="shared" si="26"/>
        <v>0</v>
      </c>
      <c r="AG31" s="137">
        <f t="shared" ref="AG31:AR31" si="27">SUM(AG32:AG33)</f>
        <v>0</v>
      </c>
      <c r="AH31" s="137">
        <f t="shared" si="27"/>
        <v>0</v>
      </c>
      <c r="AI31" s="137">
        <f t="shared" si="27"/>
        <v>0</v>
      </c>
      <c r="AJ31" s="137">
        <f t="shared" si="27"/>
        <v>0</v>
      </c>
      <c r="AK31" s="137">
        <f t="shared" si="27"/>
        <v>0</v>
      </c>
      <c r="AL31" s="137">
        <f t="shared" si="27"/>
        <v>0</v>
      </c>
      <c r="AM31" s="137">
        <f t="shared" si="27"/>
        <v>0</v>
      </c>
      <c r="AN31" s="137">
        <f t="shared" si="27"/>
        <v>0</v>
      </c>
      <c r="AO31" s="137">
        <f t="shared" si="27"/>
        <v>0</v>
      </c>
      <c r="AP31" s="137">
        <f t="shared" si="27"/>
        <v>0</v>
      </c>
      <c r="AQ31" s="137">
        <f t="shared" si="27"/>
        <v>0</v>
      </c>
      <c r="AR31" s="137">
        <f t="shared" si="27"/>
        <v>0</v>
      </c>
      <c r="AS31" s="137">
        <f t="shared" si="19"/>
        <v>0</v>
      </c>
      <c r="AT31" s="137">
        <f>SUM(AT32:AT33)</f>
        <v>0</v>
      </c>
      <c r="AU31" s="139">
        <f t="shared" si="20"/>
        <v>0</v>
      </c>
      <c r="AV31" s="146">
        <f>IFERROR(VLOOKUP(J31,Maksājumu_pieprasījumu_iesn.!G:BL,57,0),0)</f>
        <v>0</v>
      </c>
      <c r="AW31" s="139">
        <f t="shared" si="23"/>
        <v>0</v>
      </c>
      <c r="AX31" s="140">
        <f>S31-T31-AU31</f>
        <v>9274887</v>
      </c>
      <c r="AY31" s="137">
        <v>9274887</v>
      </c>
      <c r="AZ31" s="137"/>
      <c r="BA31" s="141" t="s">
        <v>1061</v>
      </c>
      <c r="BB31" s="140"/>
      <c r="BC31" s="140">
        <f>X31+AK31+AL31/2</f>
        <v>0</v>
      </c>
      <c r="BD31" s="140"/>
      <c r="BE31" s="140">
        <f>BC31/0.85</f>
        <v>0</v>
      </c>
      <c r="BF31" s="137"/>
      <c r="BG31" s="137"/>
      <c r="BH31" s="138">
        <v>0</v>
      </c>
      <c r="BI31" s="138">
        <v>1409739</v>
      </c>
      <c r="BJ31" s="138"/>
      <c r="BK31" s="138"/>
      <c r="BL31" s="138">
        <v>2455506</v>
      </c>
      <c r="BM31" s="138"/>
      <c r="BN31" s="138"/>
    </row>
    <row r="32" spans="1:66" s="91" customFormat="1" ht="25.5" hidden="1" customHeight="1" x14ac:dyDescent="0.2">
      <c r="A32" s="150" t="s">
        <v>1019</v>
      </c>
      <c r="B32" s="18" t="s">
        <v>0</v>
      </c>
      <c r="C32" s="18" t="s">
        <v>1059</v>
      </c>
      <c r="D32" s="19" t="s">
        <v>1060</v>
      </c>
      <c r="E32" s="55">
        <v>1</v>
      </c>
      <c r="F32" s="55" t="s">
        <v>4</v>
      </c>
      <c r="G32" s="55" t="s">
        <v>5</v>
      </c>
      <c r="H32" s="55" t="s">
        <v>3</v>
      </c>
      <c r="I32" s="55"/>
      <c r="J32" s="55"/>
      <c r="K32" s="19" t="s">
        <v>311</v>
      </c>
      <c r="L32" s="19" t="s">
        <v>891</v>
      </c>
      <c r="M32" s="19" t="s">
        <v>4</v>
      </c>
      <c r="N32" s="19"/>
      <c r="O32" s="151"/>
      <c r="P32" s="151"/>
      <c r="Q32" s="151"/>
      <c r="R32" s="151"/>
      <c r="S32" s="152"/>
      <c r="T32" s="152"/>
      <c r="U32" s="145">
        <v>0</v>
      </c>
      <c r="V32" s="145">
        <v>0</v>
      </c>
      <c r="W32" s="145">
        <v>0</v>
      </c>
      <c r="X32" s="145">
        <f t="shared" si="24"/>
        <v>0</v>
      </c>
      <c r="Y32" s="145">
        <v>0</v>
      </c>
      <c r="Z32" s="145">
        <v>0</v>
      </c>
      <c r="AA32" s="145">
        <v>0</v>
      </c>
      <c r="AB32" s="145">
        <v>0</v>
      </c>
      <c r="AC32" s="145">
        <v>0</v>
      </c>
      <c r="AD32" s="145">
        <v>0</v>
      </c>
      <c r="AE32" s="145">
        <v>0</v>
      </c>
      <c r="AF32" s="145">
        <v>0</v>
      </c>
      <c r="AG32" s="145">
        <v>0</v>
      </c>
      <c r="AH32" s="145">
        <v>0</v>
      </c>
      <c r="AI32" s="145">
        <v>0</v>
      </c>
      <c r="AJ32" s="145">
        <v>0</v>
      </c>
      <c r="AK32" s="145">
        <f>SUM(Y32:AJ32)</f>
        <v>0</v>
      </c>
      <c r="AL32" s="145">
        <v>0</v>
      </c>
      <c r="AM32" s="145">
        <v>0</v>
      </c>
      <c r="AN32" s="145">
        <v>0</v>
      </c>
      <c r="AO32" s="145">
        <v>0</v>
      </c>
      <c r="AP32" s="145">
        <v>0</v>
      </c>
      <c r="AQ32" s="145">
        <v>0</v>
      </c>
      <c r="AR32" s="145">
        <v>0</v>
      </c>
      <c r="AS32" s="145">
        <f t="shared" si="19"/>
        <v>0</v>
      </c>
      <c r="AT32" s="145"/>
      <c r="AU32" s="139">
        <f t="shared" si="20"/>
        <v>0</v>
      </c>
      <c r="AV32" s="146">
        <f>IFERROR(VLOOKUP(J32,Maksājumu_pieprasījumu_iesn.!G:BL,57,0),0)</f>
        <v>0</v>
      </c>
      <c r="AW32" s="139">
        <f t="shared" si="23"/>
        <v>0</v>
      </c>
      <c r="AX32" s="153"/>
      <c r="AY32" s="153"/>
      <c r="AZ32" s="153"/>
      <c r="BA32" s="154"/>
      <c r="BB32" s="145"/>
      <c r="BC32" s="145"/>
      <c r="BD32" s="145"/>
      <c r="BE32" s="145"/>
      <c r="BF32" s="145"/>
      <c r="BG32" s="145"/>
      <c r="BH32" s="138"/>
      <c r="BI32" s="138"/>
      <c r="BJ32" s="138"/>
      <c r="BK32" s="138"/>
      <c r="BL32" s="138"/>
      <c r="BM32" s="138"/>
      <c r="BN32" s="138"/>
    </row>
    <row r="33" spans="1:66" s="91" customFormat="1" ht="25.5" hidden="1" customHeight="1" x14ac:dyDescent="0.2">
      <c r="A33" s="150" t="s">
        <v>1019</v>
      </c>
      <c r="B33" s="18" t="s">
        <v>0</v>
      </c>
      <c r="C33" s="18" t="s">
        <v>1059</v>
      </c>
      <c r="D33" s="19" t="s">
        <v>1060</v>
      </c>
      <c r="E33" s="55">
        <v>1</v>
      </c>
      <c r="F33" s="55" t="s">
        <v>4</v>
      </c>
      <c r="G33" s="55" t="s">
        <v>5</v>
      </c>
      <c r="H33" s="55" t="s">
        <v>3</v>
      </c>
      <c r="I33" s="55"/>
      <c r="J33" s="55"/>
      <c r="K33" s="19" t="s">
        <v>7</v>
      </c>
      <c r="L33" s="19" t="s">
        <v>891</v>
      </c>
      <c r="M33" s="19" t="s">
        <v>4</v>
      </c>
      <c r="N33" s="19"/>
      <c r="O33" s="151"/>
      <c r="P33" s="151"/>
      <c r="Q33" s="151"/>
      <c r="R33" s="151"/>
      <c r="S33" s="152"/>
      <c r="T33" s="152"/>
      <c r="U33" s="145">
        <v>0</v>
      </c>
      <c r="V33" s="145">
        <v>0</v>
      </c>
      <c r="W33" s="145">
        <v>0</v>
      </c>
      <c r="X33" s="145">
        <f t="shared" si="24"/>
        <v>0</v>
      </c>
      <c r="Y33" s="145">
        <v>0</v>
      </c>
      <c r="Z33" s="145">
        <v>0</v>
      </c>
      <c r="AA33" s="145">
        <v>0</v>
      </c>
      <c r="AB33" s="145">
        <v>0</v>
      </c>
      <c r="AC33" s="145">
        <v>0</v>
      </c>
      <c r="AD33" s="145">
        <v>0</v>
      </c>
      <c r="AE33" s="145">
        <v>0</v>
      </c>
      <c r="AF33" s="145">
        <v>0</v>
      </c>
      <c r="AG33" s="145">
        <v>0</v>
      </c>
      <c r="AH33" s="145">
        <v>0</v>
      </c>
      <c r="AI33" s="145">
        <v>0</v>
      </c>
      <c r="AJ33" s="145">
        <v>0</v>
      </c>
      <c r="AK33" s="145">
        <f>SUM(Y33:AJ33)</f>
        <v>0</v>
      </c>
      <c r="AL33" s="145">
        <v>0</v>
      </c>
      <c r="AM33" s="145">
        <v>0</v>
      </c>
      <c r="AN33" s="145">
        <v>0</v>
      </c>
      <c r="AO33" s="145">
        <v>0</v>
      </c>
      <c r="AP33" s="145">
        <v>0</v>
      </c>
      <c r="AQ33" s="145">
        <v>0</v>
      </c>
      <c r="AR33" s="145">
        <v>0</v>
      </c>
      <c r="AS33" s="145">
        <f t="shared" si="19"/>
        <v>0</v>
      </c>
      <c r="AT33" s="145"/>
      <c r="AU33" s="139">
        <f t="shared" si="20"/>
        <v>0</v>
      </c>
      <c r="AV33" s="146">
        <f>IFERROR(VLOOKUP(J33,Maksājumu_pieprasījumu_iesn.!G:BL,57,0),0)</f>
        <v>0</v>
      </c>
      <c r="AW33" s="139">
        <f t="shared" si="23"/>
        <v>0</v>
      </c>
      <c r="AX33" s="153"/>
      <c r="AY33" s="153"/>
      <c r="AZ33" s="153"/>
      <c r="BA33" s="154"/>
      <c r="BB33" s="145"/>
      <c r="BC33" s="145"/>
      <c r="BD33" s="145"/>
      <c r="BE33" s="145"/>
      <c r="BF33" s="145"/>
      <c r="BG33" s="145"/>
      <c r="BH33" s="138"/>
      <c r="BI33" s="138"/>
      <c r="BJ33" s="138"/>
      <c r="BK33" s="138"/>
      <c r="BL33" s="138"/>
      <c r="BM33" s="138"/>
      <c r="BN33" s="138"/>
    </row>
    <row r="34" spans="1:66" s="91" customFormat="1" ht="51" hidden="1" customHeight="1" x14ac:dyDescent="0.2">
      <c r="A34" s="131" t="s">
        <v>1019</v>
      </c>
      <c r="B34" s="132" t="s">
        <v>0</v>
      </c>
      <c r="C34" s="132" t="s">
        <v>1059</v>
      </c>
      <c r="D34" s="133" t="s">
        <v>1060</v>
      </c>
      <c r="E34" s="22">
        <v>3</v>
      </c>
      <c r="F34" s="22" t="s">
        <v>4</v>
      </c>
      <c r="G34" s="22" t="s">
        <v>5</v>
      </c>
      <c r="H34" s="22" t="s">
        <v>3</v>
      </c>
      <c r="I34" s="22" t="s">
        <v>1022</v>
      </c>
      <c r="J34" s="134" t="s">
        <v>1026</v>
      </c>
      <c r="K34" s="133"/>
      <c r="L34" s="133"/>
      <c r="M34" s="133"/>
      <c r="N34" s="133"/>
      <c r="O34" s="135"/>
      <c r="P34" s="135"/>
      <c r="Q34" s="135"/>
      <c r="R34" s="135"/>
      <c r="S34" s="136">
        <v>7905000</v>
      </c>
      <c r="T34" s="136">
        <v>3825000</v>
      </c>
      <c r="U34" s="137">
        <f t="shared" ref="U34:W35" si="28">SUM(U35:U52)</f>
        <v>0</v>
      </c>
      <c r="V34" s="137">
        <f t="shared" si="28"/>
        <v>0</v>
      </c>
      <c r="W34" s="137">
        <f t="shared" si="28"/>
        <v>0</v>
      </c>
      <c r="X34" s="145">
        <f t="shared" si="24"/>
        <v>0</v>
      </c>
      <c r="Y34" s="137">
        <f t="shared" ref="Y34:AF35" si="29">SUM(Y35:Y52)</f>
        <v>0</v>
      </c>
      <c r="Z34" s="137">
        <f t="shared" si="29"/>
        <v>0</v>
      </c>
      <c r="AA34" s="137">
        <f t="shared" si="29"/>
        <v>0</v>
      </c>
      <c r="AB34" s="137">
        <f t="shared" si="29"/>
        <v>0</v>
      </c>
      <c r="AC34" s="137">
        <f t="shared" si="29"/>
        <v>0</v>
      </c>
      <c r="AD34" s="137">
        <f t="shared" si="29"/>
        <v>0</v>
      </c>
      <c r="AE34" s="137">
        <f t="shared" si="29"/>
        <v>0</v>
      </c>
      <c r="AF34" s="137">
        <f t="shared" si="29"/>
        <v>0</v>
      </c>
      <c r="AG34" s="137">
        <f t="shared" ref="AG34:AR35" si="30">SUM(AG35:AG52)</f>
        <v>0</v>
      </c>
      <c r="AH34" s="137">
        <f t="shared" si="30"/>
        <v>0</v>
      </c>
      <c r="AI34" s="137">
        <f t="shared" si="30"/>
        <v>0</v>
      </c>
      <c r="AJ34" s="137">
        <f t="shared" si="30"/>
        <v>0</v>
      </c>
      <c r="AK34" s="137">
        <f t="shared" si="30"/>
        <v>0</v>
      </c>
      <c r="AL34" s="137">
        <f t="shared" si="30"/>
        <v>0</v>
      </c>
      <c r="AM34" s="137">
        <f t="shared" si="30"/>
        <v>0</v>
      </c>
      <c r="AN34" s="137">
        <f t="shared" si="30"/>
        <v>0</v>
      </c>
      <c r="AO34" s="137">
        <f t="shared" si="30"/>
        <v>0</v>
      </c>
      <c r="AP34" s="137">
        <f t="shared" si="30"/>
        <v>0</v>
      </c>
      <c r="AQ34" s="137">
        <f t="shared" si="30"/>
        <v>0</v>
      </c>
      <c r="AR34" s="137">
        <f t="shared" si="30"/>
        <v>0</v>
      </c>
      <c r="AS34" s="137">
        <f t="shared" si="19"/>
        <v>0</v>
      </c>
      <c r="AT34" s="137">
        <v>0</v>
      </c>
      <c r="AU34" s="139">
        <f t="shared" si="20"/>
        <v>0</v>
      </c>
      <c r="AV34" s="146">
        <f>IFERROR(VLOOKUP(J34,Maksājumu_pieprasījumu_iesn.!G:BL,57,0),0)</f>
        <v>0</v>
      </c>
      <c r="AW34" s="139">
        <f t="shared" si="23"/>
        <v>0</v>
      </c>
      <c r="AX34" s="140">
        <f>S34-T34-AU34</f>
        <v>4080000</v>
      </c>
      <c r="AY34" s="137">
        <v>4080000</v>
      </c>
      <c r="AZ34" s="137"/>
      <c r="BA34" s="141" t="s">
        <v>1062</v>
      </c>
      <c r="BB34" s="140"/>
      <c r="BC34" s="140">
        <f>X34+AK34+AL34/2</f>
        <v>0</v>
      </c>
      <c r="BD34" s="140"/>
      <c r="BE34" s="140">
        <f>BC34/0.85</f>
        <v>0</v>
      </c>
      <c r="BF34" s="137"/>
      <c r="BG34" s="137"/>
      <c r="BH34" s="138">
        <v>0</v>
      </c>
      <c r="BI34" s="138">
        <v>0</v>
      </c>
      <c r="BJ34" s="138"/>
      <c r="BK34" s="138"/>
      <c r="BL34" s="138">
        <v>0</v>
      </c>
      <c r="BM34" s="138"/>
      <c r="BN34" s="138"/>
    </row>
    <row r="35" spans="1:66" s="91" customFormat="1" ht="51" hidden="1" customHeight="1" x14ac:dyDescent="0.2">
      <c r="A35" s="131" t="s">
        <v>1019</v>
      </c>
      <c r="B35" s="132" t="s">
        <v>0</v>
      </c>
      <c r="C35" s="132" t="s">
        <v>1059</v>
      </c>
      <c r="D35" s="133" t="s">
        <v>1060</v>
      </c>
      <c r="E35" s="22">
        <v>2</v>
      </c>
      <c r="F35" s="22" t="s">
        <v>4</v>
      </c>
      <c r="G35" s="22" t="s">
        <v>5</v>
      </c>
      <c r="H35" s="22" t="s">
        <v>3</v>
      </c>
      <c r="I35" s="22" t="s">
        <v>1022</v>
      </c>
      <c r="J35" s="134" t="s">
        <v>1026</v>
      </c>
      <c r="K35" s="133"/>
      <c r="L35" s="133"/>
      <c r="M35" s="133"/>
      <c r="N35" s="133"/>
      <c r="O35" s="135"/>
      <c r="P35" s="135"/>
      <c r="Q35" s="135"/>
      <c r="R35" s="135"/>
      <c r="S35" s="136">
        <v>5535285</v>
      </c>
      <c r="T35" s="136">
        <v>293010</v>
      </c>
      <c r="U35" s="137">
        <f t="shared" si="28"/>
        <v>0</v>
      </c>
      <c r="V35" s="137">
        <f t="shared" si="28"/>
        <v>0</v>
      </c>
      <c r="W35" s="137">
        <f t="shared" si="28"/>
        <v>0</v>
      </c>
      <c r="X35" s="145">
        <f t="shared" si="24"/>
        <v>0</v>
      </c>
      <c r="Y35" s="137">
        <f t="shared" si="29"/>
        <v>0</v>
      </c>
      <c r="Z35" s="137">
        <f t="shared" si="29"/>
        <v>0</v>
      </c>
      <c r="AA35" s="137">
        <f t="shared" si="29"/>
        <v>0</v>
      </c>
      <c r="AB35" s="137">
        <f t="shared" si="29"/>
        <v>0</v>
      </c>
      <c r="AC35" s="137">
        <f t="shared" si="29"/>
        <v>0</v>
      </c>
      <c r="AD35" s="137">
        <f t="shared" si="29"/>
        <v>0</v>
      </c>
      <c r="AE35" s="137">
        <f t="shared" si="29"/>
        <v>0</v>
      </c>
      <c r="AF35" s="137">
        <f t="shared" si="29"/>
        <v>0</v>
      </c>
      <c r="AG35" s="137">
        <f t="shared" si="30"/>
        <v>0</v>
      </c>
      <c r="AH35" s="137">
        <f t="shared" si="30"/>
        <v>0</v>
      </c>
      <c r="AI35" s="137">
        <f t="shared" si="30"/>
        <v>0</v>
      </c>
      <c r="AJ35" s="137">
        <f t="shared" si="30"/>
        <v>0</v>
      </c>
      <c r="AK35" s="137">
        <f t="shared" si="30"/>
        <v>0</v>
      </c>
      <c r="AL35" s="137">
        <f t="shared" si="30"/>
        <v>0</v>
      </c>
      <c r="AM35" s="137">
        <f t="shared" si="30"/>
        <v>0</v>
      </c>
      <c r="AN35" s="137">
        <f t="shared" si="30"/>
        <v>0</v>
      </c>
      <c r="AO35" s="137">
        <f t="shared" si="30"/>
        <v>0</v>
      </c>
      <c r="AP35" s="137">
        <f t="shared" si="30"/>
        <v>0</v>
      </c>
      <c r="AQ35" s="137">
        <f t="shared" si="30"/>
        <v>0</v>
      </c>
      <c r="AR35" s="137">
        <f t="shared" si="30"/>
        <v>0</v>
      </c>
      <c r="AS35" s="137">
        <f t="shared" si="19"/>
        <v>0</v>
      </c>
      <c r="AT35" s="137">
        <f>SUM(AT36:AT53)</f>
        <v>0</v>
      </c>
      <c r="AU35" s="139">
        <f t="shared" si="20"/>
        <v>0</v>
      </c>
      <c r="AV35" s="146">
        <f>IFERROR(VLOOKUP(J35,Maksājumu_pieprasījumu_iesn.!G:BL,57,0),0)</f>
        <v>0</v>
      </c>
      <c r="AW35" s="139">
        <f t="shared" si="23"/>
        <v>0</v>
      </c>
      <c r="AX35" s="140">
        <f>S35-T35-AU35</f>
        <v>5242275</v>
      </c>
      <c r="AY35" s="137">
        <v>5242275</v>
      </c>
      <c r="AZ35" s="137"/>
      <c r="BA35" s="141" t="s">
        <v>1062</v>
      </c>
      <c r="BB35" s="140"/>
      <c r="BC35" s="140">
        <f>X35+AK35+AL35/2</f>
        <v>0</v>
      </c>
      <c r="BD35" s="140"/>
      <c r="BE35" s="140">
        <f>BC35/0.85</f>
        <v>0</v>
      </c>
      <c r="BF35" s="137"/>
      <c r="BG35" s="137"/>
      <c r="BH35" s="138">
        <v>0</v>
      </c>
      <c r="BI35" s="138">
        <v>0</v>
      </c>
      <c r="BJ35" s="138"/>
      <c r="BK35" s="138"/>
      <c r="BL35" s="138">
        <v>0</v>
      </c>
      <c r="BM35" s="138"/>
      <c r="BN35" s="138"/>
    </row>
    <row r="36" spans="1:66" s="91" customFormat="1" ht="51" hidden="1" customHeight="1" x14ac:dyDescent="0.2">
      <c r="A36" s="150" t="s">
        <v>1019</v>
      </c>
      <c r="B36" s="18" t="s">
        <v>0</v>
      </c>
      <c r="C36" s="18" t="s">
        <v>1059</v>
      </c>
      <c r="D36" s="19" t="s">
        <v>1060</v>
      </c>
      <c r="E36" s="55">
        <v>2</v>
      </c>
      <c r="F36" s="55" t="s">
        <v>4</v>
      </c>
      <c r="G36" s="55" t="s">
        <v>5</v>
      </c>
      <c r="H36" s="55" t="s">
        <v>3</v>
      </c>
      <c r="I36" s="55"/>
      <c r="J36" s="55"/>
      <c r="K36" s="19" t="s">
        <v>1063</v>
      </c>
      <c r="L36" s="19" t="s">
        <v>891</v>
      </c>
      <c r="M36" s="19" t="s">
        <v>4</v>
      </c>
      <c r="N36" s="19"/>
      <c r="O36" s="151"/>
      <c r="P36" s="151"/>
      <c r="Q36" s="151"/>
      <c r="R36" s="151"/>
      <c r="S36" s="152"/>
      <c r="T36" s="152"/>
      <c r="U36" s="145">
        <v>0</v>
      </c>
      <c r="V36" s="145">
        <v>0</v>
      </c>
      <c r="W36" s="145">
        <v>0</v>
      </c>
      <c r="X36" s="145">
        <f t="shared" si="24"/>
        <v>0</v>
      </c>
      <c r="Y36" s="145">
        <v>0</v>
      </c>
      <c r="Z36" s="145">
        <v>0</v>
      </c>
      <c r="AA36" s="145">
        <v>0</v>
      </c>
      <c r="AB36" s="145">
        <v>0</v>
      </c>
      <c r="AC36" s="145">
        <v>0</v>
      </c>
      <c r="AD36" s="145">
        <v>0</v>
      </c>
      <c r="AE36" s="145">
        <v>0</v>
      </c>
      <c r="AF36" s="145">
        <v>0</v>
      </c>
      <c r="AG36" s="145">
        <v>0</v>
      </c>
      <c r="AH36" s="145">
        <v>0</v>
      </c>
      <c r="AI36" s="145">
        <v>0</v>
      </c>
      <c r="AJ36" s="145">
        <v>0</v>
      </c>
      <c r="AK36" s="145">
        <f t="shared" ref="AK36:AK53" si="31">SUM(Y36:AJ36)</f>
        <v>0</v>
      </c>
      <c r="AL36" s="145">
        <v>0</v>
      </c>
      <c r="AM36" s="145">
        <v>0</v>
      </c>
      <c r="AN36" s="145">
        <v>0</v>
      </c>
      <c r="AO36" s="145">
        <v>0</v>
      </c>
      <c r="AP36" s="145">
        <v>0</v>
      </c>
      <c r="AQ36" s="145">
        <v>0</v>
      </c>
      <c r="AR36" s="145">
        <v>0</v>
      </c>
      <c r="AS36" s="145">
        <f t="shared" si="19"/>
        <v>0</v>
      </c>
      <c r="AT36" s="145"/>
      <c r="AU36" s="139">
        <f t="shared" si="20"/>
        <v>0</v>
      </c>
      <c r="AV36" s="146">
        <f>IFERROR(VLOOKUP(J36,Maksājumu_pieprasījumu_iesn.!G:BL,57,0),0)</f>
        <v>0</v>
      </c>
      <c r="AW36" s="139">
        <f t="shared" si="23"/>
        <v>0</v>
      </c>
      <c r="AX36" s="153"/>
      <c r="AY36" s="153"/>
      <c r="AZ36" s="153"/>
      <c r="BA36" s="154"/>
      <c r="BB36" s="145"/>
      <c r="BC36" s="145"/>
      <c r="BD36" s="145"/>
      <c r="BE36" s="145"/>
      <c r="BF36" s="145"/>
      <c r="BG36" s="145"/>
      <c r="BH36" s="138"/>
      <c r="BI36" s="138"/>
      <c r="BJ36" s="138"/>
      <c r="BK36" s="138"/>
      <c r="BL36" s="138"/>
      <c r="BM36" s="138"/>
      <c r="BN36" s="138"/>
    </row>
    <row r="37" spans="1:66" s="91" customFormat="1" ht="25.5" hidden="1" customHeight="1" x14ac:dyDescent="0.2">
      <c r="A37" s="150" t="s">
        <v>1019</v>
      </c>
      <c r="B37" s="18" t="s">
        <v>0</v>
      </c>
      <c r="C37" s="18" t="s">
        <v>1059</v>
      </c>
      <c r="D37" s="19" t="s">
        <v>1060</v>
      </c>
      <c r="E37" s="55">
        <v>2</v>
      </c>
      <c r="F37" s="55" t="s">
        <v>4</v>
      </c>
      <c r="G37" s="55" t="s">
        <v>5</v>
      </c>
      <c r="H37" s="55" t="s">
        <v>3</v>
      </c>
      <c r="I37" s="55"/>
      <c r="J37" s="55"/>
      <c r="K37" s="19" t="s">
        <v>1032</v>
      </c>
      <c r="L37" s="19" t="s">
        <v>891</v>
      </c>
      <c r="M37" s="19" t="s">
        <v>4</v>
      </c>
      <c r="N37" s="19"/>
      <c r="O37" s="151"/>
      <c r="P37" s="151"/>
      <c r="Q37" s="151"/>
      <c r="R37" s="151"/>
      <c r="S37" s="152"/>
      <c r="T37" s="152"/>
      <c r="U37" s="145">
        <v>0</v>
      </c>
      <c r="V37" s="145">
        <v>0</v>
      </c>
      <c r="W37" s="145">
        <v>0</v>
      </c>
      <c r="X37" s="145">
        <f t="shared" si="24"/>
        <v>0</v>
      </c>
      <c r="Y37" s="145">
        <v>0</v>
      </c>
      <c r="Z37" s="145">
        <v>0</v>
      </c>
      <c r="AA37" s="145">
        <v>0</v>
      </c>
      <c r="AB37" s="145">
        <v>0</v>
      </c>
      <c r="AC37" s="145">
        <v>0</v>
      </c>
      <c r="AD37" s="145">
        <v>0</v>
      </c>
      <c r="AE37" s="145">
        <v>0</v>
      </c>
      <c r="AF37" s="145">
        <v>0</v>
      </c>
      <c r="AG37" s="145">
        <v>0</v>
      </c>
      <c r="AH37" s="145">
        <v>0</v>
      </c>
      <c r="AI37" s="145">
        <v>0</v>
      </c>
      <c r="AJ37" s="145">
        <v>0</v>
      </c>
      <c r="AK37" s="145">
        <f t="shared" si="31"/>
        <v>0</v>
      </c>
      <c r="AL37" s="145">
        <v>0</v>
      </c>
      <c r="AM37" s="145">
        <v>0</v>
      </c>
      <c r="AN37" s="145">
        <v>0</v>
      </c>
      <c r="AO37" s="145">
        <v>0</v>
      </c>
      <c r="AP37" s="145">
        <v>0</v>
      </c>
      <c r="AQ37" s="145">
        <v>0</v>
      </c>
      <c r="AR37" s="145">
        <v>0</v>
      </c>
      <c r="AS37" s="145">
        <f t="shared" si="19"/>
        <v>0</v>
      </c>
      <c r="AT37" s="145"/>
      <c r="AU37" s="139">
        <f t="shared" si="20"/>
        <v>0</v>
      </c>
      <c r="AV37" s="146">
        <f>IFERROR(VLOOKUP(J37,Maksājumu_pieprasījumu_iesn.!G:BL,57,0),0)</f>
        <v>0</v>
      </c>
      <c r="AW37" s="139">
        <f t="shared" si="23"/>
        <v>0</v>
      </c>
      <c r="AX37" s="153"/>
      <c r="AY37" s="153"/>
      <c r="AZ37" s="153"/>
      <c r="BA37" s="154"/>
      <c r="BB37" s="145"/>
      <c r="BC37" s="145"/>
      <c r="BD37" s="145"/>
      <c r="BE37" s="145"/>
      <c r="BF37" s="145"/>
      <c r="BG37" s="145"/>
      <c r="BH37" s="138"/>
      <c r="BI37" s="138"/>
      <c r="BJ37" s="138"/>
      <c r="BK37" s="138"/>
      <c r="BL37" s="138"/>
      <c r="BM37" s="138"/>
      <c r="BN37" s="138"/>
    </row>
    <row r="38" spans="1:66" s="91" customFormat="1" ht="25.5" hidden="1" customHeight="1" x14ac:dyDescent="0.2">
      <c r="A38" s="150" t="s">
        <v>1019</v>
      </c>
      <c r="B38" s="18" t="s">
        <v>0</v>
      </c>
      <c r="C38" s="18" t="s">
        <v>1059</v>
      </c>
      <c r="D38" s="19" t="s">
        <v>1060</v>
      </c>
      <c r="E38" s="55">
        <v>2</v>
      </c>
      <c r="F38" s="55" t="s">
        <v>4</v>
      </c>
      <c r="G38" s="55" t="s">
        <v>5</v>
      </c>
      <c r="H38" s="55" t="s">
        <v>3</v>
      </c>
      <c r="I38" s="55"/>
      <c r="J38" s="55"/>
      <c r="K38" s="19" t="s">
        <v>1064</v>
      </c>
      <c r="L38" s="19" t="s">
        <v>891</v>
      </c>
      <c r="M38" s="19" t="s">
        <v>807</v>
      </c>
      <c r="N38" s="19"/>
      <c r="O38" s="151"/>
      <c r="P38" s="151"/>
      <c r="Q38" s="151"/>
      <c r="R38" s="151"/>
      <c r="S38" s="152"/>
      <c r="T38" s="152"/>
      <c r="U38" s="145">
        <v>0</v>
      </c>
      <c r="V38" s="145">
        <v>0</v>
      </c>
      <c r="W38" s="145">
        <v>0</v>
      </c>
      <c r="X38" s="145">
        <f t="shared" si="24"/>
        <v>0</v>
      </c>
      <c r="Y38" s="145">
        <v>0</v>
      </c>
      <c r="Z38" s="145">
        <v>0</v>
      </c>
      <c r="AA38" s="145">
        <v>0</v>
      </c>
      <c r="AB38" s="145">
        <v>0</v>
      </c>
      <c r="AC38" s="145">
        <v>0</v>
      </c>
      <c r="AD38" s="145">
        <v>0</v>
      </c>
      <c r="AE38" s="145">
        <v>0</v>
      </c>
      <c r="AF38" s="145">
        <v>0</v>
      </c>
      <c r="AG38" s="145">
        <v>0</v>
      </c>
      <c r="AH38" s="145">
        <v>0</v>
      </c>
      <c r="AI38" s="145">
        <v>0</v>
      </c>
      <c r="AJ38" s="145">
        <v>0</v>
      </c>
      <c r="AK38" s="145">
        <f t="shared" si="31"/>
        <v>0</v>
      </c>
      <c r="AL38" s="145">
        <v>0</v>
      </c>
      <c r="AM38" s="145">
        <v>0</v>
      </c>
      <c r="AN38" s="145">
        <v>0</v>
      </c>
      <c r="AO38" s="145">
        <v>0</v>
      </c>
      <c r="AP38" s="145">
        <v>0</v>
      </c>
      <c r="AQ38" s="145">
        <v>0</v>
      </c>
      <c r="AR38" s="145">
        <v>0</v>
      </c>
      <c r="AS38" s="145">
        <f t="shared" si="19"/>
        <v>0</v>
      </c>
      <c r="AT38" s="145"/>
      <c r="AU38" s="139">
        <f t="shared" si="20"/>
        <v>0</v>
      </c>
      <c r="AV38" s="146">
        <f>IFERROR(VLOOKUP(J38,Maksājumu_pieprasījumu_iesn.!G:BL,57,0),0)</f>
        <v>0</v>
      </c>
      <c r="AW38" s="139">
        <f t="shared" si="23"/>
        <v>0</v>
      </c>
      <c r="AX38" s="153"/>
      <c r="AY38" s="153"/>
      <c r="AZ38" s="153"/>
      <c r="BA38" s="154"/>
      <c r="BB38" s="145"/>
      <c r="BC38" s="145"/>
      <c r="BD38" s="145"/>
      <c r="BE38" s="145"/>
      <c r="BF38" s="145"/>
      <c r="BG38" s="145"/>
      <c r="BH38" s="138"/>
      <c r="BI38" s="138"/>
      <c r="BJ38" s="138"/>
      <c r="BK38" s="138"/>
      <c r="BL38" s="138"/>
      <c r="BM38" s="138"/>
      <c r="BN38" s="138"/>
    </row>
    <row r="39" spans="1:66" s="91" customFormat="1" ht="38.25" hidden="1" customHeight="1" x14ac:dyDescent="0.2">
      <c r="A39" s="150" t="s">
        <v>1019</v>
      </c>
      <c r="B39" s="18" t="s">
        <v>0</v>
      </c>
      <c r="C39" s="18" t="s">
        <v>1059</v>
      </c>
      <c r="D39" s="19" t="s">
        <v>1060</v>
      </c>
      <c r="E39" s="55">
        <v>2</v>
      </c>
      <c r="F39" s="55" t="s">
        <v>4</v>
      </c>
      <c r="G39" s="55" t="s">
        <v>5</v>
      </c>
      <c r="H39" s="55" t="s">
        <v>3</v>
      </c>
      <c r="I39" s="55"/>
      <c r="J39" s="55"/>
      <c r="K39" s="19" t="s">
        <v>1065</v>
      </c>
      <c r="L39" s="19" t="s">
        <v>891</v>
      </c>
      <c r="M39" s="19" t="s">
        <v>4</v>
      </c>
      <c r="N39" s="19"/>
      <c r="O39" s="151"/>
      <c r="P39" s="151"/>
      <c r="Q39" s="151"/>
      <c r="R39" s="151"/>
      <c r="S39" s="152"/>
      <c r="T39" s="152"/>
      <c r="U39" s="145">
        <v>0</v>
      </c>
      <c r="V39" s="145">
        <v>0</v>
      </c>
      <c r="W39" s="145">
        <v>0</v>
      </c>
      <c r="X39" s="145">
        <f t="shared" si="24"/>
        <v>0</v>
      </c>
      <c r="Y39" s="145">
        <v>0</v>
      </c>
      <c r="Z39" s="145">
        <v>0</v>
      </c>
      <c r="AA39" s="145">
        <v>0</v>
      </c>
      <c r="AB39" s="145">
        <v>0</v>
      </c>
      <c r="AC39" s="145">
        <v>0</v>
      </c>
      <c r="AD39" s="145">
        <v>0</v>
      </c>
      <c r="AE39" s="145">
        <v>0</v>
      </c>
      <c r="AF39" s="145">
        <v>0</v>
      </c>
      <c r="AG39" s="145">
        <v>0</v>
      </c>
      <c r="AH39" s="145">
        <v>0</v>
      </c>
      <c r="AI39" s="145">
        <v>0</v>
      </c>
      <c r="AJ39" s="145">
        <v>0</v>
      </c>
      <c r="AK39" s="145">
        <f t="shared" si="31"/>
        <v>0</v>
      </c>
      <c r="AL39" s="145">
        <v>0</v>
      </c>
      <c r="AM39" s="145">
        <v>0</v>
      </c>
      <c r="AN39" s="145">
        <v>0</v>
      </c>
      <c r="AO39" s="145">
        <v>0</v>
      </c>
      <c r="AP39" s="145">
        <v>0</v>
      </c>
      <c r="AQ39" s="145">
        <v>0</v>
      </c>
      <c r="AR39" s="145">
        <v>0</v>
      </c>
      <c r="AS39" s="145">
        <f t="shared" si="19"/>
        <v>0</v>
      </c>
      <c r="AT39" s="145"/>
      <c r="AU39" s="139">
        <f t="shared" si="20"/>
        <v>0</v>
      </c>
      <c r="AV39" s="146">
        <f>IFERROR(VLOOKUP(J39,Maksājumu_pieprasījumu_iesn.!G:BL,57,0),0)</f>
        <v>0</v>
      </c>
      <c r="AW39" s="139">
        <f t="shared" si="23"/>
        <v>0</v>
      </c>
      <c r="AX39" s="153"/>
      <c r="AY39" s="153"/>
      <c r="AZ39" s="153"/>
      <c r="BA39" s="154"/>
      <c r="BB39" s="145"/>
      <c r="BC39" s="145"/>
      <c r="BD39" s="145"/>
      <c r="BE39" s="145"/>
      <c r="BF39" s="145"/>
      <c r="BG39" s="145"/>
      <c r="BH39" s="138"/>
      <c r="BI39" s="138"/>
      <c r="BJ39" s="138"/>
      <c r="BK39" s="138"/>
      <c r="BL39" s="138"/>
      <c r="BM39" s="138"/>
      <c r="BN39" s="138"/>
    </row>
    <row r="40" spans="1:66" s="91" customFormat="1" ht="25.5" hidden="1" customHeight="1" x14ac:dyDescent="0.2">
      <c r="A40" s="150" t="s">
        <v>1019</v>
      </c>
      <c r="B40" s="18" t="s">
        <v>0</v>
      </c>
      <c r="C40" s="18" t="s">
        <v>1059</v>
      </c>
      <c r="D40" s="19" t="s">
        <v>1060</v>
      </c>
      <c r="E40" s="55">
        <v>2</v>
      </c>
      <c r="F40" s="55" t="s">
        <v>4</v>
      </c>
      <c r="G40" s="55" t="s">
        <v>5</v>
      </c>
      <c r="H40" s="55" t="s">
        <v>3</v>
      </c>
      <c r="I40" s="55"/>
      <c r="J40" s="55"/>
      <c r="K40" s="19" t="s">
        <v>1066</v>
      </c>
      <c r="L40" s="19" t="s">
        <v>891</v>
      </c>
      <c r="M40" s="19" t="s">
        <v>4</v>
      </c>
      <c r="N40" s="19"/>
      <c r="O40" s="151"/>
      <c r="P40" s="151"/>
      <c r="Q40" s="151"/>
      <c r="R40" s="151"/>
      <c r="S40" s="152"/>
      <c r="T40" s="152"/>
      <c r="U40" s="145">
        <v>0</v>
      </c>
      <c r="V40" s="145">
        <v>0</v>
      </c>
      <c r="W40" s="145">
        <v>0</v>
      </c>
      <c r="X40" s="145">
        <f t="shared" si="24"/>
        <v>0</v>
      </c>
      <c r="Y40" s="145">
        <v>0</v>
      </c>
      <c r="Z40" s="145">
        <v>0</v>
      </c>
      <c r="AA40" s="145">
        <v>0</v>
      </c>
      <c r="AB40" s="145">
        <v>0</v>
      </c>
      <c r="AC40" s="145">
        <v>0</v>
      </c>
      <c r="AD40" s="145">
        <v>0</v>
      </c>
      <c r="AE40" s="145">
        <v>0</v>
      </c>
      <c r="AF40" s="145">
        <v>0</v>
      </c>
      <c r="AG40" s="145">
        <v>0</v>
      </c>
      <c r="AH40" s="145">
        <v>0</v>
      </c>
      <c r="AI40" s="145">
        <v>0</v>
      </c>
      <c r="AJ40" s="145">
        <v>0</v>
      </c>
      <c r="AK40" s="145">
        <f t="shared" si="31"/>
        <v>0</v>
      </c>
      <c r="AL40" s="145">
        <v>0</v>
      </c>
      <c r="AM40" s="145">
        <v>0</v>
      </c>
      <c r="AN40" s="145">
        <v>0</v>
      </c>
      <c r="AO40" s="145">
        <v>0</v>
      </c>
      <c r="AP40" s="145">
        <v>0</v>
      </c>
      <c r="AQ40" s="145">
        <v>0</v>
      </c>
      <c r="AR40" s="145">
        <v>0</v>
      </c>
      <c r="AS40" s="145">
        <f t="shared" si="19"/>
        <v>0</v>
      </c>
      <c r="AT40" s="145"/>
      <c r="AU40" s="139">
        <f t="shared" si="20"/>
        <v>0</v>
      </c>
      <c r="AV40" s="146">
        <f>IFERROR(VLOOKUP(J40,Maksājumu_pieprasījumu_iesn.!G:BL,57,0),0)</f>
        <v>0</v>
      </c>
      <c r="AW40" s="139">
        <f t="shared" si="23"/>
        <v>0</v>
      </c>
      <c r="AX40" s="153"/>
      <c r="AY40" s="153"/>
      <c r="AZ40" s="153"/>
      <c r="BA40" s="154"/>
      <c r="BB40" s="145"/>
      <c r="BC40" s="145"/>
      <c r="BD40" s="145"/>
      <c r="BE40" s="145"/>
      <c r="BF40" s="145"/>
      <c r="BG40" s="145"/>
      <c r="BH40" s="138"/>
      <c r="BI40" s="138"/>
      <c r="BJ40" s="138"/>
      <c r="BK40" s="138"/>
      <c r="BL40" s="138"/>
      <c r="BM40" s="138"/>
      <c r="BN40" s="138"/>
    </row>
    <row r="41" spans="1:66" s="91" customFormat="1" ht="25.5" hidden="1" customHeight="1" x14ac:dyDescent="0.2">
      <c r="A41" s="150" t="s">
        <v>1019</v>
      </c>
      <c r="B41" s="18" t="s">
        <v>0</v>
      </c>
      <c r="C41" s="18" t="s">
        <v>1059</v>
      </c>
      <c r="D41" s="19" t="s">
        <v>1060</v>
      </c>
      <c r="E41" s="55">
        <v>2</v>
      </c>
      <c r="F41" s="55" t="s">
        <v>4</v>
      </c>
      <c r="G41" s="55" t="s">
        <v>5</v>
      </c>
      <c r="H41" s="55" t="s">
        <v>3</v>
      </c>
      <c r="I41" s="55"/>
      <c r="J41" s="55"/>
      <c r="K41" s="19" t="s">
        <v>1067</v>
      </c>
      <c r="L41" s="19" t="s">
        <v>891</v>
      </c>
      <c r="M41" s="19" t="s">
        <v>807</v>
      </c>
      <c r="N41" s="19"/>
      <c r="O41" s="151"/>
      <c r="P41" s="151"/>
      <c r="Q41" s="151"/>
      <c r="R41" s="151"/>
      <c r="S41" s="152"/>
      <c r="T41" s="152"/>
      <c r="U41" s="145">
        <v>0</v>
      </c>
      <c r="V41" s="145">
        <v>0</v>
      </c>
      <c r="W41" s="145">
        <v>0</v>
      </c>
      <c r="X41" s="145">
        <f t="shared" si="24"/>
        <v>0</v>
      </c>
      <c r="Y41" s="145">
        <v>0</v>
      </c>
      <c r="Z41" s="145">
        <v>0</v>
      </c>
      <c r="AA41" s="145">
        <v>0</v>
      </c>
      <c r="AB41" s="145">
        <v>0</v>
      </c>
      <c r="AC41" s="145">
        <v>0</v>
      </c>
      <c r="AD41" s="145">
        <v>0</v>
      </c>
      <c r="AE41" s="145">
        <v>0</v>
      </c>
      <c r="AF41" s="145">
        <v>0</v>
      </c>
      <c r="AG41" s="145">
        <v>0</v>
      </c>
      <c r="AH41" s="145">
        <v>0</v>
      </c>
      <c r="AI41" s="145">
        <v>0</v>
      </c>
      <c r="AJ41" s="145">
        <v>0</v>
      </c>
      <c r="AK41" s="145">
        <f t="shared" si="31"/>
        <v>0</v>
      </c>
      <c r="AL41" s="145">
        <v>0</v>
      </c>
      <c r="AM41" s="145">
        <v>0</v>
      </c>
      <c r="AN41" s="145">
        <v>0</v>
      </c>
      <c r="AO41" s="145">
        <v>0</v>
      </c>
      <c r="AP41" s="145">
        <v>0</v>
      </c>
      <c r="AQ41" s="145">
        <v>0</v>
      </c>
      <c r="AR41" s="145">
        <v>0</v>
      </c>
      <c r="AS41" s="145">
        <f t="shared" si="19"/>
        <v>0</v>
      </c>
      <c r="AT41" s="145"/>
      <c r="AU41" s="139">
        <f t="shared" si="20"/>
        <v>0</v>
      </c>
      <c r="AV41" s="146">
        <f>IFERROR(VLOOKUP(J41,Maksājumu_pieprasījumu_iesn.!G:BL,57,0),0)</f>
        <v>0</v>
      </c>
      <c r="AW41" s="139">
        <f t="shared" si="23"/>
        <v>0</v>
      </c>
      <c r="AX41" s="153"/>
      <c r="AY41" s="153"/>
      <c r="AZ41" s="153"/>
      <c r="BA41" s="154"/>
      <c r="BB41" s="145"/>
      <c r="BC41" s="145"/>
      <c r="BD41" s="145"/>
      <c r="BE41" s="145"/>
      <c r="BF41" s="145"/>
      <c r="BG41" s="145"/>
      <c r="BH41" s="138"/>
      <c r="BI41" s="138"/>
      <c r="BJ41" s="138"/>
      <c r="BK41" s="138"/>
      <c r="BL41" s="138"/>
      <c r="BM41" s="138"/>
      <c r="BN41" s="138"/>
    </row>
    <row r="42" spans="1:66" s="91" customFormat="1" ht="76.5" hidden="1" customHeight="1" x14ac:dyDescent="0.2">
      <c r="A42" s="150" t="s">
        <v>1019</v>
      </c>
      <c r="B42" s="18" t="s">
        <v>0</v>
      </c>
      <c r="C42" s="18" t="s">
        <v>1059</v>
      </c>
      <c r="D42" s="19" t="s">
        <v>1060</v>
      </c>
      <c r="E42" s="55">
        <v>2</v>
      </c>
      <c r="F42" s="55" t="s">
        <v>4</v>
      </c>
      <c r="G42" s="55" t="s">
        <v>5</v>
      </c>
      <c r="H42" s="55" t="s">
        <v>3</v>
      </c>
      <c r="I42" s="55"/>
      <c r="J42" s="55"/>
      <c r="K42" s="19" t="s">
        <v>1068</v>
      </c>
      <c r="L42" s="19" t="s">
        <v>891</v>
      </c>
      <c r="M42" s="19" t="s">
        <v>109</v>
      </c>
      <c r="N42" s="19"/>
      <c r="O42" s="151"/>
      <c r="P42" s="151"/>
      <c r="Q42" s="151"/>
      <c r="R42" s="151"/>
      <c r="S42" s="152"/>
      <c r="T42" s="152"/>
      <c r="U42" s="145">
        <v>0</v>
      </c>
      <c r="V42" s="145">
        <v>0</v>
      </c>
      <c r="W42" s="145">
        <v>0</v>
      </c>
      <c r="X42" s="145">
        <f t="shared" si="24"/>
        <v>0</v>
      </c>
      <c r="Y42" s="145">
        <v>0</v>
      </c>
      <c r="Z42" s="145">
        <v>0</v>
      </c>
      <c r="AA42" s="145">
        <v>0</v>
      </c>
      <c r="AB42" s="145">
        <v>0</v>
      </c>
      <c r="AC42" s="145">
        <v>0</v>
      </c>
      <c r="AD42" s="145">
        <v>0</v>
      </c>
      <c r="AE42" s="145">
        <v>0</v>
      </c>
      <c r="AF42" s="145">
        <v>0</v>
      </c>
      <c r="AG42" s="145">
        <v>0</v>
      </c>
      <c r="AH42" s="145">
        <v>0</v>
      </c>
      <c r="AI42" s="145">
        <v>0</v>
      </c>
      <c r="AJ42" s="145">
        <v>0</v>
      </c>
      <c r="AK42" s="145">
        <f t="shared" si="31"/>
        <v>0</v>
      </c>
      <c r="AL42" s="145">
        <v>0</v>
      </c>
      <c r="AM42" s="145">
        <v>0</v>
      </c>
      <c r="AN42" s="145">
        <v>0</v>
      </c>
      <c r="AO42" s="145">
        <v>0</v>
      </c>
      <c r="AP42" s="145">
        <v>0</v>
      </c>
      <c r="AQ42" s="145">
        <v>0</v>
      </c>
      <c r="AR42" s="145">
        <v>0</v>
      </c>
      <c r="AS42" s="145">
        <f t="shared" si="19"/>
        <v>0</v>
      </c>
      <c r="AT42" s="145"/>
      <c r="AU42" s="139">
        <f t="shared" si="20"/>
        <v>0</v>
      </c>
      <c r="AV42" s="146">
        <f>IFERROR(VLOOKUP(J42,Maksājumu_pieprasījumu_iesn.!G:BL,57,0),0)</f>
        <v>0</v>
      </c>
      <c r="AW42" s="139">
        <f t="shared" si="23"/>
        <v>0</v>
      </c>
      <c r="AX42" s="153"/>
      <c r="AY42" s="153"/>
      <c r="AZ42" s="153"/>
      <c r="BA42" s="154"/>
      <c r="BB42" s="145"/>
      <c r="BC42" s="145"/>
      <c r="BD42" s="145"/>
      <c r="BE42" s="145"/>
      <c r="BF42" s="145"/>
      <c r="BG42" s="145"/>
      <c r="BH42" s="138"/>
      <c r="BI42" s="138"/>
      <c r="BJ42" s="138"/>
      <c r="BK42" s="138"/>
      <c r="BL42" s="138"/>
      <c r="BM42" s="138"/>
      <c r="BN42" s="138"/>
    </row>
    <row r="43" spans="1:66" s="91" customFormat="1" ht="38.25" hidden="1" customHeight="1" x14ac:dyDescent="0.2">
      <c r="A43" s="150" t="s">
        <v>1019</v>
      </c>
      <c r="B43" s="18" t="s">
        <v>0</v>
      </c>
      <c r="C43" s="18" t="s">
        <v>1059</v>
      </c>
      <c r="D43" s="19" t="s">
        <v>1060</v>
      </c>
      <c r="E43" s="55">
        <v>2</v>
      </c>
      <c r="F43" s="55" t="s">
        <v>4</v>
      </c>
      <c r="G43" s="55" t="s">
        <v>5</v>
      </c>
      <c r="H43" s="55" t="s">
        <v>3</v>
      </c>
      <c r="I43" s="55"/>
      <c r="J43" s="55"/>
      <c r="K43" s="19" t="s">
        <v>1069</v>
      </c>
      <c r="L43" s="19" t="s">
        <v>891</v>
      </c>
      <c r="M43" s="19" t="s">
        <v>807</v>
      </c>
      <c r="N43" s="19"/>
      <c r="O43" s="151"/>
      <c r="P43" s="151"/>
      <c r="Q43" s="151"/>
      <c r="R43" s="151"/>
      <c r="S43" s="152"/>
      <c r="T43" s="152"/>
      <c r="U43" s="145">
        <v>0</v>
      </c>
      <c r="V43" s="145">
        <v>0</v>
      </c>
      <c r="W43" s="145">
        <v>0</v>
      </c>
      <c r="X43" s="145">
        <f t="shared" si="24"/>
        <v>0</v>
      </c>
      <c r="Y43" s="145">
        <v>0</v>
      </c>
      <c r="Z43" s="145">
        <v>0</v>
      </c>
      <c r="AA43" s="145">
        <v>0</v>
      </c>
      <c r="AB43" s="145">
        <v>0</v>
      </c>
      <c r="AC43" s="145">
        <v>0</v>
      </c>
      <c r="AD43" s="145">
        <v>0</v>
      </c>
      <c r="AE43" s="145">
        <v>0</v>
      </c>
      <c r="AF43" s="145">
        <v>0</v>
      </c>
      <c r="AG43" s="145">
        <v>0</v>
      </c>
      <c r="AH43" s="145">
        <v>0</v>
      </c>
      <c r="AI43" s="145">
        <v>0</v>
      </c>
      <c r="AJ43" s="145">
        <v>0</v>
      </c>
      <c r="AK43" s="145">
        <f t="shared" si="31"/>
        <v>0</v>
      </c>
      <c r="AL43" s="145">
        <v>0</v>
      </c>
      <c r="AM43" s="145">
        <v>0</v>
      </c>
      <c r="AN43" s="145">
        <v>0</v>
      </c>
      <c r="AO43" s="145">
        <v>0</v>
      </c>
      <c r="AP43" s="145">
        <v>0</v>
      </c>
      <c r="AQ43" s="145">
        <v>0</v>
      </c>
      <c r="AR43" s="145">
        <v>0</v>
      </c>
      <c r="AS43" s="145">
        <f t="shared" si="19"/>
        <v>0</v>
      </c>
      <c r="AT43" s="145"/>
      <c r="AU43" s="139">
        <f t="shared" si="20"/>
        <v>0</v>
      </c>
      <c r="AV43" s="146">
        <f>IFERROR(VLOOKUP(J43,Maksājumu_pieprasījumu_iesn.!G:BL,57,0),0)</f>
        <v>0</v>
      </c>
      <c r="AW43" s="139">
        <f t="shared" si="23"/>
        <v>0</v>
      </c>
      <c r="AX43" s="153"/>
      <c r="AY43" s="153"/>
      <c r="AZ43" s="153"/>
      <c r="BA43" s="154"/>
      <c r="BB43" s="145"/>
      <c r="BC43" s="145"/>
      <c r="BD43" s="145"/>
      <c r="BE43" s="145"/>
      <c r="BF43" s="145"/>
      <c r="BG43" s="145"/>
      <c r="BH43" s="138"/>
      <c r="BI43" s="138"/>
      <c r="BJ43" s="138"/>
      <c r="BK43" s="138"/>
      <c r="BL43" s="138"/>
      <c r="BM43" s="138"/>
      <c r="BN43" s="138"/>
    </row>
    <row r="44" spans="1:66" s="91" customFormat="1" ht="38.25" hidden="1" customHeight="1" x14ac:dyDescent="0.2">
      <c r="A44" s="150" t="s">
        <v>1019</v>
      </c>
      <c r="B44" s="18" t="s">
        <v>0</v>
      </c>
      <c r="C44" s="18" t="s">
        <v>1059</v>
      </c>
      <c r="D44" s="19" t="s">
        <v>1060</v>
      </c>
      <c r="E44" s="55">
        <v>2</v>
      </c>
      <c r="F44" s="55" t="s">
        <v>4</v>
      </c>
      <c r="G44" s="55" t="s">
        <v>5</v>
      </c>
      <c r="H44" s="55" t="s">
        <v>3</v>
      </c>
      <c r="I44" s="55"/>
      <c r="J44" s="55"/>
      <c r="K44" s="19" t="s">
        <v>1070</v>
      </c>
      <c r="L44" s="19" t="s">
        <v>891</v>
      </c>
      <c r="M44" s="19" t="s">
        <v>109</v>
      </c>
      <c r="N44" s="19"/>
      <c r="O44" s="151"/>
      <c r="P44" s="151"/>
      <c r="Q44" s="151"/>
      <c r="R44" s="151"/>
      <c r="S44" s="152"/>
      <c r="T44" s="152"/>
      <c r="U44" s="145">
        <v>0</v>
      </c>
      <c r="V44" s="145">
        <v>0</v>
      </c>
      <c r="W44" s="145">
        <v>0</v>
      </c>
      <c r="X44" s="145">
        <f t="shared" si="24"/>
        <v>0</v>
      </c>
      <c r="Y44" s="145">
        <v>0</v>
      </c>
      <c r="Z44" s="145">
        <v>0</v>
      </c>
      <c r="AA44" s="145">
        <v>0</v>
      </c>
      <c r="AB44" s="145">
        <v>0</v>
      </c>
      <c r="AC44" s="145">
        <v>0</v>
      </c>
      <c r="AD44" s="145">
        <v>0</v>
      </c>
      <c r="AE44" s="145">
        <v>0</v>
      </c>
      <c r="AF44" s="145">
        <v>0</v>
      </c>
      <c r="AG44" s="145">
        <v>0</v>
      </c>
      <c r="AH44" s="145">
        <v>0</v>
      </c>
      <c r="AI44" s="145">
        <v>0</v>
      </c>
      <c r="AJ44" s="145">
        <v>0</v>
      </c>
      <c r="AK44" s="145">
        <f t="shared" si="31"/>
        <v>0</v>
      </c>
      <c r="AL44" s="145">
        <v>0</v>
      </c>
      <c r="AM44" s="145">
        <v>0</v>
      </c>
      <c r="AN44" s="145">
        <v>0</v>
      </c>
      <c r="AO44" s="145">
        <v>0</v>
      </c>
      <c r="AP44" s="145">
        <v>0</v>
      </c>
      <c r="AQ44" s="145">
        <v>0</v>
      </c>
      <c r="AR44" s="145">
        <v>0</v>
      </c>
      <c r="AS44" s="145">
        <f t="shared" si="19"/>
        <v>0</v>
      </c>
      <c r="AT44" s="145"/>
      <c r="AU44" s="139">
        <f t="shared" si="20"/>
        <v>0</v>
      </c>
      <c r="AV44" s="146">
        <f>IFERROR(VLOOKUP(J44,Maksājumu_pieprasījumu_iesn.!G:BL,57,0),0)</f>
        <v>0</v>
      </c>
      <c r="AW44" s="139">
        <f t="shared" si="23"/>
        <v>0</v>
      </c>
      <c r="AX44" s="153"/>
      <c r="AY44" s="153"/>
      <c r="AZ44" s="153"/>
      <c r="BA44" s="154"/>
      <c r="BB44" s="145"/>
      <c r="BC44" s="145"/>
      <c r="BD44" s="145"/>
      <c r="BE44" s="145"/>
      <c r="BF44" s="145"/>
      <c r="BG44" s="145"/>
      <c r="BH44" s="138"/>
      <c r="BI44" s="138"/>
      <c r="BJ44" s="138"/>
      <c r="BK44" s="138"/>
      <c r="BL44" s="138"/>
      <c r="BM44" s="138"/>
      <c r="BN44" s="138"/>
    </row>
    <row r="45" spans="1:66" s="91" customFormat="1" ht="25.5" hidden="1" customHeight="1" x14ac:dyDescent="0.2">
      <c r="A45" s="150" t="s">
        <v>1019</v>
      </c>
      <c r="B45" s="18" t="s">
        <v>0</v>
      </c>
      <c r="C45" s="18" t="s">
        <v>1059</v>
      </c>
      <c r="D45" s="19" t="s">
        <v>1060</v>
      </c>
      <c r="E45" s="55">
        <v>2</v>
      </c>
      <c r="F45" s="55" t="s">
        <v>4</v>
      </c>
      <c r="G45" s="55" t="s">
        <v>5</v>
      </c>
      <c r="H45" s="55" t="s">
        <v>3</v>
      </c>
      <c r="I45" s="55"/>
      <c r="J45" s="55"/>
      <c r="K45" s="19" t="s">
        <v>892</v>
      </c>
      <c r="L45" s="19" t="s">
        <v>891</v>
      </c>
      <c r="M45" s="19" t="s">
        <v>4</v>
      </c>
      <c r="N45" s="19"/>
      <c r="O45" s="151"/>
      <c r="P45" s="151"/>
      <c r="Q45" s="151"/>
      <c r="R45" s="151"/>
      <c r="S45" s="152"/>
      <c r="T45" s="152"/>
      <c r="U45" s="145">
        <v>0</v>
      </c>
      <c r="V45" s="145">
        <v>0</v>
      </c>
      <c r="W45" s="145">
        <v>0</v>
      </c>
      <c r="X45" s="145">
        <f t="shared" si="24"/>
        <v>0</v>
      </c>
      <c r="Y45" s="145">
        <v>0</v>
      </c>
      <c r="Z45" s="145">
        <v>0</v>
      </c>
      <c r="AA45" s="145">
        <v>0</v>
      </c>
      <c r="AB45" s="145">
        <v>0</v>
      </c>
      <c r="AC45" s="145">
        <v>0</v>
      </c>
      <c r="AD45" s="145">
        <v>0</v>
      </c>
      <c r="AE45" s="145">
        <v>0</v>
      </c>
      <c r="AF45" s="145">
        <v>0</v>
      </c>
      <c r="AG45" s="145">
        <v>0</v>
      </c>
      <c r="AH45" s="145">
        <v>0</v>
      </c>
      <c r="AI45" s="145">
        <v>0</v>
      </c>
      <c r="AJ45" s="145">
        <v>0</v>
      </c>
      <c r="AK45" s="145">
        <f t="shared" si="31"/>
        <v>0</v>
      </c>
      <c r="AL45" s="145">
        <v>0</v>
      </c>
      <c r="AM45" s="145">
        <v>0</v>
      </c>
      <c r="AN45" s="145">
        <v>0</v>
      </c>
      <c r="AO45" s="145">
        <v>0</v>
      </c>
      <c r="AP45" s="145">
        <v>0</v>
      </c>
      <c r="AQ45" s="145">
        <v>0</v>
      </c>
      <c r="AR45" s="145">
        <v>0</v>
      </c>
      <c r="AS45" s="145">
        <f t="shared" si="19"/>
        <v>0</v>
      </c>
      <c r="AT45" s="145"/>
      <c r="AU45" s="139">
        <f t="shared" si="20"/>
        <v>0</v>
      </c>
      <c r="AV45" s="146">
        <f>IFERROR(VLOOKUP(J45,Maksājumu_pieprasījumu_iesn.!G:BL,57,0),0)</f>
        <v>0</v>
      </c>
      <c r="AW45" s="139">
        <f t="shared" si="23"/>
        <v>0</v>
      </c>
      <c r="AX45" s="153"/>
      <c r="AY45" s="153"/>
      <c r="AZ45" s="153"/>
      <c r="BA45" s="154"/>
      <c r="BB45" s="145"/>
      <c r="BC45" s="145"/>
      <c r="BD45" s="145"/>
      <c r="BE45" s="145"/>
      <c r="BF45" s="145"/>
      <c r="BG45" s="145"/>
      <c r="BH45" s="138"/>
      <c r="BI45" s="138"/>
      <c r="BJ45" s="138"/>
      <c r="BK45" s="138"/>
      <c r="BL45" s="138"/>
      <c r="BM45" s="138"/>
      <c r="BN45" s="138"/>
    </row>
    <row r="46" spans="1:66" s="91" customFormat="1" ht="127.5" hidden="1" customHeight="1" x14ac:dyDescent="0.2">
      <c r="A46" s="150" t="s">
        <v>1019</v>
      </c>
      <c r="B46" s="18" t="s">
        <v>0</v>
      </c>
      <c r="C46" s="18" t="s">
        <v>1059</v>
      </c>
      <c r="D46" s="19" t="s">
        <v>1060</v>
      </c>
      <c r="E46" s="55">
        <v>2</v>
      </c>
      <c r="F46" s="55" t="s">
        <v>4</v>
      </c>
      <c r="G46" s="55" t="s">
        <v>5</v>
      </c>
      <c r="H46" s="55" t="s">
        <v>3</v>
      </c>
      <c r="I46" s="55"/>
      <c r="J46" s="55"/>
      <c r="K46" s="19" t="s">
        <v>1071</v>
      </c>
      <c r="L46" s="19" t="s">
        <v>891</v>
      </c>
      <c r="M46" s="19" t="s">
        <v>4</v>
      </c>
      <c r="N46" s="19"/>
      <c r="O46" s="151"/>
      <c r="P46" s="151"/>
      <c r="Q46" s="151"/>
      <c r="R46" s="151"/>
      <c r="S46" s="152"/>
      <c r="T46" s="152"/>
      <c r="U46" s="145">
        <v>0</v>
      </c>
      <c r="V46" s="145">
        <v>0</v>
      </c>
      <c r="W46" s="145">
        <v>0</v>
      </c>
      <c r="X46" s="145">
        <f t="shared" si="24"/>
        <v>0</v>
      </c>
      <c r="Y46" s="145">
        <v>0</v>
      </c>
      <c r="Z46" s="145">
        <v>0</v>
      </c>
      <c r="AA46" s="145">
        <v>0</v>
      </c>
      <c r="AB46" s="145">
        <v>0</v>
      </c>
      <c r="AC46" s="145">
        <v>0</v>
      </c>
      <c r="AD46" s="145">
        <v>0</v>
      </c>
      <c r="AE46" s="145">
        <v>0</v>
      </c>
      <c r="AF46" s="145">
        <v>0</v>
      </c>
      <c r="AG46" s="145">
        <v>0</v>
      </c>
      <c r="AH46" s="145">
        <v>0</v>
      </c>
      <c r="AI46" s="145">
        <v>0</v>
      </c>
      <c r="AJ46" s="145">
        <v>0</v>
      </c>
      <c r="AK46" s="145">
        <f t="shared" si="31"/>
        <v>0</v>
      </c>
      <c r="AL46" s="145">
        <v>0</v>
      </c>
      <c r="AM46" s="145">
        <v>0</v>
      </c>
      <c r="AN46" s="145">
        <v>0</v>
      </c>
      <c r="AO46" s="145">
        <v>0</v>
      </c>
      <c r="AP46" s="145">
        <v>0</v>
      </c>
      <c r="AQ46" s="145">
        <v>0</v>
      </c>
      <c r="AR46" s="145">
        <v>0</v>
      </c>
      <c r="AS46" s="145">
        <f t="shared" si="19"/>
        <v>0</v>
      </c>
      <c r="AT46" s="145"/>
      <c r="AU46" s="139">
        <f t="shared" si="20"/>
        <v>0</v>
      </c>
      <c r="AV46" s="146">
        <f>IFERROR(VLOOKUP(J46,Maksājumu_pieprasījumu_iesn.!G:BL,57,0),0)</f>
        <v>0</v>
      </c>
      <c r="AW46" s="139">
        <f t="shared" si="23"/>
        <v>0</v>
      </c>
      <c r="AX46" s="153"/>
      <c r="AY46" s="153"/>
      <c r="AZ46" s="153"/>
      <c r="BA46" s="154"/>
      <c r="BB46" s="145"/>
      <c r="BC46" s="145"/>
      <c r="BD46" s="145"/>
      <c r="BE46" s="145"/>
      <c r="BF46" s="145"/>
      <c r="BG46" s="145"/>
      <c r="BH46" s="138"/>
      <c r="BI46" s="138"/>
      <c r="BJ46" s="138"/>
      <c r="BK46" s="138"/>
      <c r="BL46" s="138"/>
      <c r="BM46" s="138"/>
      <c r="BN46" s="138"/>
    </row>
    <row r="47" spans="1:66" s="91" customFormat="1" ht="25.5" hidden="1" customHeight="1" x14ac:dyDescent="0.2">
      <c r="A47" s="150" t="s">
        <v>1019</v>
      </c>
      <c r="B47" s="18" t="s">
        <v>0</v>
      </c>
      <c r="C47" s="18" t="s">
        <v>1059</v>
      </c>
      <c r="D47" s="19" t="s">
        <v>1060</v>
      </c>
      <c r="E47" s="55">
        <v>2</v>
      </c>
      <c r="F47" s="55" t="s">
        <v>4</v>
      </c>
      <c r="G47" s="55" t="s">
        <v>5</v>
      </c>
      <c r="H47" s="55" t="s">
        <v>3</v>
      </c>
      <c r="I47" s="55"/>
      <c r="J47" s="55"/>
      <c r="K47" s="19" t="s">
        <v>1072</v>
      </c>
      <c r="L47" s="19" t="s">
        <v>891</v>
      </c>
      <c r="M47" s="19" t="s">
        <v>4</v>
      </c>
      <c r="N47" s="19"/>
      <c r="O47" s="151"/>
      <c r="P47" s="151"/>
      <c r="Q47" s="151"/>
      <c r="R47" s="151"/>
      <c r="S47" s="152"/>
      <c r="T47" s="152"/>
      <c r="U47" s="145">
        <v>0</v>
      </c>
      <c r="V47" s="145">
        <v>0</v>
      </c>
      <c r="W47" s="145">
        <v>0</v>
      </c>
      <c r="X47" s="145">
        <f t="shared" si="24"/>
        <v>0</v>
      </c>
      <c r="Y47" s="145">
        <v>0</v>
      </c>
      <c r="Z47" s="145">
        <v>0</v>
      </c>
      <c r="AA47" s="145">
        <v>0</v>
      </c>
      <c r="AB47" s="145">
        <v>0</v>
      </c>
      <c r="AC47" s="145">
        <v>0</v>
      </c>
      <c r="AD47" s="145">
        <v>0</v>
      </c>
      <c r="AE47" s="145">
        <v>0</v>
      </c>
      <c r="AF47" s="145">
        <v>0</v>
      </c>
      <c r="AG47" s="145">
        <v>0</v>
      </c>
      <c r="AH47" s="145">
        <v>0</v>
      </c>
      <c r="AI47" s="145">
        <v>0</v>
      </c>
      <c r="AJ47" s="145">
        <v>0</v>
      </c>
      <c r="AK47" s="145">
        <f t="shared" si="31"/>
        <v>0</v>
      </c>
      <c r="AL47" s="145">
        <v>0</v>
      </c>
      <c r="AM47" s="145">
        <v>0</v>
      </c>
      <c r="AN47" s="145">
        <v>0</v>
      </c>
      <c r="AO47" s="145">
        <v>0</v>
      </c>
      <c r="AP47" s="145">
        <v>0</v>
      </c>
      <c r="AQ47" s="145">
        <v>0</v>
      </c>
      <c r="AR47" s="145">
        <v>0</v>
      </c>
      <c r="AS47" s="145">
        <f t="shared" si="19"/>
        <v>0</v>
      </c>
      <c r="AT47" s="145"/>
      <c r="AU47" s="139">
        <f t="shared" si="20"/>
        <v>0</v>
      </c>
      <c r="AV47" s="146">
        <f>IFERROR(VLOOKUP(J47,Maksājumu_pieprasījumu_iesn.!G:BL,57,0),0)</f>
        <v>0</v>
      </c>
      <c r="AW47" s="139">
        <f t="shared" si="23"/>
        <v>0</v>
      </c>
      <c r="AX47" s="153"/>
      <c r="AY47" s="153"/>
      <c r="AZ47" s="153"/>
      <c r="BA47" s="154"/>
      <c r="BB47" s="145"/>
      <c r="BC47" s="145"/>
      <c r="BD47" s="145"/>
      <c r="BE47" s="145"/>
      <c r="BF47" s="145"/>
      <c r="BG47" s="145"/>
      <c r="BH47" s="138"/>
      <c r="BI47" s="138"/>
      <c r="BJ47" s="138"/>
      <c r="BK47" s="138"/>
      <c r="BL47" s="138"/>
      <c r="BM47" s="138"/>
      <c r="BN47" s="138"/>
    </row>
    <row r="48" spans="1:66" s="91" customFormat="1" ht="51" hidden="1" customHeight="1" x14ac:dyDescent="0.2">
      <c r="A48" s="150" t="s">
        <v>1019</v>
      </c>
      <c r="B48" s="18" t="s">
        <v>0</v>
      </c>
      <c r="C48" s="18" t="s">
        <v>1059</v>
      </c>
      <c r="D48" s="19" t="s">
        <v>1060</v>
      </c>
      <c r="E48" s="55">
        <v>2</v>
      </c>
      <c r="F48" s="55" t="s">
        <v>4</v>
      </c>
      <c r="G48" s="55" t="s">
        <v>5</v>
      </c>
      <c r="H48" s="55" t="s">
        <v>3</v>
      </c>
      <c r="I48" s="55"/>
      <c r="J48" s="55"/>
      <c r="K48" s="19" t="s">
        <v>1049</v>
      </c>
      <c r="L48" s="19" t="s">
        <v>891</v>
      </c>
      <c r="M48" s="19" t="s">
        <v>109</v>
      </c>
      <c r="N48" s="19"/>
      <c r="O48" s="151"/>
      <c r="P48" s="151"/>
      <c r="Q48" s="151"/>
      <c r="R48" s="151"/>
      <c r="S48" s="152"/>
      <c r="T48" s="152"/>
      <c r="U48" s="145">
        <v>0</v>
      </c>
      <c r="V48" s="145">
        <v>0</v>
      </c>
      <c r="W48" s="145">
        <v>0</v>
      </c>
      <c r="X48" s="145">
        <f t="shared" si="24"/>
        <v>0</v>
      </c>
      <c r="Y48" s="145">
        <v>0</v>
      </c>
      <c r="Z48" s="145">
        <v>0</v>
      </c>
      <c r="AA48" s="145">
        <v>0</v>
      </c>
      <c r="AB48" s="145">
        <v>0</v>
      </c>
      <c r="AC48" s="145">
        <v>0</v>
      </c>
      <c r="AD48" s="145">
        <v>0</v>
      </c>
      <c r="AE48" s="145">
        <v>0</v>
      </c>
      <c r="AF48" s="145">
        <v>0</v>
      </c>
      <c r="AG48" s="145">
        <v>0</v>
      </c>
      <c r="AH48" s="145">
        <v>0</v>
      </c>
      <c r="AI48" s="145">
        <v>0</v>
      </c>
      <c r="AJ48" s="145">
        <v>0</v>
      </c>
      <c r="AK48" s="145">
        <f t="shared" si="31"/>
        <v>0</v>
      </c>
      <c r="AL48" s="145">
        <v>0</v>
      </c>
      <c r="AM48" s="145">
        <v>0</v>
      </c>
      <c r="AN48" s="145">
        <v>0</v>
      </c>
      <c r="AO48" s="145">
        <v>0</v>
      </c>
      <c r="AP48" s="145">
        <v>0</v>
      </c>
      <c r="AQ48" s="145">
        <v>0</v>
      </c>
      <c r="AR48" s="145">
        <v>0</v>
      </c>
      <c r="AS48" s="145">
        <f t="shared" si="19"/>
        <v>0</v>
      </c>
      <c r="AT48" s="145"/>
      <c r="AU48" s="139">
        <f t="shared" si="20"/>
        <v>0</v>
      </c>
      <c r="AV48" s="146">
        <f>IFERROR(VLOOKUP(J48,Maksājumu_pieprasījumu_iesn.!G:BL,57,0),0)</f>
        <v>0</v>
      </c>
      <c r="AW48" s="139">
        <f t="shared" si="23"/>
        <v>0</v>
      </c>
      <c r="AX48" s="153"/>
      <c r="AY48" s="153"/>
      <c r="AZ48" s="153"/>
      <c r="BA48" s="154"/>
      <c r="BB48" s="145"/>
      <c r="BC48" s="145"/>
      <c r="BD48" s="145"/>
      <c r="BE48" s="145"/>
      <c r="BF48" s="145"/>
      <c r="BG48" s="145"/>
      <c r="BH48" s="138"/>
      <c r="BI48" s="138"/>
      <c r="BJ48" s="138"/>
      <c r="BK48" s="138"/>
      <c r="BL48" s="138"/>
      <c r="BM48" s="138"/>
      <c r="BN48" s="138"/>
    </row>
    <row r="49" spans="1:66" s="91" customFormat="1" ht="25.5" hidden="1" customHeight="1" x14ac:dyDescent="0.2">
      <c r="A49" s="150" t="s">
        <v>1019</v>
      </c>
      <c r="B49" s="18" t="s">
        <v>0</v>
      </c>
      <c r="C49" s="18" t="s">
        <v>1059</v>
      </c>
      <c r="D49" s="19" t="s">
        <v>1060</v>
      </c>
      <c r="E49" s="55">
        <v>2</v>
      </c>
      <c r="F49" s="55" t="s">
        <v>4</v>
      </c>
      <c r="G49" s="55" t="s">
        <v>5</v>
      </c>
      <c r="H49" s="55" t="s">
        <v>3</v>
      </c>
      <c r="I49" s="55"/>
      <c r="J49" s="55"/>
      <c r="K49" s="19" t="s">
        <v>1073</v>
      </c>
      <c r="L49" s="19" t="s">
        <v>891</v>
      </c>
      <c r="M49" s="19" t="s">
        <v>4</v>
      </c>
      <c r="N49" s="19"/>
      <c r="O49" s="151"/>
      <c r="P49" s="151"/>
      <c r="Q49" s="151"/>
      <c r="R49" s="151"/>
      <c r="S49" s="152"/>
      <c r="T49" s="152"/>
      <c r="U49" s="145">
        <v>0</v>
      </c>
      <c r="V49" s="145">
        <v>0</v>
      </c>
      <c r="W49" s="145">
        <v>0</v>
      </c>
      <c r="X49" s="145">
        <f t="shared" si="24"/>
        <v>0</v>
      </c>
      <c r="Y49" s="145">
        <v>0</v>
      </c>
      <c r="Z49" s="145">
        <v>0</v>
      </c>
      <c r="AA49" s="145">
        <v>0</v>
      </c>
      <c r="AB49" s="145">
        <v>0</v>
      </c>
      <c r="AC49" s="145">
        <v>0</v>
      </c>
      <c r="AD49" s="145">
        <v>0</v>
      </c>
      <c r="AE49" s="145">
        <v>0</v>
      </c>
      <c r="AF49" s="145">
        <v>0</v>
      </c>
      <c r="AG49" s="145">
        <v>0</v>
      </c>
      <c r="AH49" s="145">
        <v>0</v>
      </c>
      <c r="AI49" s="145">
        <v>0</v>
      </c>
      <c r="AJ49" s="145">
        <v>0</v>
      </c>
      <c r="AK49" s="145">
        <f t="shared" si="31"/>
        <v>0</v>
      </c>
      <c r="AL49" s="145">
        <v>0</v>
      </c>
      <c r="AM49" s="145">
        <v>0</v>
      </c>
      <c r="AN49" s="145">
        <v>0</v>
      </c>
      <c r="AO49" s="145">
        <v>0</v>
      </c>
      <c r="AP49" s="145">
        <v>0</v>
      </c>
      <c r="AQ49" s="145">
        <v>0</v>
      </c>
      <c r="AR49" s="145">
        <v>0</v>
      </c>
      <c r="AS49" s="145">
        <f t="shared" si="19"/>
        <v>0</v>
      </c>
      <c r="AT49" s="145"/>
      <c r="AU49" s="139">
        <f t="shared" si="20"/>
        <v>0</v>
      </c>
      <c r="AV49" s="146">
        <f>IFERROR(VLOOKUP(J49,Maksājumu_pieprasījumu_iesn.!G:BL,57,0),0)</f>
        <v>0</v>
      </c>
      <c r="AW49" s="139">
        <f t="shared" si="23"/>
        <v>0</v>
      </c>
      <c r="AX49" s="153"/>
      <c r="AY49" s="153"/>
      <c r="AZ49" s="153"/>
      <c r="BA49" s="154"/>
      <c r="BB49" s="145"/>
      <c r="BC49" s="145"/>
      <c r="BD49" s="145"/>
      <c r="BE49" s="145"/>
      <c r="BF49" s="145"/>
      <c r="BG49" s="145"/>
      <c r="BH49" s="138"/>
      <c r="BI49" s="138"/>
      <c r="BJ49" s="138"/>
      <c r="BK49" s="138"/>
      <c r="BL49" s="138"/>
      <c r="BM49" s="138"/>
      <c r="BN49" s="138"/>
    </row>
    <row r="50" spans="1:66" s="91" customFormat="1" ht="25.5" hidden="1" customHeight="1" x14ac:dyDescent="0.2">
      <c r="A50" s="150" t="s">
        <v>1019</v>
      </c>
      <c r="B50" s="18" t="s">
        <v>0</v>
      </c>
      <c r="C50" s="18" t="s">
        <v>1059</v>
      </c>
      <c r="D50" s="19" t="s">
        <v>1060</v>
      </c>
      <c r="E50" s="55">
        <v>2</v>
      </c>
      <c r="F50" s="55" t="s">
        <v>4</v>
      </c>
      <c r="G50" s="55" t="s">
        <v>5</v>
      </c>
      <c r="H50" s="55" t="s">
        <v>3</v>
      </c>
      <c r="I50" s="55"/>
      <c r="J50" s="55"/>
      <c r="K50" s="19" t="s">
        <v>1051</v>
      </c>
      <c r="L50" s="19" t="s">
        <v>891</v>
      </c>
      <c r="M50" s="19" t="s">
        <v>402</v>
      </c>
      <c r="N50" s="19"/>
      <c r="O50" s="151"/>
      <c r="P50" s="151"/>
      <c r="Q50" s="151"/>
      <c r="R50" s="151"/>
      <c r="S50" s="152"/>
      <c r="T50" s="152"/>
      <c r="U50" s="145">
        <v>0</v>
      </c>
      <c r="V50" s="145">
        <v>0</v>
      </c>
      <c r="W50" s="145">
        <v>0</v>
      </c>
      <c r="X50" s="145">
        <f t="shared" si="24"/>
        <v>0</v>
      </c>
      <c r="Y50" s="145">
        <v>0</v>
      </c>
      <c r="Z50" s="145">
        <v>0</v>
      </c>
      <c r="AA50" s="145">
        <v>0</v>
      </c>
      <c r="AB50" s="145">
        <v>0</v>
      </c>
      <c r="AC50" s="145">
        <v>0</v>
      </c>
      <c r="AD50" s="145">
        <v>0</v>
      </c>
      <c r="AE50" s="145">
        <v>0</v>
      </c>
      <c r="AF50" s="145">
        <v>0</v>
      </c>
      <c r="AG50" s="145">
        <v>0</v>
      </c>
      <c r="AH50" s="145">
        <v>0</v>
      </c>
      <c r="AI50" s="145">
        <v>0</v>
      </c>
      <c r="AJ50" s="145">
        <v>0</v>
      </c>
      <c r="AK50" s="145">
        <f t="shared" si="31"/>
        <v>0</v>
      </c>
      <c r="AL50" s="145">
        <v>0</v>
      </c>
      <c r="AM50" s="145">
        <v>0</v>
      </c>
      <c r="AN50" s="145">
        <v>0</v>
      </c>
      <c r="AO50" s="145">
        <v>0</v>
      </c>
      <c r="AP50" s="145">
        <v>0</v>
      </c>
      <c r="AQ50" s="145">
        <v>0</v>
      </c>
      <c r="AR50" s="145">
        <v>0</v>
      </c>
      <c r="AS50" s="145">
        <f t="shared" si="19"/>
        <v>0</v>
      </c>
      <c r="AT50" s="145"/>
      <c r="AU50" s="139">
        <f t="shared" si="20"/>
        <v>0</v>
      </c>
      <c r="AV50" s="146">
        <f>IFERROR(VLOOKUP(J50,Maksājumu_pieprasījumu_iesn.!G:BL,57,0),0)</f>
        <v>0</v>
      </c>
      <c r="AW50" s="139">
        <f t="shared" si="23"/>
        <v>0</v>
      </c>
      <c r="AX50" s="153"/>
      <c r="AY50" s="153"/>
      <c r="AZ50" s="153"/>
      <c r="BA50" s="154"/>
      <c r="BB50" s="145"/>
      <c r="BC50" s="145"/>
      <c r="BD50" s="145"/>
      <c r="BE50" s="145"/>
      <c r="BF50" s="145"/>
      <c r="BG50" s="145"/>
      <c r="BH50" s="138"/>
      <c r="BI50" s="138"/>
      <c r="BJ50" s="138"/>
      <c r="BK50" s="138"/>
      <c r="BL50" s="138"/>
      <c r="BM50" s="138"/>
      <c r="BN50" s="138"/>
    </row>
    <row r="51" spans="1:66" s="91" customFormat="1" ht="25.5" hidden="1" customHeight="1" x14ac:dyDescent="0.2">
      <c r="A51" s="150" t="s">
        <v>1019</v>
      </c>
      <c r="B51" s="18" t="s">
        <v>0</v>
      </c>
      <c r="C51" s="18" t="s">
        <v>1059</v>
      </c>
      <c r="D51" s="19" t="s">
        <v>1060</v>
      </c>
      <c r="E51" s="55">
        <v>2</v>
      </c>
      <c r="F51" s="55" t="s">
        <v>4</v>
      </c>
      <c r="G51" s="55" t="s">
        <v>5</v>
      </c>
      <c r="H51" s="55" t="s">
        <v>3</v>
      </c>
      <c r="I51" s="55"/>
      <c r="J51" s="55"/>
      <c r="K51" s="19" t="s">
        <v>1053</v>
      </c>
      <c r="L51" s="19" t="s">
        <v>891</v>
      </c>
      <c r="M51" s="19" t="s">
        <v>4</v>
      </c>
      <c r="N51" s="19"/>
      <c r="O51" s="151"/>
      <c r="P51" s="151"/>
      <c r="Q51" s="151"/>
      <c r="R51" s="151"/>
      <c r="S51" s="152"/>
      <c r="T51" s="152"/>
      <c r="U51" s="145">
        <v>0</v>
      </c>
      <c r="V51" s="145">
        <v>0</v>
      </c>
      <c r="W51" s="145">
        <v>0</v>
      </c>
      <c r="X51" s="145">
        <f t="shared" si="24"/>
        <v>0</v>
      </c>
      <c r="Y51" s="145">
        <v>0</v>
      </c>
      <c r="Z51" s="145">
        <v>0</v>
      </c>
      <c r="AA51" s="145">
        <v>0</v>
      </c>
      <c r="AB51" s="145">
        <v>0</v>
      </c>
      <c r="AC51" s="145">
        <v>0</v>
      </c>
      <c r="AD51" s="145">
        <v>0</v>
      </c>
      <c r="AE51" s="145">
        <v>0</v>
      </c>
      <c r="AF51" s="145">
        <v>0</v>
      </c>
      <c r="AG51" s="145">
        <v>0</v>
      </c>
      <c r="AH51" s="145">
        <v>0</v>
      </c>
      <c r="AI51" s="145">
        <v>0</v>
      </c>
      <c r="AJ51" s="145">
        <v>0</v>
      </c>
      <c r="AK51" s="145">
        <f t="shared" si="31"/>
        <v>0</v>
      </c>
      <c r="AL51" s="145">
        <v>0</v>
      </c>
      <c r="AM51" s="145">
        <v>0</v>
      </c>
      <c r="AN51" s="145">
        <v>0</v>
      </c>
      <c r="AO51" s="145">
        <v>0</v>
      </c>
      <c r="AP51" s="145">
        <v>0</v>
      </c>
      <c r="AQ51" s="145">
        <v>0</v>
      </c>
      <c r="AR51" s="145">
        <v>0</v>
      </c>
      <c r="AS51" s="145">
        <f t="shared" si="19"/>
        <v>0</v>
      </c>
      <c r="AT51" s="145"/>
      <c r="AU51" s="139">
        <f t="shared" si="20"/>
        <v>0</v>
      </c>
      <c r="AV51" s="146">
        <f>IFERROR(VLOOKUP(J51,Maksājumu_pieprasījumu_iesn.!G:BL,57,0),0)</f>
        <v>0</v>
      </c>
      <c r="AW51" s="139">
        <f t="shared" si="23"/>
        <v>0</v>
      </c>
      <c r="AX51" s="153"/>
      <c r="AY51" s="153"/>
      <c r="AZ51" s="153"/>
      <c r="BA51" s="154"/>
      <c r="BB51" s="145"/>
      <c r="BC51" s="145"/>
      <c r="BD51" s="145"/>
      <c r="BE51" s="145"/>
      <c r="BF51" s="145"/>
      <c r="BG51" s="145"/>
      <c r="BH51" s="138"/>
      <c r="BI51" s="138"/>
      <c r="BJ51" s="138"/>
      <c r="BK51" s="138"/>
      <c r="BL51" s="138"/>
      <c r="BM51" s="138"/>
      <c r="BN51" s="138"/>
    </row>
    <row r="52" spans="1:66" s="91" customFormat="1" ht="25.5" hidden="1" customHeight="1" x14ac:dyDescent="0.2">
      <c r="A52" s="150" t="s">
        <v>1019</v>
      </c>
      <c r="B52" s="18" t="s">
        <v>0</v>
      </c>
      <c r="C52" s="18" t="s">
        <v>1059</v>
      </c>
      <c r="D52" s="19" t="s">
        <v>1060</v>
      </c>
      <c r="E52" s="55">
        <v>2</v>
      </c>
      <c r="F52" s="55" t="s">
        <v>4</v>
      </c>
      <c r="G52" s="55" t="s">
        <v>5</v>
      </c>
      <c r="H52" s="55" t="s">
        <v>3</v>
      </c>
      <c r="I52" s="55"/>
      <c r="J52" s="55"/>
      <c r="K52" s="19" t="s">
        <v>1074</v>
      </c>
      <c r="L52" s="19" t="s">
        <v>891</v>
      </c>
      <c r="M52" s="19" t="s">
        <v>4</v>
      </c>
      <c r="N52" s="19"/>
      <c r="O52" s="151"/>
      <c r="P52" s="151"/>
      <c r="Q52" s="151"/>
      <c r="R52" s="151"/>
      <c r="S52" s="152"/>
      <c r="T52" s="152"/>
      <c r="U52" s="145">
        <v>0</v>
      </c>
      <c r="V52" s="145">
        <v>0</v>
      </c>
      <c r="W52" s="145">
        <v>0</v>
      </c>
      <c r="X52" s="145">
        <f t="shared" si="24"/>
        <v>0</v>
      </c>
      <c r="Y52" s="145">
        <v>0</v>
      </c>
      <c r="Z52" s="145">
        <v>0</v>
      </c>
      <c r="AA52" s="145">
        <v>0</v>
      </c>
      <c r="AB52" s="145">
        <v>0</v>
      </c>
      <c r="AC52" s="145">
        <v>0</v>
      </c>
      <c r="AD52" s="145">
        <v>0</v>
      </c>
      <c r="AE52" s="145">
        <v>0</v>
      </c>
      <c r="AF52" s="145">
        <v>0</v>
      </c>
      <c r="AG52" s="145">
        <v>0</v>
      </c>
      <c r="AH52" s="145">
        <v>0</v>
      </c>
      <c r="AI52" s="145">
        <v>0</v>
      </c>
      <c r="AJ52" s="145">
        <v>0</v>
      </c>
      <c r="AK52" s="145">
        <f t="shared" si="31"/>
        <v>0</v>
      </c>
      <c r="AL52" s="145">
        <v>0</v>
      </c>
      <c r="AM52" s="145">
        <v>0</v>
      </c>
      <c r="AN52" s="145">
        <v>0</v>
      </c>
      <c r="AO52" s="145">
        <v>0</v>
      </c>
      <c r="AP52" s="145">
        <v>0</v>
      </c>
      <c r="AQ52" s="145">
        <v>0</v>
      </c>
      <c r="AR52" s="145">
        <v>0</v>
      </c>
      <c r="AS52" s="145">
        <f t="shared" si="19"/>
        <v>0</v>
      </c>
      <c r="AT52" s="145"/>
      <c r="AU52" s="139">
        <f t="shared" si="20"/>
        <v>0</v>
      </c>
      <c r="AV52" s="146">
        <f>IFERROR(VLOOKUP(J52,Maksājumu_pieprasījumu_iesn.!G:BL,57,0),0)</f>
        <v>0</v>
      </c>
      <c r="AW52" s="139">
        <f t="shared" si="23"/>
        <v>0</v>
      </c>
      <c r="AX52" s="153"/>
      <c r="AY52" s="153"/>
      <c r="AZ52" s="153"/>
      <c r="BA52" s="154"/>
      <c r="BB52" s="145"/>
      <c r="BC52" s="145"/>
      <c r="BD52" s="145"/>
      <c r="BE52" s="145"/>
      <c r="BF52" s="145"/>
      <c r="BG52" s="145"/>
      <c r="BH52" s="138"/>
      <c r="BI52" s="138"/>
      <c r="BJ52" s="138"/>
      <c r="BK52" s="138"/>
      <c r="BL52" s="138"/>
      <c r="BM52" s="138"/>
      <c r="BN52" s="138"/>
    </row>
    <row r="53" spans="1:66" s="91" customFormat="1" ht="25.5" hidden="1" customHeight="1" x14ac:dyDescent="0.2">
      <c r="A53" s="150" t="s">
        <v>1019</v>
      </c>
      <c r="B53" s="18" t="s">
        <v>0</v>
      </c>
      <c r="C53" s="18" t="s">
        <v>1059</v>
      </c>
      <c r="D53" s="19" t="s">
        <v>1060</v>
      </c>
      <c r="E53" s="55">
        <v>2</v>
      </c>
      <c r="F53" s="55" t="s">
        <v>4</v>
      </c>
      <c r="G53" s="55" t="s">
        <v>5</v>
      </c>
      <c r="H53" s="55" t="s">
        <v>3</v>
      </c>
      <c r="I53" s="55"/>
      <c r="J53" s="55"/>
      <c r="K53" s="19" t="s">
        <v>1075</v>
      </c>
      <c r="L53" s="19" t="s">
        <v>891</v>
      </c>
      <c r="M53" s="19" t="s">
        <v>4</v>
      </c>
      <c r="N53" s="19"/>
      <c r="O53" s="151"/>
      <c r="P53" s="151"/>
      <c r="Q53" s="151"/>
      <c r="R53" s="151"/>
      <c r="S53" s="152"/>
      <c r="T53" s="152"/>
      <c r="U53" s="145">
        <v>0</v>
      </c>
      <c r="V53" s="145">
        <v>0</v>
      </c>
      <c r="W53" s="145">
        <v>0</v>
      </c>
      <c r="X53" s="145">
        <f t="shared" si="24"/>
        <v>0</v>
      </c>
      <c r="Y53" s="145">
        <v>0</v>
      </c>
      <c r="Z53" s="145">
        <v>0</v>
      </c>
      <c r="AA53" s="145">
        <v>0</v>
      </c>
      <c r="AB53" s="145">
        <v>0</v>
      </c>
      <c r="AC53" s="145">
        <v>0</v>
      </c>
      <c r="AD53" s="145">
        <v>0</v>
      </c>
      <c r="AE53" s="145">
        <v>0</v>
      </c>
      <c r="AF53" s="145">
        <v>0</v>
      </c>
      <c r="AG53" s="145">
        <v>0</v>
      </c>
      <c r="AH53" s="145">
        <v>0</v>
      </c>
      <c r="AI53" s="145">
        <v>0</v>
      </c>
      <c r="AJ53" s="145">
        <v>0</v>
      </c>
      <c r="AK53" s="145">
        <f t="shared" si="31"/>
        <v>0</v>
      </c>
      <c r="AL53" s="145">
        <v>0</v>
      </c>
      <c r="AM53" s="145">
        <v>0</v>
      </c>
      <c r="AN53" s="145">
        <v>0</v>
      </c>
      <c r="AO53" s="145">
        <v>0</v>
      </c>
      <c r="AP53" s="145">
        <v>0</v>
      </c>
      <c r="AQ53" s="145">
        <v>0</v>
      </c>
      <c r="AR53" s="145">
        <v>0</v>
      </c>
      <c r="AS53" s="145">
        <f t="shared" si="19"/>
        <v>0</v>
      </c>
      <c r="AT53" s="145"/>
      <c r="AU53" s="139">
        <f t="shared" si="20"/>
        <v>0</v>
      </c>
      <c r="AV53" s="146">
        <f>IFERROR(VLOOKUP(J53,Maksājumu_pieprasījumu_iesn.!G:BL,57,0),0)</f>
        <v>0</v>
      </c>
      <c r="AW53" s="139">
        <f t="shared" si="23"/>
        <v>0</v>
      </c>
      <c r="AX53" s="153"/>
      <c r="AY53" s="153"/>
      <c r="AZ53" s="153"/>
      <c r="BA53" s="154"/>
      <c r="BB53" s="145"/>
      <c r="BC53" s="145"/>
      <c r="BD53" s="145"/>
      <c r="BE53" s="145"/>
      <c r="BF53" s="145"/>
      <c r="BG53" s="145"/>
      <c r="BH53" s="138"/>
      <c r="BI53" s="138"/>
      <c r="BJ53" s="138"/>
      <c r="BK53" s="138"/>
      <c r="BL53" s="138"/>
      <c r="BM53" s="138"/>
      <c r="BN53" s="138"/>
    </row>
    <row r="54" spans="1:66" s="91" customFormat="1" ht="25.5" hidden="1" x14ac:dyDescent="0.2">
      <c r="A54" s="127" t="s">
        <v>1019</v>
      </c>
      <c r="B54" s="127" t="s">
        <v>9</v>
      </c>
      <c r="C54" s="127" t="s">
        <v>1023</v>
      </c>
      <c r="D54" s="128" t="s">
        <v>1076</v>
      </c>
      <c r="E54" s="127"/>
      <c r="F54" s="127"/>
      <c r="G54" s="127" t="s">
        <v>5</v>
      </c>
      <c r="H54" s="127"/>
      <c r="I54" s="127"/>
      <c r="J54" s="127"/>
      <c r="K54" s="128"/>
      <c r="L54" s="128"/>
      <c r="M54" s="128"/>
      <c r="N54" s="128"/>
      <c r="O54" s="163"/>
      <c r="P54" s="163"/>
      <c r="Q54" s="163"/>
      <c r="R54" s="163"/>
      <c r="S54" s="164">
        <f t="shared" ref="S54:AF54" si="32">S55+S57</f>
        <v>35500000</v>
      </c>
      <c r="T54" s="164">
        <f t="shared" si="32"/>
        <v>17250001</v>
      </c>
      <c r="U54" s="164">
        <f t="shared" si="32"/>
        <v>0</v>
      </c>
      <c r="V54" s="164">
        <f t="shared" si="32"/>
        <v>0</v>
      </c>
      <c r="W54" s="164">
        <f t="shared" si="32"/>
        <v>17125.11</v>
      </c>
      <c r="X54" s="164">
        <f t="shared" si="32"/>
        <v>17125.11</v>
      </c>
      <c r="Y54" s="164">
        <f t="shared" si="32"/>
        <v>0</v>
      </c>
      <c r="Z54" s="164">
        <f t="shared" si="32"/>
        <v>20466.45</v>
      </c>
      <c r="AA54" s="164">
        <f t="shared" si="32"/>
        <v>0</v>
      </c>
      <c r="AB54" s="164">
        <f t="shared" si="32"/>
        <v>75022</v>
      </c>
      <c r="AC54" s="164">
        <f t="shared" si="32"/>
        <v>43148</v>
      </c>
      <c r="AD54" s="164">
        <f t="shared" si="32"/>
        <v>0</v>
      </c>
      <c r="AE54" s="164">
        <f t="shared" si="32"/>
        <v>1602066.61</v>
      </c>
      <c r="AF54" s="164">
        <f t="shared" si="32"/>
        <v>43148</v>
      </c>
      <c r="AG54" s="164">
        <f t="shared" ref="AG54:AY54" si="33">AG55+AG57</f>
        <v>1899564.7</v>
      </c>
      <c r="AH54" s="164">
        <f t="shared" si="33"/>
        <v>0</v>
      </c>
      <c r="AI54" s="164">
        <f t="shared" si="33"/>
        <v>43148</v>
      </c>
      <c r="AJ54" s="164">
        <f t="shared" si="33"/>
        <v>0</v>
      </c>
      <c r="AK54" s="164">
        <f t="shared" si="33"/>
        <v>3726563.7600000002</v>
      </c>
      <c r="AL54" s="164">
        <f t="shared" si="33"/>
        <v>4574207.84</v>
      </c>
      <c r="AM54" s="164">
        <f t="shared" si="33"/>
        <v>3555023.76</v>
      </c>
      <c r="AN54" s="164">
        <f t="shared" si="33"/>
        <v>2268955.2400000002</v>
      </c>
      <c r="AO54" s="164">
        <f t="shared" si="33"/>
        <v>1877058.11</v>
      </c>
      <c r="AP54" s="164">
        <f t="shared" si="33"/>
        <v>1815453.42</v>
      </c>
      <c r="AQ54" s="164">
        <f t="shared" si="33"/>
        <v>415587.26</v>
      </c>
      <c r="AR54" s="164">
        <f t="shared" si="33"/>
        <v>0</v>
      </c>
      <c r="AS54" s="164">
        <f t="shared" si="33"/>
        <v>18249974.5</v>
      </c>
      <c r="AT54" s="164">
        <f t="shared" si="33"/>
        <v>0</v>
      </c>
      <c r="AU54" s="164">
        <f t="shared" si="33"/>
        <v>18249974.5</v>
      </c>
      <c r="AV54" s="146">
        <f>IFERROR(VLOOKUP(J54,Maksājumu_pieprasījumu_iesn.!G:BL,57,0),0)</f>
        <v>0</v>
      </c>
      <c r="AW54" s="139">
        <f t="shared" si="23"/>
        <v>-18249974.5</v>
      </c>
      <c r="AX54" s="164">
        <f t="shared" si="33"/>
        <v>24.5</v>
      </c>
      <c r="AY54" s="164">
        <f t="shared" si="33"/>
        <v>0</v>
      </c>
      <c r="AZ54" s="164"/>
      <c r="BA54" s="164"/>
      <c r="BB54" s="164">
        <f>BB55+BB57</f>
        <v>0</v>
      </c>
      <c r="BC54" s="164">
        <f>BC55+BC57</f>
        <v>6030792.79</v>
      </c>
      <c r="BD54" s="129">
        <f>BC54*0.96</f>
        <v>5789561.0784</v>
      </c>
      <c r="BE54" s="129">
        <f>BD54/0.85</f>
        <v>6811248.3275294118</v>
      </c>
      <c r="BF54" s="164">
        <f>BF55+BF57</f>
        <v>0</v>
      </c>
      <c r="BG54" s="164">
        <f>BG55+BG57</f>
        <v>0</v>
      </c>
      <c r="BH54" s="129">
        <f>BH55+BH57</f>
        <v>17125.11</v>
      </c>
      <c r="BI54" s="129">
        <f>BI55+BI57</f>
        <v>1740205.0881745098</v>
      </c>
      <c r="BJ54" s="129">
        <f>AK54*0.96</f>
        <v>3577501.2096000002</v>
      </c>
      <c r="BK54" s="129">
        <f>BJ54-BI54</f>
        <v>1837296.1214254904</v>
      </c>
      <c r="BL54" s="129">
        <f>BL55+BL57</f>
        <v>3172643.302277395</v>
      </c>
      <c r="BM54" s="129">
        <f>AL54*0.96</f>
        <v>4391239.5263999999</v>
      </c>
      <c r="BN54" s="129">
        <f>BM54-BL54</f>
        <v>1218596.2241226048</v>
      </c>
    </row>
    <row r="55" spans="1:66" s="91" customFormat="1" ht="12.75" hidden="1" customHeight="1" x14ac:dyDescent="0.2">
      <c r="A55" s="131" t="s">
        <v>1019</v>
      </c>
      <c r="B55" s="132" t="s">
        <v>9</v>
      </c>
      <c r="C55" s="132" t="s">
        <v>10</v>
      </c>
      <c r="D55" s="133" t="s">
        <v>562</v>
      </c>
      <c r="E55" s="22">
        <v>1</v>
      </c>
      <c r="F55" s="22" t="s">
        <v>11</v>
      </c>
      <c r="G55" s="22" t="s">
        <v>5</v>
      </c>
      <c r="H55" s="22" t="s">
        <v>3</v>
      </c>
      <c r="I55" s="22" t="s">
        <v>1022</v>
      </c>
      <c r="J55" s="134" t="s">
        <v>1026</v>
      </c>
      <c r="K55" s="133"/>
      <c r="L55" s="133"/>
      <c r="M55" s="133"/>
      <c r="N55" s="133"/>
      <c r="O55" s="135"/>
      <c r="P55" s="135"/>
      <c r="Q55" s="135"/>
      <c r="R55" s="135"/>
      <c r="S55" s="136">
        <v>1000000</v>
      </c>
      <c r="T55" s="136">
        <v>0</v>
      </c>
      <c r="U55" s="137">
        <f>SUM(U56)</f>
        <v>0</v>
      </c>
      <c r="V55" s="137">
        <f>SUM(V56)</f>
        <v>0</v>
      </c>
      <c r="W55" s="137">
        <f>SUM(W56)</f>
        <v>17125.11</v>
      </c>
      <c r="X55" s="138">
        <f>U55+V55+W55</f>
        <v>17125.11</v>
      </c>
      <c r="Y55" s="137">
        <f t="shared" ref="Y55:AF55" si="34">SUM(Y56)</f>
        <v>0</v>
      </c>
      <c r="Z55" s="137">
        <f t="shared" si="34"/>
        <v>20466.45</v>
      </c>
      <c r="AA55" s="137">
        <f t="shared" si="34"/>
        <v>0</v>
      </c>
      <c r="AB55" s="137">
        <f t="shared" si="34"/>
        <v>0</v>
      </c>
      <c r="AC55" s="137">
        <f t="shared" si="34"/>
        <v>43148</v>
      </c>
      <c r="AD55" s="137">
        <f t="shared" si="34"/>
        <v>0</v>
      </c>
      <c r="AE55" s="137">
        <f t="shared" si="34"/>
        <v>0</v>
      </c>
      <c r="AF55" s="137">
        <f t="shared" si="34"/>
        <v>43148</v>
      </c>
      <c r="AG55" s="137">
        <f t="shared" ref="AG55:AR55" si="35">SUM(AG56)</f>
        <v>0</v>
      </c>
      <c r="AH55" s="137">
        <f t="shared" si="35"/>
        <v>0</v>
      </c>
      <c r="AI55" s="137">
        <f t="shared" si="35"/>
        <v>43148</v>
      </c>
      <c r="AJ55" s="137">
        <f t="shared" si="35"/>
        <v>0</v>
      </c>
      <c r="AK55" s="137">
        <f t="shared" si="35"/>
        <v>149910.45000000001</v>
      </c>
      <c r="AL55" s="137">
        <f t="shared" si="35"/>
        <v>172598</v>
      </c>
      <c r="AM55" s="137">
        <f t="shared" si="35"/>
        <v>172595</v>
      </c>
      <c r="AN55" s="137">
        <f t="shared" si="35"/>
        <v>172595</v>
      </c>
      <c r="AO55" s="137">
        <f t="shared" si="35"/>
        <v>172592</v>
      </c>
      <c r="AP55" s="137">
        <f t="shared" si="35"/>
        <v>142584.44</v>
      </c>
      <c r="AQ55" s="137">
        <f t="shared" si="35"/>
        <v>0</v>
      </c>
      <c r="AR55" s="137">
        <f t="shared" si="35"/>
        <v>0</v>
      </c>
      <c r="AS55" s="137">
        <f>U55+V55+W55+AK55+AL55+AM55+AN55+AO55+AP55+AQ55+AR55</f>
        <v>1000000</v>
      </c>
      <c r="AT55" s="137">
        <f>AT56</f>
        <v>0</v>
      </c>
      <c r="AU55" s="139">
        <f>AS55-AT55</f>
        <v>1000000</v>
      </c>
      <c r="AV55" s="146">
        <f>IFERROR(VLOOKUP(J55,Maksājumu_pieprasījumu_iesn.!G:BL,57,0),0)</f>
        <v>0</v>
      </c>
      <c r="AW55" s="139">
        <f t="shared" si="23"/>
        <v>-1000000</v>
      </c>
      <c r="AX55" s="140">
        <f>S55-T55-AU55</f>
        <v>0</v>
      </c>
      <c r="AY55" s="137"/>
      <c r="AZ55" s="137"/>
      <c r="BA55" s="138"/>
      <c r="BB55" s="140"/>
      <c r="BC55" s="140">
        <f>X55+AK55+AL55/2</f>
        <v>253334.56</v>
      </c>
      <c r="BD55" s="140"/>
      <c r="BE55" s="140">
        <f>BC55/0.85</f>
        <v>298040.65882352943</v>
      </c>
      <c r="BF55" s="137"/>
      <c r="BG55" s="137"/>
      <c r="BH55" s="138">
        <v>17125.11</v>
      </c>
      <c r="BI55" s="138">
        <v>175878.2</v>
      </c>
      <c r="BJ55" s="138"/>
      <c r="BK55" s="138"/>
      <c r="BL55" s="138">
        <v>177531.15650519499</v>
      </c>
      <c r="BM55" s="138"/>
      <c r="BN55" s="138"/>
    </row>
    <row r="56" spans="1:66" ht="25.5" hidden="1" customHeight="1" x14ac:dyDescent="0.2">
      <c r="A56" s="142" t="s">
        <v>1019</v>
      </c>
      <c r="B56" s="18" t="s">
        <v>9</v>
      </c>
      <c r="C56" s="18" t="s">
        <v>10</v>
      </c>
      <c r="D56" s="19" t="s">
        <v>562</v>
      </c>
      <c r="E56" s="18">
        <v>1</v>
      </c>
      <c r="F56" s="18" t="s">
        <v>11</v>
      </c>
      <c r="G56" s="18" t="s">
        <v>5</v>
      </c>
      <c r="H56" s="18" t="s">
        <v>3</v>
      </c>
      <c r="I56" s="18"/>
      <c r="J56" s="18" t="s">
        <v>12</v>
      </c>
      <c r="K56" s="19" t="s">
        <v>13</v>
      </c>
      <c r="L56" s="19" t="s">
        <v>891</v>
      </c>
      <c r="M56" s="19" t="s">
        <v>11</v>
      </c>
      <c r="N56" s="19" t="s">
        <v>14</v>
      </c>
      <c r="O56" s="143"/>
      <c r="P56" s="143"/>
      <c r="Q56" s="143"/>
      <c r="R56" s="143">
        <v>42506</v>
      </c>
      <c r="S56" s="144">
        <v>1000000</v>
      </c>
      <c r="T56" s="144"/>
      <c r="U56" s="145">
        <v>0</v>
      </c>
      <c r="V56" s="145">
        <v>0</v>
      </c>
      <c r="W56" s="145">
        <v>17125.11</v>
      </c>
      <c r="X56" s="145">
        <f>W56+V56+U56</f>
        <v>17125.11</v>
      </c>
      <c r="Y56" s="145">
        <v>0</v>
      </c>
      <c r="Z56" s="145">
        <v>20466.45</v>
      </c>
      <c r="AA56" s="145">
        <v>0</v>
      </c>
      <c r="AB56" s="145">
        <v>0</v>
      </c>
      <c r="AC56" s="145">
        <v>43148</v>
      </c>
      <c r="AD56" s="145">
        <v>0</v>
      </c>
      <c r="AE56" s="145">
        <v>0</v>
      </c>
      <c r="AF56" s="420">
        <v>43148</v>
      </c>
      <c r="AG56" s="145">
        <v>0</v>
      </c>
      <c r="AH56" s="145">
        <v>0</v>
      </c>
      <c r="AI56" s="145">
        <v>43148</v>
      </c>
      <c r="AJ56" s="145">
        <v>0</v>
      </c>
      <c r="AK56" s="145">
        <f>SUM(Y56:AJ56)</f>
        <v>149910.45000000001</v>
      </c>
      <c r="AL56" s="145">
        <v>172598</v>
      </c>
      <c r="AM56" s="145">
        <v>172595</v>
      </c>
      <c r="AN56" s="145">
        <v>172595</v>
      </c>
      <c r="AO56" s="145">
        <v>172592</v>
      </c>
      <c r="AP56" s="145">
        <v>142584.44</v>
      </c>
      <c r="AQ56" s="145">
        <v>0</v>
      </c>
      <c r="AR56" s="145">
        <v>0</v>
      </c>
      <c r="AS56" s="144">
        <f>U56+V56+W56+AK56+AL56+AM56+AN56+AO56+AP56+AQ56+AR56</f>
        <v>1000000</v>
      </c>
      <c r="AT56" s="144"/>
      <c r="AU56" s="146">
        <f>AS56-AT56</f>
        <v>1000000</v>
      </c>
      <c r="AV56" s="146">
        <f>IFERROR(VLOOKUP(J56,Maksājumu_pieprasījumu_iesn.!G:BL,57,0),0)</f>
        <v>0</v>
      </c>
      <c r="AW56" s="139">
        <f t="shared" si="23"/>
        <v>-1000000</v>
      </c>
      <c r="AX56" s="147"/>
      <c r="AY56" s="147"/>
      <c r="AZ56" s="147"/>
      <c r="BA56" s="165"/>
      <c r="BB56" s="144"/>
      <c r="BC56" s="144"/>
      <c r="BD56" s="144"/>
      <c r="BE56" s="144"/>
      <c r="BF56" s="144"/>
      <c r="BG56" s="144"/>
      <c r="BH56" s="149"/>
      <c r="BI56" s="149"/>
      <c r="BJ56" s="149"/>
      <c r="BK56" s="149"/>
      <c r="BL56" s="149"/>
      <c r="BM56" s="149"/>
      <c r="BN56" s="149"/>
    </row>
    <row r="57" spans="1:66" s="91" customFormat="1" ht="51" hidden="1" customHeight="1" x14ac:dyDescent="0.2">
      <c r="A57" s="131" t="s">
        <v>1019</v>
      </c>
      <c r="B57" s="132" t="s">
        <v>9</v>
      </c>
      <c r="C57" s="132" t="s">
        <v>15</v>
      </c>
      <c r="D57" s="133" t="s">
        <v>563</v>
      </c>
      <c r="E57" s="22" t="s">
        <v>3</v>
      </c>
      <c r="F57" s="22" t="s">
        <v>11</v>
      </c>
      <c r="G57" s="22" t="s">
        <v>5</v>
      </c>
      <c r="H57" s="22" t="s">
        <v>3</v>
      </c>
      <c r="I57" s="22" t="s">
        <v>1022</v>
      </c>
      <c r="J57" s="134" t="s">
        <v>1026</v>
      </c>
      <c r="K57" s="133"/>
      <c r="L57" s="133"/>
      <c r="M57" s="133"/>
      <c r="N57" s="133"/>
      <c r="O57" s="135"/>
      <c r="P57" s="135"/>
      <c r="Q57" s="135"/>
      <c r="R57" s="135"/>
      <c r="S57" s="136">
        <v>34500000</v>
      </c>
      <c r="T57" s="136">
        <v>17250001</v>
      </c>
      <c r="U57" s="137">
        <f>SUM(U58)</f>
        <v>0</v>
      </c>
      <c r="V57" s="137">
        <f>SUM(V58)</f>
        <v>0</v>
      </c>
      <c r="W57" s="137">
        <f>SUM(W58)</f>
        <v>0</v>
      </c>
      <c r="X57" s="138">
        <f>U57+V57+W57</f>
        <v>0</v>
      </c>
      <c r="Y57" s="137">
        <f t="shared" ref="Y57:AF57" si="36">SUM(Y58)</f>
        <v>0</v>
      </c>
      <c r="Z57" s="137">
        <f t="shared" si="36"/>
        <v>0</v>
      </c>
      <c r="AA57" s="137">
        <f t="shared" si="36"/>
        <v>0</v>
      </c>
      <c r="AB57" s="137">
        <f t="shared" si="36"/>
        <v>75022</v>
      </c>
      <c r="AC57" s="137">
        <f t="shared" si="36"/>
        <v>0</v>
      </c>
      <c r="AD57" s="137">
        <f t="shared" si="36"/>
        <v>0</v>
      </c>
      <c r="AE57" s="137">
        <f t="shared" si="36"/>
        <v>1602066.61</v>
      </c>
      <c r="AF57" s="137">
        <f t="shared" si="36"/>
        <v>0</v>
      </c>
      <c r="AG57" s="137">
        <f t="shared" ref="AG57:AR57" si="37">SUM(AG58)</f>
        <v>1899564.7</v>
      </c>
      <c r="AH57" s="137">
        <f t="shared" si="37"/>
        <v>0</v>
      </c>
      <c r="AI57" s="137">
        <f t="shared" si="37"/>
        <v>0</v>
      </c>
      <c r="AJ57" s="137">
        <f t="shared" si="37"/>
        <v>0</v>
      </c>
      <c r="AK57" s="137">
        <f t="shared" si="37"/>
        <v>3576653.31</v>
      </c>
      <c r="AL57" s="137">
        <f t="shared" si="37"/>
        <v>4401609.84</v>
      </c>
      <c r="AM57" s="137">
        <f t="shared" si="37"/>
        <v>3382428.76</v>
      </c>
      <c r="AN57" s="137">
        <f t="shared" si="37"/>
        <v>2096360.24</v>
      </c>
      <c r="AO57" s="137">
        <f t="shared" si="37"/>
        <v>1704466.11</v>
      </c>
      <c r="AP57" s="137">
        <f t="shared" si="37"/>
        <v>1672868.98</v>
      </c>
      <c r="AQ57" s="137">
        <f t="shared" si="37"/>
        <v>415587.26</v>
      </c>
      <c r="AR57" s="137">
        <f t="shared" si="37"/>
        <v>0</v>
      </c>
      <c r="AS57" s="137">
        <f>U57+V57+W57+AK57+AL57+AM57+AN57+AO57+AP57+AQ57+AR57</f>
        <v>17249974.5</v>
      </c>
      <c r="AT57" s="137">
        <f>AT58</f>
        <v>0</v>
      </c>
      <c r="AU57" s="139">
        <f t="shared" si="20"/>
        <v>17249974.5</v>
      </c>
      <c r="AV57" s="146">
        <f>IFERROR(VLOOKUP(J57,Maksājumu_pieprasījumu_iesn.!G:BL,57,0),0)</f>
        <v>0</v>
      </c>
      <c r="AW57" s="139">
        <f t="shared" si="23"/>
        <v>-17249974.5</v>
      </c>
      <c r="AX57" s="140">
        <f>S57-T57-AU57</f>
        <v>24.5</v>
      </c>
      <c r="AY57" s="137"/>
      <c r="AZ57" s="137"/>
      <c r="BA57" s="138" t="s">
        <v>1077</v>
      </c>
      <c r="BB57" s="140"/>
      <c r="BC57" s="140">
        <f>X57+AK57+AL57/2</f>
        <v>5777458.2300000004</v>
      </c>
      <c r="BD57" s="140"/>
      <c r="BE57" s="140">
        <f>BC57/0.85</f>
        <v>6797009.6823529415</v>
      </c>
      <c r="BF57" s="137"/>
      <c r="BG57" s="137"/>
      <c r="BH57" s="138">
        <v>0</v>
      </c>
      <c r="BI57" s="138">
        <v>1564326.8881745099</v>
      </c>
      <c r="BJ57" s="138"/>
      <c r="BK57" s="138"/>
      <c r="BL57" s="138">
        <v>2995112.1457722001</v>
      </c>
      <c r="BM57" s="138"/>
      <c r="BN57" s="138"/>
    </row>
    <row r="58" spans="1:66" ht="25.5" hidden="1" customHeight="1" x14ac:dyDescent="0.2">
      <c r="A58" s="142" t="s">
        <v>1019</v>
      </c>
      <c r="B58" s="18" t="s">
        <v>9</v>
      </c>
      <c r="C58" s="18" t="s">
        <v>15</v>
      </c>
      <c r="D58" s="19" t="s">
        <v>563</v>
      </c>
      <c r="E58" s="18" t="s">
        <v>3</v>
      </c>
      <c r="F58" s="18" t="s">
        <v>11</v>
      </c>
      <c r="G58" s="18" t="s">
        <v>5</v>
      </c>
      <c r="H58" s="18" t="s">
        <v>3</v>
      </c>
      <c r="I58" s="18"/>
      <c r="J58" s="18" t="s">
        <v>16</v>
      </c>
      <c r="K58" s="19" t="s">
        <v>17</v>
      </c>
      <c r="L58" s="19" t="s">
        <v>891</v>
      </c>
      <c r="M58" s="19" t="s">
        <v>11</v>
      </c>
      <c r="N58" s="19" t="s">
        <v>18</v>
      </c>
      <c r="O58" s="143"/>
      <c r="P58" s="143"/>
      <c r="Q58" s="143"/>
      <c r="R58" s="143">
        <v>42733</v>
      </c>
      <c r="S58" s="144">
        <v>17250000</v>
      </c>
      <c r="T58" s="144"/>
      <c r="U58" s="145">
        <v>0</v>
      </c>
      <c r="V58" s="145">
        <v>0</v>
      </c>
      <c r="W58" s="145">
        <v>0</v>
      </c>
      <c r="X58" s="145">
        <f>W58+V58+U58</f>
        <v>0</v>
      </c>
      <c r="Y58" s="145">
        <v>0</v>
      </c>
      <c r="Z58" s="145">
        <v>0</v>
      </c>
      <c r="AA58" s="145">
        <v>0</v>
      </c>
      <c r="AB58" s="153">
        <v>75022</v>
      </c>
      <c r="AC58" s="153">
        <v>0</v>
      </c>
      <c r="AD58" s="166">
        <v>0</v>
      </c>
      <c r="AE58" s="166">
        <v>1602066.61</v>
      </c>
      <c r="AF58" s="153">
        <v>0</v>
      </c>
      <c r="AG58" s="153">
        <v>1899564.7</v>
      </c>
      <c r="AH58" s="153">
        <v>0</v>
      </c>
      <c r="AI58" s="153">
        <v>0</v>
      </c>
      <c r="AJ58" s="153">
        <v>0</v>
      </c>
      <c r="AK58" s="153">
        <f>SUM(Y58:AJ58)</f>
        <v>3576653.31</v>
      </c>
      <c r="AL58" s="153">
        <v>4401609.84</v>
      </c>
      <c r="AM58" s="145">
        <v>3382428.76</v>
      </c>
      <c r="AN58" s="145">
        <v>2096360.24</v>
      </c>
      <c r="AO58" s="145">
        <v>1704466.11</v>
      </c>
      <c r="AP58" s="145">
        <v>1672868.98</v>
      </c>
      <c r="AQ58" s="145">
        <v>415587.26</v>
      </c>
      <c r="AR58" s="145">
        <v>0</v>
      </c>
      <c r="AS58" s="167">
        <f>U58+V58+W58+AK58+AL58+AM58+AN58+AO58+AP58+AQ58+AR58</f>
        <v>17249974.5</v>
      </c>
      <c r="AT58" s="93"/>
      <c r="AU58" s="146">
        <f t="shared" si="20"/>
        <v>17249974.5</v>
      </c>
      <c r="AV58" s="146" t="str">
        <f>IFERROR(VLOOKUP(J58,Maksājumu_pieprasījumu_iesn.!G:BL,57,0),0)</f>
        <v xml:space="preserve">Samaksa par sniegtajiem ekspertu pakalpojumiem un citām aktivitātēm projektā tiks veikta nākošajā starpposmā. Vaučeru programmā nav iesniegti tik daudz pieteikumi kā sākotnēji bija plānots, līdz ar to netiek pieaicināti eksperti, kā arī līdz šim nav bijis pieprasījuma pēc tirgus pētījumiem pētniecības organizācijās.  </v>
      </c>
      <c r="AW58" s="139" t="e">
        <f t="shared" si="23"/>
        <v>#VALUE!</v>
      </c>
      <c r="AX58" s="165">
        <f>S58-T58-AT58-AS58</f>
        <v>25.5</v>
      </c>
      <c r="AY58" s="165"/>
      <c r="AZ58" s="165"/>
      <c r="BA58" s="165"/>
      <c r="BB58" s="147"/>
      <c r="BC58" s="147"/>
      <c r="BD58" s="147"/>
      <c r="BE58" s="147"/>
      <c r="BF58" s="147"/>
      <c r="BG58" s="147"/>
      <c r="BH58" s="149"/>
      <c r="BI58" s="149"/>
      <c r="BJ58" s="149"/>
      <c r="BK58" s="149"/>
      <c r="BL58" s="149"/>
      <c r="BM58" s="149"/>
      <c r="BN58" s="149"/>
    </row>
    <row r="59" spans="1:66" s="91" customFormat="1" ht="25.5" hidden="1" x14ac:dyDescent="0.2">
      <c r="A59" s="127" t="s">
        <v>1019</v>
      </c>
      <c r="B59" s="127" t="s">
        <v>19</v>
      </c>
      <c r="C59" s="127" t="s">
        <v>1023</v>
      </c>
      <c r="D59" s="128" t="s">
        <v>1078</v>
      </c>
      <c r="E59" s="127"/>
      <c r="F59" s="127"/>
      <c r="G59" s="127" t="s">
        <v>5</v>
      </c>
      <c r="H59" s="127"/>
      <c r="I59" s="127"/>
      <c r="J59" s="127"/>
      <c r="K59" s="128"/>
      <c r="L59" s="128"/>
      <c r="M59" s="128"/>
      <c r="N59" s="128"/>
      <c r="O59" s="163"/>
      <c r="P59" s="163"/>
      <c r="Q59" s="163"/>
      <c r="R59" s="163"/>
      <c r="S59" s="164">
        <f t="shared" ref="S59:AF59" si="38">S60+S62</f>
        <v>11709434</v>
      </c>
      <c r="T59" s="164">
        <f t="shared" si="38"/>
        <v>292849.87196192326</v>
      </c>
      <c r="U59" s="164">
        <f t="shared" si="38"/>
        <v>0</v>
      </c>
      <c r="V59" s="164">
        <f t="shared" si="38"/>
        <v>0</v>
      </c>
      <c r="W59" s="164">
        <f t="shared" si="38"/>
        <v>0</v>
      </c>
      <c r="X59" s="164">
        <f t="shared" si="38"/>
        <v>0</v>
      </c>
      <c r="Y59" s="164">
        <f t="shared" si="38"/>
        <v>108479.69</v>
      </c>
      <c r="Z59" s="164">
        <f t="shared" si="38"/>
        <v>33284.589999999997</v>
      </c>
      <c r="AA59" s="164">
        <f t="shared" si="38"/>
        <v>0</v>
      </c>
      <c r="AB59" s="164">
        <f t="shared" si="38"/>
        <v>0</v>
      </c>
      <c r="AC59" s="164">
        <f t="shared" si="38"/>
        <v>197612.75</v>
      </c>
      <c r="AD59" s="164">
        <f t="shared" si="38"/>
        <v>0</v>
      </c>
      <c r="AE59" s="164">
        <f t="shared" si="38"/>
        <v>93408.04</v>
      </c>
      <c r="AF59" s="164">
        <f t="shared" si="38"/>
        <v>159150.85999999999</v>
      </c>
      <c r="AG59" s="164">
        <f t="shared" ref="AG59:AY59" si="39">AG60+AG62</f>
        <v>0</v>
      </c>
      <c r="AH59" s="164">
        <f t="shared" si="39"/>
        <v>287783.90000000002</v>
      </c>
      <c r="AI59" s="164">
        <f t="shared" si="39"/>
        <v>201188.58</v>
      </c>
      <c r="AJ59" s="164">
        <f t="shared" si="39"/>
        <v>0</v>
      </c>
      <c r="AK59" s="164">
        <f t="shared" si="39"/>
        <v>1080908.4100000001</v>
      </c>
      <c r="AL59" s="164">
        <f t="shared" si="39"/>
        <v>2435689.2600000002</v>
      </c>
      <c r="AM59" s="164">
        <f t="shared" si="39"/>
        <v>2868059.7199999997</v>
      </c>
      <c r="AN59" s="164">
        <f t="shared" si="39"/>
        <v>2964457.2399999998</v>
      </c>
      <c r="AO59" s="164">
        <f t="shared" si="39"/>
        <v>1006490.8400000001</v>
      </c>
      <c r="AP59" s="164">
        <f t="shared" si="39"/>
        <v>641327.98</v>
      </c>
      <c r="AQ59" s="164">
        <f t="shared" si="39"/>
        <v>417346.25000000006</v>
      </c>
      <c r="AR59" s="164">
        <f t="shared" si="39"/>
        <v>0</v>
      </c>
      <c r="AS59" s="164">
        <f t="shared" si="39"/>
        <v>11414279.700000001</v>
      </c>
      <c r="AT59" s="164">
        <f t="shared" si="39"/>
        <v>1899309.16</v>
      </c>
      <c r="AU59" s="164">
        <f t="shared" si="39"/>
        <v>9514970.540000001</v>
      </c>
      <c r="AV59" s="146">
        <f>IFERROR(VLOOKUP(J59,Maksājumu_pieprasījumu_iesn.!G:BL,57,0),0)</f>
        <v>0</v>
      </c>
      <c r="AW59" s="139">
        <f t="shared" si="23"/>
        <v>-9514970.540000001</v>
      </c>
      <c r="AX59" s="164">
        <f t="shared" si="39"/>
        <v>1901613.5880380757</v>
      </c>
      <c r="AY59" s="164">
        <f t="shared" si="39"/>
        <v>2304.5</v>
      </c>
      <c r="AZ59" s="164"/>
      <c r="BA59" s="164"/>
      <c r="BB59" s="164">
        <f>BB60+BB62</f>
        <v>0</v>
      </c>
      <c r="BC59" s="164">
        <f>BC60+BC62</f>
        <v>2298753.04</v>
      </c>
      <c r="BD59" s="129">
        <f>BC59*0.96</f>
        <v>2206802.9183999998</v>
      </c>
      <c r="BE59" s="129">
        <f>BD59/0.85</f>
        <v>2596238.7275294117</v>
      </c>
      <c r="BF59" s="164">
        <f>BF60+BF62</f>
        <v>0</v>
      </c>
      <c r="BG59" s="164">
        <f>BG60+BG62</f>
        <v>0</v>
      </c>
      <c r="BH59" s="164">
        <f>BH60+BH62</f>
        <v>281309.15999999997</v>
      </c>
      <c r="BI59" s="164">
        <f>BI60+BI62</f>
        <v>1014146.51</v>
      </c>
      <c r="BJ59" s="129">
        <f>AK59*0.96</f>
        <v>1037672.0736000001</v>
      </c>
      <c r="BK59" s="129">
        <f>BJ59-BI59</f>
        <v>23525.56360000011</v>
      </c>
      <c r="BL59" s="129">
        <f>BL60+BL62</f>
        <v>1958056.881694959</v>
      </c>
      <c r="BM59" s="129">
        <f>AL59*0.96</f>
        <v>2338261.6896000002</v>
      </c>
      <c r="BN59" s="129">
        <f>BM59-BL59</f>
        <v>380204.80790504115</v>
      </c>
    </row>
    <row r="60" spans="1:66" s="91" customFormat="1" ht="25.5" hidden="1" customHeight="1" x14ac:dyDescent="0.2">
      <c r="A60" s="131" t="s">
        <v>1019</v>
      </c>
      <c r="B60" s="132" t="s">
        <v>19</v>
      </c>
      <c r="C60" s="132" t="s">
        <v>654</v>
      </c>
      <c r="D60" s="133" t="s">
        <v>655</v>
      </c>
      <c r="E60" s="22" t="s">
        <v>3</v>
      </c>
      <c r="F60" s="22" t="s">
        <v>11</v>
      </c>
      <c r="G60" s="22" t="s">
        <v>5</v>
      </c>
      <c r="H60" s="22" t="s">
        <v>3</v>
      </c>
      <c r="I60" s="22" t="s">
        <v>1022</v>
      </c>
      <c r="J60" s="134" t="s">
        <v>1026</v>
      </c>
      <c r="K60" s="133"/>
      <c r="L60" s="133"/>
      <c r="M60" s="133"/>
      <c r="N60" s="133"/>
      <c r="O60" s="135"/>
      <c r="P60" s="135"/>
      <c r="Q60" s="135"/>
      <c r="R60" s="135"/>
      <c r="S60" s="136">
        <v>4801192</v>
      </c>
      <c r="T60" s="136">
        <v>292849.87196192326</v>
      </c>
      <c r="U60" s="137">
        <f>SUM(U61)</f>
        <v>0</v>
      </c>
      <c r="V60" s="137">
        <f>SUM(V61)</f>
        <v>0</v>
      </c>
      <c r="W60" s="137">
        <f>SUM(W61)</f>
        <v>0</v>
      </c>
      <c r="X60" s="138">
        <f>U60+V60+W60</f>
        <v>0</v>
      </c>
      <c r="Y60" s="137">
        <f t="shared" ref="Y60:AF60" si="40">SUM(Y61)</f>
        <v>108479.69</v>
      </c>
      <c r="Z60" s="137">
        <f t="shared" si="40"/>
        <v>0</v>
      </c>
      <c r="AA60" s="137">
        <f t="shared" si="40"/>
        <v>0</v>
      </c>
      <c r="AB60" s="137">
        <f t="shared" si="40"/>
        <v>0</v>
      </c>
      <c r="AC60" s="137">
        <f t="shared" si="40"/>
        <v>73046.61</v>
      </c>
      <c r="AD60" s="137">
        <f t="shared" si="40"/>
        <v>0</v>
      </c>
      <c r="AE60" s="137">
        <f t="shared" si="40"/>
        <v>91181.04</v>
      </c>
      <c r="AF60" s="137">
        <f t="shared" si="40"/>
        <v>0</v>
      </c>
      <c r="AG60" s="137">
        <f t="shared" ref="AG60:AR60" si="41">SUM(AG61)</f>
        <v>0</v>
      </c>
      <c r="AH60" s="137">
        <f t="shared" si="41"/>
        <v>265517.90000000002</v>
      </c>
      <c r="AI60" s="137">
        <f t="shared" si="41"/>
        <v>0</v>
      </c>
      <c r="AJ60" s="137">
        <f t="shared" si="41"/>
        <v>0</v>
      </c>
      <c r="AK60" s="137">
        <f t="shared" si="41"/>
        <v>538225.24</v>
      </c>
      <c r="AL60" s="137">
        <f t="shared" si="41"/>
        <v>661877.96000000008</v>
      </c>
      <c r="AM60" s="137">
        <f t="shared" si="41"/>
        <v>750235.38</v>
      </c>
      <c r="AN60" s="137">
        <f t="shared" si="41"/>
        <v>792210.92</v>
      </c>
      <c r="AO60" s="137">
        <f t="shared" si="41"/>
        <v>707118.27</v>
      </c>
      <c r="AP60" s="137">
        <f t="shared" si="41"/>
        <v>641327.98</v>
      </c>
      <c r="AQ60" s="137">
        <f t="shared" si="41"/>
        <v>417346.25000000006</v>
      </c>
      <c r="AR60" s="137">
        <f t="shared" si="41"/>
        <v>0</v>
      </c>
      <c r="AS60" s="137">
        <f>U60+V60+W60+AK60+AL60+AM60+AN60+AO60+AP60+AQ60+AR60</f>
        <v>4508342</v>
      </c>
      <c r="AT60" s="137">
        <f>AT61</f>
        <v>0</v>
      </c>
      <c r="AU60" s="139">
        <f t="shared" si="20"/>
        <v>4508342</v>
      </c>
      <c r="AV60" s="146">
        <f>IFERROR(VLOOKUP(J60,Maksājumu_pieprasījumu_iesn.!G:BL,57,0),0)</f>
        <v>0</v>
      </c>
      <c r="AW60" s="139">
        <f t="shared" si="23"/>
        <v>-4508342</v>
      </c>
      <c r="AX60" s="140">
        <f>S60-T60-AU60</f>
        <v>0.1280380766838789</v>
      </c>
      <c r="AY60" s="137"/>
      <c r="AZ60" s="137"/>
      <c r="BA60" s="138"/>
      <c r="BB60" s="140"/>
      <c r="BC60" s="140">
        <f>X60+AK60+AL60/2</f>
        <v>869164.22</v>
      </c>
      <c r="BD60" s="140"/>
      <c r="BE60" s="140">
        <f>BC60/0.85</f>
        <v>1022546.1411764706</v>
      </c>
      <c r="BF60" s="137"/>
      <c r="BG60" s="137"/>
      <c r="BH60" s="138">
        <v>0</v>
      </c>
      <c r="BI60" s="138">
        <v>531625</v>
      </c>
      <c r="BJ60" s="138"/>
      <c r="BK60" s="138"/>
      <c r="BL60" s="138">
        <v>805184.88169495901</v>
      </c>
      <c r="BM60" s="138"/>
      <c r="BN60" s="138"/>
    </row>
    <row r="61" spans="1:66" ht="25.5" hidden="1" customHeight="1" x14ac:dyDescent="0.2">
      <c r="A61" s="142" t="s">
        <v>1019</v>
      </c>
      <c r="B61" s="18" t="s">
        <v>19</v>
      </c>
      <c r="C61" s="18" t="s">
        <v>654</v>
      </c>
      <c r="D61" s="19" t="s">
        <v>655</v>
      </c>
      <c r="E61" s="18" t="s">
        <v>3</v>
      </c>
      <c r="F61" s="18" t="s">
        <v>11</v>
      </c>
      <c r="G61" s="18" t="s">
        <v>5</v>
      </c>
      <c r="H61" s="18" t="s">
        <v>3</v>
      </c>
      <c r="I61" s="18"/>
      <c r="J61" s="18" t="s">
        <v>656</v>
      </c>
      <c r="K61" s="19" t="s">
        <v>25</v>
      </c>
      <c r="L61" s="19" t="s">
        <v>891</v>
      </c>
      <c r="M61" s="19" t="s">
        <v>11</v>
      </c>
      <c r="N61" s="19" t="s">
        <v>655</v>
      </c>
      <c r="O61" s="143"/>
      <c r="P61" s="143"/>
      <c r="Q61" s="143"/>
      <c r="R61" s="143">
        <v>42688</v>
      </c>
      <c r="S61" s="144">
        <v>4508342</v>
      </c>
      <c r="T61" s="144"/>
      <c r="U61" s="145">
        <v>0</v>
      </c>
      <c r="V61" s="145">
        <v>0</v>
      </c>
      <c r="W61" s="145">
        <v>0</v>
      </c>
      <c r="X61" s="145">
        <f>W61+V61+U61</f>
        <v>0</v>
      </c>
      <c r="Y61" s="145">
        <v>108479.69</v>
      </c>
      <c r="Z61" s="145">
        <v>0</v>
      </c>
      <c r="AA61" s="145">
        <v>0</v>
      </c>
      <c r="AB61" s="145">
        <v>0</v>
      </c>
      <c r="AC61" s="153">
        <v>73046.61</v>
      </c>
      <c r="AD61" s="166">
        <v>0</v>
      </c>
      <c r="AE61" s="166">
        <v>91181.04</v>
      </c>
      <c r="AF61" s="145">
        <v>0</v>
      </c>
      <c r="AG61" s="145">
        <v>0</v>
      </c>
      <c r="AH61" s="145">
        <v>265517.90000000002</v>
      </c>
      <c r="AI61" s="145">
        <v>0</v>
      </c>
      <c r="AJ61" s="145">
        <v>0</v>
      </c>
      <c r="AK61" s="145">
        <f>SUM(Y61:AJ61)</f>
        <v>538225.24</v>
      </c>
      <c r="AL61" s="145">
        <v>661877.96000000008</v>
      </c>
      <c r="AM61" s="145">
        <v>750235.38</v>
      </c>
      <c r="AN61" s="145">
        <v>792210.92</v>
      </c>
      <c r="AO61" s="145">
        <v>707118.27</v>
      </c>
      <c r="AP61" s="145">
        <v>641327.98</v>
      </c>
      <c r="AQ61" s="145">
        <v>417346.25000000006</v>
      </c>
      <c r="AR61" s="145">
        <v>0</v>
      </c>
      <c r="AS61" s="167">
        <f>U61+V61+W61+AK61+AL61+AM61+AN61+AO61+AP61+AQ61+AR61</f>
        <v>4508342</v>
      </c>
      <c r="AT61" s="93"/>
      <c r="AU61" s="146">
        <f t="shared" si="20"/>
        <v>4508342</v>
      </c>
      <c r="AV61" s="146">
        <f>IFERROR(VLOOKUP(J61,Maksājumu_pieprasījumu_iesn.!G:BL,57,0),0)</f>
        <v>0</v>
      </c>
      <c r="AW61" s="139">
        <f t="shared" si="23"/>
        <v>-4508342</v>
      </c>
      <c r="AX61" s="168"/>
      <c r="AY61" s="161"/>
      <c r="AZ61" s="161"/>
      <c r="BA61" s="165"/>
      <c r="BB61" s="144"/>
      <c r="BC61" s="144"/>
      <c r="BD61" s="144"/>
      <c r="BE61" s="144"/>
      <c r="BF61" s="144"/>
      <c r="BG61" s="144"/>
      <c r="BH61" s="149"/>
      <c r="BI61" s="149"/>
      <c r="BJ61" s="149"/>
      <c r="BK61" s="149"/>
      <c r="BL61" s="149"/>
      <c r="BM61" s="149"/>
      <c r="BN61" s="149"/>
    </row>
    <row r="62" spans="1:66" s="91" customFormat="1" ht="25.5" hidden="1" customHeight="1" x14ac:dyDescent="0.2">
      <c r="A62" s="131" t="s">
        <v>1019</v>
      </c>
      <c r="B62" s="132" t="s">
        <v>19</v>
      </c>
      <c r="C62" s="132" t="s">
        <v>20</v>
      </c>
      <c r="D62" s="133" t="s">
        <v>564</v>
      </c>
      <c r="E62" s="22" t="s">
        <v>3</v>
      </c>
      <c r="F62" s="22" t="s">
        <v>11</v>
      </c>
      <c r="G62" s="22" t="s">
        <v>5</v>
      </c>
      <c r="H62" s="22" t="s">
        <v>3</v>
      </c>
      <c r="I62" s="22" t="s">
        <v>1022</v>
      </c>
      <c r="J62" s="134" t="s">
        <v>1026</v>
      </c>
      <c r="K62" s="133"/>
      <c r="L62" s="133"/>
      <c r="M62" s="133"/>
      <c r="N62" s="133"/>
      <c r="O62" s="135"/>
      <c r="P62" s="135"/>
      <c r="Q62" s="135"/>
      <c r="R62" s="135"/>
      <c r="S62" s="136">
        <v>6908242</v>
      </c>
      <c r="T62" s="136">
        <v>0</v>
      </c>
      <c r="U62" s="137">
        <f t="shared" ref="U62:AF62" si="42">SUM(U63+U65+U67)</f>
        <v>0</v>
      </c>
      <c r="V62" s="137">
        <f t="shared" si="42"/>
        <v>0</v>
      </c>
      <c r="W62" s="137">
        <f t="shared" si="42"/>
        <v>0</v>
      </c>
      <c r="X62" s="137">
        <f t="shared" si="42"/>
        <v>0</v>
      </c>
      <c r="Y62" s="137">
        <f t="shared" si="42"/>
        <v>0</v>
      </c>
      <c r="Z62" s="137">
        <f t="shared" si="42"/>
        <v>33284.589999999997</v>
      </c>
      <c r="AA62" s="137">
        <f t="shared" si="42"/>
        <v>0</v>
      </c>
      <c r="AB62" s="137">
        <f t="shared" si="42"/>
        <v>0</v>
      </c>
      <c r="AC62" s="137">
        <f t="shared" si="42"/>
        <v>124566.14</v>
      </c>
      <c r="AD62" s="137">
        <f t="shared" si="42"/>
        <v>0</v>
      </c>
      <c r="AE62" s="137">
        <f t="shared" si="42"/>
        <v>2227</v>
      </c>
      <c r="AF62" s="137">
        <f t="shared" si="42"/>
        <v>159150.85999999999</v>
      </c>
      <c r="AG62" s="137">
        <f t="shared" ref="AG62:AM62" si="43">SUM(AG63+AG65+AG67)</f>
        <v>0</v>
      </c>
      <c r="AH62" s="137">
        <f t="shared" si="43"/>
        <v>22266</v>
      </c>
      <c r="AI62" s="137">
        <f t="shared" si="43"/>
        <v>201188.58</v>
      </c>
      <c r="AJ62" s="137">
        <f t="shared" si="43"/>
        <v>0</v>
      </c>
      <c r="AK62" s="137">
        <f t="shared" si="43"/>
        <v>542683.17000000004</v>
      </c>
      <c r="AL62" s="137">
        <f t="shared" si="43"/>
        <v>1773811.3</v>
      </c>
      <c r="AM62" s="137">
        <f t="shared" si="43"/>
        <v>2117824.34</v>
      </c>
      <c r="AN62" s="137">
        <f>SUM(AN63+AN65+AN67)</f>
        <v>2172246.3199999998</v>
      </c>
      <c r="AO62" s="137">
        <f>SUM(AO63+AO65+AO67)</f>
        <v>299372.57</v>
      </c>
      <c r="AP62" s="137">
        <f>SUM(AP63+AP65+AP67)</f>
        <v>0</v>
      </c>
      <c r="AQ62" s="137">
        <f>SUM(AQ63+AQ65+AQ67)</f>
        <v>0</v>
      </c>
      <c r="AR62" s="137">
        <f>SUM(AR63+AR65+AR67)</f>
        <v>0</v>
      </c>
      <c r="AS62" s="137">
        <f>U62+V62+W62+AK62+AL62+AM62+AN62+AO62+AP62+AQ62+AR62</f>
        <v>6905937.7000000011</v>
      </c>
      <c r="AT62" s="137">
        <f>SUM(AT63:AT67)</f>
        <v>1899309.16</v>
      </c>
      <c r="AU62" s="139">
        <f>AS62-AT62</f>
        <v>5006628.540000001</v>
      </c>
      <c r="AV62" s="146">
        <f>IFERROR(VLOOKUP(J62,Maksājumu_pieprasījumu_iesn.!G:BL,57,0),0)</f>
        <v>0</v>
      </c>
      <c r="AW62" s="139">
        <f t="shared" si="23"/>
        <v>-5006628.540000001</v>
      </c>
      <c r="AX62" s="140">
        <f>S62-T62-AU62</f>
        <v>1901613.459999999</v>
      </c>
      <c r="AY62" s="140">
        <f>AY68</f>
        <v>2304.5</v>
      </c>
      <c r="AZ62" s="140"/>
      <c r="BA62" s="138" t="s">
        <v>1079</v>
      </c>
      <c r="BB62" s="140"/>
      <c r="BC62" s="140">
        <f>X62+AK62+AL62/2</f>
        <v>1429588.82</v>
      </c>
      <c r="BD62" s="140"/>
      <c r="BE62" s="140">
        <f>BC62/0.85</f>
        <v>1681869.2000000002</v>
      </c>
      <c r="BF62" s="137"/>
      <c r="BG62" s="137"/>
      <c r="BH62" s="138">
        <v>281309.15999999997</v>
      </c>
      <c r="BI62" s="138">
        <v>482521.51</v>
      </c>
      <c r="BJ62" s="138"/>
      <c r="BK62" s="138"/>
      <c r="BL62" s="138">
        <v>1152872</v>
      </c>
      <c r="BM62" s="138"/>
      <c r="BN62" s="138"/>
    </row>
    <row r="63" spans="1:66" ht="25.5" hidden="1" customHeight="1" x14ac:dyDescent="0.2">
      <c r="A63" s="142" t="s">
        <v>1019</v>
      </c>
      <c r="B63" s="18" t="s">
        <v>19</v>
      </c>
      <c r="C63" s="18" t="s">
        <v>20</v>
      </c>
      <c r="D63" s="19" t="s">
        <v>564</v>
      </c>
      <c r="E63" s="18" t="s">
        <v>3</v>
      </c>
      <c r="F63" s="18" t="s">
        <v>11</v>
      </c>
      <c r="G63" s="18" t="s">
        <v>5</v>
      </c>
      <c r="H63" s="18" t="s">
        <v>3</v>
      </c>
      <c r="I63" s="18"/>
      <c r="J63" s="18" t="s">
        <v>657</v>
      </c>
      <c r="K63" s="19" t="s">
        <v>658</v>
      </c>
      <c r="L63" s="19" t="s">
        <v>1080</v>
      </c>
      <c r="M63" s="19" t="s">
        <v>1080</v>
      </c>
      <c r="N63" s="19" t="s">
        <v>659</v>
      </c>
      <c r="O63" s="143"/>
      <c r="P63" s="143"/>
      <c r="Q63" s="143"/>
      <c r="R63" s="143">
        <v>42737</v>
      </c>
      <c r="S63" s="144">
        <v>2004000</v>
      </c>
      <c r="T63" s="144"/>
      <c r="U63" s="145">
        <v>0</v>
      </c>
      <c r="V63" s="145">
        <v>0</v>
      </c>
      <c r="W63" s="145">
        <v>0</v>
      </c>
      <c r="X63" s="145">
        <f t="shared" ref="X63:X68" si="44">W63+V63+U63</f>
        <v>0</v>
      </c>
      <c r="Y63" s="145">
        <v>0</v>
      </c>
      <c r="Z63" s="145">
        <v>0</v>
      </c>
      <c r="AA63" s="145">
        <v>0</v>
      </c>
      <c r="AB63" s="153">
        <v>0</v>
      </c>
      <c r="AC63" s="153">
        <v>4453</v>
      </c>
      <c r="AD63" s="166">
        <v>0</v>
      </c>
      <c r="AE63" s="166">
        <v>2227</v>
      </c>
      <c r="AF63" s="145">
        <v>0</v>
      </c>
      <c r="AG63" s="145">
        <v>0</v>
      </c>
      <c r="AH63" s="145">
        <v>22266</v>
      </c>
      <c r="AI63" s="145">
        <v>0</v>
      </c>
      <c r="AJ63" s="145">
        <v>0</v>
      </c>
      <c r="AK63" s="145">
        <f>SUM(Y63:AJ63)</f>
        <v>28946</v>
      </c>
      <c r="AL63" s="145">
        <v>567783</v>
      </c>
      <c r="AM63" s="145">
        <v>653136</v>
      </c>
      <c r="AN63" s="145">
        <v>553681.19999999995</v>
      </c>
      <c r="AO63" s="145">
        <v>200454</v>
      </c>
      <c r="AP63" s="145">
        <v>0</v>
      </c>
      <c r="AQ63" s="145">
        <v>0</v>
      </c>
      <c r="AR63" s="145">
        <v>0</v>
      </c>
      <c r="AS63" s="144">
        <f>U63+V63+W63+AK63+AL63+AM63+AN63+AO63+AP63+AQ63+AR63</f>
        <v>2004000.2</v>
      </c>
      <c r="AT63" s="169"/>
      <c r="AU63" s="146">
        <f t="shared" si="20"/>
        <v>2004000.2</v>
      </c>
      <c r="AV63" s="146">
        <f>IFERROR(VLOOKUP(J63,Maksājumu_pieprasījumu_iesn.!G:BL,57,0),0)</f>
        <v>0</v>
      </c>
      <c r="AW63" s="139">
        <f t="shared" si="23"/>
        <v>-2004000.2</v>
      </c>
      <c r="AX63" s="170"/>
      <c r="AY63" s="171"/>
      <c r="AZ63" s="171"/>
      <c r="BA63" s="165"/>
      <c r="BB63" s="144"/>
      <c r="BC63" s="144"/>
      <c r="BD63" s="144"/>
      <c r="BE63" s="144"/>
      <c r="BF63" s="144"/>
      <c r="BG63" s="144"/>
      <c r="BH63" s="149"/>
      <c r="BI63" s="149"/>
      <c r="BJ63" s="149"/>
      <c r="BK63" s="149"/>
      <c r="BL63" s="149"/>
      <c r="BM63" s="149"/>
      <c r="BN63" s="149"/>
    </row>
    <row r="64" spans="1:66" ht="25.5" hidden="1" customHeight="1" x14ac:dyDescent="0.2">
      <c r="A64" s="142" t="s">
        <v>1019</v>
      </c>
      <c r="B64" s="18" t="s">
        <v>19</v>
      </c>
      <c r="C64" s="18" t="s">
        <v>20</v>
      </c>
      <c r="D64" s="19" t="s">
        <v>564</v>
      </c>
      <c r="E64" s="18" t="s">
        <v>3</v>
      </c>
      <c r="F64" s="18" t="s">
        <v>11</v>
      </c>
      <c r="G64" s="18" t="s">
        <v>5</v>
      </c>
      <c r="H64" s="18" t="s">
        <v>3</v>
      </c>
      <c r="I64" s="18"/>
      <c r="J64" s="18" t="s">
        <v>657</v>
      </c>
      <c r="K64" s="19" t="s">
        <v>658</v>
      </c>
      <c r="L64" s="19" t="s">
        <v>1080</v>
      </c>
      <c r="M64" s="19" t="s">
        <v>1080</v>
      </c>
      <c r="N64" s="19" t="s">
        <v>659</v>
      </c>
      <c r="O64" s="143" t="s">
        <v>880</v>
      </c>
      <c r="P64" s="143"/>
      <c r="Q64" s="143"/>
      <c r="R64" s="143"/>
      <c r="S64" s="144"/>
      <c r="T64" s="144"/>
      <c r="U64" s="145"/>
      <c r="V64" s="145"/>
      <c r="W64" s="145"/>
      <c r="X64" s="145">
        <f t="shared" si="44"/>
        <v>0</v>
      </c>
      <c r="Y64" s="145">
        <v>18000</v>
      </c>
      <c r="Z64" s="145"/>
      <c r="AA64" s="145"/>
      <c r="AB64" s="153"/>
      <c r="AC64" s="153"/>
      <c r="AD64" s="153"/>
      <c r="AE64" s="153"/>
      <c r="AF64" s="420">
        <v>100000</v>
      </c>
      <c r="AG64" s="145"/>
      <c r="AH64" s="145"/>
      <c r="AI64" s="145"/>
      <c r="AJ64" s="145"/>
      <c r="AK64" s="145">
        <f>SUM(Y64:AJ64)</f>
        <v>118000</v>
      </c>
      <c r="AL64" s="145">
        <v>600000</v>
      </c>
      <c r="AM64" s="145">
        <v>600000</v>
      </c>
      <c r="AN64" s="145">
        <v>300000</v>
      </c>
      <c r="AO64" s="145"/>
      <c r="AP64" s="145"/>
      <c r="AQ64" s="145"/>
      <c r="AR64" s="145"/>
      <c r="AS64" s="85"/>
      <c r="AT64" s="144">
        <f>U64+V64+W64+AK64+AL64+AM64+AN64+AO64+AP64+AQ64+AR64</f>
        <v>1618000</v>
      </c>
      <c r="AU64" s="146"/>
      <c r="AV64" s="146">
        <f>IFERROR(VLOOKUP(J64,Maksājumu_pieprasījumu_iesn.!G:BL,57,0),0)</f>
        <v>0</v>
      </c>
      <c r="AW64" s="139">
        <f t="shared" si="23"/>
        <v>0</v>
      </c>
      <c r="AX64" s="170"/>
      <c r="AY64" s="171"/>
      <c r="AZ64" s="171"/>
      <c r="BA64" s="165"/>
      <c r="BB64" s="144"/>
      <c r="BC64" s="144"/>
      <c r="BD64" s="144"/>
      <c r="BE64" s="144"/>
      <c r="BF64" s="144"/>
      <c r="BG64" s="144"/>
      <c r="BH64" s="149"/>
      <c r="BI64" s="149"/>
      <c r="BJ64" s="149"/>
      <c r="BK64" s="149"/>
      <c r="BL64" s="149"/>
      <c r="BM64" s="149"/>
      <c r="BN64" s="149"/>
    </row>
    <row r="65" spans="1:66" ht="38.25" hidden="1" customHeight="1" x14ac:dyDescent="0.2">
      <c r="A65" s="142" t="s">
        <v>1019</v>
      </c>
      <c r="B65" s="18" t="s">
        <v>19</v>
      </c>
      <c r="C65" s="18" t="s">
        <v>20</v>
      </c>
      <c r="D65" s="19" t="s">
        <v>564</v>
      </c>
      <c r="E65" s="18" t="s">
        <v>3</v>
      </c>
      <c r="F65" s="18" t="s">
        <v>11</v>
      </c>
      <c r="G65" s="18" t="s">
        <v>5</v>
      </c>
      <c r="H65" s="18" t="s">
        <v>3</v>
      </c>
      <c r="I65" s="18"/>
      <c r="J65" s="18" t="s">
        <v>21</v>
      </c>
      <c r="K65" s="19" t="s">
        <v>22</v>
      </c>
      <c r="L65" s="19" t="s">
        <v>1080</v>
      </c>
      <c r="M65" s="19" t="s">
        <v>1080</v>
      </c>
      <c r="N65" s="19" t="s">
        <v>23</v>
      </c>
      <c r="O65" s="143"/>
      <c r="P65" s="143"/>
      <c r="Q65" s="143"/>
      <c r="R65" s="143">
        <v>42709</v>
      </c>
      <c r="S65" s="144">
        <v>2001937.5</v>
      </c>
      <c r="T65" s="144"/>
      <c r="U65" s="145">
        <v>0</v>
      </c>
      <c r="V65" s="145">
        <v>0</v>
      </c>
      <c r="W65" s="145">
        <v>0</v>
      </c>
      <c r="X65" s="145">
        <f t="shared" si="44"/>
        <v>0</v>
      </c>
      <c r="Y65" s="145">
        <v>0</v>
      </c>
      <c r="Z65" s="145">
        <v>18540.439999999999</v>
      </c>
      <c r="AA65" s="145">
        <v>0</v>
      </c>
      <c r="AB65" s="145">
        <v>0</v>
      </c>
      <c r="AC65" s="145">
        <v>111113.14</v>
      </c>
      <c r="AD65" s="145">
        <v>0</v>
      </c>
      <c r="AE65" s="145">
        <v>0</v>
      </c>
      <c r="AF65" s="420">
        <v>148150.85999999999</v>
      </c>
      <c r="AG65" s="145">
        <v>0</v>
      </c>
      <c r="AH65" s="145">
        <v>0</v>
      </c>
      <c r="AI65" s="145">
        <v>185188.58</v>
      </c>
      <c r="AJ65" s="145">
        <v>0</v>
      </c>
      <c r="AK65" s="145">
        <f>SUM(Y65:AJ65)</f>
        <v>462993.02</v>
      </c>
      <c r="AL65" s="145">
        <v>480078.3</v>
      </c>
      <c r="AM65" s="145">
        <v>515559.2</v>
      </c>
      <c r="AN65" s="145">
        <v>466315.12</v>
      </c>
      <c r="AO65" s="145">
        <v>76991.86</v>
      </c>
      <c r="AP65" s="145">
        <v>0</v>
      </c>
      <c r="AQ65" s="145">
        <v>0</v>
      </c>
      <c r="AR65" s="145">
        <v>0</v>
      </c>
      <c r="AS65" s="144">
        <f>U65+V65+W65+AK65+AL65+AM65+AN65+AO65+AP65+AQ65+AR65</f>
        <v>2001937.5000000002</v>
      </c>
      <c r="AT65" s="172">
        <v>0</v>
      </c>
      <c r="AU65" s="146">
        <f>AS65-AT65</f>
        <v>2001937.5000000002</v>
      </c>
      <c r="AV65" s="146">
        <f>IFERROR(VLOOKUP(J65,Maksājumu_pieprasījumu_iesn.!G:BL,57,0),0)</f>
        <v>0</v>
      </c>
      <c r="AW65" s="139">
        <f t="shared" si="23"/>
        <v>-2001937.5000000002</v>
      </c>
      <c r="AX65" s="146"/>
      <c r="AY65" s="146"/>
      <c r="AZ65" s="146"/>
      <c r="BA65" s="165"/>
      <c r="BB65" s="144"/>
      <c r="BC65" s="144"/>
      <c r="BD65" s="144"/>
      <c r="BE65" s="144"/>
      <c r="BF65" s="144"/>
      <c r="BG65" s="144"/>
      <c r="BH65" s="149"/>
      <c r="BI65" s="149"/>
      <c r="BJ65" s="149"/>
      <c r="BK65" s="149"/>
      <c r="BL65" s="149"/>
      <c r="BM65" s="149"/>
      <c r="BN65" s="149"/>
    </row>
    <row r="66" spans="1:66" ht="38.25" hidden="1" customHeight="1" x14ac:dyDescent="0.2">
      <c r="A66" s="142" t="s">
        <v>1019</v>
      </c>
      <c r="B66" s="18" t="s">
        <v>19</v>
      </c>
      <c r="C66" s="18" t="s">
        <v>20</v>
      </c>
      <c r="D66" s="19" t="s">
        <v>564</v>
      </c>
      <c r="E66" s="18" t="s">
        <v>3</v>
      </c>
      <c r="F66" s="18" t="s">
        <v>11</v>
      </c>
      <c r="G66" s="18" t="s">
        <v>5</v>
      </c>
      <c r="H66" s="18" t="s">
        <v>3</v>
      </c>
      <c r="I66" s="18"/>
      <c r="J66" s="18" t="s">
        <v>21</v>
      </c>
      <c r="K66" s="19" t="s">
        <v>22</v>
      </c>
      <c r="L66" s="19" t="s">
        <v>1080</v>
      </c>
      <c r="M66" s="19" t="s">
        <v>1080</v>
      </c>
      <c r="N66" s="19" t="s">
        <v>23</v>
      </c>
      <c r="O66" s="143" t="s">
        <v>880</v>
      </c>
      <c r="P66" s="143"/>
      <c r="Q66" s="143"/>
      <c r="R66" s="143"/>
      <c r="S66" s="144"/>
      <c r="T66" s="144"/>
      <c r="U66" s="145">
        <v>0</v>
      </c>
      <c r="V66" s="145">
        <v>0</v>
      </c>
      <c r="W66" s="145">
        <v>281309.15999999997</v>
      </c>
      <c r="X66" s="145">
        <f t="shared" si="44"/>
        <v>281309.15999999997</v>
      </c>
      <c r="Y66" s="145"/>
      <c r="Z66" s="145"/>
      <c r="AA66" s="145"/>
      <c r="AB66" s="145"/>
      <c r="AC66" s="145"/>
      <c r="AD66" s="145"/>
      <c r="AE66" s="145"/>
      <c r="AF66" s="145"/>
      <c r="AG66" s="145"/>
      <c r="AH66" s="145"/>
      <c r="AI66" s="145"/>
      <c r="AJ66" s="145"/>
      <c r="AK66" s="145"/>
      <c r="AL66" s="145"/>
      <c r="AM66" s="145"/>
      <c r="AN66" s="145"/>
      <c r="AO66" s="145"/>
      <c r="AP66" s="145"/>
      <c r="AQ66" s="145"/>
      <c r="AR66" s="145"/>
      <c r="AS66" s="144"/>
      <c r="AT66" s="172">
        <v>281309.15999999997</v>
      </c>
      <c r="AU66" s="146"/>
      <c r="AV66" s="146">
        <f>IFERROR(VLOOKUP(J66,Maksājumu_pieprasījumu_iesn.!G:BL,57,0),0)</f>
        <v>0</v>
      </c>
      <c r="AW66" s="139">
        <f t="shared" si="23"/>
        <v>0</v>
      </c>
      <c r="AX66" s="146"/>
      <c r="AY66" s="146"/>
      <c r="AZ66" s="146"/>
      <c r="BA66" s="165"/>
      <c r="BB66" s="144"/>
      <c r="BC66" s="144"/>
      <c r="BD66" s="144"/>
      <c r="BE66" s="144"/>
      <c r="BF66" s="144"/>
      <c r="BG66" s="144"/>
      <c r="BH66" s="149"/>
      <c r="BI66" s="149"/>
      <c r="BJ66" s="149"/>
      <c r="BK66" s="149"/>
      <c r="BL66" s="149"/>
      <c r="BM66" s="149"/>
      <c r="BN66" s="149"/>
    </row>
    <row r="67" spans="1:66" ht="25.5" hidden="1" customHeight="1" x14ac:dyDescent="0.2">
      <c r="A67" s="142" t="s">
        <v>1019</v>
      </c>
      <c r="B67" s="18" t="s">
        <v>19</v>
      </c>
      <c r="C67" s="18" t="s">
        <v>20</v>
      </c>
      <c r="D67" s="19" t="s">
        <v>564</v>
      </c>
      <c r="E67" s="18" t="s">
        <v>3</v>
      </c>
      <c r="F67" s="18" t="s">
        <v>11</v>
      </c>
      <c r="G67" s="18" t="s">
        <v>5</v>
      </c>
      <c r="H67" s="18" t="s">
        <v>3</v>
      </c>
      <c r="I67" s="18"/>
      <c r="J67" s="18" t="s">
        <v>24</v>
      </c>
      <c r="K67" s="19" t="s">
        <v>25</v>
      </c>
      <c r="L67" s="19" t="s">
        <v>891</v>
      </c>
      <c r="M67" s="19" t="s">
        <v>11</v>
      </c>
      <c r="N67" s="19" t="s">
        <v>26</v>
      </c>
      <c r="O67" s="143"/>
      <c r="P67" s="143"/>
      <c r="Q67" s="143"/>
      <c r="R67" s="143">
        <v>42723</v>
      </c>
      <c r="S67" s="144">
        <v>2900000</v>
      </c>
      <c r="T67" s="144"/>
      <c r="U67" s="145">
        <v>0</v>
      </c>
      <c r="V67" s="145">
        <v>0</v>
      </c>
      <c r="W67" s="145">
        <v>0</v>
      </c>
      <c r="X67" s="145">
        <f t="shared" si="44"/>
        <v>0</v>
      </c>
      <c r="Y67" s="145">
        <v>0</v>
      </c>
      <c r="Z67" s="145">
        <v>14744.15</v>
      </c>
      <c r="AA67" s="145">
        <v>0</v>
      </c>
      <c r="AB67" s="145">
        <v>0</v>
      </c>
      <c r="AC67" s="145">
        <v>9000</v>
      </c>
      <c r="AD67" s="145">
        <v>0</v>
      </c>
      <c r="AE67" s="145">
        <v>0</v>
      </c>
      <c r="AF67" s="420">
        <v>11000</v>
      </c>
      <c r="AG67" s="145">
        <v>0</v>
      </c>
      <c r="AH67" s="145">
        <v>0</v>
      </c>
      <c r="AI67" s="145">
        <v>16000</v>
      </c>
      <c r="AJ67" s="145">
        <v>0</v>
      </c>
      <c r="AK67" s="145">
        <f>SUM(Y67:AJ67)</f>
        <v>50744.15</v>
      </c>
      <c r="AL67" s="145">
        <v>725950</v>
      </c>
      <c r="AM67" s="145">
        <v>949129.14</v>
      </c>
      <c r="AN67" s="145">
        <v>1152250</v>
      </c>
      <c r="AO67" s="145">
        <v>21926.71</v>
      </c>
      <c r="AP67" s="145">
        <v>0</v>
      </c>
      <c r="AQ67" s="145">
        <v>0</v>
      </c>
      <c r="AR67" s="145">
        <v>0</v>
      </c>
      <c r="AS67" s="144">
        <f>U67+V67+W67+AK67+AL67+AM67+AN67+AO67+AP67+AQ67+AR67</f>
        <v>2900000</v>
      </c>
      <c r="AT67" s="144"/>
      <c r="AU67" s="146">
        <f>AS67-AT67</f>
        <v>2900000</v>
      </c>
      <c r="AV67" s="146">
        <f>IFERROR(VLOOKUP(J67,Maksājumu_pieprasījumu_iesn.!G:BL,57,0),0)</f>
        <v>0</v>
      </c>
      <c r="AW67" s="139">
        <f t="shared" si="23"/>
        <v>-2900000</v>
      </c>
      <c r="AX67" s="147"/>
      <c r="AY67" s="147"/>
      <c r="AZ67" s="147"/>
      <c r="BA67" s="165"/>
      <c r="BB67" s="144"/>
      <c r="BC67" s="144"/>
      <c r="BD67" s="144"/>
      <c r="BE67" s="144"/>
      <c r="BF67" s="144"/>
      <c r="BG67" s="144"/>
      <c r="BH67" s="149"/>
      <c r="BI67" s="149"/>
      <c r="BJ67" s="149"/>
      <c r="BK67" s="149"/>
      <c r="BL67" s="149"/>
      <c r="BM67" s="149"/>
      <c r="BN67" s="149"/>
    </row>
    <row r="68" spans="1:66" ht="25.5" hidden="1" customHeight="1" x14ac:dyDescent="0.2">
      <c r="A68" s="173" t="s">
        <v>1019</v>
      </c>
      <c r="B68" s="132" t="s">
        <v>19</v>
      </c>
      <c r="C68" s="132" t="s">
        <v>1023</v>
      </c>
      <c r="D68" s="133" t="s">
        <v>1078</v>
      </c>
      <c r="E68" s="132"/>
      <c r="F68" s="132" t="s">
        <v>11</v>
      </c>
      <c r="G68" s="132" t="s">
        <v>5</v>
      </c>
      <c r="H68" s="132"/>
      <c r="I68" s="132"/>
      <c r="J68" s="132" t="s">
        <v>1081</v>
      </c>
      <c r="K68" s="19"/>
      <c r="L68" s="19"/>
      <c r="M68" s="19"/>
      <c r="N68" s="19"/>
      <c r="O68" s="143"/>
      <c r="P68" s="143"/>
      <c r="Q68" s="143"/>
      <c r="R68" s="143"/>
      <c r="S68" s="144">
        <v>2304.5</v>
      </c>
      <c r="T68" s="144"/>
      <c r="U68" s="145"/>
      <c r="V68" s="145"/>
      <c r="W68" s="145"/>
      <c r="X68" s="145">
        <f t="shared" si="44"/>
        <v>0</v>
      </c>
      <c r="Y68" s="145"/>
      <c r="Z68" s="145"/>
      <c r="AA68" s="145"/>
      <c r="AB68" s="145"/>
      <c r="AC68" s="145"/>
      <c r="AD68" s="145"/>
      <c r="AE68" s="145"/>
      <c r="AF68" s="145"/>
      <c r="AG68" s="145"/>
      <c r="AH68" s="145"/>
      <c r="AI68" s="145"/>
      <c r="AJ68" s="145"/>
      <c r="AK68" s="145"/>
      <c r="AL68" s="145"/>
      <c r="AM68" s="145"/>
      <c r="AN68" s="145"/>
      <c r="AO68" s="145"/>
      <c r="AP68" s="145"/>
      <c r="AQ68" s="145"/>
      <c r="AR68" s="145"/>
      <c r="AS68" s="144"/>
      <c r="AT68" s="144"/>
      <c r="AU68" s="146">
        <f t="shared" si="20"/>
        <v>0</v>
      </c>
      <c r="AV68" s="146">
        <f>IFERROR(VLOOKUP(J68,Maksājumu_pieprasījumu_iesn.!G:BL,57,0),0)</f>
        <v>0</v>
      </c>
      <c r="AW68" s="139">
        <f t="shared" si="23"/>
        <v>0</v>
      </c>
      <c r="AX68" s="147"/>
      <c r="AY68" s="147">
        <v>2304.5</v>
      </c>
      <c r="AZ68" s="147"/>
      <c r="BA68" s="138" t="s">
        <v>1079</v>
      </c>
      <c r="BB68" s="144"/>
      <c r="BC68" s="144"/>
      <c r="BD68" s="144"/>
      <c r="BE68" s="144"/>
      <c r="BF68" s="144"/>
      <c r="BG68" s="144"/>
      <c r="BH68" s="149"/>
      <c r="BI68" s="149"/>
      <c r="BJ68" s="149"/>
      <c r="BK68" s="149"/>
      <c r="BL68" s="149"/>
      <c r="BM68" s="149"/>
      <c r="BN68" s="149"/>
    </row>
    <row r="69" spans="1:66" s="180" customFormat="1" ht="38.25" hidden="1" customHeight="1" x14ac:dyDescent="0.2">
      <c r="A69" s="174" t="s">
        <v>1082</v>
      </c>
      <c r="B69" s="175" t="s">
        <v>1020</v>
      </c>
      <c r="C69" s="176" t="s">
        <v>5</v>
      </c>
      <c r="D69" s="122" t="s">
        <v>1083</v>
      </c>
      <c r="E69" s="176"/>
      <c r="F69" s="176"/>
      <c r="G69" s="176" t="s">
        <v>5</v>
      </c>
      <c r="H69" s="176"/>
      <c r="I69" s="176"/>
      <c r="J69" s="177"/>
      <c r="K69" s="178"/>
      <c r="L69" s="178"/>
      <c r="M69" s="178"/>
      <c r="N69" s="178"/>
      <c r="O69" s="177"/>
      <c r="P69" s="177"/>
      <c r="Q69" s="177"/>
      <c r="R69" s="177"/>
      <c r="S69" s="179">
        <f t="shared" ref="S69:AF69" si="45">S70+S75</f>
        <v>172783829</v>
      </c>
      <c r="T69" s="179">
        <f t="shared" si="45"/>
        <v>10538992.416747062</v>
      </c>
      <c r="U69" s="179">
        <f t="shared" si="45"/>
        <v>0</v>
      </c>
      <c r="V69" s="179">
        <f t="shared" si="45"/>
        <v>0</v>
      </c>
      <c r="W69" s="179">
        <f t="shared" si="45"/>
        <v>19992.78</v>
      </c>
      <c r="X69" s="179">
        <f t="shared" si="45"/>
        <v>19992.78</v>
      </c>
      <c r="Y69" s="179">
        <f t="shared" si="45"/>
        <v>121144.44</v>
      </c>
      <c r="Z69" s="179">
        <f t="shared" si="45"/>
        <v>20151.75</v>
      </c>
      <c r="AA69" s="179">
        <f t="shared" si="45"/>
        <v>0</v>
      </c>
      <c r="AB69" s="179">
        <f t="shared" si="45"/>
        <v>178129.37</v>
      </c>
      <c r="AC69" s="179">
        <f t="shared" si="45"/>
        <v>9616.9</v>
      </c>
      <c r="AD69" s="179">
        <f t="shared" si="45"/>
        <v>467337.08999999997</v>
      </c>
      <c r="AE69" s="179">
        <f t="shared" si="45"/>
        <v>307149.44999999995</v>
      </c>
      <c r="AF69" s="179">
        <f t="shared" si="45"/>
        <v>129001.09999999999</v>
      </c>
      <c r="AG69" s="179">
        <f t="shared" ref="AG69:AY69" si="46">AG70+AG75</f>
        <v>184655.51</v>
      </c>
      <c r="AH69" s="179">
        <f t="shared" si="46"/>
        <v>825493.41</v>
      </c>
      <c r="AI69" s="179">
        <f t="shared" si="46"/>
        <v>335386.3</v>
      </c>
      <c r="AJ69" s="179">
        <f t="shared" si="46"/>
        <v>67559.824280000001</v>
      </c>
      <c r="AK69" s="179">
        <f t="shared" si="46"/>
        <v>2645625.1442799997</v>
      </c>
      <c r="AL69" s="179">
        <f t="shared" si="46"/>
        <v>56698502.953782737</v>
      </c>
      <c r="AM69" s="179">
        <f t="shared" si="46"/>
        <v>44325220.218981974</v>
      </c>
      <c r="AN69" s="179">
        <f t="shared" si="46"/>
        <v>22008285.9053711</v>
      </c>
      <c r="AO69" s="179">
        <f t="shared" si="46"/>
        <v>6394274.1300000008</v>
      </c>
      <c r="AP69" s="179">
        <f t="shared" si="46"/>
        <v>1000000</v>
      </c>
      <c r="AQ69" s="179">
        <f t="shared" si="46"/>
        <v>0</v>
      </c>
      <c r="AR69" s="179">
        <f t="shared" si="46"/>
        <v>0</v>
      </c>
      <c r="AS69" s="179">
        <f t="shared" si="46"/>
        <v>133091901.13241583</v>
      </c>
      <c r="AT69" s="179">
        <f t="shared" si="46"/>
        <v>0</v>
      </c>
      <c r="AU69" s="179">
        <f t="shared" si="46"/>
        <v>133091901.13241583</v>
      </c>
      <c r="AV69" s="146">
        <f>IFERROR(VLOOKUP(J69,Maksājumu_pieprasījumu_iesn.!G:BL,57,0),0)</f>
        <v>0</v>
      </c>
      <c r="AW69" s="139">
        <f t="shared" si="23"/>
        <v>-133091901.13241583</v>
      </c>
      <c r="AX69" s="179">
        <f t="shared" si="46"/>
        <v>29152935.450837106</v>
      </c>
      <c r="AY69" s="179">
        <f t="shared" si="46"/>
        <v>29152935.450837106</v>
      </c>
      <c r="AZ69" s="179"/>
      <c r="BA69" s="179"/>
      <c r="BB69" s="179">
        <v>23975988</v>
      </c>
      <c r="BC69" s="179">
        <f t="shared" ref="BC69:BN69" si="47">BC70+BC75</f>
        <v>31014869.401171371</v>
      </c>
      <c r="BD69" s="179">
        <f t="shared" si="47"/>
        <v>26672787.685007375</v>
      </c>
      <c r="BE69" s="179">
        <f t="shared" si="47"/>
        <v>31379750.217655737</v>
      </c>
      <c r="BF69" s="179">
        <f t="shared" si="47"/>
        <v>0</v>
      </c>
      <c r="BG69" s="179">
        <f t="shared" si="47"/>
        <v>0</v>
      </c>
      <c r="BH69" s="179">
        <f t="shared" si="47"/>
        <v>19992.78</v>
      </c>
      <c r="BI69" s="179">
        <f t="shared" si="47"/>
        <v>7929804.0242125019</v>
      </c>
      <c r="BJ69" s="179">
        <f t="shared" si="47"/>
        <v>2275237.6240807995</v>
      </c>
      <c r="BK69" s="179">
        <f t="shared" si="47"/>
        <v>-5654566.4001317024</v>
      </c>
      <c r="BL69" s="179">
        <f t="shared" si="47"/>
        <v>35252043.065050289</v>
      </c>
      <c r="BM69" s="179">
        <f t="shared" si="47"/>
        <v>48760712.540253155</v>
      </c>
      <c r="BN69" s="179">
        <f t="shared" si="47"/>
        <v>13508669.475202868</v>
      </c>
    </row>
    <row r="70" spans="1:66" s="180" customFormat="1" hidden="1" x14ac:dyDescent="0.2">
      <c r="A70" s="181" t="s">
        <v>1082</v>
      </c>
      <c r="B70" s="181" t="s">
        <v>27</v>
      </c>
      <c r="C70" s="181" t="s">
        <v>1023</v>
      </c>
      <c r="D70" s="128" t="s">
        <v>565</v>
      </c>
      <c r="E70" s="181"/>
      <c r="F70" s="181"/>
      <c r="G70" s="181" t="s">
        <v>5</v>
      </c>
      <c r="H70" s="181"/>
      <c r="I70" s="181"/>
      <c r="J70" s="181"/>
      <c r="K70" s="182"/>
      <c r="L70" s="182"/>
      <c r="M70" s="182"/>
      <c r="N70" s="182"/>
      <c r="O70" s="181"/>
      <c r="P70" s="181"/>
      <c r="Q70" s="181"/>
      <c r="R70" s="181"/>
      <c r="S70" s="164">
        <f>S71+S73</f>
        <v>43974115</v>
      </c>
      <c r="T70" s="164">
        <f>T71+T73</f>
        <v>2682212</v>
      </c>
      <c r="U70" s="164">
        <f>U71+U73</f>
        <v>0</v>
      </c>
      <c r="V70" s="164">
        <f>V71+V73</f>
        <v>0</v>
      </c>
      <c r="W70" s="164">
        <f>W71+W73</f>
        <v>19992.78</v>
      </c>
      <c r="X70" s="129">
        <f>U70+V70+W70</f>
        <v>19992.78</v>
      </c>
      <c r="Y70" s="164">
        <f t="shared" ref="Y70:AF70" si="48">Y71+Y73</f>
        <v>28027.59</v>
      </c>
      <c r="Z70" s="164">
        <f t="shared" si="48"/>
        <v>0</v>
      </c>
      <c r="AA70" s="164">
        <f t="shared" si="48"/>
        <v>0</v>
      </c>
      <c r="AB70" s="164">
        <f t="shared" si="48"/>
        <v>90269.15</v>
      </c>
      <c r="AC70" s="164">
        <f t="shared" si="48"/>
        <v>0</v>
      </c>
      <c r="AD70" s="164">
        <f t="shared" si="48"/>
        <v>0</v>
      </c>
      <c r="AE70" s="164">
        <f t="shared" si="48"/>
        <v>76669.149999999994</v>
      </c>
      <c r="AF70" s="164">
        <f t="shared" si="48"/>
        <v>0</v>
      </c>
      <c r="AG70" s="164">
        <f t="shared" ref="AG70:AT70" si="49">AG71+AG73</f>
        <v>0</v>
      </c>
      <c r="AH70" s="164">
        <f t="shared" si="49"/>
        <v>182919.15</v>
      </c>
      <c r="AI70" s="164">
        <f t="shared" si="49"/>
        <v>0</v>
      </c>
      <c r="AJ70" s="164">
        <f t="shared" si="49"/>
        <v>0</v>
      </c>
      <c r="AK70" s="164">
        <f t="shared" si="49"/>
        <v>377885.04</v>
      </c>
      <c r="AL70" s="164">
        <f t="shared" si="49"/>
        <v>9056442.3000000007</v>
      </c>
      <c r="AM70" s="164">
        <f t="shared" si="49"/>
        <v>14390143</v>
      </c>
      <c r="AN70" s="164">
        <f t="shared" si="49"/>
        <v>12108066.4</v>
      </c>
      <c r="AO70" s="164">
        <f t="shared" si="49"/>
        <v>5339373.4800000004</v>
      </c>
      <c r="AP70" s="164">
        <f t="shared" si="49"/>
        <v>0</v>
      </c>
      <c r="AQ70" s="164">
        <f t="shared" si="49"/>
        <v>0</v>
      </c>
      <c r="AR70" s="164">
        <f t="shared" si="49"/>
        <v>0</v>
      </c>
      <c r="AS70" s="164">
        <f t="shared" si="49"/>
        <v>41291903</v>
      </c>
      <c r="AT70" s="164">
        <f t="shared" si="49"/>
        <v>0</v>
      </c>
      <c r="AU70" s="183">
        <f t="shared" si="20"/>
        <v>41291903</v>
      </c>
      <c r="AV70" s="146">
        <f>IFERROR(VLOOKUP(J70,Maksājumu_pieprasījumu_iesn.!G:BL,57,0),0)</f>
        <v>0</v>
      </c>
      <c r="AW70" s="139">
        <f t="shared" si="23"/>
        <v>-41291903</v>
      </c>
      <c r="AX70" s="164">
        <f>AX71+AX73</f>
        <v>0</v>
      </c>
      <c r="AY70" s="164"/>
      <c r="AZ70" s="164"/>
      <c r="BA70" s="164"/>
      <c r="BB70" s="164">
        <f>BB71+BB73</f>
        <v>0</v>
      </c>
      <c r="BC70" s="164">
        <f>BC71+BC73</f>
        <v>4926098.9700000007</v>
      </c>
      <c r="BD70" s="164">
        <f>BC70*0.86</f>
        <v>4236445.1142000007</v>
      </c>
      <c r="BE70" s="129">
        <f>BD70/0.85</f>
        <v>4984053.0755294124</v>
      </c>
      <c r="BF70" s="164">
        <f>BF71+BF73</f>
        <v>0</v>
      </c>
      <c r="BG70" s="164">
        <f>BG71+BG73</f>
        <v>0</v>
      </c>
      <c r="BH70" s="129">
        <f>BH71+BH73</f>
        <v>19992.78</v>
      </c>
      <c r="BI70" s="129">
        <f>BI71+BI73</f>
        <v>315462</v>
      </c>
      <c r="BJ70" s="129">
        <f>AK70*0.86</f>
        <v>324981.13439999998</v>
      </c>
      <c r="BK70" s="129">
        <f>BJ70-BI70</f>
        <v>9519.1343999999808</v>
      </c>
      <c r="BL70" s="129">
        <f>BL71+BL73</f>
        <v>7815795</v>
      </c>
      <c r="BM70" s="129">
        <f>AL70*0.86</f>
        <v>7788540.3780000005</v>
      </c>
      <c r="BN70" s="129">
        <f>BM70-BL70</f>
        <v>-27254.621999999508</v>
      </c>
    </row>
    <row r="71" spans="1:66" s="91" customFormat="1" ht="12.75" hidden="1" customHeight="1" x14ac:dyDescent="0.2">
      <c r="A71" s="131" t="s">
        <v>1082</v>
      </c>
      <c r="B71" s="132" t="s">
        <v>27</v>
      </c>
      <c r="C71" s="132" t="s">
        <v>28</v>
      </c>
      <c r="D71" s="133" t="s">
        <v>565</v>
      </c>
      <c r="E71" s="22">
        <v>1</v>
      </c>
      <c r="F71" s="22" t="s">
        <v>29</v>
      </c>
      <c r="G71" s="22" t="s">
        <v>5</v>
      </c>
      <c r="H71" s="22" t="s">
        <v>3</v>
      </c>
      <c r="I71" s="22" t="s">
        <v>1022</v>
      </c>
      <c r="J71" s="134" t="s">
        <v>1026</v>
      </c>
      <c r="K71" s="133"/>
      <c r="L71" s="133"/>
      <c r="M71" s="133"/>
      <c r="N71" s="133"/>
      <c r="O71" s="135"/>
      <c r="P71" s="135"/>
      <c r="Q71" s="135"/>
      <c r="R71" s="135"/>
      <c r="S71" s="136">
        <v>39724115</v>
      </c>
      <c r="T71" s="136">
        <v>0</v>
      </c>
      <c r="U71" s="137">
        <f>SUM(U72)</f>
        <v>0</v>
      </c>
      <c r="V71" s="137">
        <f>SUM(V72)</f>
        <v>0</v>
      </c>
      <c r="W71" s="137">
        <f>SUM(W72)</f>
        <v>19992.78</v>
      </c>
      <c r="X71" s="138">
        <f>U71+V71+W71</f>
        <v>19992.78</v>
      </c>
      <c r="Y71" s="137">
        <f t="shared" ref="Y71:AF71" si="50">SUM(Y72)</f>
        <v>28027.59</v>
      </c>
      <c r="Z71" s="137">
        <f t="shared" si="50"/>
        <v>0</v>
      </c>
      <c r="AA71" s="137">
        <f t="shared" si="50"/>
        <v>0</v>
      </c>
      <c r="AB71" s="137">
        <f t="shared" si="50"/>
        <v>90269.15</v>
      </c>
      <c r="AC71" s="137">
        <f t="shared" si="50"/>
        <v>0</v>
      </c>
      <c r="AD71" s="137">
        <f t="shared" si="50"/>
        <v>0</v>
      </c>
      <c r="AE71" s="137">
        <f t="shared" si="50"/>
        <v>76669.149999999994</v>
      </c>
      <c r="AF71" s="137">
        <f t="shared" si="50"/>
        <v>0</v>
      </c>
      <c r="AG71" s="137">
        <f t="shared" ref="AG71:AR71" si="51">SUM(AG72)</f>
        <v>0</v>
      </c>
      <c r="AH71" s="137">
        <f t="shared" si="51"/>
        <v>182919.15</v>
      </c>
      <c r="AI71" s="137">
        <f t="shared" si="51"/>
        <v>0</v>
      </c>
      <c r="AJ71" s="137">
        <f t="shared" si="51"/>
        <v>0</v>
      </c>
      <c r="AK71" s="137">
        <f t="shared" si="51"/>
        <v>377885.04</v>
      </c>
      <c r="AL71" s="137">
        <f t="shared" si="51"/>
        <v>9056442.3000000007</v>
      </c>
      <c r="AM71" s="137">
        <f t="shared" si="51"/>
        <v>14390143</v>
      </c>
      <c r="AN71" s="137">
        <f t="shared" si="51"/>
        <v>11683066.4</v>
      </c>
      <c r="AO71" s="137">
        <f t="shared" si="51"/>
        <v>4196585.4800000004</v>
      </c>
      <c r="AP71" s="137">
        <f t="shared" si="51"/>
        <v>0</v>
      </c>
      <c r="AQ71" s="137">
        <f t="shared" si="51"/>
        <v>0</v>
      </c>
      <c r="AR71" s="137">
        <f t="shared" si="51"/>
        <v>0</v>
      </c>
      <c r="AS71" s="137">
        <f>U71+V71+W71+AK71+AL71+AM71+AN71+AO71+AP71+AQ71+AR71</f>
        <v>39724115</v>
      </c>
      <c r="AT71" s="137">
        <f>SUM(AT72)</f>
        <v>0</v>
      </c>
      <c r="AU71" s="139">
        <f t="shared" si="20"/>
        <v>39724115</v>
      </c>
      <c r="AV71" s="146">
        <f>IFERROR(VLOOKUP(J71,Maksājumu_pieprasījumu_iesn.!G:BL,57,0),0)</f>
        <v>0</v>
      </c>
      <c r="AW71" s="139">
        <f t="shared" si="23"/>
        <v>-39724115</v>
      </c>
      <c r="AX71" s="140">
        <f>S71-T71-AU71</f>
        <v>0</v>
      </c>
      <c r="AY71" s="137"/>
      <c r="AZ71" s="137"/>
      <c r="BA71" s="138"/>
      <c r="BB71" s="140"/>
      <c r="BC71" s="140">
        <f>X71+AK71+AL71/2</f>
        <v>4926098.9700000007</v>
      </c>
      <c r="BD71" s="140"/>
      <c r="BE71" s="140">
        <f>BC71/0.85</f>
        <v>5795410.552941177</v>
      </c>
      <c r="BF71" s="137"/>
      <c r="BG71" s="137"/>
      <c r="BH71" s="138">
        <v>19992.78</v>
      </c>
      <c r="BI71" s="138">
        <v>315462</v>
      </c>
      <c r="BJ71" s="138"/>
      <c r="BK71" s="138"/>
      <c r="BL71" s="138">
        <v>7815795</v>
      </c>
      <c r="BM71" s="138"/>
      <c r="BN71" s="138"/>
    </row>
    <row r="72" spans="1:66" ht="38.25" hidden="1" customHeight="1" x14ac:dyDescent="0.2">
      <c r="A72" s="142" t="s">
        <v>1082</v>
      </c>
      <c r="B72" s="18" t="s">
        <v>27</v>
      </c>
      <c r="C72" s="18" t="s">
        <v>28</v>
      </c>
      <c r="D72" s="19" t="s">
        <v>565</v>
      </c>
      <c r="E72" s="18">
        <v>1</v>
      </c>
      <c r="F72" s="18" t="s">
        <v>29</v>
      </c>
      <c r="G72" s="18" t="s">
        <v>5</v>
      </c>
      <c r="H72" s="18" t="s">
        <v>3</v>
      </c>
      <c r="I72" s="18"/>
      <c r="J72" s="18" t="s">
        <v>30</v>
      </c>
      <c r="K72" s="19" t="s">
        <v>31</v>
      </c>
      <c r="L72" s="19"/>
      <c r="M72" s="19"/>
      <c r="N72" s="19" t="s">
        <v>32</v>
      </c>
      <c r="O72" s="143"/>
      <c r="P72" s="143"/>
      <c r="Q72" s="143"/>
      <c r="R72" s="143">
        <v>42557</v>
      </c>
      <c r="S72" s="144">
        <v>39724115</v>
      </c>
      <c r="T72" s="144"/>
      <c r="U72" s="145">
        <v>0</v>
      </c>
      <c r="V72" s="145">
        <v>0</v>
      </c>
      <c r="W72" s="145">
        <v>19992.78</v>
      </c>
      <c r="X72" s="145">
        <f>W72+V72+U72</f>
        <v>19992.78</v>
      </c>
      <c r="Y72" s="145">
        <v>28027.59</v>
      </c>
      <c r="Z72" s="145">
        <v>0</v>
      </c>
      <c r="AA72" s="145">
        <v>0</v>
      </c>
      <c r="AB72" s="145">
        <v>90269.15</v>
      </c>
      <c r="AC72" s="145">
        <v>0</v>
      </c>
      <c r="AD72" s="166">
        <v>0</v>
      </c>
      <c r="AE72" s="166">
        <v>76669.149999999994</v>
      </c>
      <c r="AF72" s="145">
        <v>0</v>
      </c>
      <c r="AG72" s="145">
        <v>0</v>
      </c>
      <c r="AH72" s="145">
        <v>182919.15</v>
      </c>
      <c r="AI72" s="145">
        <v>0</v>
      </c>
      <c r="AJ72" s="145">
        <v>0</v>
      </c>
      <c r="AK72" s="145">
        <f>SUM(Y72:AJ72)</f>
        <v>377885.04</v>
      </c>
      <c r="AL72" s="145">
        <v>9056442.3000000007</v>
      </c>
      <c r="AM72" s="145">
        <v>14390143</v>
      </c>
      <c r="AN72" s="145">
        <v>11683066.4</v>
      </c>
      <c r="AO72" s="145">
        <v>4196585.4800000004</v>
      </c>
      <c r="AP72" s="145">
        <v>0</v>
      </c>
      <c r="AQ72" s="145">
        <v>0</v>
      </c>
      <c r="AR72" s="145">
        <v>0</v>
      </c>
      <c r="AS72" s="144">
        <f>U72+V72+W72+AK72+AL72+AM72+AN72+AO72+AP72+AQ72+AR72</f>
        <v>39724115</v>
      </c>
      <c r="AT72" s="144">
        <v>0</v>
      </c>
      <c r="AU72" s="146">
        <f t="shared" si="20"/>
        <v>39724115</v>
      </c>
      <c r="AV72" s="146">
        <f>IFERROR(VLOOKUP(J72,Maksājumu_pieprasījumu_iesn.!G:BL,57,0),0)</f>
        <v>0</v>
      </c>
      <c r="AW72" s="139">
        <f t="shared" si="23"/>
        <v>-39724115</v>
      </c>
      <c r="AX72" s="147"/>
      <c r="AY72" s="147"/>
      <c r="AZ72" s="147"/>
      <c r="BA72" s="165"/>
      <c r="BB72" s="144"/>
      <c r="BC72" s="144"/>
      <c r="BD72" s="144"/>
      <c r="BE72" s="144"/>
      <c r="BF72" s="144"/>
      <c r="BG72" s="144"/>
      <c r="BH72" s="149"/>
      <c r="BI72" s="149"/>
      <c r="BJ72" s="149"/>
      <c r="BK72" s="149"/>
      <c r="BL72" s="149"/>
      <c r="BM72" s="149"/>
      <c r="BN72" s="149"/>
    </row>
    <row r="73" spans="1:66" s="91" customFormat="1" ht="25.5" hidden="1" customHeight="1" x14ac:dyDescent="0.2">
      <c r="A73" s="131" t="s">
        <v>1082</v>
      </c>
      <c r="B73" s="132" t="s">
        <v>27</v>
      </c>
      <c r="C73" s="132" t="s">
        <v>28</v>
      </c>
      <c r="D73" s="133" t="s">
        <v>565</v>
      </c>
      <c r="E73" s="22">
        <v>2</v>
      </c>
      <c r="F73" s="22" t="s">
        <v>29</v>
      </c>
      <c r="G73" s="22" t="s">
        <v>5</v>
      </c>
      <c r="H73" s="22" t="s">
        <v>3</v>
      </c>
      <c r="I73" s="22" t="s">
        <v>1022</v>
      </c>
      <c r="J73" s="134" t="s">
        <v>1026</v>
      </c>
      <c r="K73" s="133"/>
      <c r="L73" s="133"/>
      <c r="M73" s="133"/>
      <c r="N73" s="133"/>
      <c r="O73" s="135"/>
      <c r="P73" s="135"/>
      <c r="Q73" s="135"/>
      <c r="R73" s="135"/>
      <c r="S73" s="136">
        <v>4250000</v>
      </c>
      <c r="T73" s="136">
        <v>2682212</v>
      </c>
      <c r="U73" s="137">
        <f>SUM(U74)</f>
        <v>0</v>
      </c>
      <c r="V73" s="137">
        <f>SUM(V74)</f>
        <v>0</v>
      </c>
      <c r="W73" s="137">
        <f>SUM(W74)</f>
        <v>0</v>
      </c>
      <c r="X73" s="138">
        <f>U73+V73+W73</f>
        <v>0</v>
      </c>
      <c r="Y73" s="137">
        <f t="shared" ref="Y73:AR73" si="52">SUM(Y74)</f>
        <v>0</v>
      </c>
      <c r="Z73" s="137">
        <f t="shared" si="52"/>
        <v>0</v>
      </c>
      <c r="AA73" s="137">
        <f t="shared" si="52"/>
        <v>0</v>
      </c>
      <c r="AB73" s="137">
        <f t="shared" si="52"/>
        <v>0</v>
      </c>
      <c r="AC73" s="137">
        <f t="shared" si="52"/>
        <v>0</v>
      </c>
      <c r="AD73" s="137">
        <f t="shared" si="52"/>
        <v>0</v>
      </c>
      <c r="AE73" s="137">
        <f t="shared" si="52"/>
        <v>0</v>
      </c>
      <c r="AF73" s="137">
        <f t="shared" si="52"/>
        <v>0</v>
      </c>
      <c r="AG73" s="137">
        <f t="shared" si="52"/>
        <v>0</v>
      </c>
      <c r="AH73" s="137">
        <f t="shared" si="52"/>
        <v>0</v>
      </c>
      <c r="AI73" s="137">
        <f t="shared" si="52"/>
        <v>0</v>
      </c>
      <c r="AJ73" s="137">
        <f t="shared" si="52"/>
        <v>0</v>
      </c>
      <c r="AK73" s="137">
        <f t="shared" si="52"/>
        <v>0</v>
      </c>
      <c r="AL73" s="137">
        <f t="shared" si="52"/>
        <v>0</v>
      </c>
      <c r="AM73" s="137">
        <f t="shared" si="52"/>
        <v>0</v>
      </c>
      <c r="AN73" s="137">
        <f t="shared" si="52"/>
        <v>425000</v>
      </c>
      <c r="AO73" s="137">
        <f t="shared" si="52"/>
        <v>1142788</v>
      </c>
      <c r="AP73" s="137">
        <f t="shared" si="52"/>
        <v>0</v>
      </c>
      <c r="AQ73" s="137">
        <f t="shared" si="52"/>
        <v>0</v>
      </c>
      <c r="AR73" s="137">
        <f t="shared" si="52"/>
        <v>0</v>
      </c>
      <c r="AS73" s="137">
        <f>U73+V73+W73+AK73+AL73+AM73+AN73+AO73+AP73+AQ73+AR73</f>
        <v>1567788</v>
      </c>
      <c r="AT73" s="137">
        <f>SUM(AT74)</f>
        <v>0</v>
      </c>
      <c r="AU73" s="139">
        <f t="shared" si="20"/>
        <v>1567788</v>
      </c>
      <c r="AV73" s="146">
        <f>IFERROR(VLOOKUP(J73,Maksājumu_pieprasījumu_iesn.!G:BL,57,0),0)</f>
        <v>0</v>
      </c>
      <c r="AW73" s="139">
        <f t="shared" si="23"/>
        <v>-1567788</v>
      </c>
      <c r="AX73" s="140">
        <f>S73-T73-AU73</f>
        <v>0</v>
      </c>
      <c r="AY73" s="137"/>
      <c r="AZ73" s="137"/>
      <c r="BA73" s="138" t="s">
        <v>1084</v>
      </c>
      <c r="BB73" s="140"/>
      <c r="BC73" s="140">
        <f>X73+AK73+AL73/2</f>
        <v>0</v>
      </c>
      <c r="BD73" s="140"/>
      <c r="BE73" s="140">
        <f>BC73/0.85</f>
        <v>0</v>
      </c>
      <c r="BF73" s="137"/>
      <c r="BG73" s="137"/>
      <c r="BH73" s="138">
        <v>0</v>
      </c>
      <c r="BI73" s="138">
        <v>0</v>
      </c>
      <c r="BJ73" s="138"/>
      <c r="BK73" s="138"/>
      <c r="BL73" s="138">
        <v>0</v>
      </c>
      <c r="BM73" s="138"/>
      <c r="BN73" s="138"/>
    </row>
    <row r="74" spans="1:66" s="91" customFormat="1" ht="12.75" hidden="1" customHeight="1" x14ac:dyDescent="0.2">
      <c r="A74" s="150" t="s">
        <v>1082</v>
      </c>
      <c r="B74" s="18" t="s">
        <v>27</v>
      </c>
      <c r="C74" s="18" t="s">
        <v>28</v>
      </c>
      <c r="D74" s="19" t="s">
        <v>565</v>
      </c>
      <c r="E74" s="55">
        <v>2</v>
      </c>
      <c r="F74" s="55" t="s">
        <v>29</v>
      </c>
      <c r="G74" s="55" t="s">
        <v>5</v>
      </c>
      <c r="H74" s="55" t="s">
        <v>3</v>
      </c>
      <c r="I74" s="55"/>
      <c r="J74" s="55"/>
      <c r="K74" s="19"/>
      <c r="L74" s="19"/>
      <c r="M74" s="19"/>
      <c r="N74" s="19"/>
      <c r="O74" s="184">
        <v>43891</v>
      </c>
      <c r="P74" s="184"/>
      <c r="Q74" s="184"/>
      <c r="R74" s="151"/>
      <c r="S74" s="152"/>
      <c r="T74" s="152"/>
      <c r="U74" s="145">
        <v>0</v>
      </c>
      <c r="V74" s="145">
        <v>0</v>
      </c>
      <c r="W74" s="145">
        <v>0</v>
      </c>
      <c r="X74" s="145">
        <f>W74+V74+U74</f>
        <v>0</v>
      </c>
      <c r="Y74" s="145">
        <v>0</v>
      </c>
      <c r="Z74" s="145">
        <v>0</v>
      </c>
      <c r="AA74" s="145">
        <v>0</v>
      </c>
      <c r="AB74" s="145">
        <v>0</v>
      </c>
      <c r="AC74" s="145">
        <v>0</v>
      </c>
      <c r="AD74" s="145">
        <v>0</v>
      </c>
      <c r="AE74" s="145">
        <v>0</v>
      </c>
      <c r="AF74" s="145">
        <v>0</v>
      </c>
      <c r="AG74" s="145">
        <v>0</v>
      </c>
      <c r="AH74" s="145">
        <v>0</v>
      </c>
      <c r="AI74" s="145">
        <v>0</v>
      </c>
      <c r="AJ74" s="145">
        <v>0</v>
      </c>
      <c r="AK74" s="145">
        <f>SUM(Y74:AJ74)</f>
        <v>0</v>
      </c>
      <c r="AL74" s="145">
        <v>0</v>
      </c>
      <c r="AM74" s="145">
        <v>0</v>
      </c>
      <c r="AN74" s="185">
        <v>425000</v>
      </c>
      <c r="AO74" s="185">
        <v>1142788</v>
      </c>
      <c r="AP74" s="185">
        <v>0</v>
      </c>
      <c r="AQ74" s="185">
        <v>0</v>
      </c>
      <c r="AR74" s="145">
        <v>0</v>
      </c>
      <c r="AS74" s="145">
        <f>U74+V74+W74+AK74+AL74+AM74+AN74+AO74+AP74+AQ74+AR74</f>
        <v>1567788</v>
      </c>
      <c r="AT74" s="145">
        <v>0</v>
      </c>
      <c r="AU74" s="139">
        <f t="shared" si="20"/>
        <v>1567788</v>
      </c>
      <c r="AV74" s="146">
        <f>IFERROR(VLOOKUP(J74,Maksājumu_pieprasījumu_iesn.!G:BL,57,0),0)</f>
        <v>0</v>
      </c>
      <c r="AW74" s="139">
        <f t="shared" si="23"/>
        <v>-1567788</v>
      </c>
      <c r="AX74" s="153">
        <v>0</v>
      </c>
      <c r="AY74" s="153" t="s">
        <v>1085</v>
      </c>
      <c r="AZ74" s="153"/>
      <c r="BA74" s="136" t="s">
        <v>1086</v>
      </c>
      <c r="BB74" s="145"/>
      <c r="BC74" s="145"/>
      <c r="BD74" s="145"/>
      <c r="BE74" s="145"/>
      <c r="BF74" s="145"/>
      <c r="BG74" s="145"/>
      <c r="BH74" s="138"/>
      <c r="BI74" s="138"/>
      <c r="BJ74" s="138"/>
      <c r="BK74" s="138"/>
      <c r="BL74" s="138"/>
      <c r="BM74" s="138"/>
      <c r="BN74" s="138"/>
    </row>
    <row r="75" spans="1:66" s="91" customFormat="1" ht="25.5" hidden="1" x14ac:dyDescent="0.2">
      <c r="A75" s="127" t="s">
        <v>1082</v>
      </c>
      <c r="B75" s="127" t="s">
        <v>33</v>
      </c>
      <c r="C75" s="127" t="s">
        <v>1023</v>
      </c>
      <c r="D75" s="128" t="s">
        <v>1087</v>
      </c>
      <c r="E75" s="127"/>
      <c r="F75" s="127"/>
      <c r="G75" s="181" t="s">
        <v>5</v>
      </c>
      <c r="H75" s="127"/>
      <c r="I75" s="127"/>
      <c r="J75" s="127"/>
      <c r="K75" s="128"/>
      <c r="L75" s="128"/>
      <c r="M75" s="128"/>
      <c r="N75" s="128"/>
      <c r="O75" s="186"/>
      <c r="P75" s="186"/>
      <c r="Q75" s="186"/>
      <c r="R75" s="163"/>
      <c r="S75" s="164">
        <f>S76+S118+S145+S147</f>
        <v>128809714</v>
      </c>
      <c r="T75" s="164">
        <f>T76+T118+T145+T147</f>
        <v>7856780.4167470615</v>
      </c>
      <c r="U75" s="164">
        <f>U76+U118+U145+U147</f>
        <v>0</v>
      </c>
      <c r="V75" s="164">
        <f>V76+V118+V145+V147</f>
        <v>0</v>
      </c>
      <c r="W75" s="164">
        <f>W76+W118+W145+W147</f>
        <v>0</v>
      </c>
      <c r="X75" s="129">
        <f>U75+V75+W75</f>
        <v>0</v>
      </c>
      <c r="Y75" s="164">
        <f t="shared" ref="Y75:AT75" si="53">Y76+Y118+Y145+Y147</f>
        <v>93116.85</v>
      </c>
      <c r="Z75" s="164">
        <f t="shared" si="53"/>
        <v>20151.75</v>
      </c>
      <c r="AA75" s="164">
        <f t="shared" si="53"/>
        <v>0</v>
      </c>
      <c r="AB75" s="164">
        <f t="shared" si="53"/>
        <v>87860.22</v>
      </c>
      <c r="AC75" s="164">
        <f t="shared" si="53"/>
        <v>9616.9</v>
      </c>
      <c r="AD75" s="164">
        <f t="shared" si="53"/>
        <v>467337.08999999997</v>
      </c>
      <c r="AE75" s="164">
        <f t="shared" si="53"/>
        <v>230480.3</v>
      </c>
      <c r="AF75" s="164">
        <f t="shared" si="53"/>
        <v>129001.09999999999</v>
      </c>
      <c r="AG75" s="164">
        <f t="shared" si="53"/>
        <v>184655.51</v>
      </c>
      <c r="AH75" s="164">
        <f t="shared" si="53"/>
        <v>642574.26</v>
      </c>
      <c r="AI75" s="164">
        <f t="shared" si="53"/>
        <v>335386.3</v>
      </c>
      <c r="AJ75" s="164">
        <f t="shared" si="53"/>
        <v>67559.824280000001</v>
      </c>
      <c r="AK75" s="164">
        <f>AK76+AK118+AK145+AK147</f>
        <v>2267740.1042799996</v>
      </c>
      <c r="AL75" s="164">
        <f t="shared" si="53"/>
        <v>47642060.65378274</v>
      </c>
      <c r="AM75" s="164">
        <f t="shared" si="53"/>
        <v>29935077.218981974</v>
      </c>
      <c r="AN75" s="164">
        <f t="shared" si="53"/>
        <v>9900219.5053711012</v>
      </c>
      <c r="AO75" s="164">
        <f t="shared" si="53"/>
        <v>1054900.6499999999</v>
      </c>
      <c r="AP75" s="164">
        <f t="shared" si="53"/>
        <v>1000000</v>
      </c>
      <c r="AQ75" s="164">
        <f t="shared" si="53"/>
        <v>0</v>
      </c>
      <c r="AR75" s="164">
        <f t="shared" si="53"/>
        <v>0</v>
      </c>
      <c r="AS75" s="164">
        <f>AS76+AS118+AS145+AS147</f>
        <v>91799998.132415831</v>
      </c>
      <c r="AT75" s="164">
        <f t="shared" si="53"/>
        <v>0</v>
      </c>
      <c r="AU75" s="183">
        <f>AS75-AT75</f>
        <v>91799998.132415831</v>
      </c>
      <c r="AV75" s="146">
        <f>IFERROR(VLOOKUP(J75,Maksājumu_pieprasījumu_iesn.!G:BL,57,0),0)</f>
        <v>0</v>
      </c>
      <c r="AW75" s="139">
        <f t="shared" si="23"/>
        <v>-91799998.132415831</v>
      </c>
      <c r="AX75" s="164">
        <f>AX76+AX118+AX145+AX147</f>
        <v>29152935.450837106</v>
      </c>
      <c r="AY75" s="164">
        <f>AY76+AY118+AY145+AY147</f>
        <v>29152935.450837106</v>
      </c>
      <c r="AZ75" s="164"/>
      <c r="BA75" s="164"/>
      <c r="BB75" s="164">
        <f>BB76+BB118+BB145+BB147</f>
        <v>0</v>
      </c>
      <c r="BC75" s="164">
        <f>BC76+BC118+BC145+BC147</f>
        <v>26088770.431171369</v>
      </c>
      <c r="BD75" s="164">
        <f>BC75*0.86</f>
        <v>22436342.570807375</v>
      </c>
      <c r="BE75" s="129">
        <f>BD75/0.85</f>
        <v>26395697.142126326</v>
      </c>
      <c r="BF75" s="164">
        <f>BF76+BF118+BF145+BF147</f>
        <v>0</v>
      </c>
      <c r="BG75" s="164">
        <f>BG76+BG118+BG145+BG147</f>
        <v>0</v>
      </c>
      <c r="BH75" s="129">
        <f>BH76+BH118+BH145+BH147</f>
        <v>0</v>
      </c>
      <c r="BI75" s="129">
        <f>BI76+BI118+BI145+BI147</f>
        <v>7614342.0242125019</v>
      </c>
      <c r="BJ75" s="129">
        <f>AK75*0.86</f>
        <v>1950256.4896807997</v>
      </c>
      <c r="BK75" s="129">
        <f>BJ75-BI75</f>
        <v>-5664085.5345317023</v>
      </c>
      <c r="BL75" s="129">
        <f>BL76+BL118+BL145+BL147</f>
        <v>27436248.065050289</v>
      </c>
      <c r="BM75" s="129">
        <f>AL75*0.86</f>
        <v>40972172.162253156</v>
      </c>
      <c r="BN75" s="129">
        <f>BM75-BL75</f>
        <v>13535924.097202867</v>
      </c>
    </row>
    <row r="76" spans="1:66" s="91" customFormat="1" ht="25.5" hidden="1" customHeight="1" x14ac:dyDescent="0.2">
      <c r="A76" s="131" t="s">
        <v>1082</v>
      </c>
      <c r="B76" s="132" t="s">
        <v>33</v>
      </c>
      <c r="C76" s="132" t="s">
        <v>34</v>
      </c>
      <c r="D76" s="133" t="s">
        <v>566</v>
      </c>
      <c r="E76" s="22">
        <v>1</v>
      </c>
      <c r="F76" s="22" t="s">
        <v>35</v>
      </c>
      <c r="G76" s="22" t="s">
        <v>5</v>
      </c>
      <c r="H76" s="22" t="s">
        <v>3</v>
      </c>
      <c r="I76" s="22" t="s">
        <v>1022</v>
      </c>
      <c r="J76" s="134" t="s">
        <v>1026</v>
      </c>
      <c r="K76" s="133"/>
      <c r="L76" s="133"/>
      <c r="M76" s="133"/>
      <c r="N76" s="133"/>
      <c r="O76" s="135"/>
      <c r="P76" s="135"/>
      <c r="Q76" s="135"/>
      <c r="R76" s="135"/>
      <c r="S76" s="136">
        <v>109778777</v>
      </c>
      <c r="T76" s="136">
        <v>7130937</v>
      </c>
      <c r="U76" s="137">
        <f>SUM(U77:U116)</f>
        <v>0</v>
      </c>
      <c r="V76" s="137">
        <f>SUM(V77:V116)</f>
        <v>0</v>
      </c>
      <c r="W76" s="137">
        <f>SUM(W77:W116)</f>
        <v>0</v>
      </c>
      <c r="X76" s="138">
        <f>U76+V76+W76</f>
        <v>0</v>
      </c>
      <c r="Y76" s="137">
        <f t="shared" ref="Y76:AQ76" si="54">SUM(Y77:Y116)</f>
        <v>93116.85</v>
      </c>
      <c r="Z76" s="137">
        <f t="shared" si="54"/>
        <v>20151.75</v>
      </c>
      <c r="AA76" s="137">
        <f t="shared" si="54"/>
        <v>0</v>
      </c>
      <c r="AB76" s="137">
        <f t="shared" si="54"/>
        <v>87860.22</v>
      </c>
      <c r="AC76" s="137">
        <f t="shared" si="54"/>
        <v>9616.9</v>
      </c>
      <c r="AD76" s="137">
        <f t="shared" si="54"/>
        <v>467337.08999999997</v>
      </c>
      <c r="AE76" s="137">
        <f t="shared" si="54"/>
        <v>230480.3</v>
      </c>
      <c r="AF76" s="137">
        <f t="shared" si="54"/>
        <v>129001.09999999999</v>
      </c>
      <c r="AG76" s="137">
        <f t="shared" si="54"/>
        <v>184655.51</v>
      </c>
      <c r="AH76" s="137">
        <f t="shared" si="54"/>
        <v>642574.26</v>
      </c>
      <c r="AI76" s="137">
        <f t="shared" si="54"/>
        <v>335386.3</v>
      </c>
      <c r="AJ76" s="137">
        <f t="shared" si="54"/>
        <v>67559.824280000001</v>
      </c>
      <c r="AK76" s="137">
        <f>SUM(AK77:AK116)</f>
        <v>2267740.1042799996</v>
      </c>
      <c r="AL76" s="137">
        <f t="shared" si="54"/>
        <v>43048772.003782742</v>
      </c>
      <c r="AM76" s="137">
        <f t="shared" si="54"/>
        <v>28600364.718981974</v>
      </c>
      <c r="AN76" s="137">
        <f t="shared" si="54"/>
        <v>9083121.3053711019</v>
      </c>
      <c r="AO76" s="137">
        <f t="shared" si="54"/>
        <v>1000000</v>
      </c>
      <c r="AP76" s="137">
        <f t="shared" si="54"/>
        <v>1000000</v>
      </c>
      <c r="AQ76" s="137">
        <f t="shared" si="54"/>
        <v>0</v>
      </c>
      <c r="AR76" s="137">
        <f>SUM(AR77:AR116)</f>
        <v>0</v>
      </c>
      <c r="AS76" s="137">
        <f t="shared" ref="AS76:AS116" si="55">U76+V76+W76+AK76+AL76+AM76+AN76+AO76+AP76+AQ76+AR76</f>
        <v>84999998.132415831</v>
      </c>
      <c r="AT76" s="137">
        <f>SUM(AT77:AT116)</f>
        <v>0</v>
      </c>
      <c r="AU76" s="139">
        <f>AS76-AT76</f>
        <v>84999998.132415831</v>
      </c>
      <c r="AV76" s="146">
        <f>IFERROR(VLOOKUP(J76,Maksājumu_pieprasījumu_iesn.!G:BL,57,0),0)</f>
        <v>0</v>
      </c>
      <c r="AW76" s="139">
        <f t="shared" si="23"/>
        <v>-84999998.132415831</v>
      </c>
      <c r="AX76" s="140">
        <f>S76-T76-AU76</f>
        <v>17647841.867584169</v>
      </c>
      <c r="AY76" s="137">
        <f>AY117</f>
        <v>17647841.867584169</v>
      </c>
      <c r="AZ76" s="137"/>
      <c r="BA76" s="138" t="s">
        <v>1088</v>
      </c>
      <c r="BB76" s="140"/>
      <c r="BC76" s="140">
        <f>X76+AK76+AL76/2</f>
        <v>23792126.10617137</v>
      </c>
      <c r="BD76" s="140"/>
      <c r="BE76" s="140">
        <f>BC76/0.85</f>
        <v>27990736.595495731</v>
      </c>
      <c r="BF76" s="137"/>
      <c r="BG76" s="137"/>
      <c r="BH76" s="138">
        <v>0</v>
      </c>
      <c r="BI76" s="138">
        <v>6649476.2117125019</v>
      </c>
      <c r="BJ76" s="138"/>
      <c r="BK76" s="138"/>
      <c r="BL76" s="138">
        <v>24843063.260938399</v>
      </c>
      <c r="BM76" s="138"/>
      <c r="BN76" s="138"/>
    </row>
    <row r="77" spans="1:66" ht="38.25" hidden="1" customHeight="1" x14ac:dyDescent="0.2">
      <c r="A77" s="142" t="s">
        <v>1082</v>
      </c>
      <c r="B77" s="18" t="s">
        <v>33</v>
      </c>
      <c r="C77" s="18" t="s">
        <v>34</v>
      </c>
      <c r="D77" s="19" t="s">
        <v>566</v>
      </c>
      <c r="E77" s="18">
        <v>1</v>
      </c>
      <c r="F77" s="18" t="s">
        <v>35</v>
      </c>
      <c r="G77" s="18" t="s">
        <v>5</v>
      </c>
      <c r="H77" s="18" t="s">
        <v>3</v>
      </c>
      <c r="I77" s="18"/>
      <c r="J77" s="18" t="s">
        <v>36</v>
      </c>
      <c r="K77" s="19" t="s">
        <v>37</v>
      </c>
      <c r="L77" s="19"/>
      <c r="M77" s="19"/>
      <c r="N77" s="19" t="s">
        <v>38</v>
      </c>
      <c r="O77" s="143"/>
      <c r="P77" s="143"/>
      <c r="Q77" s="143"/>
      <c r="R77" s="143">
        <v>42699</v>
      </c>
      <c r="S77" s="144">
        <v>3825000</v>
      </c>
      <c r="T77" s="144"/>
      <c r="U77" s="145">
        <v>0</v>
      </c>
      <c r="V77" s="145">
        <v>0</v>
      </c>
      <c r="W77" s="145">
        <v>0</v>
      </c>
      <c r="X77" s="145">
        <f t="shared" ref="X77:X140" si="56">W77+V77+U77</f>
        <v>0</v>
      </c>
      <c r="Y77" s="145">
        <v>93116.85</v>
      </c>
      <c r="Z77" s="145">
        <v>0</v>
      </c>
      <c r="AA77" s="145">
        <v>0</v>
      </c>
      <c r="AB77" s="145">
        <v>87860.22</v>
      </c>
      <c r="AC77" s="145">
        <v>0</v>
      </c>
      <c r="AD77" s="166">
        <v>0</v>
      </c>
      <c r="AE77" s="166">
        <v>230480.3</v>
      </c>
      <c r="AF77" s="145">
        <v>0</v>
      </c>
      <c r="AG77" s="145">
        <v>0</v>
      </c>
      <c r="AH77" s="145">
        <v>460637.31</v>
      </c>
      <c r="AI77" s="145">
        <v>0</v>
      </c>
      <c r="AJ77" s="145">
        <v>0</v>
      </c>
      <c r="AK77" s="145">
        <f t="shared" ref="AK77:AK116" si="57">SUM(Y77:AJ77)</f>
        <v>872094.67999999993</v>
      </c>
      <c r="AL77" s="145">
        <v>1888172.69</v>
      </c>
      <c r="AM77" s="145">
        <v>1064732.6299999999</v>
      </c>
      <c r="AN77" s="145">
        <v>0</v>
      </c>
      <c r="AO77" s="145">
        <v>0</v>
      </c>
      <c r="AP77" s="145">
        <v>0</v>
      </c>
      <c r="AQ77" s="145">
        <v>0</v>
      </c>
      <c r="AR77" s="145">
        <v>0</v>
      </c>
      <c r="AS77" s="144">
        <f t="shared" si="55"/>
        <v>3825000</v>
      </c>
      <c r="AT77" s="144">
        <v>0</v>
      </c>
      <c r="AU77" s="146">
        <f t="shared" si="20"/>
        <v>3825000</v>
      </c>
      <c r="AV77" s="146">
        <f>IFERROR(VLOOKUP(J77,Maksājumu_pieprasījumu_iesn.!G:BL,57,0),0)</f>
        <v>0</v>
      </c>
      <c r="AW77" s="139">
        <f t="shared" si="23"/>
        <v>-3825000</v>
      </c>
      <c r="AX77" s="147"/>
      <c r="AY77" s="147"/>
      <c r="AZ77" s="147"/>
      <c r="BA77" s="165"/>
      <c r="BB77" s="144"/>
      <c r="BC77" s="144"/>
      <c r="BD77" s="144"/>
      <c r="BE77" s="144"/>
      <c r="BF77" s="144"/>
      <c r="BG77" s="144"/>
      <c r="BH77" s="149"/>
      <c r="BI77" s="149"/>
      <c r="BJ77" s="149"/>
      <c r="BK77" s="149"/>
      <c r="BL77" s="149"/>
      <c r="BM77" s="149"/>
      <c r="BN77" s="149"/>
    </row>
    <row r="78" spans="1:66" ht="25.5" hidden="1" customHeight="1" x14ac:dyDescent="0.2">
      <c r="A78" s="142" t="s">
        <v>1082</v>
      </c>
      <c r="B78" s="18" t="s">
        <v>33</v>
      </c>
      <c r="C78" s="18" t="s">
        <v>34</v>
      </c>
      <c r="D78" s="19" t="s">
        <v>566</v>
      </c>
      <c r="E78" s="18">
        <v>1</v>
      </c>
      <c r="F78" s="18" t="s">
        <v>35</v>
      </c>
      <c r="G78" s="18" t="s">
        <v>5</v>
      </c>
      <c r="H78" s="18" t="s">
        <v>3</v>
      </c>
      <c r="I78" s="18"/>
      <c r="J78" s="18" t="s">
        <v>740</v>
      </c>
      <c r="K78" s="19" t="s">
        <v>741</v>
      </c>
      <c r="L78" s="19"/>
      <c r="M78" s="19"/>
      <c r="N78" s="19" t="s">
        <v>742</v>
      </c>
      <c r="O78" s="143"/>
      <c r="P78" s="143"/>
      <c r="Q78" s="143"/>
      <c r="R78" s="143">
        <v>42807</v>
      </c>
      <c r="S78" s="144">
        <v>3825000</v>
      </c>
      <c r="T78" s="144"/>
      <c r="U78" s="145">
        <v>0</v>
      </c>
      <c r="V78" s="145">
        <v>0</v>
      </c>
      <c r="W78" s="145">
        <v>0</v>
      </c>
      <c r="X78" s="145">
        <f t="shared" si="56"/>
        <v>0</v>
      </c>
      <c r="Y78" s="145">
        <v>0</v>
      </c>
      <c r="Z78" s="145">
        <v>0</v>
      </c>
      <c r="AA78" s="145">
        <v>0</v>
      </c>
      <c r="AB78" s="145">
        <v>0</v>
      </c>
      <c r="AC78" s="145">
        <v>0</v>
      </c>
      <c r="AD78" s="145">
        <v>35829.49</v>
      </c>
      <c r="AE78" s="145">
        <v>0</v>
      </c>
      <c r="AF78" s="145">
        <v>0</v>
      </c>
      <c r="AG78" s="145">
        <v>10545.66</v>
      </c>
      <c r="AH78" s="145">
        <v>0</v>
      </c>
      <c r="AI78" s="145">
        <v>0</v>
      </c>
      <c r="AJ78" s="145">
        <v>26134.1</v>
      </c>
      <c r="AK78" s="145">
        <f t="shared" si="57"/>
        <v>72509.25</v>
      </c>
      <c r="AL78" s="145">
        <v>1306298.3400000001</v>
      </c>
      <c r="AM78" s="145">
        <v>1862421.96</v>
      </c>
      <c r="AN78" s="145">
        <v>583770.44999999995</v>
      </c>
      <c r="AO78" s="145">
        <v>0</v>
      </c>
      <c r="AP78" s="145">
        <v>0</v>
      </c>
      <c r="AQ78" s="145">
        <v>0</v>
      </c>
      <c r="AR78" s="145">
        <v>0</v>
      </c>
      <c r="AS78" s="144">
        <f t="shared" si="55"/>
        <v>3825000</v>
      </c>
      <c r="AT78" s="144">
        <v>0</v>
      </c>
      <c r="AU78" s="146">
        <f t="shared" ref="AU78:AU141" si="58">AS78-AT78</f>
        <v>3825000</v>
      </c>
      <c r="AV78" s="146">
        <f>IFERROR(VLOOKUP(J78,Maksājumu_pieprasījumu_iesn.!G:BL,57,0),0)</f>
        <v>0</v>
      </c>
      <c r="AW78" s="139">
        <f t="shared" si="23"/>
        <v>-3825000</v>
      </c>
      <c r="AX78" s="147"/>
      <c r="AY78" s="147"/>
      <c r="AZ78" s="147"/>
      <c r="BA78" s="165"/>
      <c r="BB78" s="144"/>
      <c r="BC78" s="144"/>
      <c r="BD78" s="144"/>
      <c r="BE78" s="144"/>
      <c r="BF78" s="144"/>
      <c r="BG78" s="144"/>
      <c r="BH78" s="149"/>
      <c r="BI78" s="149"/>
      <c r="BJ78" s="149"/>
      <c r="BK78" s="149"/>
      <c r="BL78" s="149"/>
      <c r="BM78" s="149"/>
      <c r="BN78" s="149"/>
    </row>
    <row r="79" spans="1:66" ht="25.5" hidden="1" customHeight="1" x14ac:dyDescent="0.2">
      <c r="A79" s="142" t="s">
        <v>1082</v>
      </c>
      <c r="B79" s="18" t="s">
        <v>33</v>
      </c>
      <c r="C79" s="18" t="s">
        <v>34</v>
      </c>
      <c r="D79" s="19" t="s">
        <v>566</v>
      </c>
      <c r="E79" s="18">
        <v>1</v>
      </c>
      <c r="F79" s="18" t="s">
        <v>35</v>
      </c>
      <c r="G79" s="18" t="s">
        <v>5</v>
      </c>
      <c r="H79" s="18" t="s">
        <v>3</v>
      </c>
      <c r="I79" s="18"/>
      <c r="J79" s="18" t="s">
        <v>39</v>
      </c>
      <c r="K79" s="19" t="s">
        <v>40</v>
      </c>
      <c r="L79" s="19"/>
      <c r="M79" s="19"/>
      <c r="N79" s="19" t="s">
        <v>41</v>
      </c>
      <c r="O79" s="143"/>
      <c r="P79" s="143"/>
      <c r="Q79" s="143"/>
      <c r="R79" s="143">
        <v>42726</v>
      </c>
      <c r="S79" s="144">
        <v>1445000</v>
      </c>
      <c r="T79" s="144"/>
      <c r="U79" s="145">
        <v>0</v>
      </c>
      <c r="V79" s="145">
        <v>0</v>
      </c>
      <c r="W79" s="145">
        <v>0</v>
      </c>
      <c r="X79" s="145">
        <f t="shared" si="56"/>
        <v>0</v>
      </c>
      <c r="Y79" s="145">
        <v>0</v>
      </c>
      <c r="Z79" s="145">
        <v>20151.75</v>
      </c>
      <c r="AA79" s="145">
        <v>0</v>
      </c>
      <c r="AB79" s="145">
        <v>0</v>
      </c>
      <c r="AC79" s="145">
        <v>9616.9</v>
      </c>
      <c r="AD79" s="145">
        <v>0</v>
      </c>
      <c r="AE79" s="145">
        <v>0</v>
      </c>
      <c r="AF79" s="420">
        <v>112966.7</v>
      </c>
      <c r="AG79" s="145">
        <v>0</v>
      </c>
      <c r="AH79" s="145">
        <v>0</v>
      </c>
      <c r="AI79" s="145">
        <v>63619.1</v>
      </c>
      <c r="AJ79" s="145">
        <v>0</v>
      </c>
      <c r="AK79" s="145">
        <f t="shared" si="57"/>
        <v>206354.45</v>
      </c>
      <c r="AL79" s="145">
        <v>492292.88000000006</v>
      </c>
      <c r="AM79" s="145">
        <v>737072.38</v>
      </c>
      <c r="AN79" s="145">
        <v>9280.2900000000009</v>
      </c>
      <c r="AO79" s="145">
        <v>0</v>
      </c>
      <c r="AP79" s="145">
        <v>0</v>
      </c>
      <c r="AQ79" s="145">
        <v>0</v>
      </c>
      <c r="AR79" s="145">
        <v>0</v>
      </c>
      <c r="AS79" s="144">
        <f t="shared" si="55"/>
        <v>1445000</v>
      </c>
      <c r="AT79" s="144">
        <v>0</v>
      </c>
      <c r="AU79" s="146">
        <f>AS79-AT79</f>
        <v>1445000</v>
      </c>
      <c r="AV79" s="146">
        <f>IFERROR(VLOOKUP(J79,Maksājumu_pieprasījumu_iesn.!G:BL,57,0),0)</f>
        <v>0</v>
      </c>
      <c r="AW79" s="139">
        <f t="shared" si="23"/>
        <v>-1445000</v>
      </c>
      <c r="AX79" s="147"/>
      <c r="AY79" s="147"/>
      <c r="AZ79" s="147"/>
      <c r="BA79" s="165"/>
      <c r="BB79" s="144"/>
      <c r="BC79" s="144"/>
      <c r="BD79" s="144"/>
      <c r="BE79" s="144"/>
      <c r="BF79" s="144"/>
      <c r="BG79" s="144"/>
      <c r="BH79" s="149"/>
      <c r="BI79" s="149"/>
      <c r="BJ79" s="149"/>
      <c r="BK79" s="149"/>
      <c r="BL79" s="149"/>
      <c r="BM79" s="149"/>
      <c r="BN79" s="149"/>
    </row>
    <row r="80" spans="1:66" ht="25.5" hidden="1" customHeight="1" x14ac:dyDescent="0.2">
      <c r="A80" s="142" t="s">
        <v>1082</v>
      </c>
      <c r="B80" s="18" t="s">
        <v>33</v>
      </c>
      <c r="C80" s="18" t="s">
        <v>34</v>
      </c>
      <c r="D80" s="19" t="s">
        <v>566</v>
      </c>
      <c r="E80" s="18">
        <v>1</v>
      </c>
      <c r="F80" s="18" t="s">
        <v>35</v>
      </c>
      <c r="G80" s="18" t="s">
        <v>5</v>
      </c>
      <c r="H80" s="18" t="s">
        <v>3</v>
      </c>
      <c r="I80" s="18"/>
      <c r="J80" s="18" t="s">
        <v>743</v>
      </c>
      <c r="K80" s="19" t="s">
        <v>744</v>
      </c>
      <c r="L80" s="19"/>
      <c r="M80" s="19"/>
      <c r="N80" s="19" t="s">
        <v>745</v>
      </c>
      <c r="O80" s="143"/>
      <c r="P80" s="143"/>
      <c r="Q80" s="143"/>
      <c r="R80" s="143">
        <v>42817</v>
      </c>
      <c r="S80" s="144">
        <v>1700000</v>
      </c>
      <c r="T80" s="144"/>
      <c r="U80" s="145">
        <v>0</v>
      </c>
      <c r="V80" s="145">
        <v>0</v>
      </c>
      <c r="W80" s="145">
        <v>0</v>
      </c>
      <c r="X80" s="145">
        <f t="shared" si="56"/>
        <v>0</v>
      </c>
      <c r="Y80" s="145">
        <v>0</v>
      </c>
      <c r="Z80" s="145">
        <v>0</v>
      </c>
      <c r="AA80" s="145">
        <v>0</v>
      </c>
      <c r="AB80" s="145">
        <v>0</v>
      </c>
      <c r="AC80" s="145">
        <v>0</v>
      </c>
      <c r="AD80" s="145">
        <v>363507.6</v>
      </c>
      <c r="AE80" s="145">
        <v>0</v>
      </c>
      <c r="AF80" s="145">
        <v>0</v>
      </c>
      <c r="AG80" s="145">
        <v>164169.85</v>
      </c>
      <c r="AH80" s="145">
        <v>0</v>
      </c>
      <c r="AI80" s="145">
        <v>224053.2</v>
      </c>
      <c r="AJ80" s="145">
        <v>0</v>
      </c>
      <c r="AK80" s="145">
        <f t="shared" si="57"/>
        <v>751730.64999999991</v>
      </c>
      <c r="AL80" s="145">
        <v>515465.53</v>
      </c>
      <c r="AM80" s="145">
        <v>432803.82</v>
      </c>
      <c r="AN80" s="145">
        <v>0</v>
      </c>
      <c r="AO80" s="145">
        <v>0</v>
      </c>
      <c r="AP80" s="145">
        <v>0</v>
      </c>
      <c r="AQ80" s="145">
        <v>0</v>
      </c>
      <c r="AR80" s="145">
        <v>0</v>
      </c>
      <c r="AS80" s="144">
        <f t="shared" si="55"/>
        <v>1700000</v>
      </c>
      <c r="AT80" s="144">
        <v>0</v>
      </c>
      <c r="AU80" s="146">
        <f t="shared" si="58"/>
        <v>1700000</v>
      </c>
      <c r="AV80" s="146">
        <f>IFERROR(VLOOKUP(J80,Maksājumu_pieprasījumu_iesn.!G:BL,57,0),0)</f>
        <v>0</v>
      </c>
      <c r="AW80" s="139">
        <f t="shared" ref="AW80:AW143" si="59">AV80-AU80</f>
        <v>-1700000</v>
      </c>
      <c r="AX80" s="147"/>
      <c r="AY80" s="147"/>
      <c r="AZ80" s="147"/>
      <c r="BA80" s="165"/>
      <c r="BB80" s="144"/>
      <c r="BC80" s="144"/>
      <c r="BD80" s="144"/>
      <c r="BE80" s="144"/>
      <c r="BF80" s="144"/>
      <c r="BG80" s="144"/>
      <c r="BH80" s="149"/>
      <c r="BI80" s="149"/>
      <c r="BJ80" s="149"/>
      <c r="BK80" s="149"/>
      <c r="BL80" s="149"/>
      <c r="BM80" s="149"/>
      <c r="BN80" s="149"/>
    </row>
    <row r="81" spans="1:66" s="91" customFormat="1" ht="25.5" hidden="1" customHeight="1" x14ac:dyDescent="0.2">
      <c r="A81" s="150" t="s">
        <v>1082</v>
      </c>
      <c r="B81" s="18" t="s">
        <v>33</v>
      </c>
      <c r="C81" s="18" t="s">
        <v>34</v>
      </c>
      <c r="D81" s="19" t="s">
        <v>566</v>
      </c>
      <c r="E81" s="55">
        <v>1</v>
      </c>
      <c r="F81" s="55" t="s">
        <v>35</v>
      </c>
      <c r="G81" s="55" t="s">
        <v>5</v>
      </c>
      <c r="H81" s="55" t="s">
        <v>3</v>
      </c>
      <c r="I81" s="55"/>
      <c r="J81" s="55"/>
      <c r="K81" s="19" t="s">
        <v>1089</v>
      </c>
      <c r="L81" s="19"/>
      <c r="M81" s="19"/>
      <c r="N81" s="19" t="s">
        <v>1090</v>
      </c>
      <c r="O81" s="151">
        <v>42886</v>
      </c>
      <c r="P81" s="151"/>
      <c r="Q81" s="151"/>
      <c r="R81" s="151"/>
      <c r="S81" s="152"/>
      <c r="T81" s="152"/>
      <c r="U81" s="145">
        <v>0</v>
      </c>
      <c r="V81" s="145">
        <v>0</v>
      </c>
      <c r="W81" s="145">
        <v>0</v>
      </c>
      <c r="X81" s="145">
        <f t="shared" si="56"/>
        <v>0</v>
      </c>
      <c r="Y81" s="145">
        <v>0</v>
      </c>
      <c r="Z81" s="145">
        <v>0</v>
      </c>
      <c r="AA81" s="145">
        <v>0</v>
      </c>
      <c r="AB81" s="145">
        <v>0</v>
      </c>
      <c r="AC81" s="145">
        <v>0</v>
      </c>
      <c r="AD81" s="145">
        <v>0</v>
      </c>
      <c r="AE81" s="145">
        <v>0</v>
      </c>
      <c r="AF81" s="145">
        <v>0</v>
      </c>
      <c r="AG81" s="145">
        <v>0</v>
      </c>
      <c r="AH81" s="145">
        <v>0</v>
      </c>
      <c r="AI81" s="145">
        <v>0</v>
      </c>
      <c r="AJ81" s="145">
        <v>0</v>
      </c>
      <c r="AK81" s="145">
        <f t="shared" si="57"/>
        <v>0</v>
      </c>
      <c r="AL81" s="145">
        <v>774644.76412635902</v>
      </c>
      <c r="AM81" s="145">
        <v>381829.92797558982</v>
      </c>
      <c r="AN81" s="145">
        <v>288525.30789805128</v>
      </c>
      <c r="AO81" s="145">
        <v>0</v>
      </c>
      <c r="AP81" s="145">
        <v>0</v>
      </c>
      <c r="AQ81" s="145">
        <v>0</v>
      </c>
      <c r="AR81" s="145">
        <v>0</v>
      </c>
      <c r="AS81" s="145">
        <f t="shared" si="55"/>
        <v>1445000.0000000002</v>
      </c>
      <c r="AT81" s="145"/>
      <c r="AU81" s="139">
        <f t="shared" si="58"/>
        <v>1445000.0000000002</v>
      </c>
      <c r="AV81" s="146">
        <f>IFERROR(VLOOKUP(J81,Maksājumu_pieprasījumu_iesn.!G:BL,57,0),0)</f>
        <v>0</v>
      </c>
      <c r="AW81" s="139">
        <f t="shared" si="59"/>
        <v>-1445000.0000000002</v>
      </c>
      <c r="AX81" s="153"/>
      <c r="AY81" s="153"/>
      <c r="AZ81" s="153"/>
      <c r="BA81" s="136"/>
      <c r="BB81" s="145"/>
      <c r="BC81" s="145"/>
      <c r="BD81" s="145"/>
      <c r="BE81" s="145"/>
      <c r="BF81" s="145"/>
      <c r="BG81" s="145"/>
      <c r="BH81" s="138"/>
      <c r="BI81" s="138"/>
      <c r="BJ81" s="138"/>
      <c r="BK81" s="138"/>
      <c r="BL81" s="138"/>
      <c r="BM81" s="138"/>
      <c r="BN81" s="138"/>
    </row>
    <row r="82" spans="1:66" s="91" customFormat="1" ht="25.5" hidden="1" customHeight="1" x14ac:dyDescent="0.2">
      <c r="A82" s="150" t="s">
        <v>1082</v>
      </c>
      <c r="B82" s="18" t="s">
        <v>33</v>
      </c>
      <c r="C82" s="18" t="s">
        <v>34</v>
      </c>
      <c r="D82" s="19" t="s">
        <v>566</v>
      </c>
      <c r="E82" s="55">
        <v>1</v>
      </c>
      <c r="F82" s="55" t="s">
        <v>35</v>
      </c>
      <c r="G82" s="55" t="s">
        <v>5</v>
      </c>
      <c r="H82" s="55" t="s">
        <v>3</v>
      </c>
      <c r="I82" s="55"/>
      <c r="J82" s="55"/>
      <c r="K82" s="19" t="s">
        <v>17</v>
      </c>
      <c r="L82" s="19"/>
      <c r="M82" s="19"/>
      <c r="N82" s="19" t="s">
        <v>1091</v>
      </c>
      <c r="O82" s="151">
        <v>42886</v>
      </c>
      <c r="P82" s="151"/>
      <c r="Q82" s="151"/>
      <c r="R82" s="151"/>
      <c r="S82" s="152"/>
      <c r="T82" s="152"/>
      <c r="U82" s="145">
        <v>0</v>
      </c>
      <c r="V82" s="145">
        <v>0</v>
      </c>
      <c r="W82" s="145">
        <v>0</v>
      </c>
      <c r="X82" s="145">
        <f t="shared" si="56"/>
        <v>0</v>
      </c>
      <c r="Y82" s="145">
        <v>0</v>
      </c>
      <c r="Z82" s="145">
        <v>0</v>
      </c>
      <c r="AA82" s="145">
        <v>0</v>
      </c>
      <c r="AB82" s="145">
        <v>0</v>
      </c>
      <c r="AC82" s="145">
        <v>0</v>
      </c>
      <c r="AD82" s="145">
        <v>0</v>
      </c>
      <c r="AE82" s="145">
        <v>0</v>
      </c>
      <c r="AF82" s="145">
        <v>0</v>
      </c>
      <c r="AG82" s="145">
        <v>0</v>
      </c>
      <c r="AH82" s="145">
        <v>0</v>
      </c>
      <c r="AI82" s="145">
        <v>0</v>
      </c>
      <c r="AJ82" s="145">
        <v>0</v>
      </c>
      <c r="AK82" s="145">
        <f t="shared" si="57"/>
        <v>0</v>
      </c>
      <c r="AL82" s="145">
        <v>255000</v>
      </c>
      <c r="AM82" s="145">
        <v>127500</v>
      </c>
      <c r="AN82" s="145">
        <v>42500</v>
      </c>
      <c r="AO82" s="145">
        <v>0</v>
      </c>
      <c r="AP82" s="145">
        <v>0</v>
      </c>
      <c r="AQ82" s="145">
        <v>0</v>
      </c>
      <c r="AR82" s="145">
        <v>0</v>
      </c>
      <c r="AS82" s="145">
        <f t="shared" si="55"/>
        <v>425000</v>
      </c>
      <c r="AT82" s="145"/>
      <c r="AU82" s="139">
        <f t="shared" si="58"/>
        <v>425000</v>
      </c>
      <c r="AV82" s="146">
        <f>IFERROR(VLOOKUP(J82,Maksājumu_pieprasījumu_iesn.!G:BL,57,0),0)</f>
        <v>0</v>
      </c>
      <c r="AW82" s="139">
        <f t="shared" si="59"/>
        <v>-425000</v>
      </c>
      <c r="AX82" s="153"/>
      <c r="AY82" s="153"/>
      <c r="AZ82" s="153"/>
      <c r="BA82" s="136"/>
      <c r="BB82" s="145"/>
      <c r="BC82" s="145"/>
      <c r="BD82" s="145"/>
      <c r="BE82" s="145"/>
      <c r="BF82" s="145"/>
      <c r="BG82" s="145"/>
      <c r="BH82" s="138"/>
      <c r="BI82" s="138"/>
      <c r="BJ82" s="138"/>
      <c r="BK82" s="138"/>
      <c r="BL82" s="138"/>
      <c r="BM82" s="138"/>
      <c r="BN82" s="138"/>
    </row>
    <row r="83" spans="1:66" s="91" customFormat="1" ht="25.5" hidden="1" customHeight="1" x14ac:dyDescent="0.2">
      <c r="A83" s="150" t="s">
        <v>1082</v>
      </c>
      <c r="B83" s="18" t="s">
        <v>33</v>
      </c>
      <c r="C83" s="18" t="s">
        <v>34</v>
      </c>
      <c r="D83" s="19" t="s">
        <v>566</v>
      </c>
      <c r="E83" s="55">
        <v>1</v>
      </c>
      <c r="F83" s="55" t="s">
        <v>35</v>
      </c>
      <c r="G83" s="55" t="s">
        <v>5</v>
      </c>
      <c r="H83" s="55" t="s">
        <v>3</v>
      </c>
      <c r="I83" s="55"/>
      <c r="J83" s="55"/>
      <c r="K83" s="19" t="s">
        <v>13</v>
      </c>
      <c r="L83" s="19"/>
      <c r="M83" s="19"/>
      <c r="N83" s="19" t="s">
        <v>1092</v>
      </c>
      <c r="O83" s="151">
        <v>42947</v>
      </c>
      <c r="P83" s="151"/>
      <c r="Q83" s="151"/>
      <c r="R83" s="151"/>
      <c r="S83" s="152"/>
      <c r="T83" s="152"/>
      <c r="U83" s="145">
        <v>0</v>
      </c>
      <c r="V83" s="145">
        <v>0</v>
      </c>
      <c r="W83" s="145">
        <v>0</v>
      </c>
      <c r="X83" s="145">
        <f t="shared" si="56"/>
        <v>0</v>
      </c>
      <c r="Y83" s="145">
        <v>0</v>
      </c>
      <c r="Z83" s="145">
        <v>0</v>
      </c>
      <c r="AA83" s="145">
        <v>0</v>
      </c>
      <c r="AB83" s="145">
        <v>0</v>
      </c>
      <c r="AC83" s="145">
        <v>0</v>
      </c>
      <c r="AD83" s="145">
        <v>0</v>
      </c>
      <c r="AE83" s="145">
        <v>0</v>
      </c>
      <c r="AF83" s="145">
        <v>0</v>
      </c>
      <c r="AG83" s="145">
        <v>0</v>
      </c>
      <c r="AH83" s="145">
        <v>0</v>
      </c>
      <c r="AI83" s="145">
        <v>0</v>
      </c>
      <c r="AJ83" s="145">
        <v>0</v>
      </c>
      <c r="AK83" s="145">
        <f t="shared" si="57"/>
        <v>0</v>
      </c>
      <c r="AL83" s="145">
        <v>1275000</v>
      </c>
      <c r="AM83" s="145">
        <v>595000</v>
      </c>
      <c r="AN83" s="145">
        <v>255000</v>
      </c>
      <c r="AO83" s="145">
        <v>0</v>
      </c>
      <c r="AP83" s="145">
        <v>0</v>
      </c>
      <c r="AQ83" s="145">
        <v>0</v>
      </c>
      <c r="AR83" s="145">
        <v>0</v>
      </c>
      <c r="AS83" s="145">
        <f t="shared" si="55"/>
        <v>2125000</v>
      </c>
      <c r="AT83" s="145"/>
      <c r="AU83" s="139">
        <f t="shared" si="58"/>
        <v>2125000</v>
      </c>
      <c r="AV83" s="146">
        <f>IFERROR(VLOOKUP(J83,Maksājumu_pieprasījumu_iesn.!G:BL,57,0),0)</f>
        <v>0</v>
      </c>
      <c r="AW83" s="139">
        <f t="shared" si="59"/>
        <v>-2125000</v>
      </c>
      <c r="AX83" s="153"/>
      <c r="AY83" s="153"/>
      <c r="AZ83" s="153"/>
      <c r="BA83" s="136"/>
      <c r="BB83" s="145"/>
      <c r="BC83" s="145"/>
      <c r="BD83" s="145"/>
      <c r="BE83" s="145"/>
      <c r="BF83" s="145"/>
      <c r="BG83" s="145"/>
      <c r="BH83" s="138"/>
      <c r="BI83" s="138"/>
      <c r="BJ83" s="138"/>
      <c r="BK83" s="138"/>
      <c r="BL83" s="138"/>
      <c r="BM83" s="138"/>
      <c r="BN83" s="138"/>
    </row>
    <row r="84" spans="1:66" ht="38.25" hidden="1" customHeight="1" x14ac:dyDescent="0.2">
      <c r="A84" s="142" t="s">
        <v>1082</v>
      </c>
      <c r="B84" s="18" t="s">
        <v>33</v>
      </c>
      <c r="C84" s="18" t="s">
        <v>34</v>
      </c>
      <c r="D84" s="19" t="s">
        <v>566</v>
      </c>
      <c r="E84" s="18">
        <v>1</v>
      </c>
      <c r="F84" s="18" t="s">
        <v>35</v>
      </c>
      <c r="G84" s="18" t="s">
        <v>5</v>
      </c>
      <c r="H84" s="18" t="s">
        <v>3</v>
      </c>
      <c r="I84" s="18"/>
      <c r="J84" s="18" t="s">
        <v>1093</v>
      </c>
      <c r="K84" s="19" t="s">
        <v>1094</v>
      </c>
      <c r="L84" s="19"/>
      <c r="M84" s="19"/>
      <c r="N84" s="19" t="s">
        <v>1095</v>
      </c>
      <c r="O84" s="143"/>
      <c r="P84" s="143"/>
      <c r="Q84" s="143"/>
      <c r="R84" s="187" t="s">
        <v>1096</v>
      </c>
      <c r="S84" s="144">
        <v>425000</v>
      </c>
      <c r="T84" s="172"/>
      <c r="U84" s="145">
        <v>0</v>
      </c>
      <c r="V84" s="145">
        <v>0</v>
      </c>
      <c r="W84" s="145">
        <v>0</v>
      </c>
      <c r="X84" s="145">
        <f t="shared" si="56"/>
        <v>0</v>
      </c>
      <c r="Y84" s="145">
        <v>0</v>
      </c>
      <c r="Z84" s="145">
        <v>0</v>
      </c>
      <c r="AA84" s="145">
        <v>0</v>
      </c>
      <c r="AB84" s="145">
        <v>0</v>
      </c>
      <c r="AC84" s="145">
        <v>0</v>
      </c>
      <c r="AD84" s="145">
        <v>0</v>
      </c>
      <c r="AE84" s="145">
        <v>0</v>
      </c>
      <c r="AF84" s="145">
        <v>0</v>
      </c>
      <c r="AG84" s="145">
        <v>0</v>
      </c>
      <c r="AH84" s="145">
        <v>0</v>
      </c>
      <c r="AI84" s="145">
        <v>0</v>
      </c>
      <c r="AJ84" s="145">
        <v>0</v>
      </c>
      <c r="AK84" s="145">
        <f t="shared" si="57"/>
        <v>0</v>
      </c>
      <c r="AL84" s="145">
        <v>425000</v>
      </c>
      <c r="AM84" s="145">
        <v>0</v>
      </c>
      <c r="AN84" s="145">
        <v>0</v>
      </c>
      <c r="AO84" s="145">
        <v>0</v>
      </c>
      <c r="AP84" s="145">
        <v>0</v>
      </c>
      <c r="AQ84" s="145">
        <v>0</v>
      </c>
      <c r="AR84" s="145">
        <v>0</v>
      </c>
      <c r="AS84" s="144">
        <f t="shared" si="55"/>
        <v>425000</v>
      </c>
      <c r="AT84" s="144">
        <v>0</v>
      </c>
      <c r="AU84" s="146">
        <f t="shared" si="58"/>
        <v>425000</v>
      </c>
      <c r="AV84" s="146">
        <f>IFERROR(VLOOKUP(J84,Maksājumu_pieprasījumu_iesn.!G:BL,57,0),0)</f>
        <v>0</v>
      </c>
      <c r="AW84" s="139">
        <f t="shared" si="59"/>
        <v>-425000</v>
      </c>
      <c r="AX84" s="147"/>
      <c r="AY84" s="147"/>
      <c r="AZ84" s="147"/>
      <c r="BA84" s="165"/>
      <c r="BB84" s="144"/>
      <c r="BC84" s="144"/>
      <c r="BD84" s="144"/>
      <c r="BE84" s="144"/>
      <c r="BF84" s="144"/>
      <c r="BG84" s="144"/>
      <c r="BH84" s="149"/>
      <c r="BI84" s="149"/>
      <c r="BJ84" s="149"/>
      <c r="BK84" s="149"/>
      <c r="BL84" s="149"/>
      <c r="BM84" s="149"/>
      <c r="BN84" s="149"/>
    </row>
    <row r="85" spans="1:66" ht="25.5" hidden="1" customHeight="1" x14ac:dyDescent="0.2">
      <c r="A85" s="142" t="s">
        <v>1082</v>
      </c>
      <c r="B85" s="18" t="s">
        <v>33</v>
      </c>
      <c r="C85" s="18" t="s">
        <v>34</v>
      </c>
      <c r="D85" s="19" t="s">
        <v>566</v>
      </c>
      <c r="E85" s="18">
        <v>1</v>
      </c>
      <c r="F85" s="18" t="s">
        <v>35</v>
      </c>
      <c r="G85" s="18" t="s">
        <v>5</v>
      </c>
      <c r="H85" s="18" t="s">
        <v>3</v>
      </c>
      <c r="I85" s="18"/>
      <c r="J85" s="18" t="s">
        <v>1097</v>
      </c>
      <c r="K85" s="19" t="s">
        <v>741</v>
      </c>
      <c r="L85" s="19"/>
      <c r="M85" s="19"/>
      <c r="N85" s="19" t="s">
        <v>1098</v>
      </c>
      <c r="O85" s="143"/>
      <c r="P85" s="143"/>
      <c r="Q85" s="143"/>
      <c r="R85" s="187">
        <v>42850</v>
      </c>
      <c r="S85" s="144">
        <v>3825000</v>
      </c>
      <c r="T85" s="172"/>
      <c r="U85" s="145">
        <v>0</v>
      </c>
      <c r="V85" s="145">
        <v>0</v>
      </c>
      <c r="W85" s="145">
        <v>0</v>
      </c>
      <c r="X85" s="145">
        <f t="shared" si="56"/>
        <v>0</v>
      </c>
      <c r="Y85" s="145">
        <v>0</v>
      </c>
      <c r="Z85" s="145">
        <v>0</v>
      </c>
      <c r="AA85" s="145">
        <v>0</v>
      </c>
      <c r="AB85" s="145">
        <v>0</v>
      </c>
      <c r="AC85" s="145">
        <v>0</v>
      </c>
      <c r="AD85" s="145">
        <v>0</v>
      </c>
      <c r="AE85" s="145">
        <v>0</v>
      </c>
      <c r="AF85" s="145">
        <v>0</v>
      </c>
      <c r="AG85" s="145">
        <v>0</v>
      </c>
      <c r="AH85" s="145">
        <v>0</v>
      </c>
      <c r="AI85" s="145">
        <v>0</v>
      </c>
      <c r="AJ85" s="145">
        <v>0</v>
      </c>
      <c r="AK85" s="145">
        <f t="shared" si="57"/>
        <v>0</v>
      </c>
      <c r="AL85" s="145">
        <v>2529248.9500000002</v>
      </c>
      <c r="AM85" s="145">
        <v>996183.85</v>
      </c>
      <c r="AN85" s="145">
        <v>299567.2</v>
      </c>
      <c r="AO85" s="145">
        <v>0</v>
      </c>
      <c r="AP85" s="145">
        <v>0</v>
      </c>
      <c r="AQ85" s="145">
        <v>0</v>
      </c>
      <c r="AR85" s="145">
        <v>0</v>
      </c>
      <c r="AS85" s="144">
        <f t="shared" si="55"/>
        <v>3825000.0000000005</v>
      </c>
      <c r="AT85" s="144">
        <v>0</v>
      </c>
      <c r="AU85" s="146">
        <f t="shared" si="58"/>
        <v>3825000.0000000005</v>
      </c>
      <c r="AV85" s="146">
        <f>IFERROR(VLOOKUP(J85,Maksājumu_pieprasījumu_iesn.!G:BL,57,0),0)</f>
        <v>0</v>
      </c>
      <c r="AW85" s="139">
        <f t="shared" si="59"/>
        <v>-3825000.0000000005</v>
      </c>
      <c r="AX85" s="147"/>
      <c r="AY85" s="147"/>
      <c r="AZ85" s="147"/>
      <c r="BA85" s="165"/>
      <c r="BB85" s="144"/>
      <c r="BC85" s="144"/>
      <c r="BD85" s="144"/>
      <c r="BE85" s="144"/>
      <c r="BF85" s="144"/>
      <c r="BG85" s="144"/>
      <c r="BH85" s="149"/>
      <c r="BI85" s="149"/>
      <c r="BJ85" s="149"/>
      <c r="BK85" s="149"/>
      <c r="BL85" s="149"/>
      <c r="BM85" s="149"/>
      <c r="BN85" s="149"/>
    </row>
    <row r="86" spans="1:66" s="91" customFormat="1" ht="38.25" hidden="1" customHeight="1" x14ac:dyDescent="0.2">
      <c r="A86" s="150" t="s">
        <v>1082</v>
      </c>
      <c r="B86" s="18" t="s">
        <v>33</v>
      </c>
      <c r="C86" s="18" t="s">
        <v>34</v>
      </c>
      <c r="D86" s="19" t="s">
        <v>566</v>
      </c>
      <c r="E86" s="55">
        <v>1</v>
      </c>
      <c r="F86" s="55" t="s">
        <v>35</v>
      </c>
      <c r="G86" s="55" t="s">
        <v>5</v>
      </c>
      <c r="H86" s="55" t="s">
        <v>3</v>
      </c>
      <c r="I86" s="55"/>
      <c r="J86" s="55"/>
      <c r="K86" s="19" t="s">
        <v>1099</v>
      </c>
      <c r="L86" s="19"/>
      <c r="M86" s="19"/>
      <c r="N86" s="19" t="s">
        <v>1100</v>
      </c>
      <c r="O86" s="151">
        <v>43039</v>
      </c>
      <c r="P86" s="151"/>
      <c r="Q86" s="151"/>
      <c r="R86" s="151"/>
      <c r="S86" s="152"/>
      <c r="T86" s="152"/>
      <c r="U86" s="145">
        <v>0</v>
      </c>
      <c r="V86" s="145">
        <v>0</v>
      </c>
      <c r="W86" s="145">
        <v>0</v>
      </c>
      <c r="X86" s="145">
        <f t="shared" si="56"/>
        <v>0</v>
      </c>
      <c r="Y86" s="145">
        <v>0</v>
      </c>
      <c r="Z86" s="145">
        <v>0</v>
      </c>
      <c r="AA86" s="145">
        <v>0</v>
      </c>
      <c r="AB86" s="145">
        <v>0</v>
      </c>
      <c r="AC86" s="145">
        <v>0</v>
      </c>
      <c r="AD86" s="145">
        <v>0</v>
      </c>
      <c r="AE86" s="145">
        <v>0</v>
      </c>
      <c r="AF86" s="145">
        <v>0</v>
      </c>
      <c r="AG86" s="145">
        <v>0</v>
      </c>
      <c r="AH86" s="145">
        <v>0</v>
      </c>
      <c r="AI86" s="145">
        <v>0</v>
      </c>
      <c r="AJ86" s="145">
        <v>0</v>
      </c>
      <c r="AK86" s="145">
        <f t="shared" si="57"/>
        <v>0</v>
      </c>
      <c r="AL86" s="145">
        <v>2873000</v>
      </c>
      <c r="AM86" s="145">
        <v>1377000</v>
      </c>
      <c r="AN86" s="145">
        <v>0</v>
      </c>
      <c r="AO86" s="145">
        <v>0</v>
      </c>
      <c r="AP86" s="145">
        <v>0</v>
      </c>
      <c r="AQ86" s="145">
        <v>0</v>
      </c>
      <c r="AR86" s="145">
        <v>0</v>
      </c>
      <c r="AS86" s="145">
        <f t="shared" si="55"/>
        <v>4250000</v>
      </c>
      <c r="AT86" s="145"/>
      <c r="AU86" s="139">
        <f t="shared" si="58"/>
        <v>4250000</v>
      </c>
      <c r="AV86" s="146">
        <f>IFERROR(VLOOKUP(J86,Maksājumu_pieprasījumu_iesn.!G:BL,57,0),0)</f>
        <v>0</v>
      </c>
      <c r="AW86" s="139">
        <f t="shared" si="59"/>
        <v>-4250000</v>
      </c>
      <c r="AX86" s="153"/>
      <c r="AY86" s="153"/>
      <c r="AZ86" s="153"/>
      <c r="BA86" s="136"/>
      <c r="BB86" s="145"/>
      <c r="BC86" s="145"/>
      <c r="BD86" s="145"/>
      <c r="BE86" s="145"/>
      <c r="BF86" s="145"/>
      <c r="BG86" s="145"/>
      <c r="BH86" s="138"/>
      <c r="BI86" s="138"/>
      <c r="BJ86" s="138"/>
      <c r="BK86" s="138"/>
      <c r="BL86" s="138"/>
      <c r="BM86" s="138"/>
      <c r="BN86" s="138"/>
    </row>
    <row r="87" spans="1:66" s="91" customFormat="1" ht="12.75" hidden="1" customHeight="1" x14ac:dyDescent="0.2">
      <c r="A87" s="150" t="s">
        <v>1082</v>
      </c>
      <c r="B87" s="18" t="s">
        <v>33</v>
      </c>
      <c r="C87" s="18" t="s">
        <v>34</v>
      </c>
      <c r="D87" s="19" t="s">
        <v>566</v>
      </c>
      <c r="E87" s="55">
        <v>1</v>
      </c>
      <c r="F87" s="55" t="s">
        <v>35</v>
      </c>
      <c r="G87" s="55" t="s">
        <v>5</v>
      </c>
      <c r="H87" s="55" t="s">
        <v>3</v>
      </c>
      <c r="I87" s="55"/>
      <c r="J87" s="55"/>
      <c r="K87" s="19" t="s">
        <v>1099</v>
      </c>
      <c r="L87" s="19"/>
      <c r="M87" s="19"/>
      <c r="N87" s="19" t="s">
        <v>1101</v>
      </c>
      <c r="O87" s="151">
        <v>43039</v>
      </c>
      <c r="P87" s="151"/>
      <c r="Q87" s="151"/>
      <c r="R87" s="151"/>
      <c r="S87" s="152"/>
      <c r="T87" s="152"/>
      <c r="U87" s="145">
        <v>0</v>
      </c>
      <c r="V87" s="145">
        <v>0</v>
      </c>
      <c r="W87" s="145">
        <v>0</v>
      </c>
      <c r="X87" s="145">
        <f t="shared" si="56"/>
        <v>0</v>
      </c>
      <c r="Y87" s="145">
        <v>0</v>
      </c>
      <c r="Z87" s="145">
        <v>0</v>
      </c>
      <c r="AA87" s="145">
        <v>0</v>
      </c>
      <c r="AB87" s="145">
        <v>0</v>
      </c>
      <c r="AC87" s="145">
        <v>0</v>
      </c>
      <c r="AD87" s="145">
        <v>0</v>
      </c>
      <c r="AE87" s="145">
        <v>0</v>
      </c>
      <c r="AF87" s="145">
        <v>0</v>
      </c>
      <c r="AG87" s="145">
        <v>0</v>
      </c>
      <c r="AH87" s="145">
        <v>0</v>
      </c>
      <c r="AI87" s="145">
        <v>0</v>
      </c>
      <c r="AJ87" s="145">
        <v>0</v>
      </c>
      <c r="AK87" s="145">
        <f t="shared" si="57"/>
        <v>0</v>
      </c>
      <c r="AL87" s="145">
        <v>1275000</v>
      </c>
      <c r="AM87" s="145">
        <v>2125000</v>
      </c>
      <c r="AN87" s="145">
        <v>425000</v>
      </c>
      <c r="AO87" s="145">
        <v>0</v>
      </c>
      <c r="AP87" s="145">
        <v>0</v>
      </c>
      <c r="AQ87" s="145">
        <v>0</v>
      </c>
      <c r="AR87" s="145">
        <v>0</v>
      </c>
      <c r="AS87" s="145">
        <f t="shared" si="55"/>
        <v>3825000</v>
      </c>
      <c r="AT87" s="145"/>
      <c r="AU87" s="139">
        <f t="shared" si="58"/>
        <v>3825000</v>
      </c>
      <c r="AV87" s="146">
        <f>IFERROR(VLOOKUP(J87,Maksājumu_pieprasījumu_iesn.!G:BL,57,0),0)</f>
        <v>0</v>
      </c>
      <c r="AW87" s="139">
        <f t="shared" si="59"/>
        <v>-3825000</v>
      </c>
      <c r="AX87" s="153"/>
      <c r="AY87" s="153"/>
      <c r="AZ87" s="153"/>
      <c r="BA87" s="136"/>
      <c r="BB87" s="145"/>
      <c r="BC87" s="145"/>
      <c r="BD87" s="145"/>
      <c r="BE87" s="145"/>
      <c r="BF87" s="145"/>
      <c r="BG87" s="145"/>
      <c r="BH87" s="138"/>
      <c r="BI87" s="138"/>
      <c r="BJ87" s="138"/>
      <c r="BK87" s="138"/>
      <c r="BL87" s="138"/>
      <c r="BM87" s="138"/>
      <c r="BN87" s="138"/>
    </row>
    <row r="88" spans="1:66" s="91" customFormat="1" ht="25.5" hidden="1" customHeight="1" x14ac:dyDescent="0.2">
      <c r="A88" s="150" t="s">
        <v>1082</v>
      </c>
      <c r="B88" s="18" t="s">
        <v>33</v>
      </c>
      <c r="C88" s="18" t="s">
        <v>34</v>
      </c>
      <c r="D88" s="19" t="s">
        <v>566</v>
      </c>
      <c r="E88" s="55">
        <v>1</v>
      </c>
      <c r="F88" s="55" t="s">
        <v>35</v>
      </c>
      <c r="G88" s="55" t="s">
        <v>5</v>
      </c>
      <c r="H88" s="55" t="s">
        <v>3</v>
      </c>
      <c r="I88" s="55"/>
      <c r="J88" s="55"/>
      <c r="K88" s="19" t="s">
        <v>1102</v>
      </c>
      <c r="L88" s="19"/>
      <c r="M88" s="19"/>
      <c r="N88" s="19" t="s">
        <v>1103</v>
      </c>
      <c r="O88" s="151">
        <v>42916</v>
      </c>
      <c r="P88" s="151"/>
      <c r="Q88" s="151"/>
      <c r="R88" s="151"/>
      <c r="S88" s="152"/>
      <c r="T88" s="152"/>
      <c r="U88" s="145">
        <v>0</v>
      </c>
      <c r="V88" s="145">
        <v>0</v>
      </c>
      <c r="W88" s="145">
        <v>0</v>
      </c>
      <c r="X88" s="145">
        <f t="shared" si="56"/>
        <v>0</v>
      </c>
      <c r="Y88" s="145">
        <v>0</v>
      </c>
      <c r="Z88" s="145">
        <v>0</v>
      </c>
      <c r="AA88" s="145">
        <v>0</v>
      </c>
      <c r="AB88" s="145">
        <v>0</v>
      </c>
      <c r="AC88" s="145">
        <v>0</v>
      </c>
      <c r="AD88" s="145">
        <v>0</v>
      </c>
      <c r="AE88" s="145">
        <v>0</v>
      </c>
      <c r="AF88" s="145">
        <v>0</v>
      </c>
      <c r="AG88" s="145">
        <v>0</v>
      </c>
      <c r="AH88" s="145">
        <v>0</v>
      </c>
      <c r="AI88" s="145">
        <v>0</v>
      </c>
      <c r="AJ88" s="145">
        <v>4250</v>
      </c>
      <c r="AK88" s="145">
        <f t="shared" si="57"/>
        <v>4250</v>
      </c>
      <c r="AL88" s="145">
        <v>1865750</v>
      </c>
      <c r="AM88" s="145">
        <v>2380000</v>
      </c>
      <c r="AN88" s="145">
        <v>0</v>
      </c>
      <c r="AO88" s="145">
        <v>0</v>
      </c>
      <c r="AP88" s="145">
        <v>0</v>
      </c>
      <c r="AQ88" s="145">
        <v>0</v>
      </c>
      <c r="AR88" s="145">
        <v>0</v>
      </c>
      <c r="AS88" s="145">
        <f t="shared" si="55"/>
        <v>4250000</v>
      </c>
      <c r="AT88" s="145"/>
      <c r="AU88" s="139">
        <f t="shared" si="58"/>
        <v>4250000</v>
      </c>
      <c r="AV88" s="146">
        <f>IFERROR(VLOOKUP(J88,Maksājumu_pieprasījumu_iesn.!G:BL,57,0),0)</f>
        <v>0</v>
      </c>
      <c r="AW88" s="139">
        <f t="shared" si="59"/>
        <v>-4250000</v>
      </c>
      <c r="AX88" s="153"/>
      <c r="AY88" s="153"/>
      <c r="AZ88" s="153"/>
      <c r="BA88" s="136"/>
      <c r="BB88" s="145"/>
      <c r="BC88" s="145"/>
      <c r="BD88" s="145"/>
      <c r="BE88" s="145"/>
      <c r="BF88" s="145"/>
      <c r="BG88" s="145"/>
      <c r="BH88" s="138"/>
      <c r="BI88" s="138"/>
      <c r="BJ88" s="138"/>
      <c r="BK88" s="138"/>
      <c r="BL88" s="138"/>
      <c r="BM88" s="138"/>
      <c r="BN88" s="138"/>
    </row>
    <row r="89" spans="1:66" s="91" customFormat="1" ht="25.5" hidden="1" customHeight="1" x14ac:dyDescent="0.2">
      <c r="A89" s="150" t="s">
        <v>1082</v>
      </c>
      <c r="B89" s="18" t="s">
        <v>33</v>
      </c>
      <c r="C89" s="18" t="s">
        <v>34</v>
      </c>
      <c r="D89" s="19" t="s">
        <v>566</v>
      </c>
      <c r="E89" s="55">
        <v>1</v>
      </c>
      <c r="F89" s="55" t="s">
        <v>35</v>
      </c>
      <c r="G89" s="55" t="s">
        <v>5</v>
      </c>
      <c r="H89" s="55" t="s">
        <v>3</v>
      </c>
      <c r="I89" s="55"/>
      <c r="J89" s="55"/>
      <c r="K89" s="19" t="s">
        <v>311</v>
      </c>
      <c r="L89" s="19"/>
      <c r="M89" s="19"/>
      <c r="N89" s="19" t="s">
        <v>1104</v>
      </c>
      <c r="O89" s="151">
        <v>42919</v>
      </c>
      <c r="P89" s="151"/>
      <c r="Q89" s="151"/>
      <c r="R89" s="151"/>
      <c r="S89" s="152"/>
      <c r="T89" s="152"/>
      <c r="U89" s="145">
        <v>0</v>
      </c>
      <c r="V89" s="145">
        <v>0</v>
      </c>
      <c r="W89" s="145">
        <v>0</v>
      </c>
      <c r="X89" s="145">
        <f t="shared" si="56"/>
        <v>0</v>
      </c>
      <c r="Y89" s="145">
        <v>0</v>
      </c>
      <c r="Z89" s="145">
        <v>0</v>
      </c>
      <c r="AA89" s="145">
        <v>0</v>
      </c>
      <c r="AB89" s="145">
        <v>0</v>
      </c>
      <c r="AC89" s="145">
        <v>0</v>
      </c>
      <c r="AD89" s="145">
        <v>0</v>
      </c>
      <c r="AE89" s="145">
        <v>0</v>
      </c>
      <c r="AF89" s="145">
        <v>0</v>
      </c>
      <c r="AG89" s="145">
        <v>0</v>
      </c>
      <c r="AH89" s="145">
        <v>0</v>
      </c>
      <c r="AI89" s="145">
        <v>0</v>
      </c>
      <c r="AJ89" s="145">
        <v>0</v>
      </c>
      <c r="AK89" s="145">
        <f t="shared" si="57"/>
        <v>0</v>
      </c>
      <c r="AL89" s="145">
        <v>442000</v>
      </c>
      <c r="AM89" s="145">
        <v>408000</v>
      </c>
      <c r="AN89" s="145">
        <v>0</v>
      </c>
      <c r="AO89" s="145">
        <v>0</v>
      </c>
      <c r="AP89" s="145">
        <v>0</v>
      </c>
      <c r="AQ89" s="145">
        <v>0</v>
      </c>
      <c r="AR89" s="145">
        <v>0</v>
      </c>
      <c r="AS89" s="145">
        <f t="shared" si="55"/>
        <v>850000</v>
      </c>
      <c r="AT89" s="145"/>
      <c r="AU89" s="139">
        <f t="shared" si="58"/>
        <v>850000</v>
      </c>
      <c r="AV89" s="146">
        <f>IFERROR(VLOOKUP(J89,Maksājumu_pieprasījumu_iesn.!G:BL,57,0),0)</f>
        <v>0</v>
      </c>
      <c r="AW89" s="139">
        <f t="shared" si="59"/>
        <v>-850000</v>
      </c>
      <c r="AX89" s="153"/>
      <c r="AY89" s="153"/>
      <c r="AZ89" s="153"/>
      <c r="BA89" s="136"/>
      <c r="BB89" s="145"/>
      <c r="BC89" s="145"/>
      <c r="BD89" s="145"/>
      <c r="BE89" s="145"/>
      <c r="BF89" s="145"/>
      <c r="BG89" s="145"/>
      <c r="BH89" s="138"/>
      <c r="BI89" s="138"/>
      <c r="BJ89" s="138"/>
      <c r="BK89" s="138"/>
      <c r="BL89" s="138"/>
      <c r="BM89" s="138"/>
      <c r="BN89" s="138"/>
    </row>
    <row r="90" spans="1:66" s="91" customFormat="1" ht="76.5" hidden="1" customHeight="1" x14ac:dyDescent="0.2">
      <c r="A90" s="150" t="s">
        <v>1082</v>
      </c>
      <c r="B90" s="18" t="s">
        <v>33</v>
      </c>
      <c r="C90" s="18" t="s">
        <v>34</v>
      </c>
      <c r="D90" s="19" t="s">
        <v>566</v>
      </c>
      <c r="E90" s="55">
        <v>1</v>
      </c>
      <c r="F90" s="55" t="s">
        <v>35</v>
      </c>
      <c r="G90" s="55" t="s">
        <v>5</v>
      </c>
      <c r="H90" s="55" t="s">
        <v>3</v>
      </c>
      <c r="I90" s="55"/>
      <c r="J90" s="55"/>
      <c r="K90" s="19" t="s">
        <v>1105</v>
      </c>
      <c r="L90" s="19"/>
      <c r="M90" s="19"/>
      <c r="N90" s="19" t="s">
        <v>1106</v>
      </c>
      <c r="O90" s="151">
        <v>43069</v>
      </c>
      <c r="P90" s="151"/>
      <c r="Q90" s="151"/>
      <c r="R90" s="151"/>
      <c r="S90" s="152"/>
      <c r="T90" s="152"/>
      <c r="U90" s="145">
        <v>0</v>
      </c>
      <c r="V90" s="145">
        <v>0</v>
      </c>
      <c r="W90" s="145">
        <v>0</v>
      </c>
      <c r="X90" s="145">
        <f t="shared" si="56"/>
        <v>0</v>
      </c>
      <c r="Y90" s="145">
        <v>0</v>
      </c>
      <c r="Z90" s="145">
        <v>0</v>
      </c>
      <c r="AA90" s="145">
        <v>0</v>
      </c>
      <c r="AB90" s="145">
        <v>0</v>
      </c>
      <c r="AC90" s="145">
        <v>0</v>
      </c>
      <c r="AD90" s="145">
        <v>0</v>
      </c>
      <c r="AE90" s="145">
        <v>0</v>
      </c>
      <c r="AF90" s="145">
        <v>0</v>
      </c>
      <c r="AG90" s="145">
        <v>0</v>
      </c>
      <c r="AH90" s="145">
        <v>0</v>
      </c>
      <c r="AI90" s="145">
        <v>0</v>
      </c>
      <c r="AJ90" s="145">
        <v>0</v>
      </c>
      <c r="AK90" s="145">
        <f t="shared" si="57"/>
        <v>0</v>
      </c>
      <c r="AL90" s="145">
        <v>766844.85</v>
      </c>
      <c r="AM90" s="145">
        <v>1443154.65</v>
      </c>
      <c r="AN90" s="145">
        <v>0</v>
      </c>
      <c r="AO90" s="145">
        <v>0</v>
      </c>
      <c r="AP90" s="145">
        <v>0</v>
      </c>
      <c r="AQ90" s="145">
        <v>0</v>
      </c>
      <c r="AR90" s="145">
        <v>0</v>
      </c>
      <c r="AS90" s="145">
        <f t="shared" si="55"/>
        <v>2209999.5</v>
      </c>
      <c r="AT90" s="145"/>
      <c r="AU90" s="139">
        <f t="shared" si="58"/>
        <v>2209999.5</v>
      </c>
      <c r="AV90" s="146">
        <f>IFERROR(VLOOKUP(J90,Maksājumu_pieprasījumu_iesn.!G:BL,57,0),0)</f>
        <v>0</v>
      </c>
      <c r="AW90" s="139">
        <f t="shared" si="59"/>
        <v>-2209999.5</v>
      </c>
      <c r="AX90" s="153"/>
      <c r="AY90" s="153"/>
      <c r="AZ90" s="153"/>
      <c r="BA90" s="136"/>
      <c r="BB90" s="145"/>
      <c r="BC90" s="145"/>
      <c r="BD90" s="145"/>
      <c r="BE90" s="145"/>
      <c r="BF90" s="145"/>
      <c r="BG90" s="145"/>
      <c r="BH90" s="138"/>
      <c r="BI90" s="138"/>
      <c r="BJ90" s="138"/>
      <c r="BK90" s="138"/>
      <c r="BL90" s="138"/>
      <c r="BM90" s="138"/>
      <c r="BN90" s="138"/>
    </row>
    <row r="91" spans="1:66" s="91" customFormat="1" ht="12.75" hidden="1" customHeight="1" x14ac:dyDescent="0.2">
      <c r="A91" s="150" t="s">
        <v>1082</v>
      </c>
      <c r="B91" s="18" t="s">
        <v>33</v>
      </c>
      <c r="C91" s="18" t="s">
        <v>34</v>
      </c>
      <c r="D91" s="19" t="s">
        <v>566</v>
      </c>
      <c r="E91" s="55">
        <v>1</v>
      </c>
      <c r="F91" s="55" t="s">
        <v>35</v>
      </c>
      <c r="G91" s="55" t="s">
        <v>5</v>
      </c>
      <c r="H91" s="55" t="s">
        <v>3</v>
      </c>
      <c r="I91" s="55"/>
      <c r="J91" s="55"/>
      <c r="K91" s="19" t="s">
        <v>40</v>
      </c>
      <c r="L91" s="19"/>
      <c r="M91" s="19"/>
      <c r="N91" s="19" t="s">
        <v>1107</v>
      </c>
      <c r="O91" s="151">
        <v>42887</v>
      </c>
      <c r="P91" s="151"/>
      <c r="Q91" s="151"/>
      <c r="R91" s="151"/>
      <c r="S91" s="152"/>
      <c r="T91" s="152"/>
      <c r="U91" s="145">
        <v>0</v>
      </c>
      <c r="V91" s="145">
        <v>0</v>
      </c>
      <c r="W91" s="145">
        <v>0</v>
      </c>
      <c r="X91" s="145">
        <f t="shared" si="56"/>
        <v>0</v>
      </c>
      <c r="Y91" s="145">
        <v>0</v>
      </c>
      <c r="Z91" s="145">
        <v>0</v>
      </c>
      <c r="AA91" s="145">
        <v>0</v>
      </c>
      <c r="AB91" s="145">
        <v>0</v>
      </c>
      <c r="AC91" s="145">
        <v>0</v>
      </c>
      <c r="AD91" s="145">
        <v>0</v>
      </c>
      <c r="AE91" s="145">
        <v>0</v>
      </c>
      <c r="AF91" s="145">
        <v>0</v>
      </c>
      <c r="AG91" s="145">
        <v>0</v>
      </c>
      <c r="AH91" s="145">
        <v>0</v>
      </c>
      <c r="AI91" s="145">
        <v>0</v>
      </c>
      <c r="AJ91" s="145">
        <v>7682.8270000000002</v>
      </c>
      <c r="AK91" s="145">
        <f t="shared" si="57"/>
        <v>7682.8270000000002</v>
      </c>
      <c r="AL91" s="145">
        <v>1425197.9579999999</v>
      </c>
      <c r="AM91" s="145">
        <v>219564.35</v>
      </c>
      <c r="AN91" s="145">
        <v>47554.78</v>
      </c>
      <c r="AO91" s="145">
        <v>0</v>
      </c>
      <c r="AP91" s="145">
        <v>0</v>
      </c>
      <c r="AQ91" s="145">
        <v>0</v>
      </c>
      <c r="AR91" s="145">
        <v>0</v>
      </c>
      <c r="AS91" s="145">
        <f t="shared" si="55"/>
        <v>1699999.915</v>
      </c>
      <c r="AT91" s="145"/>
      <c r="AU91" s="139">
        <f t="shared" si="58"/>
        <v>1699999.915</v>
      </c>
      <c r="AV91" s="146">
        <f>IFERROR(VLOOKUP(J91,Maksājumu_pieprasījumu_iesn.!G:BL,57,0),0)</f>
        <v>0</v>
      </c>
      <c r="AW91" s="139">
        <f t="shared" si="59"/>
        <v>-1699999.915</v>
      </c>
      <c r="AX91" s="153"/>
      <c r="AY91" s="153"/>
      <c r="AZ91" s="153"/>
      <c r="BA91" s="136"/>
      <c r="BB91" s="145"/>
      <c r="BC91" s="145"/>
      <c r="BD91" s="145"/>
      <c r="BE91" s="145"/>
      <c r="BF91" s="145"/>
      <c r="BG91" s="145"/>
      <c r="BH91" s="138"/>
      <c r="BI91" s="138"/>
      <c r="BJ91" s="138"/>
      <c r="BK91" s="138"/>
      <c r="BL91" s="138"/>
      <c r="BM91" s="138"/>
      <c r="BN91" s="138"/>
    </row>
    <row r="92" spans="1:66" s="91" customFormat="1" ht="38.25" hidden="1" customHeight="1" x14ac:dyDescent="0.2">
      <c r="A92" s="150" t="s">
        <v>1082</v>
      </c>
      <c r="B92" s="18" t="s">
        <v>33</v>
      </c>
      <c r="C92" s="18" t="s">
        <v>34</v>
      </c>
      <c r="D92" s="19" t="s">
        <v>566</v>
      </c>
      <c r="E92" s="55">
        <v>1</v>
      </c>
      <c r="F92" s="55" t="s">
        <v>35</v>
      </c>
      <c r="G92" s="55" t="s">
        <v>5</v>
      </c>
      <c r="H92" s="55" t="s">
        <v>3</v>
      </c>
      <c r="I92" s="55"/>
      <c r="J92" s="55"/>
      <c r="K92" s="19" t="s">
        <v>40</v>
      </c>
      <c r="L92" s="19"/>
      <c r="M92" s="19"/>
      <c r="N92" s="19" t="s">
        <v>1108</v>
      </c>
      <c r="O92" s="151">
        <v>42978</v>
      </c>
      <c r="P92" s="151"/>
      <c r="Q92" s="151"/>
      <c r="R92" s="151"/>
      <c r="S92" s="152"/>
      <c r="T92" s="152"/>
      <c r="U92" s="145">
        <v>0</v>
      </c>
      <c r="V92" s="145">
        <v>0</v>
      </c>
      <c r="W92" s="145">
        <v>0</v>
      </c>
      <c r="X92" s="145">
        <f t="shared" si="56"/>
        <v>0</v>
      </c>
      <c r="Y92" s="145">
        <v>0</v>
      </c>
      <c r="Z92" s="145">
        <v>0</v>
      </c>
      <c r="AA92" s="145">
        <v>0</v>
      </c>
      <c r="AB92" s="145">
        <v>0</v>
      </c>
      <c r="AC92" s="145">
        <v>0</v>
      </c>
      <c r="AD92" s="145">
        <v>0</v>
      </c>
      <c r="AE92" s="145">
        <v>0</v>
      </c>
      <c r="AF92" s="145">
        <v>0</v>
      </c>
      <c r="AG92" s="145">
        <v>0</v>
      </c>
      <c r="AH92" s="145">
        <v>0</v>
      </c>
      <c r="AI92" s="145">
        <v>0</v>
      </c>
      <c r="AJ92" s="145">
        <v>0</v>
      </c>
      <c r="AK92" s="145">
        <f t="shared" si="57"/>
        <v>0</v>
      </c>
      <c r="AL92" s="145">
        <v>597407.19999999995</v>
      </c>
      <c r="AM92" s="145">
        <v>320892</v>
      </c>
      <c r="AN92" s="145">
        <v>101700.8</v>
      </c>
      <c r="AO92" s="145">
        <v>0</v>
      </c>
      <c r="AP92" s="145">
        <v>0</v>
      </c>
      <c r="AQ92" s="145">
        <v>0</v>
      </c>
      <c r="AR92" s="145">
        <v>0</v>
      </c>
      <c r="AS92" s="145">
        <f t="shared" si="55"/>
        <v>1020000</v>
      </c>
      <c r="AT92" s="145"/>
      <c r="AU92" s="139">
        <f t="shared" si="58"/>
        <v>1020000</v>
      </c>
      <c r="AV92" s="146">
        <f>IFERROR(VLOOKUP(J92,Maksājumu_pieprasījumu_iesn.!G:BL,57,0),0)</f>
        <v>0</v>
      </c>
      <c r="AW92" s="139">
        <f t="shared" si="59"/>
        <v>-1020000</v>
      </c>
      <c r="AX92" s="153"/>
      <c r="AY92" s="153"/>
      <c r="AZ92" s="153"/>
      <c r="BA92" s="136"/>
      <c r="BB92" s="145"/>
      <c r="BC92" s="145"/>
      <c r="BD92" s="145"/>
      <c r="BE92" s="145"/>
      <c r="BF92" s="145"/>
      <c r="BG92" s="145"/>
      <c r="BH92" s="138"/>
      <c r="BI92" s="138"/>
      <c r="BJ92" s="138"/>
      <c r="BK92" s="138"/>
      <c r="BL92" s="138"/>
      <c r="BM92" s="138"/>
      <c r="BN92" s="138"/>
    </row>
    <row r="93" spans="1:66" s="91" customFormat="1" ht="25.5" hidden="1" customHeight="1" x14ac:dyDescent="0.2">
      <c r="A93" s="150" t="s">
        <v>1082</v>
      </c>
      <c r="B93" s="18" t="s">
        <v>33</v>
      </c>
      <c r="C93" s="18" t="s">
        <v>34</v>
      </c>
      <c r="D93" s="19" t="s">
        <v>566</v>
      </c>
      <c r="E93" s="55">
        <v>1</v>
      </c>
      <c r="F93" s="55" t="s">
        <v>35</v>
      </c>
      <c r="G93" s="55" t="s">
        <v>5</v>
      </c>
      <c r="H93" s="55" t="s">
        <v>3</v>
      </c>
      <c r="I93" s="55"/>
      <c r="J93" s="55"/>
      <c r="K93" s="19" t="s">
        <v>31</v>
      </c>
      <c r="L93" s="19"/>
      <c r="M93" s="19"/>
      <c r="N93" s="19" t="s">
        <v>1109</v>
      </c>
      <c r="O93" s="151">
        <v>42857</v>
      </c>
      <c r="P93" s="151"/>
      <c r="Q93" s="151"/>
      <c r="R93" s="151"/>
      <c r="S93" s="152"/>
      <c r="T93" s="152"/>
      <c r="U93" s="145">
        <v>0</v>
      </c>
      <c r="V93" s="145">
        <v>0</v>
      </c>
      <c r="W93" s="145">
        <v>0</v>
      </c>
      <c r="X93" s="145">
        <f t="shared" si="56"/>
        <v>0</v>
      </c>
      <c r="Y93" s="145">
        <v>0</v>
      </c>
      <c r="Z93" s="145">
        <v>0</v>
      </c>
      <c r="AA93" s="145">
        <v>0</v>
      </c>
      <c r="AB93" s="145">
        <v>0</v>
      </c>
      <c r="AC93" s="145">
        <v>0</v>
      </c>
      <c r="AD93" s="145">
        <v>0</v>
      </c>
      <c r="AE93" s="145">
        <v>0</v>
      </c>
      <c r="AF93" s="145">
        <v>0</v>
      </c>
      <c r="AG93" s="145">
        <v>0</v>
      </c>
      <c r="AH93" s="145">
        <v>0</v>
      </c>
      <c r="AI93" s="145">
        <v>0</v>
      </c>
      <c r="AJ93" s="145">
        <v>0</v>
      </c>
      <c r="AK93" s="145">
        <f t="shared" si="57"/>
        <v>0</v>
      </c>
      <c r="AL93" s="145">
        <v>2975000</v>
      </c>
      <c r="AM93" s="145">
        <v>0</v>
      </c>
      <c r="AN93" s="145">
        <v>0</v>
      </c>
      <c r="AO93" s="145">
        <v>0</v>
      </c>
      <c r="AP93" s="145">
        <v>0</v>
      </c>
      <c r="AQ93" s="145">
        <v>0</v>
      </c>
      <c r="AR93" s="145">
        <v>0</v>
      </c>
      <c r="AS93" s="145">
        <f t="shared" si="55"/>
        <v>2975000</v>
      </c>
      <c r="AT93" s="145"/>
      <c r="AU93" s="139">
        <f t="shared" si="58"/>
        <v>2975000</v>
      </c>
      <c r="AV93" s="146">
        <f>IFERROR(VLOOKUP(J93,Maksājumu_pieprasījumu_iesn.!G:BL,57,0),0)</f>
        <v>0</v>
      </c>
      <c r="AW93" s="139">
        <f t="shared" si="59"/>
        <v>-2975000</v>
      </c>
      <c r="AX93" s="153"/>
      <c r="AY93" s="153"/>
      <c r="AZ93" s="153"/>
      <c r="BA93" s="138" t="s">
        <v>1110</v>
      </c>
      <c r="BB93" s="145"/>
      <c r="BC93" s="145"/>
      <c r="BD93" s="145"/>
      <c r="BE93" s="145"/>
      <c r="BF93" s="145"/>
      <c r="BG93" s="145"/>
      <c r="BH93" s="138"/>
      <c r="BI93" s="138"/>
      <c r="BJ93" s="138"/>
      <c r="BK93" s="138"/>
      <c r="BL93" s="138"/>
      <c r="BM93" s="138"/>
      <c r="BN93" s="138"/>
    </row>
    <row r="94" spans="1:66" s="91" customFormat="1" ht="25.5" hidden="1" customHeight="1" x14ac:dyDescent="0.2">
      <c r="A94" s="150" t="s">
        <v>1082</v>
      </c>
      <c r="B94" s="18" t="s">
        <v>33</v>
      </c>
      <c r="C94" s="18" t="s">
        <v>34</v>
      </c>
      <c r="D94" s="19" t="s">
        <v>566</v>
      </c>
      <c r="E94" s="55">
        <v>1</v>
      </c>
      <c r="F94" s="55" t="s">
        <v>35</v>
      </c>
      <c r="G94" s="55" t="s">
        <v>5</v>
      </c>
      <c r="H94" s="55" t="s">
        <v>3</v>
      </c>
      <c r="I94" s="55"/>
      <c r="J94" s="55"/>
      <c r="K94" s="19" t="s">
        <v>31</v>
      </c>
      <c r="L94" s="19"/>
      <c r="M94" s="19"/>
      <c r="N94" s="19" t="s">
        <v>1111</v>
      </c>
      <c r="O94" s="151">
        <v>43008</v>
      </c>
      <c r="P94" s="151"/>
      <c r="Q94" s="151"/>
      <c r="R94" s="151"/>
      <c r="S94" s="152"/>
      <c r="T94" s="152"/>
      <c r="U94" s="145">
        <v>0</v>
      </c>
      <c r="V94" s="145">
        <v>0</v>
      </c>
      <c r="W94" s="145">
        <v>0</v>
      </c>
      <c r="X94" s="145">
        <f t="shared" si="56"/>
        <v>0</v>
      </c>
      <c r="Y94" s="145">
        <v>0</v>
      </c>
      <c r="Z94" s="145">
        <v>0</v>
      </c>
      <c r="AA94" s="145">
        <v>0</v>
      </c>
      <c r="AB94" s="145">
        <v>0</v>
      </c>
      <c r="AC94" s="145">
        <v>0</v>
      </c>
      <c r="AD94" s="145">
        <v>0</v>
      </c>
      <c r="AE94" s="145">
        <v>0</v>
      </c>
      <c r="AF94" s="145">
        <v>0</v>
      </c>
      <c r="AG94" s="145">
        <v>0</v>
      </c>
      <c r="AH94" s="145">
        <v>0</v>
      </c>
      <c r="AI94" s="145">
        <v>0</v>
      </c>
      <c r="AJ94" s="145">
        <v>0</v>
      </c>
      <c r="AK94" s="145">
        <f t="shared" si="57"/>
        <v>0</v>
      </c>
      <c r="AL94" s="145">
        <v>1371900</v>
      </c>
      <c r="AM94" s="145">
        <v>328100</v>
      </c>
      <c r="AN94" s="145">
        <v>0</v>
      </c>
      <c r="AO94" s="145">
        <v>0</v>
      </c>
      <c r="AP94" s="145">
        <v>0</v>
      </c>
      <c r="AQ94" s="145">
        <v>0</v>
      </c>
      <c r="AR94" s="145">
        <v>0</v>
      </c>
      <c r="AS94" s="145">
        <f t="shared" si="55"/>
        <v>1700000</v>
      </c>
      <c r="AT94" s="145"/>
      <c r="AU94" s="139">
        <f t="shared" si="58"/>
        <v>1700000</v>
      </c>
      <c r="AV94" s="146">
        <f>IFERROR(VLOOKUP(J94,Maksājumu_pieprasījumu_iesn.!G:BL,57,0),0)</f>
        <v>0</v>
      </c>
      <c r="AW94" s="139">
        <f t="shared" si="59"/>
        <v>-1700000</v>
      </c>
      <c r="AX94" s="153"/>
      <c r="AY94" s="153"/>
      <c r="AZ94" s="153"/>
      <c r="BA94" s="136"/>
      <c r="BB94" s="145"/>
      <c r="BC94" s="145"/>
      <c r="BD94" s="145"/>
      <c r="BE94" s="145"/>
      <c r="BF94" s="145"/>
      <c r="BG94" s="145"/>
      <c r="BH94" s="138"/>
      <c r="BI94" s="138"/>
      <c r="BJ94" s="138"/>
      <c r="BK94" s="138"/>
      <c r="BL94" s="138"/>
      <c r="BM94" s="138"/>
      <c r="BN94" s="138"/>
    </row>
    <row r="95" spans="1:66" s="91" customFormat="1" ht="12.75" hidden="1" customHeight="1" x14ac:dyDescent="0.2">
      <c r="A95" s="150" t="s">
        <v>1082</v>
      </c>
      <c r="B95" s="18" t="s">
        <v>33</v>
      </c>
      <c r="C95" s="18" t="s">
        <v>34</v>
      </c>
      <c r="D95" s="19" t="s">
        <v>566</v>
      </c>
      <c r="E95" s="55">
        <v>1</v>
      </c>
      <c r="F95" s="55" t="s">
        <v>35</v>
      </c>
      <c r="G95" s="55" t="s">
        <v>5</v>
      </c>
      <c r="H95" s="55" t="s">
        <v>3</v>
      </c>
      <c r="I95" s="55"/>
      <c r="J95" s="55"/>
      <c r="K95" s="19" t="s">
        <v>616</v>
      </c>
      <c r="L95" s="19"/>
      <c r="M95" s="19"/>
      <c r="N95" s="19" t="s">
        <v>1112</v>
      </c>
      <c r="O95" s="151">
        <v>42886</v>
      </c>
      <c r="P95" s="151"/>
      <c r="Q95" s="151"/>
      <c r="R95" s="151"/>
      <c r="S95" s="152"/>
      <c r="T95" s="152"/>
      <c r="U95" s="145">
        <v>0</v>
      </c>
      <c r="V95" s="145">
        <v>0</v>
      </c>
      <c r="W95" s="145">
        <v>0</v>
      </c>
      <c r="X95" s="145">
        <f t="shared" si="56"/>
        <v>0</v>
      </c>
      <c r="Y95" s="145">
        <v>0</v>
      </c>
      <c r="Z95" s="145">
        <v>0</v>
      </c>
      <c r="AA95" s="145">
        <v>0</v>
      </c>
      <c r="AB95" s="145">
        <v>0</v>
      </c>
      <c r="AC95" s="145">
        <v>0</v>
      </c>
      <c r="AD95" s="145">
        <v>0</v>
      </c>
      <c r="AE95" s="145">
        <v>0</v>
      </c>
      <c r="AF95" s="145">
        <v>0</v>
      </c>
      <c r="AG95" s="145">
        <v>0</v>
      </c>
      <c r="AH95" s="145">
        <v>23525</v>
      </c>
      <c r="AI95" s="145">
        <v>0</v>
      </c>
      <c r="AJ95" s="145">
        <v>0</v>
      </c>
      <c r="AK95" s="145">
        <f t="shared" si="57"/>
        <v>23525</v>
      </c>
      <c r="AL95" s="145">
        <v>867811.92499999993</v>
      </c>
      <c r="AM95" s="145">
        <v>696481.92499999993</v>
      </c>
      <c r="AN95" s="145">
        <v>1109229.94</v>
      </c>
      <c r="AO95" s="145">
        <v>0</v>
      </c>
      <c r="AP95" s="145">
        <v>0</v>
      </c>
      <c r="AQ95" s="145">
        <v>0</v>
      </c>
      <c r="AR95" s="145">
        <v>0</v>
      </c>
      <c r="AS95" s="145">
        <f t="shared" si="55"/>
        <v>2697048.79</v>
      </c>
      <c r="AT95" s="145"/>
      <c r="AU95" s="139">
        <f t="shared" si="58"/>
        <v>2697048.79</v>
      </c>
      <c r="AV95" s="146">
        <f>IFERROR(VLOOKUP(J95,Maksājumu_pieprasījumu_iesn.!G:BL,57,0),0)</f>
        <v>0</v>
      </c>
      <c r="AW95" s="139">
        <f t="shared" si="59"/>
        <v>-2697048.79</v>
      </c>
      <c r="AX95" s="153"/>
      <c r="AY95" s="153"/>
      <c r="AZ95" s="153"/>
      <c r="BA95" s="136"/>
      <c r="BB95" s="145"/>
      <c r="BC95" s="145"/>
      <c r="BD95" s="145"/>
      <c r="BE95" s="145"/>
      <c r="BF95" s="145"/>
      <c r="BG95" s="145"/>
      <c r="BH95" s="138"/>
      <c r="BI95" s="138"/>
      <c r="BJ95" s="138"/>
      <c r="BK95" s="138"/>
      <c r="BL95" s="138"/>
      <c r="BM95" s="138"/>
      <c r="BN95" s="138"/>
    </row>
    <row r="96" spans="1:66" s="91" customFormat="1" ht="12.75" hidden="1" customHeight="1" x14ac:dyDescent="0.2">
      <c r="A96" s="150" t="s">
        <v>1082</v>
      </c>
      <c r="B96" s="18" t="s">
        <v>33</v>
      </c>
      <c r="C96" s="18" t="s">
        <v>34</v>
      </c>
      <c r="D96" s="19" t="s">
        <v>566</v>
      </c>
      <c r="E96" s="55">
        <v>1</v>
      </c>
      <c r="F96" s="55" t="s">
        <v>35</v>
      </c>
      <c r="G96" s="55" t="s">
        <v>5</v>
      </c>
      <c r="H96" s="55" t="s">
        <v>3</v>
      </c>
      <c r="I96" s="55"/>
      <c r="J96" s="55"/>
      <c r="K96" s="19" t="s">
        <v>1113</v>
      </c>
      <c r="L96" s="19"/>
      <c r="M96" s="19"/>
      <c r="N96" s="19" t="s">
        <v>1114</v>
      </c>
      <c r="O96" s="151">
        <v>42886</v>
      </c>
      <c r="P96" s="151"/>
      <c r="Q96" s="151"/>
      <c r="R96" s="151"/>
      <c r="S96" s="152"/>
      <c r="T96" s="152"/>
      <c r="U96" s="145">
        <v>0</v>
      </c>
      <c r="V96" s="145">
        <v>0</v>
      </c>
      <c r="W96" s="145">
        <v>0</v>
      </c>
      <c r="X96" s="145">
        <f t="shared" si="56"/>
        <v>0</v>
      </c>
      <c r="Y96" s="145">
        <v>0</v>
      </c>
      <c r="Z96" s="145">
        <v>0</v>
      </c>
      <c r="AA96" s="145">
        <v>0</v>
      </c>
      <c r="AB96" s="145">
        <v>0</v>
      </c>
      <c r="AC96" s="145">
        <v>0</v>
      </c>
      <c r="AD96" s="145">
        <v>0</v>
      </c>
      <c r="AE96" s="145">
        <v>0</v>
      </c>
      <c r="AF96" s="145">
        <v>0</v>
      </c>
      <c r="AG96" s="145">
        <v>0</v>
      </c>
      <c r="AH96" s="145">
        <v>12455</v>
      </c>
      <c r="AI96" s="145">
        <v>0</v>
      </c>
      <c r="AJ96" s="145">
        <v>0</v>
      </c>
      <c r="AK96" s="145">
        <f t="shared" si="57"/>
        <v>12455</v>
      </c>
      <c r="AL96" s="145">
        <v>232819.36219999997</v>
      </c>
      <c r="AM96" s="145">
        <v>270219.36219999997</v>
      </c>
      <c r="AN96" s="145">
        <v>274156.47209999996</v>
      </c>
      <c r="AO96" s="145">
        <v>0</v>
      </c>
      <c r="AP96" s="145">
        <v>0</v>
      </c>
      <c r="AQ96" s="145">
        <v>0</v>
      </c>
      <c r="AR96" s="145">
        <v>0</v>
      </c>
      <c r="AS96" s="145">
        <f t="shared" si="55"/>
        <v>789650.19649999985</v>
      </c>
      <c r="AT96" s="145"/>
      <c r="AU96" s="139">
        <f t="shared" si="58"/>
        <v>789650.19649999985</v>
      </c>
      <c r="AV96" s="146">
        <f>IFERROR(VLOOKUP(J96,Maksājumu_pieprasījumu_iesn.!G:BL,57,0),0)</f>
        <v>0</v>
      </c>
      <c r="AW96" s="139">
        <f t="shared" si="59"/>
        <v>-789650.19649999985</v>
      </c>
      <c r="AX96" s="153"/>
      <c r="AY96" s="153"/>
      <c r="AZ96" s="153"/>
      <c r="BA96" s="136"/>
      <c r="BB96" s="145"/>
      <c r="BC96" s="145"/>
      <c r="BD96" s="145"/>
      <c r="BE96" s="145"/>
      <c r="BF96" s="145"/>
      <c r="BG96" s="145"/>
      <c r="BH96" s="138"/>
      <c r="BI96" s="138"/>
      <c r="BJ96" s="138"/>
      <c r="BK96" s="138"/>
      <c r="BL96" s="138"/>
      <c r="BM96" s="138"/>
      <c r="BN96" s="138"/>
    </row>
    <row r="97" spans="1:66" s="91" customFormat="1" ht="25.5" hidden="1" customHeight="1" x14ac:dyDescent="0.2">
      <c r="A97" s="150" t="s">
        <v>1082</v>
      </c>
      <c r="B97" s="18" t="s">
        <v>33</v>
      </c>
      <c r="C97" s="18" t="s">
        <v>34</v>
      </c>
      <c r="D97" s="19" t="s">
        <v>566</v>
      </c>
      <c r="E97" s="55">
        <v>1</v>
      </c>
      <c r="F97" s="55" t="s">
        <v>35</v>
      </c>
      <c r="G97" s="55" t="s">
        <v>5</v>
      </c>
      <c r="H97" s="55" t="s">
        <v>3</v>
      </c>
      <c r="I97" s="55"/>
      <c r="J97" s="55"/>
      <c r="K97" s="19" t="s">
        <v>344</v>
      </c>
      <c r="L97" s="19"/>
      <c r="M97" s="19"/>
      <c r="N97" s="19" t="s">
        <v>1115</v>
      </c>
      <c r="O97" s="151">
        <v>42886</v>
      </c>
      <c r="P97" s="151"/>
      <c r="Q97" s="151"/>
      <c r="R97" s="151"/>
      <c r="S97" s="152"/>
      <c r="T97" s="152"/>
      <c r="U97" s="145">
        <v>0</v>
      </c>
      <c r="V97" s="145">
        <v>0</v>
      </c>
      <c r="W97" s="145">
        <v>0</v>
      </c>
      <c r="X97" s="145">
        <f t="shared" si="56"/>
        <v>0</v>
      </c>
      <c r="Y97" s="145">
        <v>0</v>
      </c>
      <c r="Z97" s="145">
        <v>0</v>
      </c>
      <c r="AA97" s="145">
        <v>0</v>
      </c>
      <c r="AB97" s="145">
        <v>0</v>
      </c>
      <c r="AC97" s="145">
        <v>0</v>
      </c>
      <c r="AD97" s="145">
        <v>0</v>
      </c>
      <c r="AE97" s="145">
        <v>0</v>
      </c>
      <c r="AF97" s="145">
        <v>0</v>
      </c>
      <c r="AG97" s="145">
        <v>0</v>
      </c>
      <c r="AH97" s="145">
        <v>3805</v>
      </c>
      <c r="AI97" s="145">
        <v>0</v>
      </c>
      <c r="AJ97" s="145">
        <v>0</v>
      </c>
      <c r="AK97" s="145">
        <f t="shared" si="57"/>
        <v>3805</v>
      </c>
      <c r="AL97" s="145">
        <v>157351.04374999998</v>
      </c>
      <c r="AM97" s="145">
        <v>242593.31925000003</v>
      </c>
      <c r="AN97" s="145">
        <v>0</v>
      </c>
      <c r="AO97" s="145">
        <v>0</v>
      </c>
      <c r="AP97" s="145">
        <v>0</v>
      </c>
      <c r="AQ97" s="145">
        <v>0</v>
      </c>
      <c r="AR97" s="145">
        <v>0</v>
      </c>
      <c r="AS97" s="145">
        <f t="shared" si="55"/>
        <v>403749.36300000001</v>
      </c>
      <c r="AT97" s="145"/>
      <c r="AU97" s="139">
        <f t="shared" si="58"/>
        <v>403749.36300000001</v>
      </c>
      <c r="AV97" s="146">
        <f>IFERROR(VLOOKUP(J97,Maksājumu_pieprasījumu_iesn.!G:BL,57,0),0)</f>
        <v>0</v>
      </c>
      <c r="AW97" s="139">
        <f t="shared" si="59"/>
        <v>-403749.36300000001</v>
      </c>
      <c r="AX97" s="153"/>
      <c r="AY97" s="153"/>
      <c r="AZ97" s="153"/>
      <c r="BA97" s="136"/>
      <c r="BB97" s="145"/>
      <c r="BC97" s="145"/>
      <c r="BD97" s="145"/>
      <c r="BE97" s="145"/>
      <c r="BF97" s="145"/>
      <c r="BG97" s="145"/>
      <c r="BH97" s="138"/>
      <c r="BI97" s="138"/>
      <c r="BJ97" s="138"/>
      <c r="BK97" s="138"/>
      <c r="BL97" s="138"/>
      <c r="BM97" s="138"/>
      <c r="BN97" s="138"/>
    </row>
    <row r="98" spans="1:66" s="91" customFormat="1" ht="25.5" hidden="1" customHeight="1" x14ac:dyDescent="0.2">
      <c r="A98" s="150" t="s">
        <v>1082</v>
      </c>
      <c r="B98" s="18" t="s">
        <v>33</v>
      </c>
      <c r="C98" s="18" t="s">
        <v>34</v>
      </c>
      <c r="D98" s="19" t="s">
        <v>566</v>
      </c>
      <c r="E98" s="55">
        <v>1</v>
      </c>
      <c r="F98" s="55" t="s">
        <v>35</v>
      </c>
      <c r="G98" s="55" t="s">
        <v>5</v>
      </c>
      <c r="H98" s="55" t="s">
        <v>3</v>
      </c>
      <c r="I98" s="55"/>
      <c r="J98" s="55"/>
      <c r="K98" s="19" t="s">
        <v>1116</v>
      </c>
      <c r="L98" s="19"/>
      <c r="M98" s="19"/>
      <c r="N98" s="19" t="s">
        <v>1117</v>
      </c>
      <c r="O98" s="151">
        <v>42886</v>
      </c>
      <c r="P98" s="151"/>
      <c r="Q98" s="151"/>
      <c r="R98" s="151"/>
      <c r="S98" s="152"/>
      <c r="T98" s="152"/>
      <c r="U98" s="145">
        <v>0</v>
      </c>
      <c r="V98" s="145">
        <v>0</v>
      </c>
      <c r="W98" s="145">
        <v>0</v>
      </c>
      <c r="X98" s="145">
        <f t="shared" si="56"/>
        <v>0</v>
      </c>
      <c r="Y98" s="145">
        <v>0</v>
      </c>
      <c r="Z98" s="145">
        <v>0</v>
      </c>
      <c r="AA98" s="145">
        <v>0</v>
      </c>
      <c r="AB98" s="145">
        <v>0</v>
      </c>
      <c r="AC98" s="145">
        <v>0</v>
      </c>
      <c r="AD98" s="145">
        <v>0</v>
      </c>
      <c r="AE98" s="145">
        <v>0</v>
      </c>
      <c r="AF98" s="145">
        <v>0</v>
      </c>
      <c r="AG98" s="145">
        <v>0</v>
      </c>
      <c r="AH98" s="145">
        <v>3805</v>
      </c>
      <c r="AI98" s="145">
        <v>0</v>
      </c>
      <c r="AJ98" s="145">
        <v>0</v>
      </c>
      <c r="AK98" s="145">
        <f t="shared" si="57"/>
        <v>3805</v>
      </c>
      <c r="AL98" s="145">
        <v>157071.74225000001</v>
      </c>
      <c r="AM98" s="145">
        <v>198672.62075</v>
      </c>
      <c r="AN98" s="145">
        <v>0</v>
      </c>
      <c r="AO98" s="145">
        <v>0</v>
      </c>
      <c r="AP98" s="145">
        <v>0</v>
      </c>
      <c r="AQ98" s="145">
        <v>0</v>
      </c>
      <c r="AR98" s="145">
        <v>0</v>
      </c>
      <c r="AS98" s="145">
        <f t="shared" si="55"/>
        <v>359549.36300000001</v>
      </c>
      <c r="AT98" s="145"/>
      <c r="AU98" s="139">
        <f t="shared" si="58"/>
        <v>359549.36300000001</v>
      </c>
      <c r="AV98" s="146">
        <f>IFERROR(VLOOKUP(J98,Maksājumu_pieprasījumu_iesn.!G:BL,57,0),0)</f>
        <v>0</v>
      </c>
      <c r="AW98" s="139">
        <f t="shared" si="59"/>
        <v>-359549.36300000001</v>
      </c>
      <c r="AX98" s="153"/>
      <c r="AY98" s="153"/>
      <c r="AZ98" s="153"/>
      <c r="BA98" s="136"/>
      <c r="BB98" s="145"/>
      <c r="BC98" s="145"/>
      <c r="BD98" s="145"/>
      <c r="BE98" s="145"/>
      <c r="BF98" s="145"/>
      <c r="BG98" s="145"/>
      <c r="BH98" s="138"/>
      <c r="BI98" s="138"/>
      <c r="BJ98" s="138"/>
      <c r="BK98" s="138"/>
      <c r="BL98" s="138"/>
      <c r="BM98" s="138"/>
      <c r="BN98" s="138"/>
    </row>
    <row r="99" spans="1:66" s="91" customFormat="1" ht="12.75" hidden="1" customHeight="1" x14ac:dyDescent="0.2">
      <c r="A99" s="150" t="s">
        <v>1082</v>
      </c>
      <c r="B99" s="18" t="s">
        <v>33</v>
      </c>
      <c r="C99" s="18" t="s">
        <v>34</v>
      </c>
      <c r="D99" s="19" t="s">
        <v>566</v>
      </c>
      <c r="E99" s="55">
        <v>1</v>
      </c>
      <c r="F99" s="55" t="s">
        <v>35</v>
      </c>
      <c r="G99" s="55" t="s">
        <v>5</v>
      </c>
      <c r="H99" s="55" t="s">
        <v>3</v>
      </c>
      <c r="I99" s="55"/>
      <c r="J99" s="55"/>
      <c r="K99" s="19" t="s">
        <v>1118</v>
      </c>
      <c r="L99" s="19"/>
      <c r="M99" s="19"/>
      <c r="N99" s="19" t="s">
        <v>1119</v>
      </c>
      <c r="O99" s="151">
        <v>42886</v>
      </c>
      <c r="P99" s="151"/>
      <c r="Q99" s="151"/>
      <c r="R99" s="151"/>
      <c r="S99" s="152"/>
      <c r="T99" s="152"/>
      <c r="U99" s="145">
        <v>0</v>
      </c>
      <c r="V99" s="145">
        <v>0</v>
      </c>
      <c r="W99" s="145">
        <v>0</v>
      </c>
      <c r="X99" s="145">
        <f t="shared" si="56"/>
        <v>0</v>
      </c>
      <c r="Y99" s="145">
        <v>0</v>
      </c>
      <c r="Z99" s="145">
        <v>0</v>
      </c>
      <c r="AA99" s="145">
        <v>0</v>
      </c>
      <c r="AB99" s="145">
        <v>0</v>
      </c>
      <c r="AC99" s="145">
        <v>0</v>
      </c>
      <c r="AD99" s="145">
        <v>0</v>
      </c>
      <c r="AE99" s="145">
        <v>0</v>
      </c>
      <c r="AF99" s="145">
        <v>0</v>
      </c>
      <c r="AG99" s="145">
        <v>0</v>
      </c>
      <c r="AH99" s="145">
        <v>0</v>
      </c>
      <c r="AI99" s="145">
        <v>0</v>
      </c>
      <c r="AJ99" s="145">
        <v>0</v>
      </c>
      <c r="AK99" s="145">
        <f t="shared" si="57"/>
        <v>0</v>
      </c>
      <c r="AL99" s="145">
        <v>692886</v>
      </c>
      <c r="AM99" s="145">
        <v>1007114</v>
      </c>
      <c r="AN99" s="145">
        <v>0</v>
      </c>
      <c r="AO99" s="145">
        <v>0</v>
      </c>
      <c r="AP99" s="145">
        <v>0</v>
      </c>
      <c r="AQ99" s="145">
        <v>0</v>
      </c>
      <c r="AR99" s="145">
        <v>0</v>
      </c>
      <c r="AS99" s="145">
        <f t="shared" si="55"/>
        <v>1700000</v>
      </c>
      <c r="AT99" s="145"/>
      <c r="AU99" s="139">
        <f t="shared" si="58"/>
        <v>1700000</v>
      </c>
      <c r="AV99" s="146">
        <f>IFERROR(VLOOKUP(J99,Maksājumu_pieprasījumu_iesn.!G:BL,57,0),0)</f>
        <v>0</v>
      </c>
      <c r="AW99" s="139">
        <f t="shared" si="59"/>
        <v>-1700000</v>
      </c>
      <c r="AX99" s="153"/>
      <c r="AY99" s="153"/>
      <c r="AZ99" s="153"/>
      <c r="BA99" s="136"/>
      <c r="BB99" s="145"/>
      <c r="BC99" s="145"/>
      <c r="BD99" s="145"/>
      <c r="BE99" s="145"/>
      <c r="BF99" s="145"/>
      <c r="BG99" s="145"/>
      <c r="BH99" s="138"/>
      <c r="BI99" s="138"/>
      <c r="BJ99" s="138"/>
      <c r="BK99" s="138"/>
      <c r="BL99" s="138"/>
      <c r="BM99" s="138"/>
      <c r="BN99" s="138"/>
    </row>
    <row r="100" spans="1:66" s="91" customFormat="1" ht="25.5" hidden="1" customHeight="1" x14ac:dyDescent="0.2">
      <c r="A100" s="150" t="s">
        <v>1082</v>
      </c>
      <c r="B100" s="18" t="s">
        <v>33</v>
      </c>
      <c r="C100" s="18" t="s">
        <v>34</v>
      </c>
      <c r="D100" s="19" t="s">
        <v>566</v>
      </c>
      <c r="E100" s="55">
        <v>1</v>
      </c>
      <c r="F100" s="55" t="s">
        <v>35</v>
      </c>
      <c r="G100" s="55" t="s">
        <v>5</v>
      </c>
      <c r="H100" s="55" t="s">
        <v>3</v>
      </c>
      <c r="I100" s="55"/>
      <c r="J100" s="55"/>
      <c r="K100" s="19" t="s">
        <v>1118</v>
      </c>
      <c r="L100" s="19"/>
      <c r="M100" s="19"/>
      <c r="N100" s="19" t="s">
        <v>1120</v>
      </c>
      <c r="O100" s="151">
        <v>42917</v>
      </c>
      <c r="P100" s="151"/>
      <c r="Q100" s="151"/>
      <c r="R100" s="151"/>
      <c r="S100" s="152"/>
      <c r="T100" s="152"/>
      <c r="U100" s="145">
        <v>0</v>
      </c>
      <c r="V100" s="145">
        <v>0</v>
      </c>
      <c r="W100" s="145">
        <v>0</v>
      </c>
      <c r="X100" s="145">
        <f t="shared" si="56"/>
        <v>0</v>
      </c>
      <c r="Y100" s="145">
        <v>0</v>
      </c>
      <c r="Z100" s="145">
        <v>0</v>
      </c>
      <c r="AA100" s="145">
        <v>0</v>
      </c>
      <c r="AB100" s="145">
        <v>0</v>
      </c>
      <c r="AC100" s="145">
        <v>0</v>
      </c>
      <c r="AD100" s="145">
        <v>0</v>
      </c>
      <c r="AE100" s="145">
        <v>0</v>
      </c>
      <c r="AF100" s="145">
        <v>0</v>
      </c>
      <c r="AG100" s="145">
        <v>0</v>
      </c>
      <c r="AH100" s="145">
        <v>0</v>
      </c>
      <c r="AI100" s="145">
        <v>0</v>
      </c>
      <c r="AJ100" s="145">
        <v>0</v>
      </c>
      <c r="AK100" s="145">
        <f t="shared" si="57"/>
        <v>0</v>
      </c>
      <c r="AL100" s="145">
        <v>467421</v>
      </c>
      <c r="AM100" s="145">
        <v>382579</v>
      </c>
      <c r="AN100" s="145">
        <v>0</v>
      </c>
      <c r="AO100" s="145">
        <v>0</v>
      </c>
      <c r="AP100" s="145">
        <v>0</v>
      </c>
      <c r="AQ100" s="145">
        <v>0</v>
      </c>
      <c r="AR100" s="145">
        <v>0</v>
      </c>
      <c r="AS100" s="145">
        <f t="shared" si="55"/>
        <v>850000</v>
      </c>
      <c r="AT100" s="145"/>
      <c r="AU100" s="139">
        <f t="shared" si="58"/>
        <v>850000</v>
      </c>
      <c r="AV100" s="146">
        <f>IFERROR(VLOOKUP(J100,Maksājumu_pieprasījumu_iesn.!G:BL,57,0),0)</f>
        <v>0</v>
      </c>
      <c r="AW100" s="139">
        <f t="shared" si="59"/>
        <v>-850000</v>
      </c>
      <c r="AX100" s="153"/>
      <c r="AY100" s="153"/>
      <c r="AZ100" s="153"/>
      <c r="BA100" s="136"/>
      <c r="BB100" s="145"/>
      <c r="BC100" s="145"/>
      <c r="BD100" s="145"/>
      <c r="BE100" s="145"/>
      <c r="BF100" s="145"/>
      <c r="BG100" s="145"/>
      <c r="BH100" s="138"/>
      <c r="BI100" s="138"/>
      <c r="BJ100" s="138"/>
      <c r="BK100" s="138"/>
      <c r="BL100" s="138"/>
      <c r="BM100" s="138"/>
      <c r="BN100" s="138"/>
    </row>
    <row r="101" spans="1:66" s="91" customFormat="1" ht="51" hidden="1" customHeight="1" x14ac:dyDescent="0.2">
      <c r="A101" s="150" t="s">
        <v>1082</v>
      </c>
      <c r="B101" s="18" t="s">
        <v>33</v>
      </c>
      <c r="C101" s="18" t="s">
        <v>34</v>
      </c>
      <c r="D101" s="19" t="s">
        <v>566</v>
      </c>
      <c r="E101" s="55">
        <v>1</v>
      </c>
      <c r="F101" s="55" t="s">
        <v>35</v>
      </c>
      <c r="G101" s="55" t="s">
        <v>5</v>
      </c>
      <c r="H101" s="55" t="s">
        <v>3</v>
      </c>
      <c r="I101" s="55"/>
      <c r="J101" s="55"/>
      <c r="K101" s="19" t="s">
        <v>404</v>
      </c>
      <c r="L101" s="19"/>
      <c r="M101" s="19"/>
      <c r="N101" s="19" t="s">
        <v>1121</v>
      </c>
      <c r="O101" s="151">
        <v>43008</v>
      </c>
      <c r="P101" s="151"/>
      <c r="Q101" s="151"/>
      <c r="R101" s="151"/>
      <c r="S101" s="152"/>
      <c r="T101" s="152"/>
      <c r="U101" s="145">
        <v>0</v>
      </c>
      <c r="V101" s="145">
        <v>0</v>
      </c>
      <c r="W101" s="145">
        <v>0</v>
      </c>
      <c r="X101" s="145">
        <f t="shared" si="56"/>
        <v>0</v>
      </c>
      <c r="Y101" s="145">
        <v>0</v>
      </c>
      <c r="Z101" s="145">
        <v>0</v>
      </c>
      <c r="AA101" s="145">
        <v>0</v>
      </c>
      <c r="AB101" s="145">
        <v>0</v>
      </c>
      <c r="AC101" s="145">
        <v>0</v>
      </c>
      <c r="AD101" s="145">
        <v>0</v>
      </c>
      <c r="AE101" s="145">
        <v>0</v>
      </c>
      <c r="AF101" s="145">
        <v>0</v>
      </c>
      <c r="AG101" s="145">
        <v>0</v>
      </c>
      <c r="AH101" s="145">
        <v>0</v>
      </c>
      <c r="AI101" s="145">
        <v>0</v>
      </c>
      <c r="AJ101" s="145">
        <v>0</v>
      </c>
      <c r="AK101" s="145">
        <f t="shared" si="57"/>
        <v>0</v>
      </c>
      <c r="AL101" s="145">
        <v>2140000</v>
      </c>
      <c r="AM101" s="145">
        <v>1055000</v>
      </c>
      <c r="AN101" s="145">
        <v>1055000</v>
      </c>
      <c r="AO101" s="145">
        <v>0</v>
      </c>
      <c r="AP101" s="145">
        <v>0</v>
      </c>
      <c r="AQ101" s="145">
        <v>0</v>
      </c>
      <c r="AR101" s="145">
        <v>0</v>
      </c>
      <c r="AS101" s="145">
        <f t="shared" si="55"/>
        <v>4250000</v>
      </c>
      <c r="AT101" s="145"/>
      <c r="AU101" s="139">
        <f t="shared" si="58"/>
        <v>4250000</v>
      </c>
      <c r="AV101" s="146">
        <f>IFERROR(VLOOKUP(J101,Maksājumu_pieprasījumu_iesn.!G:BL,57,0),0)</f>
        <v>0</v>
      </c>
      <c r="AW101" s="139">
        <f t="shared" si="59"/>
        <v>-4250000</v>
      </c>
      <c r="AX101" s="153"/>
      <c r="AY101" s="153"/>
      <c r="AZ101" s="153"/>
      <c r="BA101" s="136"/>
      <c r="BB101" s="145"/>
      <c r="BC101" s="145"/>
      <c r="BD101" s="145"/>
      <c r="BE101" s="145"/>
      <c r="BF101" s="145"/>
      <c r="BG101" s="145"/>
      <c r="BH101" s="138"/>
      <c r="BI101" s="138"/>
      <c r="BJ101" s="138"/>
      <c r="BK101" s="138"/>
      <c r="BL101" s="138"/>
      <c r="BM101" s="138"/>
      <c r="BN101" s="138"/>
    </row>
    <row r="102" spans="1:66" s="91" customFormat="1" ht="51" hidden="1" customHeight="1" x14ac:dyDescent="0.2">
      <c r="A102" s="150" t="s">
        <v>1082</v>
      </c>
      <c r="B102" s="18" t="s">
        <v>33</v>
      </c>
      <c r="C102" s="18" t="s">
        <v>34</v>
      </c>
      <c r="D102" s="19" t="s">
        <v>566</v>
      </c>
      <c r="E102" s="55">
        <v>1</v>
      </c>
      <c r="F102" s="55" t="s">
        <v>35</v>
      </c>
      <c r="G102" s="55" t="s">
        <v>5</v>
      </c>
      <c r="H102" s="55" t="s">
        <v>3</v>
      </c>
      <c r="I102" s="55"/>
      <c r="J102" s="55"/>
      <c r="K102" s="19" t="s">
        <v>404</v>
      </c>
      <c r="L102" s="19"/>
      <c r="M102" s="19"/>
      <c r="N102" s="19" t="s">
        <v>1122</v>
      </c>
      <c r="O102" s="151">
        <v>43008</v>
      </c>
      <c r="P102" s="151"/>
      <c r="Q102" s="151"/>
      <c r="R102" s="151"/>
      <c r="S102" s="152"/>
      <c r="T102" s="152"/>
      <c r="U102" s="145">
        <v>0</v>
      </c>
      <c r="V102" s="145">
        <v>0</v>
      </c>
      <c r="W102" s="145">
        <v>0</v>
      </c>
      <c r="X102" s="145">
        <f t="shared" si="56"/>
        <v>0</v>
      </c>
      <c r="Y102" s="145">
        <v>0</v>
      </c>
      <c r="Z102" s="145">
        <v>0</v>
      </c>
      <c r="AA102" s="145">
        <v>0</v>
      </c>
      <c r="AB102" s="145">
        <v>0</v>
      </c>
      <c r="AC102" s="145">
        <v>0</v>
      </c>
      <c r="AD102" s="145">
        <v>0</v>
      </c>
      <c r="AE102" s="145">
        <v>0</v>
      </c>
      <c r="AF102" s="145">
        <v>0</v>
      </c>
      <c r="AG102" s="145">
        <v>0</v>
      </c>
      <c r="AH102" s="145">
        <v>0</v>
      </c>
      <c r="AI102" s="145">
        <v>0</v>
      </c>
      <c r="AJ102" s="145">
        <v>0</v>
      </c>
      <c r="AK102" s="145">
        <f t="shared" si="57"/>
        <v>0</v>
      </c>
      <c r="AL102" s="145">
        <v>250000</v>
      </c>
      <c r="AM102" s="145">
        <v>1000000</v>
      </c>
      <c r="AN102" s="145">
        <v>1000000</v>
      </c>
      <c r="AO102" s="145">
        <v>1000000</v>
      </c>
      <c r="AP102" s="145">
        <v>1000000</v>
      </c>
      <c r="AQ102" s="145">
        <v>0</v>
      </c>
      <c r="AR102" s="145">
        <v>0</v>
      </c>
      <c r="AS102" s="145">
        <f t="shared" si="55"/>
        <v>4250000</v>
      </c>
      <c r="AT102" s="145"/>
      <c r="AU102" s="139">
        <f t="shared" si="58"/>
        <v>4250000</v>
      </c>
      <c r="AV102" s="146">
        <f>IFERROR(VLOOKUP(J102,Maksājumu_pieprasījumu_iesn.!G:BL,57,0),0)</f>
        <v>0</v>
      </c>
      <c r="AW102" s="139">
        <f t="shared" si="59"/>
        <v>-4250000</v>
      </c>
      <c r="AX102" s="153"/>
      <c r="AY102" s="153"/>
      <c r="AZ102" s="153"/>
      <c r="BA102" s="136"/>
      <c r="BB102" s="145"/>
      <c r="BC102" s="145"/>
      <c r="BD102" s="145"/>
      <c r="BE102" s="145"/>
      <c r="BF102" s="145"/>
      <c r="BG102" s="145"/>
      <c r="BH102" s="138"/>
      <c r="BI102" s="138"/>
      <c r="BJ102" s="138"/>
      <c r="BK102" s="138"/>
      <c r="BL102" s="138"/>
      <c r="BM102" s="138"/>
      <c r="BN102" s="138"/>
    </row>
    <row r="103" spans="1:66" s="91" customFormat="1" ht="51" hidden="1" customHeight="1" x14ac:dyDescent="0.2">
      <c r="A103" s="150" t="s">
        <v>1082</v>
      </c>
      <c r="B103" s="18" t="s">
        <v>33</v>
      </c>
      <c r="C103" s="18" t="s">
        <v>34</v>
      </c>
      <c r="D103" s="19" t="s">
        <v>566</v>
      </c>
      <c r="E103" s="55">
        <v>1</v>
      </c>
      <c r="F103" s="55" t="s">
        <v>35</v>
      </c>
      <c r="G103" s="55" t="s">
        <v>5</v>
      </c>
      <c r="H103" s="55" t="s">
        <v>3</v>
      </c>
      <c r="I103" s="55"/>
      <c r="J103" s="55"/>
      <c r="K103" s="19" t="s">
        <v>1123</v>
      </c>
      <c r="L103" s="19"/>
      <c r="M103" s="19"/>
      <c r="N103" s="19" t="s">
        <v>1124</v>
      </c>
      <c r="O103" s="151">
        <v>42978</v>
      </c>
      <c r="P103" s="151"/>
      <c r="Q103" s="151"/>
      <c r="R103" s="151"/>
      <c r="S103" s="152"/>
      <c r="T103" s="152"/>
      <c r="U103" s="145">
        <v>0</v>
      </c>
      <c r="V103" s="145">
        <v>0</v>
      </c>
      <c r="W103" s="145">
        <v>0</v>
      </c>
      <c r="X103" s="145">
        <f t="shared" si="56"/>
        <v>0</v>
      </c>
      <c r="Y103" s="145">
        <v>0</v>
      </c>
      <c r="Z103" s="145">
        <v>0</v>
      </c>
      <c r="AA103" s="145">
        <v>0</v>
      </c>
      <c r="AB103" s="145">
        <v>0</v>
      </c>
      <c r="AC103" s="145">
        <v>0</v>
      </c>
      <c r="AD103" s="145">
        <v>0</v>
      </c>
      <c r="AE103" s="145">
        <v>0</v>
      </c>
      <c r="AF103" s="145">
        <v>0</v>
      </c>
      <c r="AG103" s="145">
        <v>0</v>
      </c>
      <c r="AH103" s="145">
        <v>0</v>
      </c>
      <c r="AI103" s="145">
        <v>0</v>
      </c>
      <c r="AJ103" s="145">
        <v>0</v>
      </c>
      <c r="AK103" s="145">
        <f t="shared" si="57"/>
        <v>0</v>
      </c>
      <c r="AL103" s="145">
        <v>340000</v>
      </c>
      <c r="AM103" s="145">
        <v>340000</v>
      </c>
      <c r="AN103" s="145">
        <v>170000</v>
      </c>
      <c r="AO103" s="145">
        <v>0</v>
      </c>
      <c r="AP103" s="145">
        <v>0</v>
      </c>
      <c r="AQ103" s="145">
        <v>0</v>
      </c>
      <c r="AR103" s="145">
        <v>0</v>
      </c>
      <c r="AS103" s="145">
        <f t="shared" si="55"/>
        <v>850000</v>
      </c>
      <c r="AT103" s="145"/>
      <c r="AU103" s="139">
        <f t="shared" si="58"/>
        <v>850000</v>
      </c>
      <c r="AV103" s="146">
        <f>IFERROR(VLOOKUP(J103,Maksājumu_pieprasījumu_iesn.!G:BL,57,0),0)</f>
        <v>0</v>
      </c>
      <c r="AW103" s="139">
        <f t="shared" si="59"/>
        <v>-850000</v>
      </c>
      <c r="AX103" s="153"/>
      <c r="AY103" s="153"/>
      <c r="AZ103" s="153"/>
      <c r="BA103" s="136"/>
      <c r="BB103" s="145"/>
      <c r="BC103" s="145"/>
      <c r="BD103" s="145"/>
      <c r="BE103" s="145"/>
      <c r="BF103" s="145"/>
      <c r="BG103" s="145"/>
      <c r="BH103" s="138"/>
      <c r="BI103" s="138"/>
      <c r="BJ103" s="138"/>
      <c r="BK103" s="138"/>
      <c r="BL103" s="138"/>
      <c r="BM103" s="138"/>
      <c r="BN103" s="138"/>
    </row>
    <row r="104" spans="1:66" s="91" customFormat="1" ht="25.5" hidden="1" customHeight="1" x14ac:dyDescent="0.2">
      <c r="A104" s="150" t="s">
        <v>1082</v>
      </c>
      <c r="B104" s="18" t="s">
        <v>33</v>
      </c>
      <c r="C104" s="18" t="s">
        <v>34</v>
      </c>
      <c r="D104" s="19" t="s">
        <v>566</v>
      </c>
      <c r="E104" s="55">
        <v>1</v>
      </c>
      <c r="F104" s="55" t="s">
        <v>35</v>
      </c>
      <c r="G104" s="55" t="s">
        <v>5</v>
      </c>
      <c r="H104" s="55" t="s">
        <v>3</v>
      </c>
      <c r="I104" s="55"/>
      <c r="J104" s="55"/>
      <c r="K104" s="19" t="s">
        <v>409</v>
      </c>
      <c r="L104" s="19"/>
      <c r="M104" s="19"/>
      <c r="N104" s="19" t="s">
        <v>1125</v>
      </c>
      <c r="O104" s="151">
        <v>42979</v>
      </c>
      <c r="P104" s="151"/>
      <c r="Q104" s="151"/>
      <c r="R104" s="151"/>
      <c r="S104" s="152"/>
      <c r="T104" s="152"/>
      <c r="U104" s="145">
        <v>0</v>
      </c>
      <c r="V104" s="145">
        <v>0</v>
      </c>
      <c r="W104" s="145">
        <v>0</v>
      </c>
      <c r="X104" s="145">
        <f t="shared" si="56"/>
        <v>0</v>
      </c>
      <c r="Y104" s="145">
        <v>0</v>
      </c>
      <c r="Z104" s="145">
        <v>0</v>
      </c>
      <c r="AA104" s="145">
        <v>0</v>
      </c>
      <c r="AB104" s="145">
        <v>0</v>
      </c>
      <c r="AC104" s="145">
        <v>0</v>
      </c>
      <c r="AD104" s="145">
        <v>0</v>
      </c>
      <c r="AE104" s="145">
        <v>0</v>
      </c>
      <c r="AF104" s="145">
        <v>0</v>
      </c>
      <c r="AG104" s="145">
        <v>0</v>
      </c>
      <c r="AH104" s="145">
        <v>0</v>
      </c>
      <c r="AI104" s="145">
        <v>0</v>
      </c>
      <c r="AJ104" s="145">
        <v>0</v>
      </c>
      <c r="AK104" s="145">
        <f t="shared" si="57"/>
        <v>0</v>
      </c>
      <c r="AL104" s="145">
        <v>2150500</v>
      </c>
      <c r="AM104" s="145">
        <v>824500</v>
      </c>
      <c r="AN104" s="145">
        <v>0</v>
      </c>
      <c r="AO104" s="145">
        <v>0</v>
      </c>
      <c r="AP104" s="145">
        <v>0</v>
      </c>
      <c r="AQ104" s="145">
        <v>0</v>
      </c>
      <c r="AR104" s="145">
        <v>0</v>
      </c>
      <c r="AS104" s="145">
        <f t="shared" si="55"/>
        <v>2975000</v>
      </c>
      <c r="AT104" s="145"/>
      <c r="AU104" s="139">
        <f t="shared" si="58"/>
        <v>2975000</v>
      </c>
      <c r="AV104" s="146">
        <f>IFERROR(VLOOKUP(J104,Maksājumu_pieprasījumu_iesn.!G:BL,57,0),0)</f>
        <v>0</v>
      </c>
      <c r="AW104" s="139">
        <f t="shared" si="59"/>
        <v>-2975000</v>
      </c>
      <c r="AX104" s="153"/>
      <c r="AY104" s="153"/>
      <c r="AZ104" s="153"/>
      <c r="BA104" s="136"/>
      <c r="BB104" s="145"/>
      <c r="BC104" s="145"/>
      <c r="BD104" s="145"/>
      <c r="BE104" s="145"/>
      <c r="BF104" s="145"/>
      <c r="BG104" s="145"/>
      <c r="BH104" s="138"/>
      <c r="BI104" s="138"/>
      <c r="BJ104" s="138"/>
      <c r="BK104" s="138"/>
      <c r="BL104" s="138"/>
      <c r="BM104" s="138"/>
      <c r="BN104" s="138"/>
    </row>
    <row r="105" spans="1:66" s="91" customFormat="1" ht="25.5" hidden="1" customHeight="1" x14ac:dyDescent="0.2">
      <c r="A105" s="150" t="s">
        <v>1082</v>
      </c>
      <c r="B105" s="18" t="s">
        <v>33</v>
      </c>
      <c r="C105" s="18" t="s">
        <v>34</v>
      </c>
      <c r="D105" s="19" t="s">
        <v>566</v>
      </c>
      <c r="E105" s="55">
        <v>1</v>
      </c>
      <c r="F105" s="55" t="s">
        <v>35</v>
      </c>
      <c r="G105" s="55" t="s">
        <v>5</v>
      </c>
      <c r="H105" s="55" t="s">
        <v>3</v>
      </c>
      <c r="I105" s="55"/>
      <c r="J105" s="55"/>
      <c r="K105" s="19" t="s">
        <v>1126</v>
      </c>
      <c r="L105" s="19"/>
      <c r="M105" s="19"/>
      <c r="N105" s="19" t="s">
        <v>1127</v>
      </c>
      <c r="O105" s="151">
        <v>42916</v>
      </c>
      <c r="P105" s="151"/>
      <c r="Q105" s="151"/>
      <c r="R105" s="151"/>
      <c r="S105" s="152"/>
      <c r="T105" s="152"/>
      <c r="U105" s="145">
        <v>0</v>
      </c>
      <c r="V105" s="145">
        <v>0</v>
      </c>
      <c r="W105" s="145">
        <v>0</v>
      </c>
      <c r="X105" s="145">
        <f t="shared" si="56"/>
        <v>0</v>
      </c>
      <c r="Y105" s="145">
        <v>0</v>
      </c>
      <c r="Z105" s="145">
        <v>0</v>
      </c>
      <c r="AA105" s="145">
        <v>0</v>
      </c>
      <c r="AB105" s="145">
        <v>0</v>
      </c>
      <c r="AC105" s="145">
        <v>0</v>
      </c>
      <c r="AD105" s="145">
        <v>0</v>
      </c>
      <c r="AE105" s="145">
        <v>0</v>
      </c>
      <c r="AF105" s="145">
        <v>0</v>
      </c>
      <c r="AG105" s="145">
        <v>0</v>
      </c>
      <c r="AH105" s="145">
        <v>0</v>
      </c>
      <c r="AI105" s="145">
        <v>2232</v>
      </c>
      <c r="AJ105" s="145">
        <v>3697</v>
      </c>
      <c r="AK105" s="145">
        <f t="shared" si="57"/>
        <v>5929</v>
      </c>
      <c r="AL105" s="145">
        <v>103766</v>
      </c>
      <c r="AM105" s="145">
        <v>145305</v>
      </c>
      <c r="AN105" s="145">
        <v>0</v>
      </c>
      <c r="AO105" s="145">
        <v>0</v>
      </c>
      <c r="AP105" s="145">
        <v>0</v>
      </c>
      <c r="AQ105" s="145">
        <v>0</v>
      </c>
      <c r="AR105" s="145">
        <v>0</v>
      </c>
      <c r="AS105" s="145">
        <f t="shared" si="55"/>
        <v>255000</v>
      </c>
      <c r="AT105" s="145"/>
      <c r="AU105" s="139">
        <f t="shared" si="58"/>
        <v>255000</v>
      </c>
      <c r="AV105" s="146">
        <f>IFERROR(VLOOKUP(J105,Maksājumu_pieprasījumu_iesn.!G:BL,57,0),0)</f>
        <v>0</v>
      </c>
      <c r="AW105" s="139">
        <f t="shared" si="59"/>
        <v>-255000</v>
      </c>
      <c r="AX105" s="153"/>
      <c r="AY105" s="153"/>
      <c r="AZ105" s="153"/>
      <c r="BA105" s="136"/>
      <c r="BB105" s="145"/>
      <c r="BC105" s="145"/>
      <c r="BD105" s="145"/>
      <c r="BE105" s="145"/>
      <c r="BF105" s="145"/>
      <c r="BG105" s="145"/>
      <c r="BH105" s="138"/>
      <c r="BI105" s="138"/>
      <c r="BJ105" s="138"/>
      <c r="BK105" s="138"/>
      <c r="BL105" s="138"/>
      <c r="BM105" s="138"/>
      <c r="BN105" s="138"/>
    </row>
    <row r="106" spans="1:66" s="91" customFormat="1" ht="25.5" hidden="1" customHeight="1" x14ac:dyDescent="0.2">
      <c r="A106" s="150" t="s">
        <v>1082</v>
      </c>
      <c r="B106" s="18" t="s">
        <v>33</v>
      </c>
      <c r="C106" s="18" t="s">
        <v>34</v>
      </c>
      <c r="D106" s="19" t="s">
        <v>566</v>
      </c>
      <c r="E106" s="55">
        <v>1</v>
      </c>
      <c r="F106" s="55" t="s">
        <v>35</v>
      </c>
      <c r="G106" s="55" t="s">
        <v>5</v>
      </c>
      <c r="H106" s="55" t="s">
        <v>3</v>
      </c>
      <c r="I106" s="55"/>
      <c r="J106" s="55"/>
      <c r="K106" s="19" t="s">
        <v>1128</v>
      </c>
      <c r="L106" s="19"/>
      <c r="M106" s="19"/>
      <c r="N106" s="19" t="s">
        <v>1129</v>
      </c>
      <c r="O106" s="151">
        <v>42940</v>
      </c>
      <c r="P106" s="151"/>
      <c r="Q106" s="151"/>
      <c r="R106" s="151"/>
      <c r="S106" s="152"/>
      <c r="T106" s="152"/>
      <c r="U106" s="145">
        <v>0</v>
      </c>
      <c r="V106" s="145">
        <v>0</v>
      </c>
      <c r="W106" s="145">
        <v>0</v>
      </c>
      <c r="X106" s="145">
        <f t="shared" si="56"/>
        <v>0</v>
      </c>
      <c r="Y106" s="145">
        <v>0</v>
      </c>
      <c r="Z106" s="145">
        <v>0</v>
      </c>
      <c r="AA106" s="145">
        <v>0</v>
      </c>
      <c r="AB106" s="145">
        <v>0</v>
      </c>
      <c r="AC106" s="145">
        <v>0</v>
      </c>
      <c r="AD106" s="145">
        <v>0</v>
      </c>
      <c r="AE106" s="145">
        <v>0</v>
      </c>
      <c r="AF106" s="145">
        <v>0</v>
      </c>
      <c r="AG106" s="145">
        <v>0</v>
      </c>
      <c r="AH106" s="145">
        <v>0</v>
      </c>
      <c r="AI106" s="145">
        <v>0</v>
      </c>
      <c r="AJ106" s="145">
        <v>16034.397280000001</v>
      </c>
      <c r="AK106" s="145">
        <f t="shared" si="57"/>
        <v>16034.397280000001</v>
      </c>
      <c r="AL106" s="145">
        <v>1733611.9403200001</v>
      </c>
      <c r="AM106" s="145">
        <v>1443665.0976666666</v>
      </c>
      <c r="AN106" s="145">
        <v>631688.5647333333</v>
      </c>
      <c r="AO106" s="145">
        <v>0</v>
      </c>
      <c r="AP106" s="145">
        <v>0</v>
      </c>
      <c r="AQ106" s="145">
        <v>0</v>
      </c>
      <c r="AR106" s="145">
        <v>0</v>
      </c>
      <c r="AS106" s="145">
        <f t="shared" si="55"/>
        <v>3825000</v>
      </c>
      <c r="AT106" s="145"/>
      <c r="AU106" s="139">
        <f t="shared" si="58"/>
        <v>3825000</v>
      </c>
      <c r="AV106" s="146">
        <f>IFERROR(VLOOKUP(J106,Maksājumu_pieprasījumu_iesn.!G:BL,57,0),0)</f>
        <v>0</v>
      </c>
      <c r="AW106" s="139">
        <f t="shared" si="59"/>
        <v>-3825000</v>
      </c>
      <c r="AX106" s="153"/>
      <c r="AY106" s="153"/>
      <c r="AZ106" s="153"/>
      <c r="BA106" s="136"/>
      <c r="BB106" s="145"/>
      <c r="BC106" s="145"/>
      <c r="BD106" s="145"/>
      <c r="BE106" s="145"/>
      <c r="BF106" s="145"/>
      <c r="BG106" s="145"/>
      <c r="BH106" s="138"/>
      <c r="BI106" s="138"/>
      <c r="BJ106" s="138"/>
      <c r="BK106" s="138"/>
      <c r="BL106" s="138"/>
      <c r="BM106" s="138"/>
      <c r="BN106" s="138"/>
    </row>
    <row r="107" spans="1:66" s="91" customFormat="1" ht="12.75" hidden="1" customHeight="1" x14ac:dyDescent="0.2">
      <c r="A107" s="150" t="s">
        <v>1082</v>
      </c>
      <c r="B107" s="18" t="s">
        <v>33</v>
      </c>
      <c r="C107" s="18" t="s">
        <v>34</v>
      </c>
      <c r="D107" s="19" t="s">
        <v>566</v>
      </c>
      <c r="E107" s="55">
        <v>1</v>
      </c>
      <c r="F107" s="55" t="s">
        <v>35</v>
      </c>
      <c r="G107" s="55" t="s">
        <v>5</v>
      </c>
      <c r="H107" s="55" t="s">
        <v>3</v>
      </c>
      <c r="I107" s="55"/>
      <c r="J107" s="55"/>
      <c r="K107" s="19" t="s">
        <v>1128</v>
      </c>
      <c r="L107" s="19"/>
      <c r="M107" s="19"/>
      <c r="N107" s="19" t="s">
        <v>1130</v>
      </c>
      <c r="O107" s="151">
        <v>42888</v>
      </c>
      <c r="P107" s="151"/>
      <c r="Q107" s="151"/>
      <c r="R107" s="151"/>
      <c r="S107" s="152"/>
      <c r="T107" s="152"/>
      <c r="U107" s="145">
        <v>0</v>
      </c>
      <c r="V107" s="145">
        <v>0</v>
      </c>
      <c r="W107" s="145">
        <v>0</v>
      </c>
      <c r="X107" s="145">
        <f t="shared" si="56"/>
        <v>0</v>
      </c>
      <c r="Y107" s="145">
        <v>0</v>
      </c>
      <c r="Z107" s="145">
        <v>0</v>
      </c>
      <c r="AA107" s="145">
        <v>0</v>
      </c>
      <c r="AB107" s="145">
        <v>0</v>
      </c>
      <c r="AC107" s="145">
        <v>0</v>
      </c>
      <c r="AD107" s="145">
        <v>0</v>
      </c>
      <c r="AE107" s="145">
        <v>0</v>
      </c>
      <c r="AF107" s="420">
        <v>16034.4</v>
      </c>
      <c r="AG107" s="145">
        <v>0</v>
      </c>
      <c r="AH107" s="145">
        <v>0</v>
      </c>
      <c r="AI107" s="145">
        <v>0</v>
      </c>
      <c r="AJ107" s="145">
        <v>0</v>
      </c>
      <c r="AK107" s="145">
        <f t="shared" si="57"/>
        <v>16034.4</v>
      </c>
      <c r="AL107" s="145">
        <v>2540836.0281397174</v>
      </c>
      <c r="AM107" s="145">
        <v>679932.07613971748</v>
      </c>
      <c r="AN107" s="145">
        <v>163197.50063971741</v>
      </c>
      <c r="AO107" s="145">
        <v>0</v>
      </c>
      <c r="AP107" s="145">
        <v>0</v>
      </c>
      <c r="AQ107" s="145">
        <v>0</v>
      </c>
      <c r="AR107" s="145">
        <v>0</v>
      </c>
      <c r="AS107" s="145">
        <f t="shared" si="55"/>
        <v>3400000.0049191522</v>
      </c>
      <c r="AT107" s="145"/>
      <c r="AU107" s="139">
        <f>AS107-AT107</f>
        <v>3400000.0049191522</v>
      </c>
      <c r="AV107" s="146">
        <f>IFERROR(VLOOKUP(J107,Maksājumu_pieprasījumu_iesn.!G:BL,57,0),0)</f>
        <v>0</v>
      </c>
      <c r="AW107" s="139">
        <f t="shared" si="59"/>
        <v>-3400000.0049191522</v>
      </c>
      <c r="AX107" s="153"/>
      <c r="AY107" s="153"/>
      <c r="AZ107" s="153"/>
      <c r="BA107" s="136"/>
      <c r="BB107" s="145"/>
      <c r="BC107" s="145"/>
      <c r="BD107" s="145"/>
      <c r="BE107" s="145"/>
      <c r="BF107" s="145"/>
      <c r="BG107" s="145"/>
      <c r="BH107" s="138"/>
      <c r="BI107" s="138"/>
      <c r="BJ107" s="138"/>
      <c r="BK107" s="138"/>
      <c r="BL107" s="138"/>
      <c r="BM107" s="138"/>
      <c r="BN107" s="138"/>
    </row>
    <row r="108" spans="1:66" ht="25.5" hidden="1" customHeight="1" x14ac:dyDescent="0.2">
      <c r="A108" s="142" t="s">
        <v>1082</v>
      </c>
      <c r="B108" s="18" t="s">
        <v>33</v>
      </c>
      <c r="C108" s="18" t="s">
        <v>34</v>
      </c>
      <c r="D108" s="19" t="s">
        <v>566</v>
      </c>
      <c r="E108" s="18">
        <v>1</v>
      </c>
      <c r="F108" s="18" t="s">
        <v>35</v>
      </c>
      <c r="G108" s="18" t="s">
        <v>5</v>
      </c>
      <c r="H108" s="18" t="s">
        <v>3</v>
      </c>
      <c r="I108" s="18"/>
      <c r="J108" s="56" t="s">
        <v>1131</v>
      </c>
      <c r="K108" s="19" t="s">
        <v>1128</v>
      </c>
      <c r="L108" s="19"/>
      <c r="M108" s="19"/>
      <c r="N108" s="19" t="s">
        <v>1132</v>
      </c>
      <c r="O108" s="143"/>
      <c r="P108" s="143"/>
      <c r="Q108" s="143"/>
      <c r="R108" s="187" t="s">
        <v>1133</v>
      </c>
      <c r="S108" s="144">
        <v>1700000</v>
      </c>
      <c r="T108" s="172"/>
      <c r="U108" s="145">
        <v>0</v>
      </c>
      <c r="V108" s="145">
        <v>0</v>
      </c>
      <c r="W108" s="145">
        <v>0</v>
      </c>
      <c r="X108" s="145">
        <f t="shared" si="56"/>
        <v>0</v>
      </c>
      <c r="Y108" s="145">
        <v>0</v>
      </c>
      <c r="Z108" s="145">
        <v>0</v>
      </c>
      <c r="AA108" s="145">
        <v>0</v>
      </c>
      <c r="AB108" s="145">
        <v>0</v>
      </c>
      <c r="AC108" s="145">
        <v>0</v>
      </c>
      <c r="AD108" s="145">
        <v>0</v>
      </c>
      <c r="AE108" s="145">
        <v>0</v>
      </c>
      <c r="AF108" s="145">
        <v>0</v>
      </c>
      <c r="AG108" s="145">
        <v>9940</v>
      </c>
      <c r="AH108" s="145">
        <v>19732</v>
      </c>
      <c r="AI108" s="145">
        <v>15482</v>
      </c>
      <c r="AJ108" s="145">
        <v>6132</v>
      </c>
      <c r="AK108" s="145">
        <f t="shared" si="57"/>
        <v>51286</v>
      </c>
      <c r="AL108" s="145">
        <v>999530</v>
      </c>
      <c r="AM108" s="145">
        <v>343401</v>
      </c>
      <c r="AN108" s="145">
        <v>305783</v>
      </c>
      <c r="AO108" s="145">
        <v>0</v>
      </c>
      <c r="AP108" s="145">
        <v>0</v>
      </c>
      <c r="AQ108" s="145">
        <v>0</v>
      </c>
      <c r="AR108" s="145">
        <v>0</v>
      </c>
      <c r="AS108" s="144">
        <f t="shared" si="55"/>
        <v>1700000</v>
      </c>
      <c r="AT108" s="144">
        <v>0</v>
      </c>
      <c r="AU108" s="146">
        <f t="shared" si="58"/>
        <v>1700000</v>
      </c>
      <c r="AV108" s="146">
        <f>IFERROR(VLOOKUP(J108,Maksājumu_pieprasījumu_iesn.!G:BL,57,0),0)</f>
        <v>0</v>
      </c>
      <c r="AW108" s="139">
        <f t="shared" si="59"/>
        <v>-1700000</v>
      </c>
      <c r="AX108" s="147"/>
      <c r="AY108" s="147"/>
      <c r="AZ108" s="147"/>
      <c r="BA108" s="165"/>
      <c r="BB108" s="144"/>
      <c r="BC108" s="144"/>
      <c r="BD108" s="144"/>
      <c r="BE108" s="144"/>
      <c r="BF108" s="144"/>
      <c r="BG108" s="144"/>
      <c r="BH108" s="149"/>
      <c r="BI108" s="149"/>
      <c r="BJ108" s="149"/>
      <c r="BK108" s="149"/>
      <c r="BL108" s="149"/>
      <c r="BM108" s="149"/>
      <c r="BN108" s="149"/>
    </row>
    <row r="109" spans="1:66" s="91" customFormat="1" ht="38.25" hidden="1" customHeight="1" x14ac:dyDescent="0.2">
      <c r="A109" s="150" t="s">
        <v>1082</v>
      </c>
      <c r="B109" s="18" t="s">
        <v>33</v>
      </c>
      <c r="C109" s="18" t="s">
        <v>34</v>
      </c>
      <c r="D109" s="19" t="s">
        <v>566</v>
      </c>
      <c r="E109" s="55">
        <v>1</v>
      </c>
      <c r="F109" s="55" t="s">
        <v>35</v>
      </c>
      <c r="G109" s="55" t="s">
        <v>5</v>
      </c>
      <c r="H109" s="55" t="s">
        <v>3</v>
      </c>
      <c r="I109" s="55"/>
      <c r="J109" s="55"/>
      <c r="K109" s="19" t="s">
        <v>1128</v>
      </c>
      <c r="L109" s="19"/>
      <c r="M109" s="19"/>
      <c r="N109" s="19" t="s">
        <v>1134</v>
      </c>
      <c r="O109" s="151">
        <v>42886</v>
      </c>
      <c r="P109" s="151"/>
      <c r="Q109" s="151"/>
      <c r="R109" s="151"/>
      <c r="S109" s="152"/>
      <c r="T109" s="152"/>
      <c r="U109" s="145">
        <v>0</v>
      </c>
      <c r="V109" s="145">
        <v>0</v>
      </c>
      <c r="W109" s="145">
        <v>0</v>
      </c>
      <c r="X109" s="145">
        <f t="shared" si="56"/>
        <v>0</v>
      </c>
      <c r="Y109" s="145">
        <v>0</v>
      </c>
      <c r="Z109" s="145">
        <v>0</v>
      </c>
      <c r="AA109" s="145">
        <v>0</v>
      </c>
      <c r="AB109" s="145">
        <v>0</v>
      </c>
      <c r="AC109" s="145">
        <v>0</v>
      </c>
      <c r="AD109" s="145">
        <v>0</v>
      </c>
      <c r="AE109" s="145">
        <v>0</v>
      </c>
      <c r="AF109" s="145">
        <v>0</v>
      </c>
      <c r="AG109" s="145">
        <v>0</v>
      </c>
      <c r="AH109" s="145">
        <v>118614.95000000001</v>
      </c>
      <c r="AI109" s="145">
        <v>30000</v>
      </c>
      <c r="AJ109" s="145">
        <v>3629.5</v>
      </c>
      <c r="AK109" s="145">
        <f t="shared" si="57"/>
        <v>152244.45000000001</v>
      </c>
      <c r="AL109" s="145">
        <v>512959.54999666673</v>
      </c>
      <c r="AM109" s="145">
        <v>184796</v>
      </c>
      <c r="AN109" s="145">
        <v>0</v>
      </c>
      <c r="AO109" s="145">
        <v>0</v>
      </c>
      <c r="AP109" s="145">
        <v>0</v>
      </c>
      <c r="AQ109" s="145">
        <v>0</v>
      </c>
      <c r="AR109" s="145">
        <v>0</v>
      </c>
      <c r="AS109" s="145">
        <f t="shared" si="55"/>
        <v>849999.9999966668</v>
      </c>
      <c r="AT109" s="145"/>
      <c r="AU109" s="139">
        <f t="shared" si="58"/>
        <v>849999.9999966668</v>
      </c>
      <c r="AV109" s="146">
        <f>IFERROR(VLOOKUP(J109,Maksājumu_pieprasījumu_iesn.!G:BL,57,0),0)</f>
        <v>0</v>
      </c>
      <c r="AW109" s="139">
        <f t="shared" si="59"/>
        <v>-849999.9999966668</v>
      </c>
      <c r="AX109" s="153"/>
      <c r="AY109" s="153"/>
      <c r="AZ109" s="153"/>
      <c r="BA109" s="136"/>
      <c r="BB109" s="145"/>
      <c r="BC109" s="145"/>
      <c r="BD109" s="145"/>
      <c r="BE109" s="145"/>
      <c r="BF109" s="145"/>
      <c r="BG109" s="145"/>
      <c r="BH109" s="138"/>
      <c r="BI109" s="138"/>
      <c r="BJ109" s="138"/>
      <c r="BK109" s="138"/>
      <c r="BL109" s="138"/>
      <c r="BM109" s="138"/>
      <c r="BN109" s="138"/>
    </row>
    <row r="110" spans="1:66" s="91" customFormat="1" ht="25.5" hidden="1" customHeight="1" x14ac:dyDescent="0.2">
      <c r="A110" s="150" t="s">
        <v>1082</v>
      </c>
      <c r="B110" s="18" t="s">
        <v>33</v>
      </c>
      <c r="C110" s="18" t="s">
        <v>34</v>
      </c>
      <c r="D110" s="19" t="s">
        <v>566</v>
      </c>
      <c r="E110" s="55">
        <v>1</v>
      </c>
      <c r="F110" s="55" t="s">
        <v>35</v>
      </c>
      <c r="G110" s="55" t="s">
        <v>5</v>
      </c>
      <c r="H110" s="55" t="s">
        <v>3</v>
      </c>
      <c r="I110" s="55"/>
      <c r="J110" s="55"/>
      <c r="K110" s="19" t="s">
        <v>1135</v>
      </c>
      <c r="L110" s="19"/>
      <c r="M110" s="19"/>
      <c r="N110" s="19" t="s">
        <v>1136</v>
      </c>
      <c r="O110" s="151">
        <v>43008</v>
      </c>
      <c r="P110" s="151"/>
      <c r="Q110" s="151"/>
      <c r="R110" s="151"/>
      <c r="S110" s="152"/>
      <c r="T110" s="152"/>
      <c r="U110" s="145">
        <v>0</v>
      </c>
      <c r="V110" s="145">
        <v>0</v>
      </c>
      <c r="W110" s="145">
        <v>0</v>
      </c>
      <c r="X110" s="145">
        <f t="shared" si="56"/>
        <v>0</v>
      </c>
      <c r="Y110" s="145">
        <v>0</v>
      </c>
      <c r="Z110" s="145">
        <v>0</v>
      </c>
      <c r="AA110" s="145">
        <v>0</v>
      </c>
      <c r="AB110" s="145">
        <v>0</v>
      </c>
      <c r="AC110" s="145">
        <v>0</v>
      </c>
      <c r="AD110" s="145">
        <v>0</v>
      </c>
      <c r="AE110" s="145">
        <v>0</v>
      </c>
      <c r="AF110" s="145">
        <v>0</v>
      </c>
      <c r="AG110" s="145">
        <v>0</v>
      </c>
      <c r="AH110" s="145">
        <v>0</v>
      </c>
      <c r="AI110" s="145">
        <v>0</v>
      </c>
      <c r="AJ110" s="145">
        <v>0</v>
      </c>
      <c r="AK110" s="145">
        <f t="shared" si="57"/>
        <v>0</v>
      </c>
      <c r="AL110" s="145">
        <v>173574.25</v>
      </c>
      <c r="AM110" s="145">
        <v>166425.75</v>
      </c>
      <c r="AN110" s="145">
        <v>0</v>
      </c>
      <c r="AO110" s="145">
        <v>0</v>
      </c>
      <c r="AP110" s="145">
        <v>0</v>
      </c>
      <c r="AQ110" s="145">
        <v>0</v>
      </c>
      <c r="AR110" s="145">
        <v>0</v>
      </c>
      <c r="AS110" s="145">
        <f t="shared" si="55"/>
        <v>340000</v>
      </c>
      <c r="AT110" s="145"/>
      <c r="AU110" s="139">
        <f t="shared" si="58"/>
        <v>340000</v>
      </c>
      <c r="AV110" s="146">
        <f>IFERROR(VLOOKUP(J110,Maksājumu_pieprasījumu_iesn.!G:BL,57,0),0)</f>
        <v>0</v>
      </c>
      <c r="AW110" s="139">
        <f t="shared" si="59"/>
        <v>-340000</v>
      </c>
      <c r="AX110" s="153"/>
      <c r="AY110" s="153"/>
      <c r="AZ110" s="153"/>
      <c r="BA110" s="136"/>
      <c r="BB110" s="145"/>
      <c r="BC110" s="145"/>
      <c r="BD110" s="145"/>
      <c r="BE110" s="145"/>
      <c r="BF110" s="145"/>
      <c r="BG110" s="145"/>
      <c r="BH110" s="138"/>
      <c r="BI110" s="138"/>
      <c r="BJ110" s="138"/>
      <c r="BK110" s="138"/>
      <c r="BL110" s="138"/>
      <c r="BM110" s="138"/>
      <c r="BN110" s="138"/>
    </row>
    <row r="111" spans="1:66" ht="38.25" hidden="1" customHeight="1" x14ac:dyDescent="0.2">
      <c r="A111" s="142" t="s">
        <v>1082</v>
      </c>
      <c r="B111" s="18" t="s">
        <v>33</v>
      </c>
      <c r="C111" s="18" t="s">
        <v>34</v>
      </c>
      <c r="D111" s="19" t="s">
        <v>566</v>
      </c>
      <c r="E111" s="18">
        <v>1</v>
      </c>
      <c r="F111" s="18" t="s">
        <v>35</v>
      </c>
      <c r="G111" s="18" t="s">
        <v>5</v>
      </c>
      <c r="H111" s="18" t="s">
        <v>3</v>
      </c>
      <c r="I111" s="18"/>
      <c r="J111" s="18" t="s">
        <v>746</v>
      </c>
      <c r="K111" s="19" t="s">
        <v>747</v>
      </c>
      <c r="L111" s="19"/>
      <c r="M111" s="19"/>
      <c r="N111" s="19" t="s">
        <v>748</v>
      </c>
      <c r="O111" s="143"/>
      <c r="P111" s="143"/>
      <c r="Q111" s="143"/>
      <c r="R111" s="187" t="s">
        <v>1096</v>
      </c>
      <c r="S111" s="144">
        <v>4250001</v>
      </c>
      <c r="T111" s="172"/>
      <c r="U111" s="145">
        <v>0</v>
      </c>
      <c r="V111" s="145">
        <v>0</v>
      </c>
      <c r="W111" s="145">
        <v>0</v>
      </c>
      <c r="X111" s="145">
        <f t="shared" si="56"/>
        <v>0</v>
      </c>
      <c r="Y111" s="145">
        <v>0</v>
      </c>
      <c r="Z111" s="145">
        <v>0</v>
      </c>
      <c r="AA111" s="145">
        <v>0</v>
      </c>
      <c r="AB111" s="145">
        <v>0</v>
      </c>
      <c r="AC111" s="145">
        <v>0</v>
      </c>
      <c r="AD111" s="145">
        <v>68000</v>
      </c>
      <c r="AE111" s="145">
        <v>0</v>
      </c>
      <c r="AF111" s="145">
        <v>0</v>
      </c>
      <c r="AG111" s="145">
        <v>0</v>
      </c>
      <c r="AH111" s="145">
        <v>0</v>
      </c>
      <c r="AI111" s="145">
        <v>0</v>
      </c>
      <c r="AJ111" s="145">
        <v>0</v>
      </c>
      <c r="AK111" s="145">
        <f t="shared" si="57"/>
        <v>68000</v>
      </c>
      <c r="AL111" s="145">
        <v>2396611</v>
      </c>
      <c r="AM111" s="145">
        <v>1676821</v>
      </c>
      <c r="AN111" s="145">
        <v>108569</v>
      </c>
      <c r="AO111" s="145">
        <v>0</v>
      </c>
      <c r="AP111" s="145">
        <v>0</v>
      </c>
      <c r="AQ111" s="145">
        <v>0</v>
      </c>
      <c r="AR111" s="145">
        <v>0</v>
      </c>
      <c r="AS111" s="144">
        <f t="shared" si="55"/>
        <v>4250001</v>
      </c>
      <c r="AT111" s="144">
        <v>0</v>
      </c>
      <c r="AU111" s="146">
        <f t="shared" si="58"/>
        <v>4250001</v>
      </c>
      <c r="AV111" s="146">
        <f>IFERROR(VLOOKUP(J111,Maksājumu_pieprasījumu_iesn.!G:BL,57,0),0)</f>
        <v>0</v>
      </c>
      <c r="AW111" s="139">
        <f t="shared" si="59"/>
        <v>-4250001</v>
      </c>
      <c r="AX111" s="147"/>
      <c r="AY111" s="147"/>
      <c r="AZ111" s="147"/>
      <c r="BA111" s="165"/>
      <c r="BB111" s="144"/>
      <c r="BC111" s="144"/>
      <c r="BD111" s="144"/>
      <c r="BE111" s="144"/>
      <c r="BF111" s="144"/>
      <c r="BG111" s="144"/>
      <c r="BH111" s="149"/>
      <c r="BI111" s="149"/>
      <c r="BJ111" s="149"/>
      <c r="BK111" s="149"/>
      <c r="BL111" s="149"/>
      <c r="BM111" s="149"/>
      <c r="BN111" s="149"/>
    </row>
    <row r="112" spans="1:66" s="91" customFormat="1" ht="25.5" hidden="1" customHeight="1" x14ac:dyDescent="0.2">
      <c r="A112" s="150" t="s">
        <v>1082</v>
      </c>
      <c r="B112" s="18" t="s">
        <v>33</v>
      </c>
      <c r="C112" s="18" t="s">
        <v>34</v>
      </c>
      <c r="D112" s="19" t="s">
        <v>566</v>
      </c>
      <c r="E112" s="55">
        <v>1</v>
      </c>
      <c r="F112" s="55" t="s">
        <v>35</v>
      </c>
      <c r="G112" s="55" t="s">
        <v>5</v>
      </c>
      <c r="H112" s="55" t="s">
        <v>3</v>
      </c>
      <c r="I112" s="55"/>
      <c r="J112" s="55"/>
      <c r="K112" s="19" t="s">
        <v>1137</v>
      </c>
      <c r="L112" s="19"/>
      <c r="M112" s="19"/>
      <c r="N112" s="19" t="s">
        <v>1138</v>
      </c>
      <c r="O112" s="151">
        <v>43008</v>
      </c>
      <c r="P112" s="151"/>
      <c r="Q112" s="151"/>
      <c r="R112" s="151"/>
      <c r="S112" s="152"/>
      <c r="T112" s="152"/>
      <c r="U112" s="145">
        <v>0</v>
      </c>
      <c r="V112" s="145">
        <v>0</v>
      </c>
      <c r="W112" s="145">
        <v>0</v>
      </c>
      <c r="X112" s="145">
        <f t="shared" si="56"/>
        <v>0</v>
      </c>
      <c r="Y112" s="145">
        <v>0</v>
      </c>
      <c r="Z112" s="145">
        <v>0</v>
      </c>
      <c r="AA112" s="145">
        <v>0</v>
      </c>
      <c r="AB112" s="145">
        <v>0</v>
      </c>
      <c r="AC112" s="145">
        <v>0</v>
      </c>
      <c r="AD112" s="145">
        <v>0</v>
      </c>
      <c r="AE112" s="145">
        <v>0</v>
      </c>
      <c r="AF112" s="145">
        <v>0</v>
      </c>
      <c r="AG112" s="145">
        <v>0</v>
      </c>
      <c r="AH112" s="145">
        <v>0</v>
      </c>
      <c r="AI112" s="145">
        <v>0</v>
      </c>
      <c r="AJ112" s="145">
        <v>0</v>
      </c>
      <c r="AK112" s="145">
        <f t="shared" si="57"/>
        <v>0</v>
      </c>
      <c r="AL112" s="145">
        <v>950799</v>
      </c>
      <c r="AM112" s="145">
        <v>262103</v>
      </c>
      <c r="AN112" s="145">
        <v>62098</v>
      </c>
      <c r="AO112" s="145">
        <v>0</v>
      </c>
      <c r="AP112" s="145">
        <v>0</v>
      </c>
      <c r="AQ112" s="145">
        <v>0</v>
      </c>
      <c r="AR112" s="145">
        <v>0</v>
      </c>
      <c r="AS112" s="145">
        <f t="shared" si="55"/>
        <v>1275000</v>
      </c>
      <c r="AT112" s="145"/>
      <c r="AU112" s="139">
        <f t="shared" si="58"/>
        <v>1275000</v>
      </c>
      <c r="AV112" s="146">
        <f>IFERROR(VLOOKUP(J112,Maksājumu_pieprasījumu_iesn.!G:BL,57,0),0)</f>
        <v>0</v>
      </c>
      <c r="AW112" s="139">
        <f t="shared" si="59"/>
        <v>-1275000</v>
      </c>
      <c r="AX112" s="153"/>
      <c r="AY112" s="153"/>
      <c r="AZ112" s="153"/>
      <c r="BA112" s="136"/>
      <c r="BB112" s="145"/>
      <c r="BC112" s="145"/>
      <c r="BD112" s="145"/>
      <c r="BE112" s="145"/>
      <c r="BF112" s="145"/>
      <c r="BG112" s="145"/>
      <c r="BH112" s="138"/>
      <c r="BI112" s="138"/>
      <c r="BJ112" s="138"/>
      <c r="BK112" s="138"/>
      <c r="BL112" s="138"/>
      <c r="BM112" s="138"/>
      <c r="BN112" s="138"/>
    </row>
    <row r="113" spans="1:66" s="91" customFormat="1" ht="25.5" hidden="1" customHeight="1" x14ac:dyDescent="0.2">
      <c r="A113" s="150" t="s">
        <v>1082</v>
      </c>
      <c r="B113" s="18" t="s">
        <v>33</v>
      </c>
      <c r="C113" s="18" t="s">
        <v>34</v>
      </c>
      <c r="D113" s="19" t="s">
        <v>566</v>
      </c>
      <c r="E113" s="55">
        <v>1</v>
      </c>
      <c r="F113" s="55" t="s">
        <v>35</v>
      </c>
      <c r="G113" s="55" t="s">
        <v>5</v>
      </c>
      <c r="H113" s="55" t="s">
        <v>3</v>
      </c>
      <c r="I113" s="55"/>
      <c r="J113" s="55"/>
      <c r="K113" s="19" t="s">
        <v>1118</v>
      </c>
      <c r="L113" s="19"/>
      <c r="M113" s="19"/>
      <c r="N113" s="19" t="s">
        <v>1139</v>
      </c>
      <c r="O113" s="151">
        <v>42916</v>
      </c>
      <c r="P113" s="151"/>
      <c r="Q113" s="151"/>
      <c r="R113" s="151"/>
      <c r="S113" s="152"/>
      <c r="T113" s="152"/>
      <c r="U113" s="145">
        <v>0</v>
      </c>
      <c r="V113" s="145">
        <v>0</v>
      </c>
      <c r="W113" s="145">
        <v>0</v>
      </c>
      <c r="X113" s="145">
        <f t="shared" si="56"/>
        <v>0</v>
      </c>
      <c r="Y113" s="145">
        <v>0</v>
      </c>
      <c r="Z113" s="145">
        <v>0</v>
      </c>
      <c r="AA113" s="145">
        <v>0</v>
      </c>
      <c r="AB113" s="145">
        <v>0</v>
      </c>
      <c r="AC113" s="145">
        <v>0</v>
      </c>
      <c r="AD113" s="145">
        <v>0</v>
      </c>
      <c r="AE113" s="145">
        <v>0</v>
      </c>
      <c r="AF113" s="145">
        <v>0</v>
      </c>
      <c r="AG113" s="145">
        <v>0</v>
      </c>
      <c r="AH113" s="145">
        <v>0</v>
      </c>
      <c r="AI113" s="145">
        <v>0</v>
      </c>
      <c r="AJ113" s="145">
        <v>0</v>
      </c>
      <c r="AK113" s="145">
        <f t="shared" si="57"/>
        <v>0</v>
      </c>
      <c r="AL113" s="145">
        <v>697000</v>
      </c>
      <c r="AM113" s="145">
        <v>510000</v>
      </c>
      <c r="AN113" s="145">
        <v>493000</v>
      </c>
      <c r="AO113" s="145">
        <v>0</v>
      </c>
      <c r="AP113" s="145">
        <v>0</v>
      </c>
      <c r="AQ113" s="145">
        <v>0</v>
      </c>
      <c r="AR113" s="145">
        <v>0</v>
      </c>
      <c r="AS113" s="145">
        <f t="shared" si="55"/>
        <v>1700000</v>
      </c>
      <c r="AT113" s="145"/>
      <c r="AU113" s="139">
        <f t="shared" si="58"/>
        <v>1700000</v>
      </c>
      <c r="AV113" s="146">
        <f>IFERROR(VLOOKUP(J113,Maksājumu_pieprasījumu_iesn.!G:BL,57,0),0)</f>
        <v>0</v>
      </c>
      <c r="AW113" s="139">
        <f t="shared" si="59"/>
        <v>-1700000</v>
      </c>
      <c r="AX113" s="153"/>
      <c r="AY113" s="153"/>
      <c r="AZ113" s="153"/>
      <c r="BA113" s="136"/>
      <c r="BB113" s="145"/>
      <c r="BC113" s="145"/>
      <c r="BD113" s="145"/>
      <c r="BE113" s="145"/>
      <c r="BF113" s="145"/>
      <c r="BG113" s="145"/>
      <c r="BH113" s="138"/>
      <c r="BI113" s="138"/>
      <c r="BJ113" s="138"/>
      <c r="BK113" s="138"/>
      <c r="BL113" s="138"/>
      <c r="BM113" s="138"/>
      <c r="BN113" s="138"/>
    </row>
    <row r="114" spans="1:66" s="91" customFormat="1" ht="25.5" hidden="1" customHeight="1" x14ac:dyDescent="0.2">
      <c r="A114" s="150" t="s">
        <v>1082</v>
      </c>
      <c r="B114" s="18" t="s">
        <v>33</v>
      </c>
      <c r="C114" s="18" t="s">
        <v>34</v>
      </c>
      <c r="D114" s="19" t="s">
        <v>566</v>
      </c>
      <c r="E114" s="55">
        <v>1</v>
      </c>
      <c r="F114" s="55" t="s">
        <v>35</v>
      </c>
      <c r="G114" s="55" t="s">
        <v>5</v>
      </c>
      <c r="H114" s="55" t="s">
        <v>3</v>
      </c>
      <c r="I114" s="55"/>
      <c r="J114" s="55"/>
      <c r="K114" s="19" t="s">
        <v>1140</v>
      </c>
      <c r="L114" s="19"/>
      <c r="M114" s="19"/>
      <c r="N114" s="19" t="s">
        <v>1141</v>
      </c>
      <c r="O114" s="151">
        <v>43008</v>
      </c>
      <c r="P114" s="151"/>
      <c r="Q114" s="151"/>
      <c r="R114" s="151"/>
      <c r="S114" s="152"/>
      <c r="T114" s="152"/>
      <c r="U114" s="145">
        <v>0</v>
      </c>
      <c r="V114" s="145">
        <v>0</v>
      </c>
      <c r="W114" s="145">
        <v>0</v>
      </c>
      <c r="X114" s="145">
        <f t="shared" si="56"/>
        <v>0</v>
      </c>
      <c r="Y114" s="145">
        <v>0</v>
      </c>
      <c r="Z114" s="145">
        <v>0</v>
      </c>
      <c r="AA114" s="145">
        <v>0</v>
      </c>
      <c r="AB114" s="145">
        <v>0</v>
      </c>
      <c r="AC114" s="145">
        <v>0</v>
      </c>
      <c r="AD114" s="145">
        <v>0</v>
      </c>
      <c r="AE114" s="145">
        <v>0</v>
      </c>
      <c r="AF114" s="145">
        <v>0</v>
      </c>
      <c r="AG114" s="145">
        <v>0</v>
      </c>
      <c r="AH114" s="145">
        <v>0</v>
      </c>
      <c r="AI114" s="145">
        <v>0</v>
      </c>
      <c r="AJ114" s="145">
        <v>0</v>
      </c>
      <c r="AK114" s="145">
        <f t="shared" si="57"/>
        <v>0</v>
      </c>
      <c r="AL114" s="145">
        <v>1275000</v>
      </c>
      <c r="AM114" s="145">
        <v>1275000</v>
      </c>
      <c r="AN114" s="145">
        <v>1275000</v>
      </c>
      <c r="AO114" s="145">
        <v>0</v>
      </c>
      <c r="AP114" s="145">
        <v>0</v>
      </c>
      <c r="AQ114" s="145">
        <v>0</v>
      </c>
      <c r="AR114" s="145">
        <v>0</v>
      </c>
      <c r="AS114" s="145">
        <f t="shared" si="55"/>
        <v>3825000</v>
      </c>
      <c r="AT114" s="145"/>
      <c r="AU114" s="139">
        <f t="shared" si="58"/>
        <v>3825000</v>
      </c>
      <c r="AV114" s="146">
        <f>IFERROR(VLOOKUP(J114,Maksājumu_pieprasījumu_iesn.!G:BL,57,0),0)</f>
        <v>0</v>
      </c>
      <c r="AW114" s="139">
        <f t="shared" si="59"/>
        <v>-3825000</v>
      </c>
      <c r="AX114" s="153"/>
      <c r="AY114" s="153"/>
      <c r="AZ114" s="153"/>
      <c r="BA114" s="136"/>
      <c r="BB114" s="145"/>
      <c r="BC114" s="145"/>
      <c r="BD114" s="145"/>
      <c r="BE114" s="145"/>
      <c r="BF114" s="145"/>
      <c r="BG114" s="145"/>
      <c r="BH114" s="138"/>
      <c r="BI114" s="138"/>
      <c r="BJ114" s="138"/>
      <c r="BK114" s="138"/>
      <c r="BL114" s="138"/>
      <c r="BM114" s="138"/>
      <c r="BN114" s="138"/>
    </row>
    <row r="115" spans="1:66" s="91" customFormat="1" ht="38.25" hidden="1" customHeight="1" x14ac:dyDescent="0.2">
      <c r="A115" s="150" t="s">
        <v>1082</v>
      </c>
      <c r="B115" s="18" t="s">
        <v>33</v>
      </c>
      <c r="C115" s="18" t="s">
        <v>34</v>
      </c>
      <c r="D115" s="19" t="s">
        <v>566</v>
      </c>
      <c r="E115" s="55">
        <v>1</v>
      </c>
      <c r="F115" s="55" t="s">
        <v>35</v>
      </c>
      <c r="G115" s="55" t="s">
        <v>5</v>
      </c>
      <c r="H115" s="55" t="s">
        <v>3</v>
      </c>
      <c r="I115" s="55"/>
      <c r="J115" s="55"/>
      <c r="K115" s="19" t="s">
        <v>1142</v>
      </c>
      <c r="L115" s="19"/>
      <c r="M115" s="19"/>
      <c r="N115" s="19" t="s">
        <v>1143</v>
      </c>
      <c r="O115" s="151">
        <v>42916</v>
      </c>
      <c r="P115" s="151"/>
      <c r="Q115" s="151"/>
      <c r="R115" s="151"/>
      <c r="S115" s="152"/>
      <c r="T115" s="152"/>
      <c r="U115" s="145">
        <v>0</v>
      </c>
      <c r="V115" s="145">
        <v>0</v>
      </c>
      <c r="W115" s="145">
        <v>0</v>
      </c>
      <c r="X115" s="145">
        <f t="shared" si="56"/>
        <v>0</v>
      </c>
      <c r="Y115" s="145">
        <v>0</v>
      </c>
      <c r="Z115" s="145">
        <v>0</v>
      </c>
      <c r="AA115" s="145">
        <v>0</v>
      </c>
      <c r="AB115" s="145">
        <v>0</v>
      </c>
      <c r="AC115" s="145">
        <v>0</v>
      </c>
      <c r="AD115" s="145">
        <v>0</v>
      </c>
      <c r="AE115" s="145">
        <v>0</v>
      </c>
      <c r="AF115" s="145">
        <v>0</v>
      </c>
      <c r="AG115" s="145">
        <v>0</v>
      </c>
      <c r="AH115" s="145">
        <v>0</v>
      </c>
      <c r="AI115" s="145">
        <v>0</v>
      </c>
      <c r="AJ115" s="145">
        <v>0</v>
      </c>
      <c r="AK115" s="145">
        <f t="shared" si="57"/>
        <v>0</v>
      </c>
      <c r="AL115" s="145">
        <v>680000</v>
      </c>
      <c r="AM115" s="145">
        <v>212500</v>
      </c>
      <c r="AN115" s="145">
        <v>42500</v>
      </c>
      <c r="AO115" s="145">
        <v>0</v>
      </c>
      <c r="AP115" s="145">
        <v>0</v>
      </c>
      <c r="AQ115" s="145">
        <v>0</v>
      </c>
      <c r="AR115" s="145">
        <v>0</v>
      </c>
      <c r="AS115" s="145">
        <f t="shared" si="55"/>
        <v>935000</v>
      </c>
      <c r="AT115" s="145"/>
      <c r="AU115" s="139">
        <f t="shared" si="58"/>
        <v>935000</v>
      </c>
      <c r="AV115" s="146">
        <f>IFERROR(VLOOKUP(J115,Maksājumu_pieprasījumu_iesn.!G:BL,57,0),0)</f>
        <v>0</v>
      </c>
      <c r="AW115" s="139">
        <f t="shared" si="59"/>
        <v>-935000</v>
      </c>
      <c r="AX115" s="153"/>
      <c r="AY115" s="153"/>
      <c r="AZ115" s="153"/>
      <c r="BA115" s="136"/>
      <c r="BB115" s="145"/>
      <c r="BC115" s="145"/>
      <c r="BD115" s="145"/>
      <c r="BE115" s="145"/>
      <c r="BF115" s="145"/>
      <c r="BG115" s="145"/>
      <c r="BH115" s="138"/>
      <c r="BI115" s="138"/>
      <c r="BJ115" s="138"/>
      <c r="BK115" s="138"/>
      <c r="BL115" s="138"/>
      <c r="BM115" s="138"/>
      <c r="BN115" s="138"/>
    </row>
    <row r="116" spans="1:66" s="91" customFormat="1" ht="25.5" hidden="1" customHeight="1" x14ac:dyDescent="0.2">
      <c r="A116" s="150" t="s">
        <v>1082</v>
      </c>
      <c r="B116" s="18" t="s">
        <v>33</v>
      </c>
      <c r="C116" s="18" t="s">
        <v>34</v>
      </c>
      <c r="D116" s="19" t="s">
        <v>566</v>
      </c>
      <c r="E116" s="55">
        <v>1</v>
      </c>
      <c r="F116" s="55" t="s">
        <v>35</v>
      </c>
      <c r="G116" s="55" t="s">
        <v>5</v>
      </c>
      <c r="H116" s="55" t="s">
        <v>3</v>
      </c>
      <c r="I116" s="55"/>
      <c r="J116" s="55"/>
      <c r="K116" s="19" t="s">
        <v>98</v>
      </c>
      <c r="L116" s="19"/>
      <c r="M116" s="19"/>
      <c r="N116" s="19" t="s">
        <v>1144</v>
      </c>
      <c r="O116" s="151">
        <v>42917</v>
      </c>
      <c r="P116" s="151"/>
      <c r="Q116" s="151"/>
      <c r="R116" s="151"/>
      <c r="S116" s="152"/>
      <c r="T116" s="152"/>
      <c r="U116" s="145">
        <v>0</v>
      </c>
      <c r="V116" s="145">
        <v>0</v>
      </c>
      <c r="W116" s="145">
        <v>0</v>
      </c>
      <c r="X116" s="145">
        <f t="shared" si="56"/>
        <v>0</v>
      </c>
      <c r="Y116" s="145">
        <v>0</v>
      </c>
      <c r="Z116" s="145">
        <v>0</v>
      </c>
      <c r="AA116" s="145">
        <v>0</v>
      </c>
      <c r="AB116" s="145">
        <v>0</v>
      </c>
      <c r="AC116" s="145">
        <v>0</v>
      </c>
      <c r="AD116" s="145">
        <v>0</v>
      </c>
      <c r="AE116" s="145">
        <v>0</v>
      </c>
      <c r="AF116" s="145">
        <v>0</v>
      </c>
      <c r="AG116" s="145">
        <v>0</v>
      </c>
      <c r="AH116" s="145">
        <v>0</v>
      </c>
      <c r="AI116" s="145">
        <v>0</v>
      </c>
      <c r="AJ116" s="145">
        <v>0</v>
      </c>
      <c r="AK116" s="145">
        <f t="shared" si="57"/>
        <v>0</v>
      </c>
      <c r="AL116" s="145">
        <v>476000</v>
      </c>
      <c r="AM116" s="145">
        <v>884000</v>
      </c>
      <c r="AN116" s="145">
        <v>340000</v>
      </c>
      <c r="AO116" s="145">
        <v>0</v>
      </c>
      <c r="AP116" s="145">
        <v>0</v>
      </c>
      <c r="AQ116" s="145">
        <v>0</v>
      </c>
      <c r="AR116" s="145">
        <v>0</v>
      </c>
      <c r="AS116" s="145">
        <f t="shared" si="55"/>
        <v>1700000</v>
      </c>
      <c r="AT116" s="145"/>
      <c r="AU116" s="139">
        <f t="shared" si="58"/>
        <v>1700000</v>
      </c>
      <c r="AV116" s="146">
        <f>IFERROR(VLOOKUP(J116,Maksājumu_pieprasījumu_iesn.!G:BL,57,0),0)</f>
        <v>0</v>
      </c>
      <c r="AW116" s="139">
        <f t="shared" si="59"/>
        <v>-1700000</v>
      </c>
      <c r="AX116" s="153"/>
      <c r="AY116" s="153"/>
      <c r="AZ116" s="153"/>
      <c r="BA116" s="136"/>
      <c r="BB116" s="145"/>
      <c r="BC116" s="145"/>
      <c r="BD116" s="145"/>
      <c r="BE116" s="145"/>
      <c r="BF116" s="145"/>
      <c r="BG116" s="145"/>
      <c r="BH116" s="138"/>
      <c r="BI116" s="138"/>
      <c r="BJ116" s="138"/>
      <c r="BK116" s="138"/>
      <c r="BL116" s="138"/>
      <c r="BM116" s="138"/>
      <c r="BN116" s="138"/>
    </row>
    <row r="117" spans="1:66" s="91" customFormat="1" ht="25.5" hidden="1" customHeight="1" x14ac:dyDescent="0.2">
      <c r="A117" s="150" t="s">
        <v>1082</v>
      </c>
      <c r="B117" s="18" t="s">
        <v>33</v>
      </c>
      <c r="C117" s="18" t="s">
        <v>34</v>
      </c>
      <c r="D117" s="19" t="s">
        <v>566</v>
      </c>
      <c r="E117" s="55">
        <v>2</v>
      </c>
      <c r="F117" s="55" t="s">
        <v>35</v>
      </c>
      <c r="G117" s="55" t="s">
        <v>5</v>
      </c>
      <c r="H117" s="55" t="s">
        <v>3</v>
      </c>
      <c r="I117" s="55"/>
      <c r="J117" s="55" t="s">
        <v>1081</v>
      </c>
      <c r="K117" s="19"/>
      <c r="L117" s="19"/>
      <c r="M117" s="19"/>
      <c r="N117" s="19"/>
      <c r="O117" s="151"/>
      <c r="P117" s="151"/>
      <c r="Q117" s="151"/>
      <c r="R117" s="151"/>
      <c r="S117" s="152"/>
      <c r="T117" s="152"/>
      <c r="U117" s="145"/>
      <c r="V117" s="145"/>
      <c r="W117" s="145"/>
      <c r="X117" s="145">
        <f t="shared" si="56"/>
        <v>0</v>
      </c>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T117" s="145"/>
      <c r="AU117" s="139"/>
      <c r="AV117" s="146">
        <f>IFERROR(VLOOKUP(J117,Maksājumu_pieprasījumu_iesn.!G:BL,57,0),0)</f>
        <v>0</v>
      </c>
      <c r="AW117" s="139">
        <f t="shared" si="59"/>
        <v>0</v>
      </c>
      <c r="AX117" s="153"/>
      <c r="AY117" s="145">
        <f>S76-T76-AS76</f>
        <v>17647841.867584169</v>
      </c>
      <c r="AZ117" s="145"/>
      <c r="BA117" s="138" t="s">
        <v>1088</v>
      </c>
      <c r="BB117" s="145"/>
      <c r="BC117" s="145"/>
      <c r="BD117" s="145"/>
      <c r="BE117" s="145"/>
      <c r="BF117" s="145"/>
      <c r="BG117" s="145"/>
      <c r="BH117" s="138"/>
      <c r="BI117" s="138"/>
      <c r="BJ117" s="138"/>
      <c r="BK117" s="138"/>
      <c r="BL117" s="138"/>
      <c r="BM117" s="138"/>
      <c r="BN117" s="138"/>
    </row>
    <row r="118" spans="1:66" s="91" customFormat="1" ht="51" hidden="1" customHeight="1" x14ac:dyDescent="0.2">
      <c r="A118" s="131" t="s">
        <v>1082</v>
      </c>
      <c r="B118" s="132" t="s">
        <v>33</v>
      </c>
      <c r="C118" s="132" t="s">
        <v>34</v>
      </c>
      <c r="D118" s="133" t="s">
        <v>566</v>
      </c>
      <c r="E118" s="22">
        <v>2</v>
      </c>
      <c r="F118" s="22" t="s">
        <v>35</v>
      </c>
      <c r="G118" s="22" t="s">
        <v>5</v>
      </c>
      <c r="H118" s="22" t="s">
        <v>3</v>
      </c>
      <c r="I118" s="22" t="s">
        <v>1022</v>
      </c>
      <c r="J118" s="134" t="s">
        <v>1026</v>
      </c>
      <c r="K118" s="133"/>
      <c r="L118" s="133"/>
      <c r="M118" s="133"/>
      <c r="N118" s="133"/>
      <c r="O118" s="135"/>
      <c r="P118" s="135"/>
      <c r="Q118" s="135"/>
      <c r="R118" s="135"/>
      <c r="S118" s="136">
        <v>7130937</v>
      </c>
      <c r="T118" s="136">
        <v>0</v>
      </c>
      <c r="U118" s="137">
        <f>SUM(U119:U144)</f>
        <v>0</v>
      </c>
      <c r="V118" s="137">
        <f>SUM(V119:V144)</f>
        <v>0</v>
      </c>
      <c r="W118" s="137">
        <f>SUM(W119:W144)</f>
        <v>0</v>
      </c>
      <c r="X118" s="138">
        <f>U118+V118+W118</f>
        <v>0</v>
      </c>
      <c r="Y118" s="137">
        <f t="shared" ref="Y118:AR118" si="60">SUM(Y119:Y144)</f>
        <v>0</v>
      </c>
      <c r="Z118" s="137">
        <f t="shared" si="60"/>
        <v>0</v>
      </c>
      <c r="AA118" s="137">
        <f t="shared" si="60"/>
        <v>0</v>
      </c>
      <c r="AB118" s="137">
        <f t="shared" si="60"/>
        <v>0</v>
      </c>
      <c r="AC118" s="137">
        <f t="shared" si="60"/>
        <v>0</v>
      </c>
      <c r="AD118" s="137">
        <f t="shared" si="60"/>
        <v>0</v>
      </c>
      <c r="AE118" s="137">
        <f t="shared" si="60"/>
        <v>0</v>
      </c>
      <c r="AF118" s="137">
        <f t="shared" si="60"/>
        <v>0</v>
      </c>
      <c r="AG118" s="137">
        <f t="shared" si="60"/>
        <v>0</v>
      </c>
      <c r="AH118" s="137">
        <f t="shared" si="60"/>
        <v>0</v>
      </c>
      <c r="AI118" s="137">
        <f t="shared" si="60"/>
        <v>0</v>
      </c>
      <c r="AJ118" s="137">
        <f t="shared" si="60"/>
        <v>0</v>
      </c>
      <c r="AK118" s="137">
        <f t="shared" si="60"/>
        <v>0</v>
      </c>
      <c r="AL118" s="137">
        <f t="shared" si="60"/>
        <v>0</v>
      </c>
      <c r="AM118" s="137">
        <f t="shared" si="60"/>
        <v>0</v>
      </c>
      <c r="AN118" s="137">
        <f t="shared" si="60"/>
        <v>0</v>
      </c>
      <c r="AO118" s="137">
        <f t="shared" si="60"/>
        <v>0</v>
      </c>
      <c r="AP118" s="137">
        <f t="shared" si="60"/>
        <v>0</v>
      </c>
      <c r="AQ118" s="137">
        <f t="shared" si="60"/>
        <v>0</v>
      </c>
      <c r="AR118" s="137">
        <f t="shared" si="60"/>
        <v>0</v>
      </c>
      <c r="AS118" s="137">
        <f t="shared" ref="AS118:AS148" si="61">U118+V118+W118+AK118+AL118+AM118+AN118+AO118+AP118+AQ118+AR118</f>
        <v>0</v>
      </c>
      <c r="AT118" s="137">
        <f>SUM(AT119:AT144)</f>
        <v>0</v>
      </c>
      <c r="AU118" s="139">
        <f t="shared" si="58"/>
        <v>0</v>
      </c>
      <c r="AV118" s="146">
        <f>IFERROR(VLOOKUP(J118,Maksājumu_pieprasījumu_iesn.!G:BL,57,0),0)</f>
        <v>0</v>
      </c>
      <c r="AW118" s="139">
        <f t="shared" si="59"/>
        <v>0</v>
      </c>
      <c r="AX118" s="140">
        <f>S118-T118-AU118</f>
        <v>7130937</v>
      </c>
      <c r="AY118" s="140">
        <v>7130937</v>
      </c>
      <c r="AZ118" s="140"/>
      <c r="BA118" s="138" t="s">
        <v>1145</v>
      </c>
      <c r="BB118" s="140"/>
      <c r="BC118" s="140">
        <f>X118+AK118+AL118/2</f>
        <v>0</v>
      </c>
      <c r="BD118" s="140"/>
      <c r="BE118" s="140">
        <f>BC118/0.85</f>
        <v>0</v>
      </c>
      <c r="BF118" s="137"/>
      <c r="BG118" s="137"/>
      <c r="BH118" s="138">
        <v>0</v>
      </c>
      <c r="BI118" s="138">
        <v>0</v>
      </c>
      <c r="BJ118" s="138"/>
      <c r="BK118" s="138"/>
      <c r="BL118" s="138">
        <v>0</v>
      </c>
      <c r="BM118" s="138"/>
      <c r="BN118" s="138"/>
    </row>
    <row r="119" spans="1:66" s="91" customFormat="1" ht="25.5" hidden="1" customHeight="1" x14ac:dyDescent="0.2">
      <c r="A119" s="150" t="s">
        <v>1082</v>
      </c>
      <c r="B119" s="20" t="s">
        <v>33</v>
      </c>
      <c r="C119" s="20" t="s">
        <v>34</v>
      </c>
      <c r="D119" s="19" t="s">
        <v>566</v>
      </c>
      <c r="E119" s="52">
        <v>2</v>
      </c>
      <c r="F119" s="52" t="s">
        <v>35</v>
      </c>
      <c r="G119" s="52" t="s">
        <v>5</v>
      </c>
      <c r="H119" s="52" t="s">
        <v>3</v>
      </c>
      <c r="I119" s="52"/>
      <c r="J119" s="52"/>
      <c r="K119" s="21" t="s">
        <v>1094</v>
      </c>
      <c r="L119" s="21"/>
      <c r="M119" s="21"/>
      <c r="N119" s="21" t="s">
        <v>1146</v>
      </c>
      <c r="O119" s="188"/>
      <c r="P119" s="188"/>
      <c r="Q119" s="188"/>
      <c r="R119" s="188"/>
      <c r="S119" s="189"/>
      <c r="T119" s="189"/>
      <c r="U119" s="153">
        <v>0</v>
      </c>
      <c r="V119" s="153">
        <v>0</v>
      </c>
      <c r="W119" s="153">
        <v>0</v>
      </c>
      <c r="X119" s="145">
        <f t="shared" si="56"/>
        <v>0</v>
      </c>
      <c r="Y119" s="153">
        <v>0</v>
      </c>
      <c r="Z119" s="153">
        <v>0</v>
      </c>
      <c r="AA119" s="153">
        <v>0</v>
      </c>
      <c r="AB119" s="153">
        <v>0</v>
      </c>
      <c r="AC119" s="153">
        <v>0</v>
      </c>
      <c r="AD119" s="153">
        <v>0</v>
      </c>
      <c r="AE119" s="153">
        <v>0</v>
      </c>
      <c r="AF119" s="153">
        <v>0</v>
      </c>
      <c r="AG119" s="153">
        <v>0</v>
      </c>
      <c r="AH119" s="153">
        <v>0</v>
      </c>
      <c r="AI119" s="153">
        <v>0</v>
      </c>
      <c r="AJ119" s="153">
        <v>0</v>
      </c>
      <c r="AK119" s="145">
        <f t="shared" ref="AK119:AK144" si="62">SUM(Y119:AJ119)</f>
        <v>0</v>
      </c>
      <c r="AL119" s="145">
        <v>0</v>
      </c>
      <c r="AM119" s="153">
        <v>0</v>
      </c>
      <c r="AN119" s="153">
        <v>0</v>
      </c>
      <c r="AO119" s="153">
        <v>0</v>
      </c>
      <c r="AP119" s="153">
        <v>0</v>
      </c>
      <c r="AQ119" s="153">
        <v>0</v>
      </c>
      <c r="AR119" s="153">
        <v>0</v>
      </c>
      <c r="AS119" s="145">
        <f t="shared" si="61"/>
        <v>0</v>
      </c>
      <c r="AT119" s="153"/>
      <c r="AU119" s="139">
        <f t="shared" si="58"/>
        <v>0</v>
      </c>
      <c r="AV119" s="146">
        <f>IFERROR(VLOOKUP(J119,Maksājumu_pieprasījumu_iesn.!G:BL,57,0),0)</f>
        <v>0</v>
      </c>
      <c r="AW119" s="139">
        <f t="shared" si="59"/>
        <v>0</v>
      </c>
      <c r="AX119" s="153"/>
      <c r="AY119" s="153"/>
      <c r="AZ119" s="153"/>
      <c r="BA119" s="136"/>
      <c r="BB119" s="145"/>
      <c r="BC119" s="145"/>
      <c r="BD119" s="145"/>
      <c r="BE119" s="145"/>
      <c r="BF119" s="145"/>
      <c r="BG119" s="145"/>
      <c r="BH119" s="138"/>
      <c r="BI119" s="138"/>
      <c r="BJ119" s="138"/>
      <c r="BK119" s="138"/>
      <c r="BL119" s="138"/>
      <c r="BM119" s="138"/>
      <c r="BN119" s="138"/>
    </row>
    <row r="120" spans="1:66" s="91" customFormat="1" ht="25.5" hidden="1" customHeight="1" x14ac:dyDescent="0.2">
      <c r="A120" s="150" t="s">
        <v>1082</v>
      </c>
      <c r="B120" s="18" t="s">
        <v>33</v>
      </c>
      <c r="C120" s="18" t="s">
        <v>34</v>
      </c>
      <c r="D120" s="19" t="s">
        <v>566</v>
      </c>
      <c r="E120" s="55">
        <v>2</v>
      </c>
      <c r="F120" s="55" t="s">
        <v>35</v>
      </c>
      <c r="G120" s="55" t="s">
        <v>5</v>
      </c>
      <c r="H120" s="55" t="s">
        <v>3</v>
      </c>
      <c r="I120" s="55"/>
      <c r="J120" s="55"/>
      <c r="K120" s="19" t="s">
        <v>13</v>
      </c>
      <c r="L120" s="19"/>
      <c r="M120" s="19"/>
      <c r="N120" s="19" t="s">
        <v>1147</v>
      </c>
      <c r="O120" s="151"/>
      <c r="P120" s="151"/>
      <c r="Q120" s="151"/>
      <c r="R120" s="151"/>
      <c r="S120" s="152"/>
      <c r="T120" s="152"/>
      <c r="U120" s="145">
        <v>0</v>
      </c>
      <c r="V120" s="145">
        <v>0</v>
      </c>
      <c r="W120" s="145">
        <v>0</v>
      </c>
      <c r="X120" s="145">
        <f t="shared" si="56"/>
        <v>0</v>
      </c>
      <c r="Y120" s="145">
        <v>0</v>
      </c>
      <c r="Z120" s="145">
        <v>0</v>
      </c>
      <c r="AA120" s="145">
        <v>0</v>
      </c>
      <c r="AB120" s="145">
        <v>0</v>
      </c>
      <c r="AC120" s="145">
        <v>0</v>
      </c>
      <c r="AD120" s="145">
        <v>0</v>
      </c>
      <c r="AE120" s="145">
        <v>0</v>
      </c>
      <c r="AF120" s="145">
        <v>0</v>
      </c>
      <c r="AG120" s="145">
        <v>0</v>
      </c>
      <c r="AH120" s="145">
        <v>0</v>
      </c>
      <c r="AI120" s="145">
        <v>0</v>
      </c>
      <c r="AJ120" s="145">
        <v>0</v>
      </c>
      <c r="AK120" s="145">
        <f t="shared" si="62"/>
        <v>0</v>
      </c>
      <c r="AL120" s="145">
        <v>0</v>
      </c>
      <c r="AM120" s="145">
        <v>0</v>
      </c>
      <c r="AN120" s="145">
        <v>0</v>
      </c>
      <c r="AO120" s="145">
        <v>0</v>
      </c>
      <c r="AP120" s="145">
        <v>0</v>
      </c>
      <c r="AQ120" s="145">
        <v>0</v>
      </c>
      <c r="AR120" s="145">
        <v>0</v>
      </c>
      <c r="AS120" s="145">
        <f t="shared" si="61"/>
        <v>0</v>
      </c>
      <c r="AT120" s="145"/>
      <c r="AU120" s="139">
        <f t="shared" si="58"/>
        <v>0</v>
      </c>
      <c r="AV120" s="146">
        <f>IFERROR(VLOOKUP(J120,Maksājumu_pieprasījumu_iesn.!G:BL,57,0),0)</f>
        <v>0</v>
      </c>
      <c r="AW120" s="139">
        <f t="shared" si="59"/>
        <v>0</v>
      </c>
      <c r="AX120" s="153"/>
      <c r="AY120" s="153"/>
      <c r="AZ120" s="153"/>
      <c r="BA120" s="136"/>
      <c r="BB120" s="145"/>
      <c r="BC120" s="145"/>
      <c r="BD120" s="145"/>
      <c r="BE120" s="145"/>
      <c r="BF120" s="145"/>
      <c r="BG120" s="145"/>
      <c r="BH120" s="138"/>
      <c r="BI120" s="138"/>
      <c r="BJ120" s="138"/>
      <c r="BK120" s="138"/>
      <c r="BL120" s="138"/>
      <c r="BM120" s="138"/>
      <c r="BN120" s="138"/>
    </row>
    <row r="121" spans="1:66" s="91" customFormat="1" ht="38.25" hidden="1" customHeight="1" x14ac:dyDescent="0.2">
      <c r="A121" s="150" t="s">
        <v>1082</v>
      </c>
      <c r="B121" s="18" t="s">
        <v>33</v>
      </c>
      <c r="C121" s="18" t="s">
        <v>34</v>
      </c>
      <c r="D121" s="19" t="s">
        <v>566</v>
      </c>
      <c r="E121" s="55">
        <v>2</v>
      </c>
      <c r="F121" s="55" t="s">
        <v>35</v>
      </c>
      <c r="G121" s="55" t="s">
        <v>5</v>
      </c>
      <c r="H121" s="55" t="s">
        <v>3</v>
      </c>
      <c r="I121" s="55"/>
      <c r="J121" s="55"/>
      <c r="K121" s="19" t="s">
        <v>741</v>
      </c>
      <c r="L121" s="19"/>
      <c r="M121" s="19"/>
      <c r="N121" s="19" t="s">
        <v>1148</v>
      </c>
      <c r="O121" s="151"/>
      <c r="P121" s="151"/>
      <c r="Q121" s="151"/>
      <c r="R121" s="151"/>
      <c r="S121" s="152"/>
      <c r="T121" s="152"/>
      <c r="U121" s="145">
        <v>0</v>
      </c>
      <c r="V121" s="145">
        <v>0</v>
      </c>
      <c r="W121" s="145">
        <v>0</v>
      </c>
      <c r="X121" s="145">
        <f t="shared" si="56"/>
        <v>0</v>
      </c>
      <c r="Y121" s="145">
        <v>0</v>
      </c>
      <c r="Z121" s="145">
        <v>0</v>
      </c>
      <c r="AA121" s="145">
        <v>0</v>
      </c>
      <c r="AB121" s="145">
        <v>0</v>
      </c>
      <c r="AC121" s="145">
        <v>0</v>
      </c>
      <c r="AD121" s="145">
        <v>0</v>
      </c>
      <c r="AE121" s="145">
        <v>0</v>
      </c>
      <c r="AF121" s="145">
        <v>0</v>
      </c>
      <c r="AG121" s="145">
        <v>0</v>
      </c>
      <c r="AH121" s="145">
        <v>0</v>
      </c>
      <c r="AI121" s="145">
        <v>0</v>
      </c>
      <c r="AJ121" s="145">
        <v>0</v>
      </c>
      <c r="AK121" s="145">
        <f t="shared" si="62"/>
        <v>0</v>
      </c>
      <c r="AL121" s="145">
        <v>0</v>
      </c>
      <c r="AM121" s="145">
        <v>0</v>
      </c>
      <c r="AN121" s="145">
        <v>0</v>
      </c>
      <c r="AO121" s="145">
        <v>0</v>
      </c>
      <c r="AP121" s="145">
        <v>0</v>
      </c>
      <c r="AQ121" s="145">
        <v>0</v>
      </c>
      <c r="AR121" s="145">
        <v>0</v>
      </c>
      <c r="AS121" s="145">
        <f t="shared" si="61"/>
        <v>0</v>
      </c>
      <c r="AT121" s="145"/>
      <c r="AU121" s="139">
        <f t="shared" si="58"/>
        <v>0</v>
      </c>
      <c r="AV121" s="146">
        <f>IFERROR(VLOOKUP(J121,Maksājumu_pieprasījumu_iesn.!G:BL,57,0),0)</f>
        <v>0</v>
      </c>
      <c r="AW121" s="139">
        <f t="shared" si="59"/>
        <v>0</v>
      </c>
      <c r="AX121" s="153"/>
      <c r="AY121" s="153"/>
      <c r="AZ121" s="153"/>
      <c r="BA121" s="136"/>
      <c r="BB121" s="145"/>
      <c r="BC121" s="145"/>
      <c r="BD121" s="145"/>
      <c r="BE121" s="145"/>
      <c r="BF121" s="145"/>
      <c r="BG121" s="145"/>
      <c r="BH121" s="138"/>
      <c r="BI121" s="138"/>
      <c r="BJ121" s="138"/>
      <c r="BK121" s="138"/>
      <c r="BL121" s="138"/>
      <c r="BM121" s="138"/>
      <c r="BN121" s="138"/>
    </row>
    <row r="122" spans="1:66" s="91" customFormat="1" ht="38.25" hidden="1" customHeight="1" x14ac:dyDescent="0.2">
      <c r="A122" s="150" t="s">
        <v>1082</v>
      </c>
      <c r="B122" s="18" t="s">
        <v>33</v>
      </c>
      <c r="C122" s="18" t="s">
        <v>34</v>
      </c>
      <c r="D122" s="19" t="s">
        <v>566</v>
      </c>
      <c r="E122" s="55">
        <v>2</v>
      </c>
      <c r="F122" s="55" t="s">
        <v>35</v>
      </c>
      <c r="G122" s="55" t="s">
        <v>5</v>
      </c>
      <c r="H122" s="55" t="s">
        <v>3</v>
      </c>
      <c r="I122" s="55"/>
      <c r="J122" s="55"/>
      <c r="K122" s="19" t="s">
        <v>741</v>
      </c>
      <c r="L122" s="19"/>
      <c r="M122" s="19"/>
      <c r="N122" s="19" t="s">
        <v>1149</v>
      </c>
      <c r="O122" s="151"/>
      <c r="P122" s="151"/>
      <c r="Q122" s="151"/>
      <c r="R122" s="151"/>
      <c r="S122" s="152"/>
      <c r="T122" s="152"/>
      <c r="U122" s="145">
        <v>0</v>
      </c>
      <c r="V122" s="145">
        <v>0</v>
      </c>
      <c r="W122" s="145">
        <v>0</v>
      </c>
      <c r="X122" s="145">
        <f t="shared" si="56"/>
        <v>0</v>
      </c>
      <c r="Y122" s="145">
        <v>0</v>
      </c>
      <c r="Z122" s="145">
        <v>0</v>
      </c>
      <c r="AA122" s="145">
        <v>0</v>
      </c>
      <c r="AB122" s="145">
        <v>0</v>
      </c>
      <c r="AC122" s="145">
        <v>0</v>
      </c>
      <c r="AD122" s="145">
        <v>0</v>
      </c>
      <c r="AE122" s="145">
        <v>0</v>
      </c>
      <c r="AF122" s="145">
        <v>0</v>
      </c>
      <c r="AG122" s="145">
        <v>0</v>
      </c>
      <c r="AH122" s="145">
        <v>0</v>
      </c>
      <c r="AI122" s="145">
        <v>0</v>
      </c>
      <c r="AJ122" s="145">
        <v>0</v>
      </c>
      <c r="AK122" s="145">
        <f t="shared" si="62"/>
        <v>0</v>
      </c>
      <c r="AL122" s="145">
        <v>0</v>
      </c>
      <c r="AM122" s="145">
        <v>0</v>
      </c>
      <c r="AN122" s="145">
        <v>0</v>
      </c>
      <c r="AO122" s="145">
        <v>0</v>
      </c>
      <c r="AP122" s="145">
        <v>0</v>
      </c>
      <c r="AQ122" s="145">
        <v>0</v>
      </c>
      <c r="AR122" s="145">
        <v>0</v>
      </c>
      <c r="AS122" s="145">
        <f t="shared" si="61"/>
        <v>0</v>
      </c>
      <c r="AT122" s="145"/>
      <c r="AU122" s="139">
        <f t="shared" si="58"/>
        <v>0</v>
      </c>
      <c r="AV122" s="146">
        <f>IFERROR(VLOOKUP(J122,Maksājumu_pieprasījumu_iesn.!G:BL,57,0),0)</f>
        <v>0</v>
      </c>
      <c r="AW122" s="139">
        <f t="shared" si="59"/>
        <v>0</v>
      </c>
      <c r="AX122" s="153"/>
      <c r="AY122" s="153"/>
      <c r="AZ122" s="153"/>
      <c r="BA122" s="136"/>
      <c r="BB122" s="145"/>
      <c r="BC122" s="145"/>
      <c r="BD122" s="145"/>
      <c r="BE122" s="145"/>
      <c r="BF122" s="145"/>
      <c r="BG122" s="145"/>
      <c r="BH122" s="138"/>
      <c r="BI122" s="138"/>
      <c r="BJ122" s="138"/>
      <c r="BK122" s="138"/>
      <c r="BL122" s="138"/>
      <c r="BM122" s="138"/>
      <c r="BN122" s="138"/>
    </row>
    <row r="123" spans="1:66" s="91" customFormat="1" ht="25.5" hidden="1" customHeight="1" x14ac:dyDescent="0.2">
      <c r="A123" s="150" t="s">
        <v>1082</v>
      </c>
      <c r="B123" s="18" t="s">
        <v>33</v>
      </c>
      <c r="C123" s="18" t="s">
        <v>34</v>
      </c>
      <c r="D123" s="19" t="s">
        <v>566</v>
      </c>
      <c r="E123" s="55">
        <v>2</v>
      </c>
      <c r="F123" s="55" t="s">
        <v>35</v>
      </c>
      <c r="G123" s="55" t="s">
        <v>5</v>
      </c>
      <c r="H123" s="55" t="s">
        <v>3</v>
      </c>
      <c r="I123" s="55"/>
      <c r="J123" s="55"/>
      <c r="K123" s="19" t="s">
        <v>741</v>
      </c>
      <c r="L123" s="19"/>
      <c r="M123" s="19"/>
      <c r="N123" s="19" t="s">
        <v>1150</v>
      </c>
      <c r="O123" s="151"/>
      <c r="P123" s="151"/>
      <c r="Q123" s="151"/>
      <c r="R123" s="151"/>
      <c r="S123" s="152"/>
      <c r="T123" s="152"/>
      <c r="U123" s="145">
        <v>0</v>
      </c>
      <c r="V123" s="145">
        <v>0</v>
      </c>
      <c r="W123" s="145">
        <v>0</v>
      </c>
      <c r="X123" s="145">
        <f t="shared" si="56"/>
        <v>0</v>
      </c>
      <c r="Y123" s="145">
        <v>0</v>
      </c>
      <c r="Z123" s="145">
        <v>0</v>
      </c>
      <c r="AA123" s="145">
        <v>0</v>
      </c>
      <c r="AB123" s="145">
        <v>0</v>
      </c>
      <c r="AC123" s="145">
        <v>0</v>
      </c>
      <c r="AD123" s="145">
        <v>0</v>
      </c>
      <c r="AE123" s="145">
        <v>0</v>
      </c>
      <c r="AF123" s="145">
        <v>0</v>
      </c>
      <c r="AG123" s="145">
        <v>0</v>
      </c>
      <c r="AH123" s="145">
        <v>0</v>
      </c>
      <c r="AI123" s="145">
        <v>0</v>
      </c>
      <c r="AJ123" s="145">
        <v>0</v>
      </c>
      <c r="AK123" s="145">
        <f t="shared" si="62"/>
        <v>0</v>
      </c>
      <c r="AL123" s="145">
        <v>0</v>
      </c>
      <c r="AM123" s="145">
        <v>0</v>
      </c>
      <c r="AN123" s="145">
        <v>0</v>
      </c>
      <c r="AO123" s="145">
        <v>0</v>
      </c>
      <c r="AP123" s="145">
        <v>0</v>
      </c>
      <c r="AQ123" s="145">
        <v>0</v>
      </c>
      <c r="AR123" s="145">
        <v>0</v>
      </c>
      <c r="AS123" s="145">
        <f t="shared" si="61"/>
        <v>0</v>
      </c>
      <c r="AT123" s="145"/>
      <c r="AU123" s="139">
        <f t="shared" si="58"/>
        <v>0</v>
      </c>
      <c r="AV123" s="146">
        <f>IFERROR(VLOOKUP(J123,Maksājumu_pieprasījumu_iesn.!G:BL,57,0),0)</f>
        <v>0</v>
      </c>
      <c r="AW123" s="139">
        <f t="shared" si="59"/>
        <v>0</v>
      </c>
      <c r="AX123" s="153"/>
      <c r="AY123" s="153"/>
      <c r="AZ123" s="153"/>
      <c r="BA123" s="136"/>
      <c r="BB123" s="145"/>
      <c r="BC123" s="145"/>
      <c r="BD123" s="145"/>
      <c r="BE123" s="145"/>
      <c r="BF123" s="145"/>
      <c r="BG123" s="145"/>
      <c r="BH123" s="138"/>
      <c r="BI123" s="138"/>
      <c r="BJ123" s="138"/>
      <c r="BK123" s="138"/>
      <c r="BL123" s="138"/>
      <c r="BM123" s="138"/>
      <c r="BN123" s="138"/>
    </row>
    <row r="124" spans="1:66" s="91" customFormat="1" ht="25.5" hidden="1" customHeight="1" x14ac:dyDescent="0.2">
      <c r="A124" s="150" t="s">
        <v>1082</v>
      </c>
      <c r="B124" s="18" t="s">
        <v>33</v>
      </c>
      <c r="C124" s="18" t="s">
        <v>34</v>
      </c>
      <c r="D124" s="19" t="s">
        <v>566</v>
      </c>
      <c r="E124" s="55">
        <v>2</v>
      </c>
      <c r="F124" s="55" t="s">
        <v>35</v>
      </c>
      <c r="G124" s="55" t="s">
        <v>5</v>
      </c>
      <c r="H124" s="55" t="s">
        <v>3</v>
      </c>
      <c r="I124" s="55"/>
      <c r="J124" s="55"/>
      <c r="K124" s="19" t="s">
        <v>741</v>
      </c>
      <c r="L124" s="19"/>
      <c r="M124" s="19"/>
      <c r="N124" s="19" t="s">
        <v>1151</v>
      </c>
      <c r="O124" s="151"/>
      <c r="P124" s="151"/>
      <c r="Q124" s="151"/>
      <c r="R124" s="151"/>
      <c r="S124" s="152"/>
      <c r="T124" s="152"/>
      <c r="U124" s="145">
        <v>0</v>
      </c>
      <c r="V124" s="145">
        <v>0</v>
      </c>
      <c r="W124" s="145">
        <v>0</v>
      </c>
      <c r="X124" s="145">
        <f t="shared" si="56"/>
        <v>0</v>
      </c>
      <c r="Y124" s="145">
        <v>0</v>
      </c>
      <c r="Z124" s="145">
        <v>0</v>
      </c>
      <c r="AA124" s="145">
        <v>0</v>
      </c>
      <c r="AB124" s="145">
        <v>0</v>
      </c>
      <c r="AC124" s="145">
        <v>0</v>
      </c>
      <c r="AD124" s="145">
        <v>0</v>
      </c>
      <c r="AE124" s="145">
        <v>0</v>
      </c>
      <c r="AF124" s="145">
        <v>0</v>
      </c>
      <c r="AG124" s="145">
        <v>0</v>
      </c>
      <c r="AH124" s="145">
        <v>0</v>
      </c>
      <c r="AI124" s="145">
        <v>0</v>
      </c>
      <c r="AJ124" s="145">
        <v>0</v>
      </c>
      <c r="AK124" s="145">
        <f t="shared" si="62"/>
        <v>0</v>
      </c>
      <c r="AL124" s="145">
        <v>0</v>
      </c>
      <c r="AM124" s="145">
        <v>0</v>
      </c>
      <c r="AN124" s="145">
        <v>0</v>
      </c>
      <c r="AO124" s="145">
        <v>0</v>
      </c>
      <c r="AP124" s="145">
        <v>0</v>
      </c>
      <c r="AQ124" s="145">
        <v>0</v>
      </c>
      <c r="AR124" s="145">
        <v>0</v>
      </c>
      <c r="AS124" s="145">
        <f t="shared" si="61"/>
        <v>0</v>
      </c>
      <c r="AT124" s="145"/>
      <c r="AU124" s="139">
        <f t="shared" si="58"/>
        <v>0</v>
      </c>
      <c r="AV124" s="146">
        <f>IFERROR(VLOOKUP(J124,Maksājumu_pieprasījumu_iesn.!G:BL,57,0),0)</f>
        <v>0</v>
      </c>
      <c r="AW124" s="139">
        <f t="shared" si="59"/>
        <v>0</v>
      </c>
      <c r="AX124" s="153"/>
      <c r="AY124" s="153"/>
      <c r="AZ124" s="153"/>
      <c r="BA124" s="136"/>
      <c r="BB124" s="145"/>
      <c r="BC124" s="145"/>
      <c r="BD124" s="145"/>
      <c r="BE124" s="145"/>
      <c r="BF124" s="145"/>
      <c r="BG124" s="145"/>
      <c r="BH124" s="138"/>
      <c r="BI124" s="138"/>
      <c r="BJ124" s="138"/>
      <c r="BK124" s="138"/>
      <c r="BL124" s="138"/>
      <c r="BM124" s="138"/>
      <c r="BN124" s="138"/>
    </row>
    <row r="125" spans="1:66" s="91" customFormat="1" ht="38.25" hidden="1" customHeight="1" x14ac:dyDescent="0.2">
      <c r="A125" s="150" t="s">
        <v>1082</v>
      </c>
      <c r="B125" s="18" t="s">
        <v>33</v>
      </c>
      <c r="C125" s="18" t="s">
        <v>34</v>
      </c>
      <c r="D125" s="19" t="s">
        <v>566</v>
      </c>
      <c r="E125" s="55">
        <v>2</v>
      </c>
      <c r="F125" s="55" t="s">
        <v>35</v>
      </c>
      <c r="G125" s="55" t="s">
        <v>5</v>
      </c>
      <c r="H125" s="55" t="s">
        <v>3</v>
      </c>
      <c r="I125" s="55"/>
      <c r="J125" s="55"/>
      <c r="K125" s="19" t="s">
        <v>1152</v>
      </c>
      <c r="L125" s="19"/>
      <c r="M125" s="19"/>
      <c r="N125" s="19" t="s">
        <v>1153</v>
      </c>
      <c r="O125" s="151"/>
      <c r="P125" s="151"/>
      <c r="Q125" s="151"/>
      <c r="R125" s="151"/>
      <c r="S125" s="152"/>
      <c r="T125" s="152"/>
      <c r="U125" s="145">
        <v>0</v>
      </c>
      <c r="V125" s="145">
        <v>0</v>
      </c>
      <c r="W125" s="145">
        <v>0</v>
      </c>
      <c r="X125" s="145">
        <f t="shared" si="56"/>
        <v>0</v>
      </c>
      <c r="Y125" s="145">
        <v>0</v>
      </c>
      <c r="Z125" s="145">
        <v>0</v>
      </c>
      <c r="AA125" s="145">
        <v>0</v>
      </c>
      <c r="AB125" s="145">
        <v>0</v>
      </c>
      <c r="AC125" s="145">
        <v>0</v>
      </c>
      <c r="AD125" s="145">
        <v>0</v>
      </c>
      <c r="AE125" s="145">
        <v>0</v>
      </c>
      <c r="AF125" s="145">
        <v>0</v>
      </c>
      <c r="AG125" s="145">
        <v>0</v>
      </c>
      <c r="AH125" s="145">
        <v>0</v>
      </c>
      <c r="AI125" s="145">
        <v>0</v>
      </c>
      <c r="AJ125" s="145">
        <v>0</v>
      </c>
      <c r="AK125" s="145">
        <f t="shared" si="62"/>
        <v>0</v>
      </c>
      <c r="AL125" s="145">
        <v>0</v>
      </c>
      <c r="AM125" s="145">
        <v>0</v>
      </c>
      <c r="AN125" s="145">
        <v>0</v>
      </c>
      <c r="AO125" s="145">
        <v>0</v>
      </c>
      <c r="AP125" s="145">
        <v>0</v>
      </c>
      <c r="AQ125" s="145">
        <v>0</v>
      </c>
      <c r="AR125" s="145">
        <v>0</v>
      </c>
      <c r="AS125" s="145">
        <f t="shared" si="61"/>
        <v>0</v>
      </c>
      <c r="AT125" s="145"/>
      <c r="AU125" s="139">
        <f t="shared" si="58"/>
        <v>0</v>
      </c>
      <c r="AV125" s="146">
        <f>IFERROR(VLOOKUP(J125,Maksājumu_pieprasījumu_iesn.!G:BL,57,0),0)</f>
        <v>0</v>
      </c>
      <c r="AW125" s="139">
        <f t="shared" si="59"/>
        <v>0</v>
      </c>
      <c r="AX125" s="153"/>
      <c r="AY125" s="153"/>
      <c r="AZ125" s="153"/>
      <c r="BA125" s="136"/>
      <c r="BB125" s="145"/>
      <c r="BC125" s="145"/>
      <c r="BD125" s="145"/>
      <c r="BE125" s="145"/>
      <c r="BF125" s="145"/>
      <c r="BG125" s="145"/>
      <c r="BH125" s="138"/>
      <c r="BI125" s="138"/>
      <c r="BJ125" s="138"/>
      <c r="BK125" s="138"/>
      <c r="BL125" s="138"/>
      <c r="BM125" s="138"/>
      <c r="BN125" s="138"/>
    </row>
    <row r="126" spans="1:66" s="91" customFormat="1" ht="38.25" hidden="1" customHeight="1" x14ac:dyDescent="0.2">
      <c r="A126" s="150" t="s">
        <v>1082</v>
      </c>
      <c r="B126" s="18" t="s">
        <v>33</v>
      </c>
      <c r="C126" s="18" t="s">
        <v>34</v>
      </c>
      <c r="D126" s="19" t="s">
        <v>566</v>
      </c>
      <c r="E126" s="55">
        <v>2</v>
      </c>
      <c r="F126" s="55" t="s">
        <v>35</v>
      </c>
      <c r="G126" s="55" t="s">
        <v>5</v>
      </c>
      <c r="H126" s="55" t="s">
        <v>3</v>
      </c>
      <c r="I126" s="55"/>
      <c r="J126" s="55"/>
      <c r="K126" s="19" t="s">
        <v>1152</v>
      </c>
      <c r="L126" s="19"/>
      <c r="M126" s="19"/>
      <c r="N126" s="19" t="s">
        <v>1154</v>
      </c>
      <c r="O126" s="151"/>
      <c r="P126" s="151"/>
      <c r="Q126" s="151"/>
      <c r="R126" s="151"/>
      <c r="S126" s="152"/>
      <c r="T126" s="152"/>
      <c r="U126" s="145">
        <v>0</v>
      </c>
      <c r="V126" s="145">
        <v>0</v>
      </c>
      <c r="W126" s="145">
        <v>0</v>
      </c>
      <c r="X126" s="145">
        <f t="shared" si="56"/>
        <v>0</v>
      </c>
      <c r="Y126" s="145">
        <v>0</v>
      </c>
      <c r="Z126" s="145">
        <v>0</v>
      </c>
      <c r="AA126" s="145">
        <v>0</v>
      </c>
      <c r="AB126" s="145">
        <v>0</v>
      </c>
      <c r="AC126" s="145">
        <v>0</v>
      </c>
      <c r="AD126" s="145">
        <v>0</v>
      </c>
      <c r="AE126" s="145">
        <v>0</v>
      </c>
      <c r="AF126" s="145">
        <v>0</v>
      </c>
      <c r="AG126" s="145">
        <v>0</v>
      </c>
      <c r="AH126" s="145">
        <v>0</v>
      </c>
      <c r="AI126" s="145">
        <v>0</v>
      </c>
      <c r="AJ126" s="145">
        <v>0</v>
      </c>
      <c r="AK126" s="145">
        <f t="shared" si="62"/>
        <v>0</v>
      </c>
      <c r="AL126" s="145">
        <v>0</v>
      </c>
      <c r="AM126" s="145">
        <v>0</v>
      </c>
      <c r="AN126" s="145">
        <v>0</v>
      </c>
      <c r="AO126" s="145">
        <v>0</v>
      </c>
      <c r="AP126" s="145">
        <v>0</v>
      </c>
      <c r="AQ126" s="145">
        <v>0</v>
      </c>
      <c r="AR126" s="145">
        <v>0</v>
      </c>
      <c r="AS126" s="145">
        <f t="shared" si="61"/>
        <v>0</v>
      </c>
      <c r="AT126" s="145"/>
      <c r="AU126" s="139">
        <f t="shared" si="58"/>
        <v>0</v>
      </c>
      <c r="AV126" s="146">
        <f>IFERROR(VLOOKUP(J126,Maksājumu_pieprasījumu_iesn.!G:BL,57,0),0)</f>
        <v>0</v>
      </c>
      <c r="AW126" s="139">
        <f t="shared" si="59"/>
        <v>0</v>
      </c>
      <c r="AX126" s="153"/>
      <c r="AY126" s="153"/>
      <c r="AZ126" s="153"/>
      <c r="BA126" s="136"/>
      <c r="BB126" s="145"/>
      <c r="BC126" s="145"/>
      <c r="BD126" s="145"/>
      <c r="BE126" s="145"/>
      <c r="BF126" s="145"/>
      <c r="BG126" s="145"/>
      <c r="BH126" s="138"/>
      <c r="BI126" s="138"/>
      <c r="BJ126" s="138"/>
      <c r="BK126" s="138"/>
      <c r="BL126" s="138"/>
      <c r="BM126" s="138"/>
      <c r="BN126" s="138"/>
    </row>
    <row r="127" spans="1:66" s="91" customFormat="1" ht="25.5" hidden="1" customHeight="1" x14ac:dyDescent="0.2">
      <c r="A127" s="150" t="s">
        <v>1082</v>
      </c>
      <c r="B127" s="18" t="s">
        <v>33</v>
      </c>
      <c r="C127" s="18" t="s">
        <v>34</v>
      </c>
      <c r="D127" s="19" t="s">
        <v>566</v>
      </c>
      <c r="E127" s="55">
        <v>2</v>
      </c>
      <c r="F127" s="55" t="s">
        <v>35</v>
      </c>
      <c r="G127" s="55" t="s">
        <v>5</v>
      </c>
      <c r="H127" s="55" t="s">
        <v>3</v>
      </c>
      <c r="I127" s="55"/>
      <c r="J127" s="55"/>
      <c r="K127" s="19" t="s">
        <v>1152</v>
      </c>
      <c r="L127" s="19"/>
      <c r="M127" s="19"/>
      <c r="N127" s="19" t="s">
        <v>1155</v>
      </c>
      <c r="O127" s="151"/>
      <c r="P127" s="151"/>
      <c r="Q127" s="151"/>
      <c r="R127" s="151"/>
      <c r="S127" s="152"/>
      <c r="T127" s="152"/>
      <c r="U127" s="145">
        <v>0</v>
      </c>
      <c r="V127" s="145">
        <v>0</v>
      </c>
      <c r="W127" s="145">
        <v>0</v>
      </c>
      <c r="X127" s="145">
        <f t="shared" si="56"/>
        <v>0</v>
      </c>
      <c r="Y127" s="145">
        <v>0</v>
      </c>
      <c r="Z127" s="145">
        <v>0</v>
      </c>
      <c r="AA127" s="145">
        <v>0</v>
      </c>
      <c r="AB127" s="145">
        <v>0</v>
      </c>
      <c r="AC127" s="145">
        <v>0</v>
      </c>
      <c r="AD127" s="145">
        <v>0</v>
      </c>
      <c r="AE127" s="145">
        <v>0</v>
      </c>
      <c r="AF127" s="145">
        <v>0</v>
      </c>
      <c r="AG127" s="145">
        <v>0</v>
      </c>
      <c r="AH127" s="145">
        <v>0</v>
      </c>
      <c r="AI127" s="145">
        <v>0</v>
      </c>
      <c r="AJ127" s="145">
        <v>0</v>
      </c>
      <c r="AK127" s="145">
        <f t="shared" si="62"/>
        <v>0</v>
      </c>
      <c r="AL127" s="145">
        <v>0</v>
      </c>
      <c r="AM127" s="145">
        <v>0</v>
      </c>
      <c r="AN127" s="145">
        <v>0</v>
      </c>
      <c r="AO127" s="145">
        <v>0</v>
      </c>
      <c r="AP127" s="145">
        <v>0</v>
      </c>
      <c r="AQ127" s="145">
        <v>0</v>
      </c>
      <c r="AR127" s="145">
        <v>0</v>
      </c>
      <c r="AS127" s="145">
        <f t="shared" si="61"/>
        <v>0</v>
      </c>
      <c r="AT127" s="145"/>
      <c r="AU127" s="139">
        <f t="shared" si="58"/>
        <v>0</v>
      </c>
      <c r="AV127" s="146">
        <f>IFERROR(VLOOKUP(J127,Maksājumu_pieprasījumu_iesn.!G:BL,57,0),0)</f>
        <v>0</v>
      </c>
      <c r="AW127" s="139">
        <f t="shared" si="59"/>
        <v>0</v>
      </c>
      <c r="AX127" s="153"/>
      <c r="AY127" s="153"/>
      <c r="AZ127" s="153"/>
      <c r="BA127" s="136"/>
      <c r="BB127" s="145"/>
      <c r="BC127" s="145"/>
      <c r="BD127" s="145"/>
      <c r="BE127" s="145"/>
      <c r="BF127" s="145"/>
      <c r="BG127" s="145"/>
      <c r="BH127" s="138"/>
      <c r="BI127" s="138"/>
      <c r="BJ127" s="138"/>
      <c r="BK127" s="138"/>
      <c r="BL127" s="138"/>
      <c r="BM127" s="138"/>
      <c r="BN127" s="138"/>
    </row>
    <row r="128" spans="1:66" s="91" customFormat="1" ht="25.5" hidden="1" customHeight="1" x14ac:dyDescent="0.2">
      <c r="A128" s="150" t="s">
        <v>1082</v>
      </c>
      <c r="B128" s="18" t="s">
        <v>33</v>
      </c>
      <c r="C128" s="18" t="s">
        <v>34</v>
      </c>
      <c r="D128" s="19" t="s">
        <v>566</v>
      </c>
      <c r="E128" s="55">
        <v>2</v>
      </c>
      <c r="F128" s="55" t="s">
        <v>35</v>
      </c>
      <c r="G128" s="55" t="s">
        <v>5</v>
      </c>
      <c r="H128" s="55" t="s">
        <v>3</v>
      </c>
      <c r="I128" s="55"/>
      <c r="J128" s="55"/>
      <c r="K128" s="19" t="s">
        <v>1156</v>
      </c>
      <c r="L128" s="19"/>
      <c r="M128" s="19"/>
      <c r="N128" s="19" t="s">
        <v>1157</v>
      </c>
      <c r="O128" s="151"/>
      <c r="P128" s="151"/>
      <c r="Q128" s="151"/>
      <c r="R128" s="151"/>
      <c r="S128" s="152"/>
      <c r="T128" s="152"/>
      <c r="U128" s="145">
        <v>0</v>
      </c>
      <c r="V128" s="145">
        <v>0</v>
      </c>
      <c r="W128" s="145">
        <v>0</v>
      </c>
      <c r="X128" s="145">
        <f t="shared" si="56"/>
        <v>0</v>
      </c>
      <c r="Y128" s="145">
        <v>0</v>
      </c>
      <c r="Z128" s="145">
        <v>0</v>
      </c>
      <c r="AA128" s="145">
        <v>0</v>
      </c>
      <c r="AB128" s="145">
        <v>0</v>
      </c>
      <c r="AC128" s="145">
        <v>0</v>
      </c>
      <c r="AD128" s="145">
        <v>0</v>
      </c>
      <c r="AE128" s="145">
        <v>0</v>
      </c>
      <c r="AF128" s="145">
        <v>0</v>
      </c>
      <c r="AG128" s="145">
        <v>0</v>
      </c>
      <c r="AH128" s="145">
        <v>0</v>
      </c>
      <c r="AI128" s="145">
        <v>0</v>
      </c>
      <c r="AJ128" s="145">
        <v>0</v>
      </c>
      <c r="AK128" s="145">
        <f t="shared" si="62"/>
        <v>0</v>
      </c>
      <c r="AL128" s="145">
        <v>0</v>
      </c>
      <c r="AM128" s="145">
        <v>0</v>
      </c>
      <c r="AN128" s="145">
        <v>0</v>
      </c>
      <c r="AO128" s="145">
        <v>0</v>
      </c>
      <c r="AP128" s="145">
        <v>0</v>
      </c>
      <c r="AQ128" s="145">
        <v>0</v>
      </c>
      <c r="AR128" s="145">
        <v>0</v>
      </c>
      <c r="AS128" s="145">
        <f t="shared" si="61"/>
        <v>0</v>
      </c>
      <c r="AT128" s="145"/>
      <c r="AU128" s="139">
        <f t="shared" si="58"/>
        <v>0</v>
      </c>
      <c r="AV128" s="146">
        <f>IFERROR(VLOOKUP(J128,Maksājumu_pieprasījumu_iesn.!G:BL,57,0),0)</f>
        <v>0</v>
      </c>
      <c r="AW128" s="139">
        <f t="shared" si="59"/>
        <v>0</v>
      </c>
      <c r="AX128" s="153"/>
      <c r="AY128" s="153"/>
      <c r="AZ128" s="153"/>
      <c r="BA128" s="136"/>
      <c r="BB128" s="145"/>
      <c r="BC128" s="145"/>
      <c r="BD128" s="145"/>
      <c r="BE128" s="145"/>
      <c r="BF128" s="145"/>
      <c r="BG128" s="145"/>
      <c r="BH128" s="138"/>
      <c r="BI128" s="138"/>
      <c r="BJ128" s="138"/>
      <c r="BK128" s="138"/>
      <c r="BL128" s="138"/>
      <c r="BM128" s="138"/>
      <c r="BN128" s="138"/>
    </row>
    <row r="129" spans="1:66" s="91" customFormat="1" ht="38.25" hidden="1" customHeight="1" x14ac:dyDescent="0.2">
      <c r="A129" s="150" t="s">
        <v>1082</v>
      </c>
      <c r="B129" s="18" t="s">
        <v>33</v>
      </c>
      <c r="C129" s="18" t="s">
        <v>34</v>
      </c>
      <c r="D129" s="19" t="s">
        <v>566</v>
      </c>
      <c r="E129" s="55">
        <v>2</v>
      </c>
      <c r="F129" s="55" t="s">
        <v>35</v>
      </c>
      <c r="G129" s="55" t="s">
        <v>5</v>
      </c>
      <c r="H129" s="55" t="s">
        <v>3</v>
      </c>
      <c r="I129" s="55"/>
      <c r="J129" s="55"/>
      <c r="K129" s="19" t="s">
        <v>1152</v>
      </c>
      <c r="L129" s="19"/>
      <c r="M129" s="19"/>
      <c r="N129" s="19" t="s">
        <v>1158</v>
      </c>
      <c r="O129" s="151"/>
      <c r="P129" s="151"/>
      <c r="Q129" s="151"/>
      <c r="R129" s="151"/>
      <c r="S129" s="152"/>
      <c r="T129" s="152"/>
      <c r="U129" s="145">
        <v>0</v>
      </c>
      <c r="V129" s="145">
        <v>0</v>
      </c>
      <c r="W129" s="145">
        <v>0</v>
      </c>
      <c r="X129" s="145">
        <f t="shared" si="56"/>
        <v>0</v>
      </c>
      <c r="Y129" s="145">
        <v>0</v>
      </c>
      <c r="Z129" s="145">
        <v>0</v>
      </c>
      <c r="AA129" s="145">
        <v>0</v>
      </c>
      <c r="AB129" s="145">
        <v>0</v>
      </c>
      <c r="AC129" s="145">
        <v>0</v>
      </c>
      <c r="AD129" s="145">
        <v>0</v>
      </c>
      <c r="AE129" s="145">
        <v>0</v>
      </c>
      <c r="AF129" s="145">
        <v>0</v>
      </c>
      <c r="AG129" s="145">
        <v>0</v>
      </c>
      <c r="AH129" s="145">
        <v>0</v>
      </c>
      <c r="AI129" s="145">
        <v>0</v>
      </c>
      <c r="AJ129" s="145">
        <v>0</v>
      </c>
      <c r="AK129" s="145">
        <f t="shared" si="62"/>
        <v>0</v>
      </c>
      <c r="AL129" s="145">
        <v>0</v>
      </c>
      <c r="AM129" s="145">
        <v>0</v>
      </c>
      <c r="AN129" s="145">
        <v>0</v>
      </c>
      <c r="AO129" s="145">
        <v>0</v>
      </c>
      <c r="AP129" s="145">
        <v>0</v>
      </c>
      <c r="AQ129" s="145">
        <v>0</v>
      </c>
      <c r="AR129" s="145">
        <v>0</v>
      </c>
      <c r="AS129" s="145">
        <f t="shared" si="61"/>
        <v>0</v>
      </c>
      <c r="AT129" s="145"/>
      <c r="AU129" s="139">
        <f t="shared" si="58"/>
        <v>0</v>
      </c>
      <c r="AV129" s="146">
        <f>IFERROR(VLOOKUP(J129,Maksājumu_pieprasījumu_iesn.!G:BL,57,0),0)</f>
        <v>0</v>
      </c>
      <c r="AW129" s="139">
        <f t="shared" si="59"/>
        <v>0</v>
      </c>
      <c r="AX129" s="153"/>
      <c r="AY129" s="153"/>
      <c r="AZ129" s="153"/>
      <c r="BA129" s="136"/>
      <c r="BB129" s="145"/>
      <c r="BC129" s="145"/>
      <c r="BD129" s="145"/>
      <c r="BE129" s="145"/>
      <c r="BF129" s="145"/>
      <c r="BG129" s="145"/>
      <c r="BH129" s="138"/>
      <c r="BI129" s="138"/>
      <c r="BJ129" s="138"/>
      <c r="BK129" s="138"/>
      <c r="BL129" s="138"/>
      <c r="BM129" s="138"/>
      <c r="BN129" s="138"/>
    </row>
    <row r="130" spans="1:66" s="91" customFormat="1" ht="25.5" hidden="1" customHeight="1" x14ac:dyDescent="0.2">
      <c r="A130" s="150" t="s">
        <v>1082</v>
      </c>
      <c r="B130" s="18" t="s">
        <v>33</v>
      </c>
      <c r="C130" s="18" t="s">
        <v>34</v>
      </c>
      <c r="D130" s="19" t="s">
        <v>566</v>
      </c>
      <c r="E130" s="55">
        <v>2</v>
      </c>
      <c r="F130" s="55" t="s">
        <v>35</v>
      </c>
      <c r="G130" s="55" t="s">
        <v>5</v>
      </c>
      <c r="H130" s="55" t="s">
        <v>3</v>
      </c>
      <c r="I130" s="55"/>
      <c r="J130" s="55"/>
      <c r="K130" s="19" t="s">
        <v>1152</v>
      </c>
      <c r="L130" s="19"/>
      <c r="M130" s="19"/>
      <c r="N130" s="19" t="s">
        <v>1159</v>
      </c>
      <c r="O130" s="151"/>
      <c r="P130" s="151"/>
      <c r="Q130" s="151"/>
      <c r="R130" s="151"/>
      <c r="S130" s="152"/>
      <c r="T130" s="152"/>
      <c r="U130" s="145">
        <v>0</v>
      </c>
      <c r="V130" s="145">
        <v>0</v>
      </c>
      <c r="W130" s="145">
        <v>0</v>
      </c>
      <c r="X130" s="145">
        <f t="shared" si="56"/>
        <v>0</v>
      </c>
      <c r="Y130" s="145">
        <v>0</v>
      </c>
      <c r="Z130" s="145">
        <v>0</v>
      </c>
      <c r="AA130" s="145">
        <v>0</v>
      </c>
      <c r="AB130" s="145">
        <v>0</v>
      </c>
      <c r="AC130" s="145">
        <v>0</v>
      </c>
      <c r="AD130" s="145">
        <v>0</v>
      </c>
      <c r="AE130" s="145">
        <v>0</v>
      </c>
      <c r="AF130" s="145">
        <v>0</v>
      </c>
      <c r="AG130" s="145">
        <v>0</v>
      </c>
      <c r="AH130" s="145">
        <v>0</v>
      </c>
      <c r="AI130" s="145">
        <v>0</v>
      </c>
      <c r="AJ130" s="145">
        <v>0</v>
      </c>
      <c r="AK130" s="145">
        <f t="shared" si="62"/>
        <v>0</v>
      </c>
      <c r="AL130" s="145">
        <v>0</v>
      </c>
      <c r="AM130" s="145">
        <v>0</v>
      </c>
      <c r="AN130" s="145">
        <v>0</v>
      </c>
      <c r="AO130" s="145">
        <v>0</v>
      </c>
      <c r="AP130" s="145">
        <v>0</v>
      </c>
      <c r="AQ130" s="145">
        <v>0</v>
      </c>
      <c r="AR130" s="145">
        <v>0</v>
      </c>
      <c r="AS130" s="145">
        <f t="shared" si="61"/>
        <v>0</v>
      </c>
      <c r="AT130" s="145"/>
      <c r="AU130" s="139">
        <f t="shared" si="58"/>
        <v>0</v>
      </c>
      <c r="AV130" s="146">
        <f>IFERROR(VLOOKUP(J130,Maksājumu_pieprasījumu_iesn.!G:BL,57,0),0)</f>
        <v>0</v>
      </c>
      <c r="AW130" s="139">
        <f t="shared" si="59"/>
        <v>0</v>
      </c>
      <c r="AX130" s="153"/>
      <c r="AY130" s="153"/>
      <c r="AZ130" s="153"/>
      <c r="BA130" s="136"/>
      <c r="BB130" s="145"/>
      <c r="BC130" s="145"/>
      <c r="BD130" s="145"/>
      <c r="BE130" s="145"/>
      <c r="BF130" s="145"/>
      <c r="BG130" s="145"/>
      <c r="BH130" s="138"/>
      <c r="BI130" s="138"/>
      <c r="BJ130" s="138"/>
      <c r="BK130" s="138"/>
      <c r="BL130" s="138"/>
      <c r="BM130" s="138"/>
      <c r="BN130" s="138"/>
    </row>
    <row r="131" spans="1:66" s="91" customFormat="1" ht="25.5" hidden="1" customHeight="1" x14ac:dyDescent="0.2">
      <c r="A131" s="150" t="s">
        <v>1082</v>
      </c>
      <c r="B131" s="18" t="s">
        <v>33</v>
      </c>
      <c r="C131" s="18" t="s">
        <v>34</v>
      </c>
      <c r="D131" s="19" t="s">
        <v>566</v>
      </c>
      <c r="E131" s="55">
        <v>2</v>
      </c>
      <c r="F131" s="55" t="s">
        <v>35</v>
      </c>
      <c r="G131" s="55" t="s">
        <v>5</v>
      </c>
      <c r="H131" s="55" t="s">
        <v>3</v>
      </c>
      <c r="I131" s="55"/>
      <c r="J131" s="55"/>
      <c r="K131" s="19" t="s">
        <v>1152</v>
      </c>
      <c r="L131" s="19"/>
      <c r="M131" s="19"/>
      <c r="N131" s="19" t="s">
        <v>1160</v>
      </c>
      <c r="O131" s="151"/>
      <c r="P131" s="151"/>
      <c r="Q131" s="151"/>
      <c r="R131" s="151"/>
      <c r="S131" s="152"/>
      <c r="T131" s="152"/>
      <c r="U131" s="145">
        <v>0</v>
      </c>
      <c r="V131" s="145">
        <v>0</v>
      </c>
      <c r="W131" s="145">
        <v>0</v>
      </c>
      <c r="X131" s="145">
        <f t="shared" si="56"/>
        <v>0</v>
      </c>
      <c r="Y131" s="145">
        <v>0</v>
      </c>
      <c r="Z131" s="145">
        <v>0</v>
      </c>
      <c r="AA131" s="145">
        <v>0</v>
      </c>
      <c r="AB131" s="145">
        <v>0</v>
      </c>
      <c r="AC131" s="145">
        <v>0</v>
      </c>
      <c r="AD131" s="145">
        <v>0</v>
      </c>
      <c r="AE131" s="145">
        <v>0</v>
      </c>
      <c r="AF131" s="145">
        <v>0</v>
      </c>
      <c r="AG131" s="145">
        <v>0</v>
      </c>
      <c r="AH131" s="145">
        <v>0</v>
      </c>
      <c r="AI131" s="145">
        <v>0</v>
      </c>
      <c r="AJ131" s="145">
        <v>0</v>
      </c>
      <c r="AK131" s="145">
        <f t="shared" si="62"/>
        <v>0</v>
      </c>
      <c r="AL131" s="145">
        <v>0</v>
      </c>
      <c r="AM131" s="145">
        <v>0</v>
      </c>
      <c r="AN131" s="145">
        <v>0</v>
      </c>
      <c r="AO131" s="145">
        <v>0</v>
      </c>
      <c r="AP131" s="145">
        <v>0</v>
      </c>
      <c r="AQ131" s="145">
        <v>0</v>
      </c>
      <c r="AR131" s="145">
        <v>0</v>
      </c>
      <c r="AS131" s="145">
        <f t="shared" si="61"/>
        <v>0</v>
      </c>
      <c r="AT131" s="145"/>
      <c r="AU131" s="139">
        <f t="shared" si="58"/>
        <v>0</v>
      </c>
      <c r="AV131" s="146">
        <f>IFERROR(VLOOKUP(J131,Maksājumu_pieprasījumu_iesn.!G:BL,57,0),0)</f>
        <v>0</v>
      </c>
      <c r="AW131" s="139">
        <f t="shared" si="59"/>
        <v>0</v>
      </c>
      <c r="AX131" s="153"/>
      <c r="AY131" s="153"/>
      <c r="AZ131" s="153"/>
      <c r="BA131" s="136"/>
      <c r="BB131" s="145"/>
      <c r="BC131" s="145"/>
      <c r="BD131" s="145"/>
      <c r="BE131" s="145"/>
      <c r="BF131" s="145"/>
      <c r="BG131" s="145"/>
      <c r="BH131" s="138"/>
      <c r="BI131" s="138"/>
      <c r="BJ131" s="138"/>
      <c r="BK131" s="138"/>
      <c r="BL131" s="138"/>
      <c r="BM131" s="138"/>
      <c r="BN131" s="138"/>
    </row>
    <row r="132" spans="1:66" s="91" customFormat="1" ht="25.5" hidden="1" customHeight="1" x14ac:dyDescent="0.2">
      <c r="A132" s="150" t="s">
        <v>1082</v>
      </c>
      <c r="B132" s="18" t="s">
        <v>33</v>
      </c>
      <c r="C132" s="18" t="s">
        <v>34</v>
      </c>
      <c r="D132" s="19" t="s">
        <v>566</v>
      </c>
      <c r="E132" s="55">
        <v>2</v>
      </c>
      <c r="F132" s="55" t="s">
        <v>35</v>
      </c>
      <c r="G132" s="55" t="s">
        <v>5</v>
      </c>
      <c r="H132" s="55" t="s">
        <v>3</v>
      </c>
      <c r="I132" s="55"/>
      <c r="J132" s="55"/>
      <c r="K132" s="19" t="s">
        <v>1161</v>
      </c>
      <c r="L132" s="19"/>
      <c r="M132" s="19"/>
      <c r="N132" s="19" t="s">
        <v>1162</v>
      </c>
      <c r="O132" s="151"/>
      <c r="P132" s="151"/>
      <c r="Q132" s="151"/>
      <c r="R132" s="151"/>
      <c r="S132" s="152"/>
      <c r="T132" s="152"/>
      <c r="U132" s="145">
        <v>0</v>
      </c>
      <c r="V132" s="145">
        <v>0</v>
      </c>
      <c r="W132" s="145">
        <v>0</v>
      </c>
      <c r="X132" s="145">
        <f t="shared" si="56"/>
        <v>0</v>
      </c>
      <c r="Y132" s="145">
        <v>0</v>
      </c>
      <c r="Z132" s="145">
        <v>0</v>
      </c>
      <c r="AA132" s="145">
        <v>0</v>
      </c>
      <c r="AB132" s="145">
        <v>0</v>
      </c>
      <c r="AC132" s="145">
        <v>0</v>
      </c>
      <c r="AD132" s="145">
        <v>0</v>
      </c>
      <c r="AE132" s="145">
        <v>0</v>
      </c>
      <c r="AF132" s="145">
        <v>0</v>
      </c>
      <c r="AG132" s="145">
        <v>0</v>
      </c>
      <c r="AH132" s="145">
        <v>0</v>
      </c>
      <c r="AI132" s="145">
        <v>0</v>
      </c>
      <c r="AJ132" s="145">
        <v>0</v>
      </c>
      <c r="AK132" s="145">
        <f t="shared" si="62"/>
        <v>0</v>
      </c>
      <c r="AL132" s="145">
        <v>0</v>
      </c>
      <c r="AM132" s="145">
        <v>0</v>
      </c>
      <c r="AN132" s="145">
        <v>0</v>
      </c>
      <c r="AO132" s="145">
        <v>0</v>
      </c>
      <c r="AP132" s="145">
        <v>0</v>
      </c>
      <c r="AQ132" s="145">
        <v>0</v>
      </c>
      <c r="AR132" s="145">
        <v>0</v>
      </c>
      <c r="AS132" s="145">
        <f t="shared" si="61"/>
        <v>0</v>
      </c>
      <c r="AT132" s="145"/>
      <c r="AU132" s="139">
        <f t="shared" si="58"/>
        <v>0</v>
      </c>
      <c r="AV132" s="146">
        <f>IFERROR(VLOOKUP(J132,Maksājumu_pieprasījumu_iesn.!G:BL,57,0),0)</f>
        <v>0</v>
      </c>
      <c r="AW132" s="139">
        <f t="shared" si="59"/>
        <v>0</v>
      </c>
      <c r="AX132" s="153"/>
      <c r="AY132" s="153"/>
      <c r="AZ132" s="153"/>
      <c r="BA132" s="136"/>
      <c r="BB132" s="145"/>
      <c r="BC132" s="145"/>
      <c r="BD132" s="145"/>
      <c r="BE132" s="145"/>
      <c r="BF132" s="145"/>
      <c r="BG132" s="145"/>
      <c r="BH132" s="138"/>
      <c r="BI132" s="138"/>
      <c r="BJ132" s="138"/>
      <c r="BK132" s="138"/>
      <c r="BL132" s="138"/>
      <c r="BM132" s="138"/>
      <c r="BN132" s="138"/>
    </row>
    <row r="133" spans="1:66" s="91" customFormat="1" ht="38.25" hidden="1" customHeight="1" x14ac:dyDescent="0.2">
      <c r="A133" s="150" t="s">
        <v>1082</v>
      </c>
      <c r="B133" s="18" t="s">
        <v>33</v>
      </c>
      <c r="C133" s="18" t="s">
        <v>34</v>
      </c>
      <c r="D133" s="19" t="s">
        <v>566</v>
      </c>
      <c r="E133" s="55">
        <v>2</v>
      </c>
      <c r="F133" s="55" t="s">
        <v>35</v>
      </c>
      <c r="G133" s="55" t="s">
        <v>5</v>
      </c>
      <c r="H133" s="55" t="s">
        <v>3</v>
      </c>
      <c r="I133" s="55"/>
      <c r="J133" s="55"/>
      <c r="K133" s="19" t="s">
        <v>362</v>
      </c>
      <c r="L133" s="19"/>
      <c r="M133" s="19"/>
      <c r="N133" s="19" t="s">
        <v>1163</v>
      </c>
      <c r="O133" s="151"/>
      <c r="P133" s="151"/>
      <c r="Q133" s="151"/>
      <c r="R133" s="151"/>
      <c r="S133" s="152"/>
      <c r="T133" s="152"/>
      <c r="U133" s="145">
        <v>0</v>
      </c>
      <c r="V133" s="145">
        <v>0</v>
      </c>
      <c r="W133" s="145">
        <v>0</v>
      </c>
      <c r="X133" s="145">
        <f t="shared" si="56"/>
        <v>0</v>
      </c>
      <c r="Y133" s="145">
        <v>0</v>
      </c>
      <c r="Z133" s="145">
        <v>0</v>
      </c>
      <c r="AA133" s="145">
        <v>0</v>
      </c>
      <c r="AB133" s="145">
        <v>0</v>
      </c>
      <c r="AC133" s="145">
        <v>0</v>
      </c>
      <c r="AD133" s="145">
        <v>0</v>
      </c>
      <c r="AE133" s="145">
        <v>0</v>
      </c>
      <c r="AF133" s="145">
        <v>0</v>
      </c>
      <c r="AG133" s="145">
        <v>0</v>
      </c>
      <c r="AH133" s="145">
        <v>0</v>
      </c>
      <c r="AI133" s="145">
        <v>0</v>
      </c>
      <c r="AJ133" s="145">
        <v>0</v>
      </c>
      <c r="AK133" s="145">
        <f t="shared" si="62"/>
        <v>0</v>
      </c>
      <c r="AL133" s="145">
        <v>0</v>
      </c>
      <c r="AM133" s="145">
        <v>0</v>
      </c>
      <c r="AN133" s="145">
        <v>0</v>
      </c>
      <c r="AO133" s="145">
        <v>0</v>
      </c>
      <c r="AP133" s="145">
        <v>0</v>
      </c>
      <c r="AQ133" s="145">
        <v>0</v>
      </c>
      <c r="AR133" s="145">
        <v>0</v>
      </c>
      <c r="AS133" s="145">
        <f t="shared" si="61"/>
        <v>0</v>
      </c>
      <c r="AT133" s="145"/>
      <c r="AU133" s="139">
        <f t="shared" si="58"/>
        <v>0</v>
      </c>
      <c r="AV133" s="146">
        <f>IFERROR(VLOOKUP(J133,Maksājumu_pieprasījumu_iesn.!G:BL,57,0),0)</f>
        <v>0</v>
      </c>
      <c r="AW133" s="139">
        <f t="shared" si="59"/>
        <v>0</v>
      </c>
      <c r="AX133" s="153"/>
      <c r="AY133" s="153"/>
      <c r="AZ133" s="153"/>
      <c r="BA133" s="136"/>
      <c r="BB133" s="145"/>
      <c r="BC133" s="145"/>
      <c r="BD133" s="145"/>
      <c r="BE133" s="145"/>
      <c r="BF133" s="145"/>
      <c r="BG133" s="145"/>
      <c r="BH133" s="138"/>
      <c r="BI133" s="138"/>
      <c r="BJ133" s="138"/>
      <c r="BK133" s="138"/>
      <c r="BL133" s="138"/>
      <c r="BM133" s="138"/>
      <c r="BN133" s="138"/>
    </row>
    <row r="134" spans="1:66" s="91" customFormat="1" ht="25.5" hidden="1" customHeight="1" x14ac:dyDescent="0.2">
      <c r="A134" s="150" t="s">
        <v>1082</v>
      </c>
      <c r="B134" s="18" t="s">
        <v>33</v>
      </c>
      <c r="C134" s="18" t="s">
        <v>34</v>
      </c>
      <c r="D134" s="19" t="s">
        <v>566</v>
      </c>
      <c r="E134" s="55">
        <v>2</v>
      </c>
      <c r="F134" s="55" t="s">
        <v>35</v>
      </c>
      <c r="G134" s="55" t="s">
        <v>5</v>
      </c>
      <c r="H134" s="55" t="s">
        <v>3</v>
      </c>
      <c r="I134" s="55"/>
      <c r="J134" s="55"/>
      <c r="K134" s="19" t="s">
        <v>40</v>
      </c>
      <c r="L134" s="19"/>
      <c r="M134" s="19"/>
      <c r="N134" s="19" t="s">
        <v>1164</v>
      </c>
      <c r="O134" s="151"/>
      <c r="P134" s="151"/>
      <c r="Q134" s="151"/>
      <c r="R134" s="151"/>
      <c r="S134" s="152"/>
      <c r="T134" s="152"/>
      <c r="U134" s="145">
        <v>0</v>
      </c>
      <c r="V134" s="145">
        <v>0</v>
      </c>
      <c r="W134" s="145">
        <v>0</v>
      </c>
      <c r="X134" s="145">
        <f t="shared" si="56"/>
        <v>0</v>
      </c>
      <c r="Y134" s="145">
        <v>0</v>
      </c>
      <c r="Z134" s="145">
        <v>0</v>
      </c>
      <c r="AA134" s="145">
        <v>0</v>
      </c>
      <c r="AB134" s="145">
        <v>0</v>
      </c>
      <c r="AC134" s="145">
        <v>0</v>
      </c>
      <c r="AD134" s="145">
        <v>0</v>
      </c>
      <c r="AE134" s="145">
        <v>0</v>
      </c>
      <c r="AF134" s="145">
        <v>0</v>
      </c>
      <c r="AG134" s="145">
        <v>0</v>
      </c>
      <c r="AH134" s="145">
        <v>0</v>
      </c>
      <c r="AI134" s="145">
        <v>0</v>
      </c>
      <c r="AJ134" s="145">
        <v>0</v>
      </c>
      <c r="AK134" s="145">
        <f t="shared" si="62"/>
        <v>0</v>
      </c>
      <c r="AL134" s="145">
        <v>0</v>
      </c>
      <c r="AM134" s="145">
        <v>0</v>
      </c>
      <c r="AN134" s="145">
        <v>0</v>
      </c>
      <c r="AO134" s="145">
        <v>0</v>
      </c>
      <c r="AP134" s="145">
        <v>0</v>
      </c>
      <c r="AQ134" s="145">
        <v>0</v>
      </c>
      <c r="AR134" s="145">
        <v>0</v>
      </c>
      <c r="AS134" s="145">
        <f t="shared" si="61"/>
        <v>0</v>
      </c>
      <c r="AT134" s="145"/>
      <c r="AU134" s="139">
        <f t="shared" si="58"/>
        <v>0</v>
      </c>
      <c r="AV134" s="146">
        <f>IFERROR(VLOOKUP(J134,Maksājumu_pieprasījumu_iesn.!G:BL,57,0),0)</f>
        <v>0</v>
      </c>
      <c r="AW134" s="139">
        <f t="shared" si="59"/>
        <v>0</v>
      </c>
      <c r="AX134" s="153"/>
      <c r="AY134" s="153"/>
      <c r="AZ134" s="153"/>
      <c r="BA134" s="136"/>
      <c r="BB134" s="145"/>
      <c r="BC134" s="145"/>
      <c r="BD134" s="145"/>
      <c r="BE134" s="145"/>
      <c r="BF134" s="145"/>
      <c r="BG134" s="145"/>
      <c r="BH134" s="138"/>
      <c r="BI134" s="138"/>
      <c r="BJ134" s="138"/>
      <c r="BK134" s="138"/>
      <c r="BL134" s="138"/>
      <c r="BM134" s="138"/>
      <c r="BN134" s="138"/>
    </row>
    <row r="135" spans="1:66" s="91" customFormat="1" ht="51" hidden="1" customHeight="1" x14ac:dyDescent="0.2">
      <c r="A135" s="150" t="s">
        <v>1082</v>
      </c>
      <c r="B135" s="18" t="s">
        <v>33</v>
      </c>
      <c r="C135" s="18" t="s">
        <v>34</v>
      </c>
      <c r="D135" s="19" t="s">
        <v>566</v>
      </c>
      <c r="E135" s="55">
        <v>2</v>
      </c>
      <c r="F135" s="55" t="s">
        <v>35</v>
      </c>
      <c r="G135" s="55" t="s">
        <v>5</v>
      </c>
      <c r="H135" s="55" t="s">
        <v>3</v>
      </c>
      <c r="I135" s="55"/>
      <c r="J135" s="55"/>
      <c r="K135" s="19" t="s">
        <v>1105</v>
      </c>
      <c r="L135" s="19"/>
      <c r="M135" s="19"/>
      <c r="N135" s="19" t="s">
        <v>1165</v>
      </c>
      <c r="O135" s="151"/>
      <c r="P135" s="151"/>
      <c r="Q135" s="151"/>
      <c r="R135" s="151"/>
      <c r="S135" s="152"/>
      <c r="T135" s="152"/>
      <c r="U135" s="145">
        <v>0</v>
      </c>
      <c r="V135" s="145">
        <v>0</v>
      </c>
      <c r="W135" s="145">
        <v>0</v>
      </c>
      <c r="X135" s="145">
        <f t="shared" si="56"/>
        <v>0</v>
      </c>
      <c r="Y135" s="145">
        <v>0</v>
      </c>
      <c r="Z135" s="145">
        <v>0</v>
      </c>
      <c r="AA135" s="145">
        <v>0</v>
      </c>
      <c r="AB135" s="145">
        <v>0</v>
      </c>
      <c r="AC135" s="145">
        <v>0</v>
      </c>
      <c r="AD135" s="145">
        <v>0</v>
      </c>
      <c r="AE135" s="145">
        <v>0</v>
      </c>
      <c r="AF135" s="145">
        <v>0</v>
      </c>
      <c r="AG135" s="145">
        <v>0</v>
      </c>
      <c r="AH135" s="145">
        <v>0</v>
      </c>
      <c r="AI135" s="145">
        <v>0</v>
      </c>
      <c r="AJ135" s="145">
        <v>0</v>
      </c>
      <c r="AK135" s="145">
        <f t="shared" si="62"/>
        <v>0</v>
      </c>
      <c r="AL135" s="145">
        <v>0</v>
      </c>
      <c r="AM135" s="145">
        <v>0</v>
      </c>
      <c r="AN135" s="145">
        <v>0</v>
      </c>
      <c r="AO135" s="145">
        <v>0</v>
      </c>
      <c r="AP135" s="145">
        <v>0</v>
      </c>
      <c r="AQ135" s="145">
        <v>0</v>
      </c>
      <c r="AR135" s="145">
        <v>0</v>
      </c>
      <c r="AS135" s="145">
        <f t="shared" si="61"/>
        <v>0</v>
      </c>
      <c r="AT135" s="145"/>
      <c r="AU135" s="139">
        <f t="shared" si="58"/>
        <v>0</v>
      </c>
      <c r="AV135" s="146">
        <f>IFERROR(VLOOKUP(J135,Maksājumu_pieprasījumu_iesn.!G:BL,57,0),0)</f>
        <v>0</v>
      </c>
      <c r="AW135" s="139">
        <f t="shared" si="59"/>
        <v>0</v>
      </c>
      <c r="AX135" s="153"/>
      <c r="AY135" s="153"/>
      <c r="AZ135" s="153"/>
      <c r="BA135" s="136"/>
      <c r="BB135" s="145"/>
      <c r="BC135" s="145"/>
      <c r="BD135" s="145"/>
      <c r="BE135" s="145"/>
      <c r="BF135" s="145"/>
      <c r="BG135" s="145"/>
      <c r="BH135" s="138"/>
      <c r="BI135" s="138"/>
      <c r="BJ135" s="138"/>
      <c r="BK135" s="138"/>
      <c r="BL135" s="138"/>
      <c r="BM135" s="138"/>
      <c r="BN135" s="138"/>
    </row>
    <row r="136" spans="1:66" s="91" customFormat="1" ht="25.5" hidden="1" customHeight="1" x14ac:dyDescent="0.2">
      <c r="A136" s="150" t="s">
        <v>1082</v>
      </c>
      <c r="B136" s="18" t="s">
        <v>33</v>
      </c>
      <c r="C136" s="18" t="s">
        <v>34</v>
      </c>
      <c r="D136" s="19" t="s">
        <v>566</v>
      </c>
      <c r="E136" s="55">
        <v>2</v>
      </c>
      <c r="F136" s="55" t="s">
        <v>35</v>
      </c>
      <c r="G136" s="55" t="s">
        <v>5</v>
      </c>
      <c r="H136" s="55" t="s">
        <v>3</v>
      </c>
      <c r="I136" s="55"/>
      <c r="J136" s="55"/>
      <c r="K136" s="19" t="s">
        <v>31</v>
      </c>
      <c r="L136" s="19"/>
      <c r="M136" s="19"/>
      <c r="N136" s="19" t="s">
        <v>1111</v>
      </c>
      <c r="O136" s="151"/>
      <c r="P136" s="151"/>
      <c r="Q136" s="151"/>
      <c r="R136" s="151"/>
      <c r="S136" s="152"/>
      <c r="T136" s="152"/>
      <c r="U136" s="145">
        <v>0</v>
      </c>
      <c r="V136" s="145">
        <v>0</v>
      </c>
      <c r="W136" s="145">
        <v>0</v>
      </c>
      <c r="X136" s="145">
        <f t="shared" si="56"/>
        <v>0</v>
      </c>
      <c r="Y136" s="145">
        <v>0</v>
      </c>
      <c r="Z136" s="145">
        <v>0</v>
      </c>
      <c r="AA136" s="145">
        <v>0</v>
      </c>
      <c r="AB136" s="145">
        <v>0</v>
      </c>
      <c r="AC136" s="145">
        <v>0</v>
      </c>
      <c r="AD136" s="145">
        <v>0</v>
      </c>
      <c r="AE136" s="145">
        <v>0</v>
      </c>
      <c r="AF136" s="145">
        <v>0</v>
      </c>
      <c r="AG136" s="145">
        <v>0</v>
      </c>
      <c r="AH136" s="145">
        <v>0</v>
      </c>
      <c r="AI136" s="145">
        <v>0</v>
      </c>
      <c r="AJ136" s="145">
        <v>0</v>
      </c>
      <c r="AK136" s="145">
        <f t="shared" si="62"/>
        <v>0</v>
      </c>
      <c r="AL136" s="145">
        <v>0</v>
      </c>
      <c r="AM136" s="145">
        <v>0</v>
      </c>
      <c r="AN136" s="145">
        <v>0</v>
      </c>
      <c r="AO136" s="145">
        <v>0</v>
      </c>
      <c r="AP136" s="145">
        <v>0</v>
      </c>
      <c r="AQ136" s="145">
        <v>0</v>
      </c>
      <c r="AR136" s="145">
        <v>0</v>
      </c>
      <c r="AS136" s="145">
        <f t="shared" si="61"/>
        <v>0</v>
      </c>
      <c r="AT136" s="145"/>
      <c r="AU136" s="139">
        <f t="shared" si="58"/>
        <v>0</v>
      </c>
      <c r="AV136" s="146">
        <f>IFERROR(VLOOKUP(J136,Maksājumu_pieprasījumu_iesn.!G:BL,57,0),0)</f>
        <v>0</v>
      </c>
      <c r="AW136" s="139">
        <f t="shared" si="59"/>
        <v>0</v>
      </c>
      <c r="AX136" s="153"/>
      <c r="AY136" s="153"/>
      <c r="AZ136" s="153"/>
      <c r="BA136" s="136"/>
      <c r="BB136" s="145"/>
      <c r="BC136" s="145"/>
      <c r="BD136" s="145"/>
      <c r="BE136" s="145"/>
      <c r="BF136" s="145"/>
      <c r="BG136" s="145"/>
      <c r="BH136" s="138"/>
      <c r="BI136" s="138"/>
      <c r="BJ136" s="138"/>
      <c r="BK136" s="138"/>
      <c r="BL136" s="138"/>
      <c r="BM136" s="138"/>
      <c r="BN136" s="138"/>
    </row>
    <row r="137" spans="1:66" s="91" customFormat="1" ht="25.5" hidden="1" customHeight="1" x14ac:dyDescent="0.2">
      <c r="A137" s="150" t="s">
        <v>1082</v>
      </c>
      <c r="B137" s="18" t="s">
        <v>33</v>
      </c>
      <c r="C137" s="18" t="s">
        <v>34</v>
      </c>
      <c r="D137" s="19" t="s">
        <v>566</v>
      </c>
      <c r="E137" s="55">
        <v>2</v>
      </c>
      <c r="F137" s="55" t="s">
        <v>35</v>
      </c>
      <c r="G137" s="55" t="s">
        <v>5</v>
      </c>
      <c r="H137" s="55" t="s">
        <v>3</v>
      </c>
      <c r="I137" s="55"/>
      <c r="J137" s="55"/>
      <c r="K137" s="19" t="s">
        <v>1166</v>
      </c>
      <c r="L137" s="19"/>
      <c r="M137" s="19"/>
      <c r="N137" s="19" t="s">
        <v>1167</v>
      </c>
      <c r="O137" s="151"/>
      <c r="P137" s="151"/>
      <c r="Q137" s="151"/>
      <c r="R137" s="151"/>
      <c r="S137" s="152"/>
      <c r="T137" s="152"/>
      <c r="U137" s="145">
        <v>0</v>
      </c>
      <c r="V137" s="145">
        <v>0</v>
      </c>
      <c r="W137" s="145">
        <v>0</v>
      </c>
      <c r="X137" s="145">
        <f t="shared" si="56"/>
        <v>0</v>
      </c>
      <c r="Y137" s="145">
        <v>0</v>
      </c>
      <c r="Z137" s="145">
        <v>0</v>
      </c>
      <c r="AA137" s="145">
        <v>0</v>
      </c>
      <c r="AB137" s="145">
        <v>0</v>
      </c>
      <c r="AC137" s="145">
        <v>0</v>
      </c>
      <c r="AD137" s="145">
        <v>0</v>
      </c>
      <c r="AE137" s="145">
        <v>0</v>
      </c>
      <c r="AF137" s="145">
        <v>0</v>
      </c>
      <c r="AG137" s="145">
        <v>0</v>
      </c>
      <c r="AH137" s="145">
        <v>0</v>
      </c>
      <c r="AI137" s="145">
        <v>0</v>
      </c>
      <c r="AJ137" s="145">
        <v>0</v>
      </c>
      <c r="AK137" s="145">
        <f t="shared" si="62"/>
        <v>0</v>
      </c>
      <c r="AL137" s="145">
        <v>0</v>
      </c>
      <c r="AM137" s="145">
        <v>0</v>
      </c>
      <c r="AN137" s="145">
        <v>0</v>
      </c>
      <c r="AO137" s="145">
        <v>0</v>
      </c>
      <c r="AP137" s="145">
        <v>0</v>
      </c>
      <c r="AQ137" s="145">
        <v>0</v>
      </c>
      <c r="AR137" s="145">
        <v>0</v>
      </c>
      <c r="AS137" s="145">
        <f t="shared" si="61"/>
        <v>0</v>
      </c>
      <c r="AT137" s="145"/>
      <c r="AU137" s="139">
        <f t="shared" si="58"/>
        <v>0</v>
      </c>
      <c r="AV137" s="146">
        <f>IFERROR(VLOOKUP(J137,Maksājumu_pieprasījumu_iesn.!G:BL,57,0),0)</f>
        <v>0</v>
      </c>
      <c r="AW137" s="139">
        <f t="shared" si="59"/>
        <v>0</v>
      </c>
      <c r="AX137" s="153"/>
      <c r="AY137" s="153"/>
      <c r="AZ137" s="153"/>
      <c r="BA137" s="136"/>
      <c r="BB137" s="145"/>
      <c r="BC137" s="145"/>
      <c r="BD137" s="145"/>
      <c r="BE137" s="145"/>
      <c r="BF137" s="145"/>
      <c r="BG137" s="145"/>
      <c r="BH137" s="138"/>
      <c r="BI137" s="138"/>
      <c r="BJ137" s="138"/>
      <c r="BK137" s="138"/>
      <c r="BL137" s="138"/>
      <c r="BM137" s="138"/>
      <c r="BN137" s="138"/>
    </row>
    <row r="138" spans="1:66" s="91" customFormat="1" ht="38.25" hidden="1" customHeight="1" x14ac:dyDescent="0.2">
      <c r="A138" s="150" t="s">
        <v>1082</v>
      </c>
      <c r="B138" s="18" t="s">
        <v>33</v>
      </c>
      <c r="C138" s="18" t="s">
        <v>34</v>
      </c>
      <c r="D138" s="19" t="s">
        <v>566</v>
      </c>
      <c r="E138" s="55">
        <v>2</v>
      </c>
      <c r="F138" s="55" t="s">
        <v>35</v>
      </c>
      <c r="G138" s="55" t="s">
        <v>5</v>
      </c>
      <c r="H138" s="55" t="s">
        <v>3</v>
      </c>
      <c r="I138" s="55"/>
      <c r="J138" s="55"/>
      <c r="K138" s="19" t="s">
        <v>1168</v>
      </c>
      <c r="L138" s="19"/>
      <c r="M138" s="19"/>
      <c r="N138" s="19" t="s">
        <v>1169</v>
      </c>
      <c r="O138" s="151"/>
      <c r="P138" s="151"/>
      <c r="Q138" s="151"/>
      <c r="R138" s="151"/>
      <c r="S138" s="152"/>
      <c r="T138" s="152"/>
      <c r="U138" s="145">
        <v>0</v>
      </c>
      <c r="V138" s="145">
        <v>0</v>
      </c>
      <c r="W138" s="145">
        <v>0</v>
      </c>
      <c r="X138" s="145">
        <f t="shared" si="56"/>
        <v>0</v>
      </c>
      <c r="Y138" s="145">
        <v>0</v>
      </c>
      <c r="Z138" s="145">
        <v>0</v>
      </c>
      <c r="AA138" s="145">
        <v>0</v>
      </c>
      <c r="AB138" s="145">
        <v>0</v>
      </c>
      <c r="AC138" s="145">
        <v>0</v>
      </c>
      <c r="AD138" s="145">
        <v>0</v>
      </c>
      <c r="AE138" s="145">
        <v>0</v>
      </c>
      <c r="AF138" s="145">
        <v>0</v>
      </c>
      <c r="AG138" s="145">
        <v>0</v>
      </c>
      <c r="AH138" s="145">
        <v>0</v>
      </c>
      <c r="AI138" s="145">
        <v>0</v>
      </c>
      <c r="AJ138" s="145">
        <v>0</v>
      </c>
      <c r="AK138" s="145">
        <f t="shared" si="62"/>
        <v>0</v>
      </c>
      <c r="AL138" s="145">
        <v>0</v>
      </c>
      <c r="AM138" s="145">
        <v>0</v>
      </c>
      <c r="AN138" s="145">
        <v>0</v>
      </c>
      <c r="AO138" s="145">
        <v>0</v>
      </c>
      <c r="AP138" s="145">
        <v>0</v>
      </c>
      <c r="AQ138" s="145">
        <v>0</v>
      </c>
      <c r="AR138" s="145">
        <v>0</v>
      </c>
      <c r="AS138" s="145">
        <f t="shared" si="61"/>
        <v>0</v>
      </c>
      <c r="AT138" s="145"/>
      <c r="AU138" s="139">
        <f t="shared" si="58"/>
        <v>0</v>
      </c>
      <c r="AV138" s="146">
        <f>IFERROR(VLOOKUP(J138,Maksājumu_pieprasījumu_iesn.!G:BL,57,0),0)</f>
        <v>0</v>
      </c>
      <c r="AW138" s="139">
        <f t="shared" si="59"/>
        <v>0</v>
      </c>
      <c r="AX138" s="153"/>
      <c r="AY138" s="153"/>
      <c r="AZ138" s="153"/>
      <c r="BA138" s="136"/>
      <c r="BB138" s="145"/>
      <c r="BC138" s="145"/>
      <c r="BD138" s="145"/>
      <c r="BE138" s="145"/>
      <c r="BF138" s="145"/>
      <c r="BG138" s="145"/>
      <c r="BH138" s="138"/>
      <c r="BI138" s="138"/>
      <c r="BJ138" s="138"/>
      <c r="BK138" s="138"/>
      <c r="BL138" s="138"/>
      <c r="BM138" s="138"/>
      <c r="BN138" s="138"/>
    </row>
    <row r="139" spans="1:66" s="91" customFormat="1" ht="63.75" hidden="1" customHeight="1" x14ac:dyDescent="0.2">
      <c r="A139" s="150" t="s">
        <v>1082</v>
      </c>
      <c r="B139" s="18" t="s">
        <v>33</v>
      </c>
      <c r="C139" s="18" t="s">
        <v>34</v>
      </c>
      <c r="D139" s="19" t="s">
        <v>566</v>
      </c>
      <c r="E139" s="55">
        <v>2</v>
      </c>
      <c r="F139" s="55" t="s">
        <v>35</v>
      </c>
      <c r="G139" s="55" t="s">
        <v>5</v>
      </c>
      <c r="H139" s="55" t="s">
        <v>3</v>
      </c>
      <c r="I139" s="55"/>
      <c r="J139" s="55"/>
      <c r="K139" s="19" t="s">
        <v>1168</v>
      </c>
      <c r="L139" s="19"/>
      <c r="M139" s="19"/>
      <c r="N139" s="19" t="s">
        <v>1170</v>
      </c>
      <c r="O139" s="151"/>
      <c r="P139" s="151"/>
      <c r="Q139" s="151"/>
      <c r="R139" s="151"/>
      <c r="S139" s="152"/>
      <c r="T139" s="152"/>
      <c r="U139" s="145">
        <v>0</v>
      </c>
      <c r="V139" s="145">
        <v>0</v>
      </c>
      <c r="W139" s="145">
        <v>0</v>
      </c>
      <c r="X139" s="145">
        <f t="shared" si="56"/>
        <v>0</v>
      </c>
      <c r="Y139" s="145">
        <v>0</v>
      </c>
      <c r="Z139" s="145">
        <v>0</v>
      </c>
      <c r="AA139" s="145">
        <v>0</v>
      </c>
      <c r="AB139" s="145">
        <v>0</v>
      </c>
      <c r="AC139" s="145">
        <v>0</v>
      </c>
      <c r="AD139" s="145">
        <v>0</v>
      </c>
      <c r="AE139" s="145">
        <v>0</v>
      </c>
      <c r="AF139" s="145">
        <v>0</v>
      </c>
      <c r="AG139" s="145">
        <v>0</v>
      </c>
      <c r="AH139" s="145">
        <v>0</v>
      </c>
      <c r="AI139" s="145">
        <v>0</v>
      </c>
      <c r="AJ139" s="145">
        <v>0</v>
      </c>
      <c r="AK139" s="145">
        <f t="shared" si="62"/>
        <v>0</v>
      </c>
      <c r="AL139" s="145">
        <v>0</v>
      </c>
      <c r="AM139" s="145">
        <v>0</v>
      </c>
      <c r="AN139" s="145">
        <v>0</v>
      </c>
      <c r="AO139" s="145">
        <v>0</v>
      </c>
      <c r="AP139" s="145">
        <v>0</v>
      </c>
      <c r="AQ139" s="145">
        <v>0</v>
      </c>
      <c r="AR139" s="145">
        <v>0</v>
      </c>
      <c r="AS139" s="145">
        <f t="shared" si="61"/>
        <v>0</v>
      </c>
      <c r="AT139" s="145"/>
      <c r="AU139" s="139">
        <f t="shared" si="58"/>
        <v>0</v>
      </c>
      <c r="AV139" s="146">
        <f>IFERROR(VLOOKUP(J139,Maksājumu_pieprasījumu_iesn.!G:BL,57,0),0)</f>
        <v>0</v>
      </c>
      <c r="AW139" s="139">
        <f t="shared" si="59"/>
        <v>0</v>
      </c>
      <c r="AX139" s="153"/>
      <c r="AY139" s="153"/>
      <c r="AZ139" s="153"/>
      <c r="BA139" s="136"/>
      <c r="BB139" s="145"/>
      <c r="BC139" s="145"/>
      <c r="BD139" s="145"/>
      <c r="BE139" s="145"/>
      <c r="BF139" s="145"/>
      <c r="BG139" s="145"/>
      <c r="BH139" s="138"/>
      <c r="BI139" s="138"/>
      <c r="BJ139" s="138"/>
      <c r="BK139" s="138"/>
      <c r="BL139" s="138"/>
      <c r="BM139" s="138"/>
      <c r="BN139" s="138"/>
    </row>
    <row r="140" spans="1:66" s="91" customFormat="1" ht="12.75" hidden="1" customHeight="1" x14ac:dyDescent="0.2">
      <c r="A140" s="150" t="s">
        <v>1082</v>
      </c>
      <c r="B140" s="18" t="s">
        <v>33</v>
      </c>
      <c r="C140" s="18" t="s">
        <v>34</v>
      </c>
      <c r="D140" s="19" t="s">
        <v>566</v>
      </c>
      <c r="E140" s="55">
        <v>2</v>
      </c>
      <c r="F140" s="55" t="s">
        <v>35</v>
      </c>
      <c r="G140" s="55" t="s">
        <v>5</v>
      </c>
      <c r="H140" s="55" t="s">
        <v>3</v>
      </c>
      <c r="I140" s="55"/>
      <c r="J140" s="55"/>
      <c r="K140" s="19" t="s">
        <v>1171</v>
      </c>
      <c r="L140" s="19"/>
      <c r="M140" s="19"/>
      <c r="N140" s="19" t="s">
        <v>1172</v>
      </c>
      <c r="O140" s="151"/>
      <c r="P140" s="151"/>
      <c r="Q140" s="151"/>
      <c r="R140" s="151"/>
      <c r="S140" s="152"/>
      <c r="T140" s="152"/>
      <c r="U140" s="145">
        <v>0</v>
      </c>
      <c r="V140" s="145">
        <v>0</v>
      </c>
      <c r="W140" s="145">
        <v>0</v>
      </c>
      <c r="X140" s="145">
        <f t="shared" si="56"/>
        <v>0</v>
      </c>
      <c r="Y140" s="145">
        <v>0</v>
      </c>
      <c r="Z140" s="145">
        <v>0</v>
      </c>
      <c r="AA140" s="145">
        <v>0</v>
      </c>
      <c r="AB140" s="145">
        <v>0</v>
      </c>
      <c r="AC140" s="145">
        <v>0</v>
      </c>
      <c r="AD140" s="145">
        <v>0</v>
      </c>
      <c r="AE140" s="145">
        <v>0</v>
      </c>
      <c r="AF140" s="145">
        <v>0</v>
      </c>
      <c r="AG140" s="145">
        <v>0</v>
      </c>
      <c r="AH140" s="145">
        <v>0</v>
      </c>
      <c r="AI140" s="145">
        <v>0</v>
      </c>
      <c r="AJ140" s="145">
        <v>0</v>
      </c>
      <c r="AK140" s="145">
        <f t="shared" si="62"/>
        <v>0</v>
      </c>
      <c r="AL140" s="145">
        <v>0</v>
      </c>
      <c r="AM140" s="145">
        <v>0</v>
      </c>
      <c r="AN140" s="145">
        <v>0</v>
      </c>
      <c r="AO140" s="145">
        <v>0</v>
      </c>
      <c r="AP140" s="145">
        <v>0</v>
      </c>
      <c r="AQ140" s="145">
        <v>0</v>
      </c>
      <c r="AR140" s="145">
        <v>0</v>
      </c>
      <c r="AS140" s="145">
        <f t="shared" si="61"/>
        <v>0</v>
      </c>
      <c r="AT140" s="145"/>
      <c r="AU140" s="139">
        <f t="shared" si="58"/>
        <v>0</v>
      </c>
      <c r="AV140" s="146">
        <f>IFERROR(VLOOKUP(J140,Maksājumu_pieprasījumu_iesn.!G:BL,57,0),0)</f>
        <v>0</v>
      </c>
      <c r="AW140" s="139">
        <f t="shared" si="59"/>
        <v>0</v>
      </c>
      <c r="AX140" s="153"/>
      <c r="AY140" s="153"/>
      <c r="AZ140" s="153"/>
      <c r="BA140" s="136"/>
      <c r="BB140" s="145"/>
      <c r="BC140" s="145"/>
      <c r="BD140" s="145"/>
      <c r="BE140" s="145"/>
      <c r="BF140" s="145"/>
      <c r="BG140" s="145"/>
      <c r="BH140" s="138"/>
      <c r="BI140" s="138"/>
      <c r="BJ140" s="138"/>
      <c r="BK140" s="138"/>
      <c r="BL140" s="138"/>
      <c r="BM140" s="138"/>
      <c r="BN140" s="138"/>
    </row>
    <row r="141" spans="1:66" s="91" customFormat="1" ht="51" hidden="1" customHeight="1" x14ac:dyDescent="0.2">
      <c r="A141" s="150" t="s">
        <v>1082</v>
      </c>
      <c r="B141" s="18" t="s">
        <v>33</v>
      </c>
      <c r="C141" s="18" t="s">
        <v>34</v>
      </c>
      <c r="D141" s="19" t="s">
        <v>566</v>
      </c>
      <c r="E141" s="55">
        <v>2</v>
      </c>
      <c r="F141" s="55" t="s">
        <v>35</v>
      </c>
      <c r="G141" s="55" t="s">
        <v>5</v>
      </c>
      <c r="H141" s="55" t="s">
        <v>3</v>
      </c>
      <c r="I141" s="55"/>
      <c r="J141" s="55"/>
      <c r="K141" s="19" t="s">
        <v>1123</v>
      </c>
      <c r="L141" s="19"/>
      <c r="M141" s="19"/>
      <c r="N141" s="19" t="s">
        <v>1173</v>
      </c>
      <c r="O141" s="151"/>
      <c r="P141" s="151"/>
      <c r="Q141" s="151"/>
      <c r="R141" s="151"/>
      <c r="S141" s="152"/>
      <c r="T141" s="152"/>
      <c r="U141" s="145">
        <v>0</v>
      </c>
      <c r="V141" s="145">
        <v>0</v>
      </c>
      <c r="W141" s="145">
        <v>0</v>
      </c>
      <c r="X141" s="145">
        <f>W141+V141+U141</f>
        <v>0</v>
      </c>
      <c r="Y141" s="145">
        <v>0</v>
      </c>
      <c r="Z141" s="145">
        <v>0</v>
      </c>
      <c r="AA141" s="145">
        <v>0</v>
      </c>
      <c r="AB141" s="145">
        <v>0</v>
      </c>
      <c r="AC141" s="145">
        <v>0</v>
      </c>
      <c r="AD141" s="145">
        <v>0</v>
      </c>
      <c r="AE141" s="145">
        <v>0</v>
      </c>
      <c r="AF141" s="145">
        <v>0</v>
      </c>
      <c r="AG141" s="145">
        <v>0</v>
      </c>
      <c r="AH141" s="145">
        <v>0</v>
      </c>
      <c r="AI141" s="145">
        <v>0</v>
      </c>
      <c r="AJ141" s="145">
        <v>0</v>
      </c>
      <c r="AK141" s="145">
        <f t="shared" si="62"/>
        <v>0</v>
      </c>
      <c r="AL141" s="145">
        <v>0</v>
      </c>
      <c r="AM141" s="145">
        <v>0</v>
      </c>
      <c r="AN141" s="145">
        <v>0</v>
      </c>
      <c r="AO141" s="145">
        <v>0</v>
      </c>
      <c r="AP141" s="145">
        <v>0</v>
      </c>
      <c r="AQ141" s="145">
        <v>0</v>
      </c>
      <c r="AR141" s="145">
        <v>0</v>
      </c>
      <c r="AS141" s="145">
        <f t="shared" si="61"/>
        <v>0</v>
      </c>
      <c r="AT141" s="145"/>
      <c r="AU141" s="139">
        <f t="shared" si="58"/>
        <v>0</v>
      </c>
      <c r="AV141" s="146">
        <f>IFERROR(VLOOKUP(J141,Maksājumu_pieprasījumu_iesn.!G:BL,57,0),0)</f>
        <v>0</v>
      </c>
      <c r="AW141" s="139">
        <f t="shared" si="59"/>
        <v>0</v>
      </c>
      <c r="AX141" s="153"/>
      <c r="AY141" s="153"/>
      <c r="AZ141" s="153"/>
      <c r="BA141" s="136"/>
      <c r="BB141" s="145"/>
      <c r="BC141" s="145"/>
      <c r="BD141" s="145"/>
      <c r="BE141" s="145"/>
      <c r="BF141" s="145"/>
      <c r="BG141" s="145"/>
      <c r="BH141" s="138"/>
      <c r="BI141" s="138"/>
      <c r="BJ141" s="138"/>
      <c r="BK141" s="138"/>
      <c r="BL141" s="138"/>
      <c r="BM141" s="138"/>
      <c r="BN141" s="138"/>
    </row>
    <row r="142" spans="1:66" s="91" customFormat="1" ht="12.75" hidden="1" customHeight="1" x14ac:dyDescent="0.2">
      <c r="A142" s="150" t="s">
        <v>1082</v>
      </c>
      <c r="B142" s="18" t="s">
        <v>33</v>
      </c>
      <c r="C142" s="18" t="s">
        <v>34</v>
      </c>
      <c r="D142" s="19" t="s">
        <v>566</v>
      </c>
      <c r="E142" s="55">
        <v>2</v>
      </c>
      <c r="F142" s="55" t="s">
        <v>35</v>
      </c>
      <c r="G142" s="55" t="s">
        <v>5</v>
      </c>
      <c r="H142" s="55" t="s">
        <v>3</v>
      </c>
      <c r="I142" s="55"/>
      <c r="J142" s="55"/>
      <c r="K142" s="19" t="s">
        <v>409</v>
      </c>
      <c r="L142" s="19"/>
      <c r="M142" s="19"/>
      <c r="N142" s="19" t="s">
        <v>1174</v>
      </c>
      <c r="O142" s="151"/>
      <c r="P142" s="151"/>
      <c r="Q142" s="151"/>
      <c r="R142" s="151"/>
      <c r="S142" s="152"/>
      <c r="T142" s="152"/>
      <c r="U142" s="145">
        <v>0</v>
      </c>
      <c r="V142" s="145">
        <v>0</v>
      </c>
      <c r="W142" s="145">
        <v>0</v>
      </c>
      <c r="X142" s="145">
        <f>W142+V142+U142</f>
        <v>0</v>
      </c>
      <c r="Y142" s="145">
        <v>0</v>
      </c>
      <c r="Z142" s="145">
        <v>0</v>
      </c>
      <c r="AA142" s="145">
        <v>0</v>
      </c>
      <c r="AB142" s="145">
        <v>0</v>
      </c>
      <c r="AC142" s="145">
        <v>0</v>
      </c>
      <c r="AD142" s="145">
        <v>0</v>
      </c>
      <c r="AE142" s="145">
        <v>0</v>
      </c>
      <c r="AF142" s="145">
        <v>0</v>
      </c>
      <c r="AG142" s="145">
        <v>0</v>
      </c>
      <c r="AH142" s="145">
        <v>0</v>
      </c>
      <c r="AI142" s="145">
        <v>0</v>
      </c>
      <c r="AJ142" s="145">
        <v>0</v>
      </c>
      <c r="AK142" s="145">
        <f t="shared" si="62"/>
        <v>0</v>
      </c>
      <c r="AL142" s="145">
        <v>0</v>
      </c>
      <c r="AM142" s="145">
        <v>0</v>
      </c>
      <c r="AN142" s="145">
        <v>0</v>
      </c>
      <c r="AO142" s="145">
        <v>0</v>
      </c>
      <c r="AP142" s="145">
        <v>0</v>
      </c>
      <c r="AQ142" s="145">
        <v>0</v>
      </c>
      <c r="AR142" s="145">
        <v>0</v>
      </c>
      <c r="AS142" s="145">
        <f t="shared" si="61"/>
        <v>0</v>
      </c>
      <c r="AT142" s="145"/>
      <c r="AU142" s="139">
        <f t="shared" ref="AU142:AU178" si="63">AS142-AT142</f>
        <v>0</v>
      </c>
      <c r="AV142" s="146">
        <f>IFERROR(VLOOKUP(J142,Maksājumu_pieprasījumu_iesn.!G:BL,57,0),0)</f>
        <v>0</v>
      </c>
      <c r="AW142" s="139">
        <f t="shared" si="59"/>
        <v>0</v>
      </c>
      <c r="AX142" s="153"/>
      <c r="AY142" s="153"/>
      <c r="AZ142" s="153"/>
      <c r="BA142" s="136"/>
      <c r="BB142" s="145"/>
      <c r="BC142" s="145"/>
      <c r="BD142" s="145"/>
      <c r="BE142" s="145"/>
      <c r="BF142" s="145"/>
      <c r="BG142" s="145"/>
      <c r="BH142" s="138"/>
      <c r="BI142" s="138"/>
      <c r="BJ142" s="138"/>
      <c r="BK142" s="138"/>
      <c r="BL142" s="138"/>
      <c r="BM142" s="138"/>
      <c r="BN142" s="138"/>
    </row>
    <row r="143" spans="1:66" s="91" customFormat="1" ht="38.25" hidden="1" customHeight="1" x14ac:dyDescent="0.2">
      <c r="A143" s="150" t="s">
        <v>1082</v>
      </c>
      <c r="B143" s="18" t="s">
        <v>33</v>
      </c>
      <c r="C143" s="18" t="s">
        <v>34</v>
      </c>
      <c r="D143" s="19" t="s">
        <v>566</v>
      </c>
      <c r="E143" s="55">
        <v>2</v>
      </c>
      <c r="F143" s="55" t="s">
        <v>35</v>
      </c>
      <c r="G143" s="55" t="s">
        <v>5</v>
      </c>
      <c r="H143" s="55" t="s">
        <v>3</v>
      </c>
      <c r="I143" s="55"/>
      <c r="J143" s="55"/>
      <c r="K143" s="19" t="s">
        <v>37</v>
      </c>
      <c r="L143" s="19"/>
      <c r="M143" s="19"/>
      <c r="N143" s="19" t="s">
        <v>1175</v>
      </c>
      <c r="O143" s="151"/>
      <c r="P143" s="151"/>
      <c r="Q143" s="151"/>
      <c r="R143" s="151"/>
      <c r="S143" s="152"/>
      <c r="T143" s="152"/>
      <c r="U143" s="145">
        <v>0</v>
      </c>
      <c r="V143" s="145">
        <v>0</v>
      </c>
      <c r="W143" s="145">
        <v>0</v>
      </c>
      <c r="X143" s="145">
        <f>W143+V143+U143</f>
        <v>0</v>
      </c>
      <c r="Y143" s="145">
        <v>0</v>
      </c>
      <c r="Z143" s="145">
        <v>0</v>
      </c>
      <c r="AA143" s="145">
        <v>0</v>
      </c>
      <c r="AB143" s="145">
        <v>0</v>
      </c>
      <c r="AC143" s="145">
        <v>0</v>
      </c>
      <c r="AD143" s="145">
        <v>0</v>
      </c>
      <c r="AE143" s="145">
        <v>0</v>
      </c>
      <c r="AF143" s="145">
        <v>0</v>
      </c>
      <c r="AG143" s="145">
        <v>0</v>
      </c>
      <c r="AH143" s="145">
        <v>0</v>
      </c>
      <c r="AI143" s="145">
        <v>0</v>
      </c>
      <c r="AJ143" s="145">
        <v>0</v>
      </c>
      <c r="AK143" s="145">
        <f t="shared" si="62"/>
        <v>0</v>
      </c>
      <c r="AL143" s="145">
        <v>0</v>
      </c>
      <c r="AM143" s="145">
        <v>0</v>
      </c>
      <c r="AN143" s="145">
        <v>0</v>
      </c>
      <c r="AO143" s="145">
        <v>0</v>
      </c>
      <c r="AP143" s="145">
        <v>0</v>
      </c>
      <c r="AQ143" s="145">
        <v>0</v>
      </c>
      <c r="AR143" s="145">
        <v>0</v>
      </c>
      <c r="AS143" s="145">
        <f t="shared" si="61"/>
        <v>0</v>
      </c>
      <c r="AT143" s="145"/>
      <c r="AU143" s="139">
        <f t="shared" si="63"/>
        <v>0</v>
      </c>
      <c r="AV143" s="146">
        <f>IFERROR(VLOOKUP(J143,Maksājumu_pieprasījumu_iesn.!G:BL,57,0),0)</f>
        <v>0</v>
      </c>
      <c r="AW143" s="139">
        <f t="shared" si="59"/>
        <v>0</v>
      </c>
      <c r="AX143" s="153"/>
      <c r="AY143" s="153"/>
      <c r="AZ143" s="153"/>
      <c r="BA143" s="136"/>
      <c r="BB143" s="145"/>
      <c r="BC143" s="145"/>
      <c r="BD143" s="145"/>
      <c r="BE143" s="145"/>
      <c r="BF143" s="145"/>
      <c r="BG143" s="145"/>
      <c r="BH143" s="138"/>
      <c r="BI143" s="138"/>
      <c r="BJ143" s="138"/>
      <c r="BK143" s="138"/>
      <c r="BL143" s="138"/>
      <c r="BM143" s="138"/>
      <c r="BN143" s="138"/>
    </row>
    <row r="144" spans="1:66" s="91" customFormat="1" ht="38.25" hidden="1" customHeight="1" x14ac:dyDescent="0.2">
      <c r="A144" s="150" t="s">
        <v>1082</v>
      </c>
      <c r="B144" s="18" t="s">
        <v>33</v>
      </c>
      <c r="C144" s="18" t="s">
        <v>34</v>
      </c>
      <c r="D144" s="19" t="s">
        <v>566</v>
      </c>
      <c r="E144" s="55">
        <v>2</v>
      </c>
      <c r="F144" s="55" t="s">
        <v>35</v>
      </c>
      <c r="G144" s="55" t="s">
        <v>5</v>
      </c>
      <c r="H144" s="55" t="s">
        <v>3</v>
      </c>
      <c r="I144" s="55"/>
      <c r="J144" s="55"/>
      <c r="K144" s="19" t="s">
        <v>747</v>
      </c>
      <c r="L144" s="19"/>
      <c r="M144" s="19"/>
      <c r="N144" s="19" t="s">
        <v>1176</v>
      </c>
      <c r="O144" s="151"/>
      <c r="P144" s="151"/>
      <c r="Q144" s="151"/>
      <c r="R144" s="151"/>
      <c r="S144" s="152"/>
      <c r="T144" s="152"/>
      <c r="U144" s="145">
        <v>0</v>
      </c>
      <c r="V144" s="145">
        <v>0</v>
      </c>
      <c r="W144" s="145">
        <v>0</v>
      </c>
      <c r="X144" s="145">
        <f>W144+V144+U144</f>
        <v>0</v>
      </c>
      <c r="Y144" s="145">
        <v>0</v>
      </c>
      <c r="Z144" s="145">
        <v>0</v>
      </c>
      <c r="AA144" s="145">
        <v>0</v>
      </c>
      <c r="AB144" s="145">
        <v>0</v>
      </c>
      <c r="AC144" s="145">
        <v>0</v>
      </c>
      <c r="AD144" s="145">
        <v>0</v>
      </c>
      <c r="AE144" s="145">
        <v>0</v>
      </c>
      <c r="AF144" s="145">
        <v>0</v>
      </c>
      <c r="AG144" s="145">
        <v>0</v>
      </c>
      <c r="AH144" s="145">
        <v>0</v>
      </c>
      <c r="AI144" s="145">
        <v>0</v>
      </c>
      <c r="AJ144" s="145">
        <v>0</v>
      </c>
      <c r="AK144" s="145">
        <f t="shared" si="62"/>
        <v>0</v>
      </c>
      <c r="AL144" s="145">
        <v>0</v>
      </c>
      <c r="AM144" s="145">
        <v>0</v>
      </c>
      <c r="AN144" s="145">
        <v>0</v>
      </c>
      <c r="AO144" s="145">
        <v>0</v>
      </c>
      <c r="AP144" s="145">
        <v>0</v>
      </c>
      <c r="AQ144" s="145">
        <v>0</v>
      </c>
      <c r="AR144" s="145">
        <v>0</v>
      </c>
      <c r="AS144" s="145">
        <f t="shared" si="61"/>
        <v>0</v>
      </c>
      <c r="AT144" s="145"/>
      <c r="AU144" s="139">
        <f t="shared" si="63"/>
        <v>0</v>
      </c>
      <c r="AV144" s="146">
        <f>IFERROR(VLOOKUP(J144,Maksājumu_pieprasījumu_iesn.!G:BL,57,0),0)</f>
        <v>0</v>
      </c>
      <c r="AW144" s="139">
        <f t="shared" ref="AW144:AW207" si="64">AV144-AU144</f>
        <v>0</v>
      </c>
      <c r="AX144" s="153"/>
      <c r="AY144" s="153"/>
      <c r="AZ144" s="153"/>
      <c r="BA144" s="136"/>
      <c r="BB144" s="145"/>
      <c r="BC144" s="145"/>
      <c r="BD144" s="145"/>
      <c r="BE144" s="145"/>
      <c r="BF144" s="145"/>
      <c r="BG144" s="145"/>
      <c r="BH144" s="138"/>
      <c r="BI144" s="138"/>
      <c r="BJ144" s="138"/>
      <c r="BK144" s="138"/>
      <c r="BL144" s="138"/>
      <c r="BM144" s="138"/>
      <c r="BN144" s="138"/>
    </row>
    <row r="145" spans="1:66" s="91" customFormat="1" ht="12.75" hidden="1" customHeight="1" x14ac:dyDescent="0.2">
      <c r="A145" s="131" t="s">
        <v>1082</v>
      </c>
      <c r="B145" s="132" t="s">
        <v>33</v>
      </c>
      <c r="C145" s="132" t="s">
        <v>1177</v>
      </c>
      <c r="D145" s="133" t="s">
        <v>1178</v>
      </c>
      <c r="E145" s="22">
        <v>1</v>
      </c>
      <c r="F145" s="22" t="s">
        <v>35</v>
      </c>
      <c r="G145" s="22" t="s">
        <v>5</v>
      </c>
      <c r="H145" s="22" t="s">
        <v>3</v>
      </c>
      <c r="I145" s="22" t="s">
        <v>1022</v>
      </c>
      <c r="J145" s="134" t="s">
        <v>1026</v>
      </c>
      <c r="K145" s="133"/>
      <c r="L145" s="133"/>
      <c r="M145" s="133"/>
      <c r="N145" s="133"/>
      <c r="O145" s="135"/>
      <c r="P145" s="135"/>
      <c r="Q145" s="135"/>
      <c r="R145" s="135"/>
      <c r="S145" s="136">
        <v>6800000</v>
      </c>
      <c r="T145" s="136">
        <v>0</v>
      </c>
      <c r="U145" s="137">
        <f>SUM(U146:U146)</f>
        <v>0</v>
      </c>
      <c r="V145" s="137">
        <f>SUM(V146:V146)</f>
        <v>0</v>
      </c>
      <c r="W145" s="137">
        <f>SUM(W146:W146)</f>
        <v>0</v>
      </c>
      <c r="X145" s="138">
        <f>U145+V145+W145</f>
        <v>0</v>
      </c>
      <c r="Y145" s="137">
        <f t="shared" ref="Y145:AR145" si="65">SUM(Y146:Y146)</f>
        <v>0</v>
      </c>
      <c r="Z145" s="137">
        <f t="shared" si="65"/>
        <v>0</v>
      </c>
      <c r="AA145" s="137">
        <f t="shared" si="65"/>
        <v>0</v>
      </c>
      <c r="AB145" s="137">
        <f t="shared" si="65"/>
        <v>0</v>
      </c>
      <c r="AC145" s="137">
        <f t="shared" si="65"/>
        <v>0</v>
      </c>
      <c r="AD145" s="137">
        <f t="shared" si="65"/>
        <v>0</v>
      </c>
      <c r="AE145" s="137">
        <f t="shared" si="65"/>
        <v>0</v>
      </c>
      <c r="AF145" s="137">
        <f t="shared" si="65"/>
        <v>0</v>
      </c>
      <c r="AG145" s="137">
        <f t="shared" si="65"/>
        <v>0</v>
      </c>
      <c r="AH145" s="137">
        <f t="shared" si="65"/>
        <v>0</v>
      </c>
      <c r="AI145" s="137">
        <f t="shared" si="65"/>
        <v>0</v>
      </c>
      <c r="AJ145" s="137">
        <f t="shared" si="65"/>
        <v>0</v>
      </c>
      <c r="AK145" s="137">
        <f t="shared" si="65"/>
        <v>0</v>
      </c>
      <c r="AL145" s="137">
        <f t="shared" si="65"/>
        <v>4593288.6500000004</v>
      </c>
      <c r="AM145" s="137">
        <f t="shared" si="65"/>
        <v>1334712.5</v>
      </c>
      <c r="AN145" s="137">
        <f t="shared" si="65"/>
        <v>817098.2</v>
      </c>
      <c r="AO145" s="137">
        <f t="shared" si="65"/>
        <v>54900.65</v>
      </c>
      <c r="AP145" s="137">
        <f t="shared" si="65"/>
        <v>0</v>
      </c>
      <c r="AQ145" s="137">
        <f t="shared" si="65"/>
        <v>0</v>
      </c>
      <c r="AR145" s="137">
        <f t="shared" si="65"/>
        <v>0</v>
      </c>
      <c r="AS145" s="137">
        <f t="shared" si="61"/>
        <v>6800000.0000000009</v>
      </c>
      <c r="AT145" s="137">
        <f>SUM(AT146:AT146)</f>
        <v>0</v>
      </c>
      <c r="AU145" s="139">
        <f t="shared" si="63"/>
        <v>6800000.0000000009</v>
      </c>
      <c r="AV145" s="146">
        <f>IFERROR(VLOOKUP(J145,Maksājumu_pieprasījumu_iesn.!G:BL,57,0),0)</f>
        <v>0</v>
      </c>
      <c r="AW145" s="139">
        <f t="shared" si="64"/>
        <v>-6800000.0000000009</v>
      </c>
      <c r="AX145" s="140">
        <f>S145-T145-AU145</f>
        <v>0</v>
      </c>
      <c r="AY145" s="137"/>
      <c r="AZ145" s="137"/>
      <c r="BA145" s="138"/>
      <c r="BB145" s="140"/>
      <c r="BC145" s="140">
        <f>X145+AK145+AL145/2</f>
        <v>2296644.3250000002</v>
      </c>
      <c r="BD145" s="140"/>
      <c r="BE145" s="140">
        <f>BC145/0.85</f>
        <v>2701934.5000000005</v>
      </c>
      <c r="BF145" s="137"/>
      <c r="BG145" s="137"/>
      <c r="BH145" s="138">
        <v>0</v>
      </c>
      <c r="BI145" s="138">
        <v>964865.8125</v>
      </c>
      <c r="BJ145" s="138"/>
      <c r="BK145" s="138"/>
      <c r="BL145" s="138">
        <v>2593184.80411189</v>
      </c>
      <c r="BM145" s="138"/>
      <c r="BN145" s="138"/>
    </row>
    <row r="146" spans="1:66" ht="25.5" hidden="1" customHeight="1" x14ac:dyDescent="0.2">
      <c r="A146" s="142" t="s">
        <v>1082</v>
      </c>
      <c r="B146" s="18" t="s">
        <v>33</v>
      </c>
      <c r="C146" s="18" t="s">
        <v>1177</v>
      </c>
      <c r="D146" s="19" t="s">
        <v>1178</v>
      </c>
      <c r="E146" s="18">
        <v>1</v>
      </c>
      <c r="F146" s="18" t="s">
        <v>35</v>
      </c>
      <c r="G146" s="18" t="s">
        <v>5</v>
      </c>
      <c r="H146" s="18" t="s">
        <v>3</v>
      </c>
      <c r="I146" s="18"/>
      <c r="J146" s="56" t="s">
        <v>1179</v>
      </c>
      <c r="K146" s="19" t="s">
        <v>1180</v>
      </c>
      <c r="L146" s="19"/>
      <c r="M146" s="19"/>
      <c r="N146" s="19" t="s">
        <v>1181</v>
      </c>
      <c r="O146" s="143"/>
      <c r="P146" s="143"/>
      <c r="Q146" s="143"/>
      <c r="R146" s="187" t="s">
        <v>1182</v>
      </c>
      <c r="S146" s="144"/>
      <c r="T146" s="172"/>
      <c r="U146" s="145">
        <v>0</v>
      </c>
      <c r="V146" s="145">
        <v>0</v>
      </c>
      <c r="W146" s="145">
        <v>0</v>
      </c>
      <c r="X146" s="145">
        <f>W146+V146+U146</f>
        <v>0</v>
      </c>
      <c r="Y146" s="145">
        <v>0</v>
      </c>
      <c r="Z146" s="145">
        <v>0</v>
      </c>
      <c r="AA146" s="145">
        <v>0</v>
      </c>
      <c r="AB146" s="145">
        <v>0</v>
      </c>
      <c r="AC146" s="145">
        <v>0</v>
      </c>
      <c r="AD146" s="145">
        <v>0</v>
      </c>
      <c r="AE146" s="145">
        <v>0</v>
      </c>
      <c r="AF146" s="145">
        <v>0</v>
      </c>
      <c r="AG146" s="145">
        <v>0</v>
      </c>
      <c r="AH146" s="145">
        <v>0</v>
      </c>
      <c r="AI146" s="145">
        <v>0</v>
      </c>
      <c r="AJ146" s="145">
        <v>0</v>
      </c>
      <c r="AK146" s="145">
        <f>SUM(Y146:AJ146)</f>
        <v>0</v>
      </c>
      <c r="AL146" s="145">
        <v>4593288.6500000004</v>
      </c>
      <c r="AM146" s="145">
        <v>1334712.5</v>
      </c>
      <c r="AN146" s="145">
        <v>817098.2</v>
      </c>
      <c r="AO146" s="145">
        <v>54900.65</v>
      </c>
      <c r="AP146" s="145">
        <v>0</v>
      </c>
      <c r="AQ146" s="145">
        <v>0</v>
      </c>
      <c r="AR146" s="145">
        <v>0</v>
      </c>
      <c r="AS146" s="144">
        <f t="shared" si="61"/>
        <v>6800000.0000000009</v>
      </c>
      <c r="AT146" s="144">
        <v>0</v>
      </c>
      <c r="AU146" s="146">
        <f t="shared" si="63"/>
        <v>6800000.0000000009</v>
      </c>
      <c r="AV146" s="146">
        <f>IFERROR(VLOOKUP(J146,Maksājumu_pieprasījumu_iesn.!G:BL,57,0),0)</f>
        <v>0</v>
      </c>
      <c r="AW146" s="139">
        <f t="shared" si="64"/>
        <v>-6800000.0000000009</v>
      </c>
      <c r="AX146" s="147"/>
      <c r="AY146" s="147"/>
      <c r="AZ146" s="147"/>
      <c r="BA146" s="165"/>
      <c r="BB146" s="144"/>
      <c r="BC146" s="144"/>
      <c r="BD146" s="144"/>
      <c r="BE146" s="144"/>
      <c r="BF146" s="144"/>
      <c r="BG146" s="144"/>
      <c r="BH146" s="149"/>
      <c r="BI146" s="149"/>
      <c r="BJ146" s="149"/>
      <c r="BK146" s="149"/>
      <c r="BL146" s="149"/>
      <c r="BM146" s="149"/>
      <c r="BN146" s="149"/>
    </row>
    <row r="147" spans="1:66" s="91" customFormat="1" ht="38.25" hidden="1" customHeight="1" x14ac:dyDescent="0.2">
      <c r="A147" s="131" t="s">
        <v>1082</v>
      </c>
      <c r="B147" s="132" t="s">
        <v>33</v>
      </c>
      <c r="C147" s="132" t="s">
        <v>1177</v>
      </c>
      <c r="D147" s="133" t="s">
        <v>1178</v>
      </c>
      <c r="E147" s="22">
        <v>2</v>
      </c>
      <c r="F147" s="22" t="s">
        <v>35</v>
      </c>
      <c r="G147" s="22" t="s">
        <v>5</v>
      </c>
      <c r="H147" s="22" t="s">
        <v>3</v>
      </c>
      <c r="I147" s="22" t="s">
        <v>1022</v>
      </c>
      <c r="J147" s="134" t="s">
        <v>1026</v>
      </c>
      <c r="K147" s="133"/>
      <c r="L147" s="133"/>
      <c r="M147" s="133"/>
      <c r="N147" s="133"/>
      <c r="O147" s="135"/>
      <c r="P147" s="135"/>
      <c r="Q147" s="135"/>
      <c r="R147" s="135"/>
      <c r="S147" s="136">
        <v>5100000</v>
      </c>
      <c r="T147" s="136">
        <v>725843.41674706142</v>
      </c>
      <c r="U147" s="137">
        <f>SUM(U148:U148)</f>
        <v>0</v>
      </c>
      <c r="V147" s="137">
        <f>SUM(V148:V148)</f>
        <v>0</v>
      </c>
      <c r="W147" s="137">
        <f>SUM(W148:W148)</f>
        <v>0</v>
      </c>
      <c r="X147" s="138">
        <f>U147+V147+W147</f>
        <v>0</v>
      </c>
      <c r="Y147" s="137">
        <f t="shared" ref="Y147:AR147" si="66">SUM(Y148:Y148)</f>
        <v>0</v>
      </c>
      <c r="Z147" s="137">
        <f t="shared" si="66"/>
        <v>0</v>
      </c>
      <c r="AA147" s="137">
        <f t="shared" si="66"/>
        <v>0</v>
      </c>
      <c r="AB147" s="137">
        <f t="shared" si="66"/>
        <v>0</v>
      </c>
      <c r="AC147" s="137">
        <f t="shared" si="66"/>
        <v>0</v>
      </c>
      <c r="AD147" s="137">
        <f t="shared" si="66"/>
        <v>0</v>
      </c>
      <c r="AE147" s="137">
        <f t="shared" si="66"/>
        <v>0</v>
      </c>
      <c r="AF147" s="137">
        <f t="shared" si="66"/>
        <v>0</v>
      </c>
      <c r="AG147" s="137">
        <f t="shared" si="66"/>
        <v>0</v>
      </c>
      <c r="AH147" s="137">
        <f t="shared" si="66"/>
        <v>0</v>
      </c>
      <c r="AI147" s="137">
        <f t="shared" si="66"/>
        <v>0</v>
      </c>
      <c r="AJ147" s="137">
        <f t="shared" si="66"/>
        <v>0</v>
      </c>
      <c r="AK147" s="137">
        <f t="shared" si="66"/>
        <v>0</v>
      </c>
      <c r="AL147" s="137">
        <f t="shared" si="66"/>
        <v>0</v>
      </c>
      <c r="AM147" s="137">
        <f t="shared" si="66"/>
        <v>0</v>
      </c>
      <c r="AN147" s="137">
        <f t="shared" si="66"/>
        <v>0</v>
      </c>
      <c r="AO147" s="137">
        <f t="shared" si="66"/>
        <v>0</v>
      </c>
      <c r="AP147" s="137">
        <f t="shared" si="66"/>
        <v>0</v>
      </c>
      <c r="AQ147" s="137">
        <f t="shared" si="66"/>
        <v>0</v>
      </c>
      <c r="AR147" s="137">
        <f t="shared" si="66"/>
        <v>0</v>
      </c>
      <c r="AS147" s="137">
        <f t="shared" si="61"/>
        <v>0</v>
      </c>
      <c r="AT147" s="137">
        <f>SUM(AT148:AT148)</f>
        <v>0</v>
      </c>
      <c r="AU147" s="139">
        <f t="shared" si="63"/>
        <v>0</v>
      </c>
      <c r="AV147" s="146">
        <f>IFERROR(VLOOKUP(J147,Maksājumu_pieprasījumu_iesn.!G:BL,57,0),0)</f>
        <v>0</v>
      </c>
      <c r="AW147" s="139">
        <f t="shared" si="64"/>
        <v>0</v>
      </c>
      <c r="AX147" s="140">
        <f>S147-T147-AU147</f>
        <v>4374156.5832529385</v>
      </c>
      <c r="AY147" s="137">
        <v>4374156.5832529385</v>
      </c>
      <c r="AZ147" s="137"/>
      <c r="BA147" s="138" t="s">
        <v>1183</v>
      </c>
      <c r="BB147" s="140"/>
      <c r="BC147" s="140">
        <f>X147+AK147+AL147/2</f>
        <v>0</v>
      </c>
      <c r="BD147" s="140"/>
      <c r="BE147" s="140">
        <f>BC147/0.85</f>
        <v>0</v>
      </c>
      <c r="BF147" s="137"/>
      <c r="BG147" s="137"/>
      <c r="BH147" s="138">
        <v>0</v>
      </c>
      <c r="BI147" s="138">
        <v>0</v>
      </c>
      <c r="BJ147" s="138"/>
      <c r="BK147" s="138"/>
      <c r="BL147" s="138">
        <v>0</v>
      </c>
      <c r="BM147" s="138"/>
      <c r="BN147" s="138"/>
    </row>
    <row r="148" spans="1:66" s="91" customFormat="1" ht="25.5" hidden="1" customHeight="1" x14ac:dyDescent="0.2">
      <c r="A148" s="150" t="s">
        <v>1082</v>
      </c>
      <c r="B148" s="18" t="s">
        <v>33</v>
      </c>
      <c r="C148" s="18" t="s">
        <v>1177</v>
      </c>
      <c r="D148" s="19" t="s">
        <v>1178</v>
      </c>
      <c r="E148" s="55">
        <v>2</v>
      </c>
      <c r="F148" s="55" t="s">
        <v>35</v>
      </c>
      <c r="G148" s="55" t="s">
        <v>5</v>
      </c>
      <c r="H148" s="55" t="s">
        <v>3</v>
      </c>
      <c r="I148" s="55"/>
      <c r="J148" s="55"/>
      <c r="K148" s="19" t="s">
        <v>1180</v>
      </c>
      <c r="L148" s="19"/>
      <c r="M148" s="19"/>
      <c r="N148" s="19" t="s">
        <v>1184</v>
      </c>
      <c r="O148" s="151"/>
      <c r="P148" s="151"/>
      <c r="Q148" s="151"/>
      <c r="R148" s="151"/>
      <c r="S148" s="152"/>
      <c r="T148" s="152"/>
      <c r="U148" s="145">
        <v>0</v>
      </c>
      <c r="V148" s="145">
        <v>0</v>
      </c>
      <c r="W148" s="145">
        <v>0</v>
      </c>
      <c r="X148" s="145">
        <f>W148+V148+U148</f>
        <v>0</v>
      </c>
      <c r="Y148" s="145">
        <v>0</v>
      </c>
      <c r="Z148" s="145">
        <v>0</v>
      </c>
      <c r="AA148" s="145">
        <v>0</v>
      </c>
      <c r="AB148" s="145">
        <v>0</v>
      </c>
      <c r="AC148" s="145">
        <v>0</v>
      </c>
      <c r="AD148" s="145">
        <v>0</v>
      </c>
      <c r="AE148" s="145">
        <v>0</v>
      </c>
      <c r="AF148" s="145">
        <v>0</v>
      </c>
      <c r="AG148" s="145">
        <v>0</v>
      </c>
      <c r="AH148" s="145">
        <v>0</v>
      </c>
      <c r="AI148" s="145">
        <v>0</v>
      </c>
      <c r="AJ148" s="145">
        <v>0</v>
      </c>
      <c r="AK148" s="145">
        <f>SUM(Y148:AJ148)</f>
        <v>0</v>
      </c>
      <c r="AL148" s="145">
        <v>0</v>
      </c>
      <c r="AM148" s="145">
        <v>0</v>
      </c>
      <c r="AN148" s="145">
        <v>0</v>
      </c>
      <c r="AO148" s="145">
        <v>0</v>
      </c>
      <c r="AP148" s="145">
        <v>0</v>
      </c>
      <c r="AQ148" s="145">
        <v>0</v>
      </c>
      <c r="AR148" s="145">
        <v>0</v>
      </c>
      <c r="AS148" s="145">
        <f t="shared" si="61"/>
        <v>0</v>
      </c>
      <c r="AT148" s="145"/>
      <c r="AU148" s="139">
        <f t="shared" si="63"/>
        <v>0</v>
      </c>
      <c r="AV148" s="146">
        <f>IFERROR(VLOOKUP(J148,Maksājumu_pieprasījumu_iesn.!G:BL,57,0),0)</f>
        <v>0</v>
      </c>
      <c r="AW148" s="139">
        <f t="shared" si="64"/>
        <v>0</v>
      </c>
      <c r="AX148" s="153"/>
      <c r="AY148" s="153"/>
      <c r="AZ148" s="153"/>
      <c r="BA148" s="136"/>
      <c r="BB148" s="145"/>
      <c r="BC148" s="145"/>
      <c r="BD148" s="145"/>
      <c r="BE148" s="145"/>
      <c r="BF148" s="145"/>
      <c r="BG148" s="145"/>
      <c r="BH148" s="138"/>
      <c r="BI148" s="138"/>
      <c r="BJ148" s="138"/>
      <c r="BK148" s="138"/>
      <c r="BL148" s="138"/>
      <c r="BM148" s="138"/>
      <c r="BN148" s="138"/>
    </row>
    <row r="149" spans="1:66" s="91" customFormat="1" ht="12.75" hidden="1" customHeight="1" x14ac:dyDescent="0.2">
      <c r="A149" s="190" t="s">
        <v>1185</v>
      </c>
      <c r="B149" s="120" t="s">
        <v>1020</v>
      </c>
      <c r="C149" s="121" t="s">
        <v>5</v>
      </c>
      <c r="D149" s="122" t="s">
        <v>1186</v>
      </c>
      <c r="E149" s="121"/>
      <c r="F149" s="121"/>
      <c r="G149" s="121" t="s">
        <v>5</v>
      </c>
      <c r="H149" s="121"/>
      <c r="I149" s="121"/>
      <c r="J149" s="123"/>
      <c r="K149" s="191"/>
      <c r="L149" s="191"/>
      <c r="M149" s="191"/>
      <c r="N149" s="191"/>
      <c r="O149" s="192"/>
      <c r="P149" s="192"/>
      <c r="Q149" s="192"/>
      <c r="R149" s="192"/>
      <c r="S149" s="179">
        <f>S151+S157+S161+S154</f>
        <v>269922192</v>
      </c>
      <c r="T149" s="179">
        <f>T151+T157+T161+T154</f>
        <v>16018271.694647277</v>
      </c>
      <c r="U149" s="179">
        <f>U151+U157+U161+U154</f>
        <v>0</v>
      </c>
      <c r="V149" s="179">
        <f>V151+V157+V161+V154</f>
        <v>0</v>
      </c>
      <c r="W149" s="179">
        <f>W151+W157+W161+W154</f>
        <v>9093893.5899999999</v>
      </c>
      <c r="X149" s="125">
        <f>U149+V149+W149</f>
        <v>9093893.5899999999</v>
      </c>
      <c r="Y149" s="179">
        <f t="shared" ref="Y149:AY149" si="67">Y151+Y157+Y161+Y154</f>
        <v>1501559.09</v>
      </c>
      <c r="Z149" s="179">
        <f t="shared" si="67"/>
        <v>2931476.94</v>
      </c>
      <c r="AA149" s="179">
        <f t="shared" si="67"/>
        <v>2309995.16</v>
      </c>
      <c r="AB149" s="179">
        <f t="shared" si="67"/>
        <v>4268984.28</v>
      </c>
      <c r="AC149" s="179">
        <f t="shared" si="67"/>
        <v>2391763.4700000002</v>
      </c>
      <c r="AD149" s="179">
        <f t="shared" si="67"/>
        <v>386623.51</v>
      </c>
      <c r="AE149" s="179">
        <f t="shared" si="67"/>
        <v>4974657.8900000006</v>
      </c>
      <c r="AF149" s="179">
        <f t="shared" si="67"/>
        <v>2448529.27</v>
      </c>
      <c r="AG149" s="179">
        <f t="shared" si="67"/>
        <v>1019690.39</v>
      </c>
      <c r="AH149" s="179">
        <f t="shared" si="67"/>
        <v>5277896.8499999996</v>
      </c>
      <c r="AI149" s="179">
        <f t="shared" si="67"/>
        <v>2342858.8199999998</v>
      </c>
      <c r="AJ149" s="179">
        <f t="shared" si="67"/>
        <v>1000735.82</v>
      </c>
      <c r="AK149" s="179">
        <f>AK151+AK157+AK161+AK154</f>
        <v>30854771.489999998</v>
      </c>
      <c r="AL149" s="179">
        <f t="shared" si="67"/>
        <v>79955987.813258111</v>
      </c>
      <c r="AM149" s="179">
        <f t="shared" si="67"/>
        <v>39130947.441586167</v>
      </c>
      <c r="AN149" s="179">
        <f t="shared" si="67"/>
        <v>30481548.43</v>
      </c>
      <c r="AO149" s="179">
        <f t="shared" si="67"/>
        <v>21053535.920000002</v>
      </c>
      <c r="AP149" s="179">
        <f t="shared" si="67"/>
        <v>17380672.829999998</v>
      </c>
      <c r="AQ149" s="179">
        <f t="shared" si="67"/>
        <v>19436728.969999999</v>
      </c>
      <c r="AR149" s="179">
        <f t="shared" si="67"/>
        <v>5644113.2799999993</v>
      </c>
      <c r="AS149" s="179">
        <f>AS151+AS157+AS161+AS154</f>
        <v>253032199.7648443</v>
      </c>
      <c r="AT149" s="179">
        <f t="shared" si="67"/>
        <v>4489431.45</v>
      </c>
      <c r="AU149" s="179">
        <f>AU151+AU157+AU161+AU154</f>
        <v>248542768.31484431</v>
      </c>
      <c r="AV149" s="146">
        <f>IFERROR(VLOOKUP(J149,Maksājumu_pieprasījumu_iesn.!G:BL,57,0),0)</f>
        <v>0</v>
      </c>
      <c r="AW149" s="139">
        <f t="shared" si="64"/>
        <v>-248542768.31484431</v>
      </c>
      <c r="AX149" s="179">
        <f>AX151+AX157+AX161+AX154</f>
        <v>3562088.5294797863</v>
      </c>
      <c r="AY149" s="179">
        <f t="shared" si="67"/>
        <v>871721.41737660184</v>
      </c>
      <c r="AZ149" s="179"/>
      <c r="BA149" s="179"/>
      <c r="BB149" s="179">
        <v>79669032</v>
      </c>
      <c r="BC149" s="179">
        <f>BC151+BC157+BC161+BC154</f>
        <v>113226024.98162906</v>
      </c>
      <c r="BD149" s="179">
        <f>BD151+BD157+BD161+BD154</f>
        <v>87453694.66590099</v>
      </c>
      <c r="BE149" s="179">
        <f>BE151+BE157+BE161+BE154</f>
        <v>128326788.47400117</v>
      </c>
      <c r="BF149" s="179">
        <f t="shared" ref="BF149:BN149" si="68">BF151+BF157+BF161+BF154</f>
        <v>75945536.970588237</v>
      </c>
      <c r="BG149" s="179">
        <f t="shared" si="68"/>
        <v>0</v>
      </c>
      <c r="BH149" s="179">
        <f t="shared" si="68"/>
        <v>7423937.6500000004</v>
      </c>
      <c r="BI149" s="179">
        <f t="shared" si="68"/>
        <v>24574562.918327458</v>
      </c>
      <c r="BJ149" s="179">
        <f>BJ151+BJ157+BJ161+BJ154</f>
        <v>18586513.485399999</v>
      </c>
      <c r="BK149" s="179">
        <f>BK151+BK157+BK161+BK154</f>
        <v>3919105.6535705104</v>
      </c>
      <c r="BL149" s="179">
        <f t="shared" si="68"/>
        <v>56864035.630497277</v>
      </c>
      <c r="BM149" s="179">
        <f t="shared" si="68"/>
        <v>58906666.712201983</v>
      </c>
      <c r="BN149" s="179">
        <f t="shared" si="68"/>
        <v>13505957.675232999</v>
      </c>
    </row>
    <row r="150" spans="1:66" s="91" customFormat="1" ht="12.75" hidden="1" customHeight="1" x14ac:dyDescent="0.2">
      <c r="A150" s="190" t="s">
        <v>1185</v>
      </c>
      <c r="B150" s="120" t="s">
        <v>1020</v>
      </c>
      <c r="C150" s="121" t="s">
        <v>77</v>
      </c>
      <c r="D150" s="122" t="s">
        <v>1186</v>
      </c>
      <c r="E150" s="121"/>
      <c r="F150" s="121"/>
      <c r="G150" s="121" t="s">
        <v>77</v>
      </c>
      <c r="H150" s="121"/>
      <c r="I150" s="121"/>
      <c r="J150" s="123"/>
      <c r="K150" s="191"/>
      <c r="L150" s="191"/>
      <c r="M150" s="191"/>
      <c r="N150" s="191"/>
      <c r="O150" s="192"/>
      <c r="P150" s="192"/>
      <c r="Q150" s="192"/>
      <c r="R150" s="192"/>
      <c r="S150" s="179">
        <f>S267+S270</f>
        <v>18063357</v>
      </c>
      <c r="T150" s="179">
        <f>T267+T270</f>
        <v>1123273.1675711772</v>
      </c>
      <c r="U150" s="179">
        <f>U267+U270</f>
        <v>0</v>
      </c>
      <c r="V150" s="179">
        <f>V267+V270</f>
        <v>0</v>
      </c>
      <c r="W150" s="179">
        <f>W267+W270</f>
        <v>302196.37</v>
      </c>
      <c r="X150" s="125">
        <f>U150+V150+W150</f>
        <v>302196.37</v>
      </c>
      <c r="Y150" s="179">
        <f>Y267+Y270</f>
        <v>259195.02999999997</v>
      </c>
      <c r="Z150" s="179">
        <f t="shared" ref="Z150:BN150" si="69">Z267+Z270</f>
        <v>97597.98</v>
      </c>
      <c r="AA150" s="179">
        <f t="shared" si="69"/>
        <v>0</v>
      </c>
      <c r="AB150" s="179">
        <f t="shared" si="69"/>
        <v>103535.07</v>
      </c>
      <c r="AC150" s="179">
        <f t="shared" si="69"/>
        <v>146712.6</v>
      </c>
      <c r="AD150" s="179">
        <f t="shared" si="69"/>
        <v>0</v>
      </c>
      <c r="AE150" s="179">
        <f t="shared" si="69"/>
        <v>495581.80000000005</v>
      </c>
      <c r="AF150" s="179">
        <f t="shared" si="69"/>
        <v>116879.25</v>
      </c>
      <c r="AG150" s="179">
        <f t="shared" si="69"/>
        <v>0</v>
      </c>
      <c r="AH150" s="179">
        <f t="shared" si="69"/>
        <v>808806.99</v>
      </c>
      <c r="AI150" s="179">
        <f t="shared" si="69"/>
        <v>128378.05</v>
      </c>
      <c r="AJ150" s="179">
        <f t="shared" si="69"/>
        <v>0</v>
      </c>
      <c r="AK150" s="179">
        <f>AK267+AK270</f>
        <v>2156686.7699999996</v>
      </c>
      <c r="AL150" s="179">
        <f t="shared" si="69"/>
        <v>5451751.959999999</v>
      </c>
      <c r="AM150" s="179">
        <f t="shared" si="69"/>
        <v>3010085.21</v>
      </c>
      <c r="AN150" s="179">
        <f t="shared" si="69"/>
        <v>2654745.13</v>
      </c>
      <c r="AO150" s="179">
        <f t="shared" si="69"/>
        <v>2061745.36</v>
      </c>
      <c r="AP150" s="179">
        <f t="shared" si="69"/>
        <v>1192453.71</v>
      </c>
      <c r="AQ150" s="179">
        <f t="shared" si="69"/>
        <v>107641.63</v>
      </c>
      <c r="AR150" s="179">
        <f t="shared" si="69"/>
        <v>0</v>
      </c>
      <c r="AS150" s="179">
        <f>AS267+AS270</f>
        <v>16937306.140000001</v>
      </c>
      <c r="AT150" s="179">
        <f t="shared" si="69"/>
        <v>0</v>
      </c>
      <c r="AU150" s="179">
        <f>AU267+AU270</f>
        <v>16937306.140000001</v>
      </c>
      <c r="AV150" s="146">
        <f>IFERROR(VLOOKUP(J150,Maksājumu_pieprasījumu_iesn.!G:BL,57,0),0)</f>
        <v>0</v>
      </c>
      <c r="AW150" s="139">
        <f t="shared" si="64"/>
        <v>-16937306.140000001</v>
      </c>
      <c r="AX150" s="179">
        <f>AX267+AX270</f>
        <v>2777.6924288219307</v>
      </c>
      <c r="AY150" s="179">
        <f t="shared" si="69"/>
        <v>2778</v>
      </c>
      <c r="AZ150" s="179"/>
      <c r="BA150" s="179"/>
      <c r="BB150" s="179">
        <v>7012838</v>
      </c>
      <c r="BC150" s="179">
        <f>BC267+BC270</f>
        <v>5184759.1199999992</v>
      </c>
      <c r="BD150" s="179">
        <f>BD267+BD270</f>
        <v>4873673.5727999993</v>
      </c>
      <c r="BE150" s="179">
        <f>BE267+BE270</f>
        <v>5733733.6150588226</v>
      </c>
      <c r="BF150" s="179">
        <f t="shared" si="69"/>
        <v>0</v>
      </c>
      <c r="BG150" s="179">
        <f t="shared" si="69"/>
        <v>0</v>
      </c>
      <c r="BH150" s="179">
        <f t="shared" si="69"/>
        <v>214108.19</v>
      </c>
      <c r="BI150" s="179">
        <f t="shared" si="69"/>
        <v>2928856.9699999997</v>
      </c>
      <c r="BJ150" s="179">
        <f>BJ267+BJ270</f>
        <v>2027285.5637999997</v>
      </c>
      <c r="BK150" s="179">
        <f>BK267+BK270</f>
        <v>-901571.40620000032</v>
      </c>
      <c r="BL150" s="179">
        <f t="shared" si="69"/>
        <v>3708014.4395547211</v>
      </c>
      <c r="BM150" s="179">
        <f t="shared" si="69"/>
        <v>5124646.8423999995</v>
      </c>
      <c r="BN150" s="179">
        <f t="shared" si="69"/>
        <v>1416632.4028452784</v>
      </c>
    </row>
    <row r="151" spans="1:66" s="91" customFormat="1" hidden="1" x14ac:dyDescent="0.2">
      <c r="A151" s="127" t="s">
        <v>1185</v>
      </c>
      <c r="B151" s="127" t="s">
        <v>42</v>
      </c>
      <c r="C151" s="127" t="s">
        <v>1023</v>
      </c>
      <c r="D151" s="128" t="s">
        <v>1187</v>
      </c>
      <c r="E151" s="127"/>
      <c r="F151" s="127"/>
      <c r="G151" s="127" t="s">
        <v>5</v>
      </c>
      <c r="H151" s="127"/>
      <c r="I151" s="127"/>
      <c r="J151" s="127"/>
      <c r="K151" s="128"/>
      <c r="L151" s="128"/>
      <c r="M151" s="128"/>
      <c r="N151" s="128"/>
      <c r="O151" s="163"/>
      <c r="P151" s="163"/>
      <c r="Q151" s="163"/>
      <c r="R151" s="163"/>
      <c r="S151" s="164">
        <f>S152</f>
        <v>27900000</v>
      </c>
      <c r="T151" s="164">
        <f t="shared" ref="T151:AY151" si="70">T152</f>
        <v>1701767</v>
      </c>
      <c r="U151" s="164">
        <f t="shared" si="70"/>
        <v>0</v>
      </c>
      <c r="V151" s="164">
        <f t="shared" si="70"/>
        <v>0</v>
      </c>
      <c r="W151" s="164">
        <f t="shared" si="70"/>
        <v>91066.98</v>
      </c>
      <c r="X151" s="164">
        <f t="shared" si="70"/>
        <v>91066.98</v>
      </c>
      <c r="Y151" s="164">
        <f t="shared" si="70"/>
        <v>0</v>
      </c>
      <c r="Z151" s="164">
        <f t="shared" si="70"/>
        <v>0</v>
      </c>
      <c r="AA151" s="164">
        <f t="shared" si="70"/>
        <v>354995.16</v>
      </c>
      <c r="AB151" s="164">
        <f t="shared" si="70"/>
        <v>276127.12</v>
      </c>
      <c r="AC151" s="164">
        <f t="shared" si="70"/>
        <v>0</v>
      </c>
      <c r="AD151" s="164">
        <f t="shared" si="70"/>
        <v>0</v>
      </c>
      <c r="AE151" s="164">
        <f t="shared" si="70"/>
        <v>467500</v>
      </c>
      <c r="AF151" s="164">
        <f t="shared" si="70"/>
        <v>0</v>
      </c>
      <c r="AG151" s="164">
        <f t="shared" si="70"/>
        <v>0</v>
      </c>
      <c r="AH151" s="164">
        <f t="shared" si="70"/>
        <v>1155235.21</v>
      </c>
      <c r="AI151" s="164">
        <f t="shared" si="70"/>
        <v>0</v>
      </c>
      <c r="AJ151" s="164">
        <f t="shared" si="70"/>
        <v>0</v>
      </c>
      <c r="AK151" s="164">
        <f t="shared" si="70"/>
        <v>2253857.4900000002</v>
      </c>
      <c r="AL151" s="164">
        <f t="shared" si="70"/>
        <v>5977563.9100000001</v>
      </c>
      <c r="AM151" s="164">
        <f t="shared" si="70"/>
        <v>3699801.83</v>
      </c>
      <c r="AN151" s="164">
        <f t="shared" si="70"/>
        <v>3588818.1399999997</v>
      </c>
      <c r="AO151" s="164">
        <f t="shared" si="70"/>
        <v>3483393.35</v>
      </c>
      <c r="AP151" s="164">
        <f t="shared" si="70"/>
        <v>3356274.15</v>
      </c>
      <c r="AQ151" s="164">
        <f t="shared" si="70"/>
        <v>3018267.49</v>
      </c>
      <c r="AR151" s="164">
        <f t="shared" si="70"/>
        <v>729189.16</v>
      </c>
      <c r="AS151" s="164">
        <f t="shared" si="70"/>
        <v>26198232.500000004</v>
      </c>
      <c r="AT151" s="164">
        <f t="shared" si="70"/>
        <v>0</v>
      </c>
      <c r="AU151" s="164">
        <f t="shared" si="70"/>
        <v>26198232.500000004</v>
      </c>
      <c r="AV151" s="146">
        <f>IFERROR(VLOOKUP(J151,Maksājumu_pieprasījumu_iesn.!G:BL,57,0),0)</f>
        <v>0</v>
      </c>
      <c r="AW151" s="139">
        <f t="shared" si="64"/>
        <v>-26198232.500000004</v>
      </c>
      <c r="AX151" s="164">
        <f t="shared" si="70"/>
        <v>0.4999999962747097</v>
      </c>
      <c r="AY151" s="164">
        <f t="shared" si="70"/>
        <v>0</v>
      </c>
      <c r="AZ151" s="164"/>
      <c r="BA151" s="164"/>
      <c r="BB151" s="164">
        <f t="shared" ref="BB151:BG151" si="71">BB152</f>
        <v>0</v>
      </c>
      <c r="BC151" s="164">
        <f t="shared" si="71"/>
        <v>5333706.4250000007</v>
      </c>
      <c r="BD151" s="164">
        <f t="shared" si="71"/>
        <v>5120358.1680000005</v>
      </c>
      <c r="BE151" s="164">
        <f t="shared" si="71"/>
        <v>6274948.7352941185</v>
      </c>
      <c r="BF151" s="164">
        <f t="shared" si="71"/>
        <v>6274948.7352941185</v>
      </c>
      <c r="BG151" s="164">
        <f t="shared" si="71"/>
        <v>0</v>
      </c>
      <c r="BH151" s="164">
        <f t="shared" ref="BH151:BN151" si="72">BH152</f>
        <v>0</v>
      </c>
      <c r="BI151" s="164">
        <f t="shared" si="72"/>
        <v>3150701</v>
      </c>
      <c r="BJ151" s="164">
        <f t="shared" si="72"/>
        <v>0</v>
      </c>
      <c r="BK151" s="164">
        <f t="shared" si="72"/>
        <v>0</v>
      </c>
      <c r="BL151" s="164">
        <f t="shared" si="72"/>
        <v>3863668.2104031299</v>
      </c>
      <c r="BM151" s="164">
        <f t="shared" si="72"/>
        <v>0</v>
      </c>
      <c r="BN151" s="164">
        <f t="shared" si="72"/>
        <v>0</v>
      </c>
    </row>
    <row r="152" spans="1:66" s="91" customFormat="1" ht="12.75" hidden="1" customHeight="1" x14ac:dyDescent="0.2">
      <c r="A152" s="131" t="s">
        <v>1185</v>
      </c>
      <c r="B152" s="132" t="s">
        <v>42</v>
      </c>
      <c r="C152" s="132" t="s">
        <v>43</v>
      </c>
      <c r="D152" s="133" t="s">
        <v>567</v>
      </c>
      <c r="E152" s="22" t="s">
        <v>3</v>
      </c>
      <c r="F152" s="22" t="s">
        <v>11</v>
      </c>
      <c r="G152" s="22" t="s">
        <v>5</v>
      </c>
      <c r="H152" s="22" t="s">
        <v>3</v>
      </c>
      <c r="I152" s="22" t="s">
        <v>1022</v>
      </c>
      <c r="J152" s="134" t="s">
        <v>1026</v>
      </c>
      <c r="K152" s="133"/>
      <c r="L152" s="133" t="s">
        <v>1188</v>
      </c>
      <c r="M152" s="133" t="s">
        <v>11</v>
      </c>
      <c r="N152" s="133"/>
      <c r="O152" s="135"/>
      <c r="P152" s="135"/>
      <c r="Q152" s="135"/>
      <c r="R152" s="135"/>
      <c r="S152" s="136">
        <v>27900000</v>
      </c>
      <c r="T152" s="136">
        <v>1701767</v>
      </c>
      <c r="U152" s="137">
        <f>SUM(U153)</f>
        <v>0</v>
      </c>
      <c r="V152" s="137">
        <f>SUM(V153)</f>
        <v>0</v>
      </c>
      <c r="W152" s="137">
        <f>SUM(W153)</f>
        <v>91066.98</v>
      </c>
      <c r="X152" s="138">
        <f>U152+V152+W152</f>
        <v>91066.98</v>
      </c>
      <c r="Y152" s="137">
        <f t="shared" ref="Y152:AR152" si="73">SUM(Y153)</f>
        <v>0</v>
      </c>
      <c r="Z152" s="137">
        <f t="shared" si="73"/>
        <v>0</v>
      </c>
      <c r="AA152" s="137">
        <f t="shared" si="73"/>
        <v>354995.16</v>
      </c>
      <c r="AB152" s="137">
        <f t="shared" si="73"/>
        <v>276127.12</v>
      </c>
      <c r="AC152" s="137">
        <f t="shared" si="73"/>
        <v>0</v>
      </c>
      <c r="AD152" s="137">
        <f t="shared" si="73"/>
        <v>0</v>
      </c>
      <c r="AE152" s="137">
        <f t="shared" si="73"/>
        <v>467500</v>
      </c>
      <c r="AF152" s="137">
        <f t="shared" si="73"/>
        <v>0</v>
      </c>
      <c r="AG152" s="137">
        <f t="shared" si="73"/>
        <v>0</v>
      </c>
      <c r="AH152" s="137">
        <f t="shared" si="73"/>
        <v>1155235.21</v>
      </c>
      <c r="AI152" s="137">
        <f t="shared" si="73"/>
        <v>0</v>
      </c>
      <c r="AJ152" s="137">
        <f t="shared" si="73"/>
        <v>0</v>
      </c>
      <c r="AK152" s="137">
        <f t="shared" si="73"/>
        <v>2253857.4900000002</v>
      </c>
      <c r="AL152" s="137">
        <f t="shared" si="73"/>
        <v>5977563.9100000001</v>
      </c>
      <c r="AM152" s="137">
        <f t="shared" si="73"/>
        <v>3699801.83</v>
      </c>
      <c r="AN152" s="137">
        <f t="shared" si="73"/>
        <v>3588818.1399999997</v>
      </c>
      <c r="AO152" s="137">
        <f t="shared" si="73"/>
        <v>3483393.35</v>
      </c>
      <c r="AP152" s="137">
        <f t="shared" si="73"/>
        <v>3356274.15</v>
      </c>
      <c r="AQ152" s="137">
        <f t="shared" si="73"/>
        <v>3018267.49</v>
      </c>
      <c r="AR152" s="137">
        <f t="shared" si="73"/>
        <v>729189.16</v>
      </c>
      <c r="AS152" s="137">
        <f>U152+V152+W152+AK152+AL152+AM152+AN152+AO152+AP152+AQ152+AR152</f>
        <v>26198232.500000004</v>
      </c>
      <c r="AT152" s="137">
        <f>SUM(AT153)</f>
        <v>0</v>
      </c>
      <c r="AU152" s="139">
        <f t="shared" si="63"/>
        <v>26198232.500000004</v>
      </c>
      <c r="AV152" s="146">
        <f>IFERROR(VLOOKUP(J152,Maksājumu_pieprasījumu_iesn.!G:BL,57,0),0)</f>
        <v>0</v>
      </c>
      <c r="AW152" s="139">
        <f t="shared" si="64"/>
        <v>-26198232.500000004</v>
      </c>
      <c r="AX152" s="140">
        <f>S152-T152-AU152</f>
        <v>0.4999999962747097</v>
      </c>
      <c r="AY152" s="137"/>
      <c r="AZ152" s="137"/>
      <c r="BA152" s="138" t="s">
        <v>1189</v>
      </c>
      <c r="BB152" s="140"/>
      <c r="BC152" s="140">
        <f>X152+AK152+AL152/2</f>
        <v>5333706.4250000007</v>
      </c>
      <c r="BD152" s="140">
        <f>BC152*0.96</f>
        <v>5120358.1680000005</v>
      </c>
      <c r="BE152" s="140">
        <f>BC152/0.85</f>
        <v>6274948.7352941185</v>
      </c>
      <c r="BF152" s="137">
        <f>BE152-BB152</f>
        <v>6274948.7352941185</v>
      </c>
      <c r="BG152" s="137"/>
      <c r="BH152" s="138">
        <v>0</v>
      </c>
      <c r="BI152" s="138">
        <v>3150701</v>
      </c>
      <c r="BJ152" s="138"/>
      <c r="BK152" s="138"/>
      <c r="BL152" s="138">
        <v>3863668.2104031299</v>
      </c>
      <c r="BM152" s="138"/>
      <c r="BN152" s="138"/>
    </row>
    <row r="153" spans="1:66" ht="25.5" hidden="1" customHeight="1" x14ac:dyDescent="0.2">
      <c r="A153" s="158" t="s">
        <v>1185</v>
      </c>
      <c r="B153" s="20" t="s">
        <v>42</v>
      </c>
      <c r="C153" s="20" t="s">
        <v>43</v>
      </c>
      <c r="D153" s="21" t="s">
        <v>567</v>
      </c>
      <c r="E153" s="20" t="s">
        <v>3</v>
      </c>
      <c r="F153" s="20" t="s">
        <v>11</v>
      </c>
      <c r="G153" s="20" t="s">
        <v>5</v>
      </c>
      <c r="H153" s="20" t="s">
        <v>3</v>
      </c>
      <c r="I153" s="20"/>
      <c r="J153" s="20" t="s">
        <v>45</v>
      </c>
      <c r="K153" s="21" t="s">
        <v>17</v>
      </c>
      <c r="L153" s="21" t="s">
        <v>1188</v>
      </c>
      <c r="M153" s="21" t="s">
        <v>11</v>
      </c>
      <c r="N153" s="21" t="s">
        <v>44</v>
      </c>
      <c r="O153" s="159"/>
      <c r="P153" s="159"/>
      <c r="Q153" s="159"/>
      <c r="R153" s="159">
        <v>42648</v>
      </c>
      <c r="S153" s="147">
        <v>26198232.5</v>
      </c>
      <c r="T153" s="147"/>
      <c r="U153" s="153">
        <v>0</v>
      </c>
      <c r="V153" s="153">
        <v>0</v>
      </c>
      <c r="W153" s="153">
        <v>91066.98</v>
      </c>
      <c r="X153" s="153">
        <f>W153+V153+U153</f>
        <v>91066.98</v>
      </c>
      <c r="Y153" s="153">
        <v>0</v>
      </c>
      <c r="Z153" s="153">
        <v>0</v>
      </c>
      <c r="AA153" s="153">
        <v>354995.16</v>
      </c>
      <c r="AB153" s="153">
        <v>276127.12</v>
      </c>
      <c r="AC153" s="153">
        <v>0</v>
      </c>
      <c r="AD153" s="166">
        <v>0</v>
      </c>
      <c r="AE153" s="166">
        <v>467500</v>
      </c>
      <c r="AF153" s="153">
        <v>0</v>
      </c>
      <c r="AG153" s="153">
        <v>0</v>
      </c>
      <c r="AH153" s="153">
        <v>1155235.21</v>
      </c>
      <c r="AI153" s="153">
        <v>0</v>
      </c>
      <c r="AJ153" s="153">
        <v>0</v>
      </c>
      <c r="AK153" s="153">
        <f>SUM(Y153:AJ153)</f>
        <v>2253857.4900000002</v>
      </c>
      <c r="AL153" s="153">
        <v>5977563.9100000001</v>
      </c>
      <c r="AM153" s="153">
        <v>3699801.83</v>
      </c>
      <c r="AN153" s="153">
        <v>3588818.1399999997</v>
      </c>
      <c r="AO153" s="153">
        <v>3483393.35</v>
      </c>
      <c r="AP153" s="153">
        <v>3356274.15</v>
      </c>
      <c r="AQ153" s="153">
        <v>3018267.49</v>
      </c>
      <c r="AR153" s="153">
        <v>729189.16</v>
      </c>
      <c r="AS153" s="147">
        <f>U153+V153+W153+AK153+AL153+AM153+AN153+AO153+AP153+AQ153+AR153</f>
        <v>26198232.500000004</v>
      </c>
      <c r="AT153" s="147"/>
      <c r="AU153" s="146">
        <f t="shared" si="63"/>
        <v>26198232.500000004</v>
      </c>
      <c r="AV153" s="146">
        <f>IFERROR(VLOOKUP(J153,Maksājumu_pieprasījumu_iesn.!G:BL,57,0),0)</f>
        <v>0</v>
      </c>
      <c r="AW153" s="139">
        <f t="shared" si="64"/>
        <v>-26198232.500000004</v>
      </c>
      <c r="AX153" s="147"/>
      <c r="AY153" s="147"/>
      <c r="AZ153" s="147"/>
      <c r="BA153" s="165"/>
      <c r="BB153" s="147"/>
      <c r="BC153" s="147"/>
      <c r="BD153" s="147"/>
      <c r="BE153" s="147"/>
      <c r="BF153" s="147"/>
      <c r="BG153" s="147"/>
      <c r="BH153" s="149"/>
      <c r="BI153" s="149"/>
      <c r="BJ153" s="149"/>
      <c r="BK153" s="149"/>
      <c r="BL153" s="149"/>
      <c r="BM153" s="149"/>
      <c r="BN153" s="149"/>
    </row>
    <row r="154" spans="1:66" s="91" customFormat="1" ht="38.25" hidden="1" x14ac:dyDescent="0.2">
      <c r="A154" s="127" t="s">
        <v>1185</v>
      </c>
      <c r="B154" s="127" t="s">
        <v>46</v>
      </c>
      <c r="C154" s="127" t="s">
        <v>1023</v>
      </c>
      <c r="D154" s="128" t="s">
        <v>1190</v>
      </c>
      <c r="E154" s="127" t="s">
        <v>3</v>
      </c>
      <c r="F154" s="127" t="s">
        <v>11</v>
      </c>
      <c r="G154" s="127" t="s">
        <v>5</v>
      </c>
      <c r="H154" s="127" t="s">
        <v>3</v>
      </c>
      <c r="I154" s="127" t="s">
        <v>1022</v>
      </c>
      <c r="J154" s="127"/>
      <c r="K154" s="128"/>
      <c r="L154" s="128"/>
      <c r="M154" s="128"/>
      <c r="N154" s="128"/>
      <c r="O154" s="163"/>
      <c r="P154" s="163"/>
      <c r="Q154" s="163"/>
      <c r="R154" s="163"/>
      <c r="S154" s="164">
        <f t="shared" ref="S154:AT154" si="74">S155</f>
        <v>126000000</v>
      </c>
      <c r="T154" s="164">
        <f t="shared" si="74"/>
        <v>7560000</v>
      </c>
      <c r="U154" s="164">
        <f t="shared" si="74"/>
        <v>0</v>
      </c>
      <c r="V154" s="164">
        <f t="shared" si="74"/>
        <v>0</v>
      </c>
      <c r="W154" s="164">
        <f>W155</f>
        <v>1987272.4899999984</v>
      </c>
      <c r="X154" s="164">
        <f t="shared" si="74"/>
        <v>1987272.4899999984</v>
      </c>
      <c r="Y154" s="164">
        <f t="shared" si="74"/>
        <v>1501559.09</v>
      </c>
      <c r="Z154" s="164">
        <f t="shared" si="74"/>
        <v>0</v>
      </c>
      <c r="AA154" s="164">
        <f t="shared" si="74"/>
        <v>0</v>
      </c>
      <c r="AB154" s="164">
        <f t="shared" si="74"/>
        <v>3992857.16</v>
      </c>
      <c r="AC154" s="164">
        <f t="shared" si="74"/>
        <v>0</v>
      </c>
      <c r="AD154" s="164">
        <f t="shared" si="74"/>
        <v>0</v>
      </c>
      <c r="AE154" s="164">
        <f t="shared" si="74"/>
        <v>3992857.16</v>
      </c>
      <c r="AF154" s="164">
        <f t="shared" si="74"/>
        <v>0</v>
      </c>
      <c r="AG154" s="164">
        <f t="shared" si="74"/>
        <v>0</v>
      </c>
      <c r="AH154" s="164">
        <f t="shared" si="74"/>
        <v>3992857.16</v>
      </c>
      <c r="AI154" s="164">
        <f t="shared" si="74"/>
        <v>0</v>
      </c>
      <c r="AJ154" s="164">
        <f t="shared" si="74"/>
        <v>0</v>
      </c>
      <c r="AK154" s="164">
        <f t="shared" si="74"/>
        <v>13480130.57</v>
      </c>
      <c r="AL154" s="164">
        <f t="shared" si="74"/>
        <v>20906461.890000001</v>
      </c>
      <c r="AM154" s="164">
        <f t="shared" si="74"/>
        <v>22533376.979999997</v>
      </c>
      <c r="AN154" s="164">
        <f t="shared" si="74"/>
        <v>16659423.530000001</v>
      </c>
      <c r="AO154" s="164">
        <f t="shared" si="74"/>
        <v>13537217.08</v>
      </c>
      <c r="AP154" s="164">
        <f t="shared" si="74"/>
        <v>11600459.26</v>
      </c>
      <c r="AQ154" s="164">
        <f t="shared" si="74"/>
        <v>13994522.060000001</v>
      </c>
      <c r="AR154" s="164">
        <f t="shared" si="74"/>
        <v>3741136.13</v>
      </c>
      <c r="AS154" s="164">
        <f t="shared" si="74"/>
        <v>118439999.99000001</v>
      </c>
      <c r="AT154" s="164">
        <f t="shared" si="74"/>
        <v>0</v>
      </c>
      <c r="AU154" s="183">
        <f t="shared" si="63"/>
        <v>118439999.99000001</v>
      </c>
      <c r="AV154" s="146">
        <f>IFERROR(VLOOKUP(J154,Maksājumu_pieprasījumu_iesn.!G:BL,57,0),0)</f>
        <v>0</v>
      </c>
      <c r="AW154" s="139">
        <f t="shared" si="64"/>
        <v>-118439999.99000001</v>
      </c>
      <c r="AX154" s="164">
        <f t="shared" ref="AX154:BI154" si="75">AX155</f>
        <v>0</v>
      </c>
      <c r="AY154" s="164">
        <f t="shared" si="75"/>
        <v>0</v>
      </c>
      <c r="AZ154" s="164"/>
      <c r="BA154" s="129" t="str">
        <f t="shared" si="75"/>
        <v xml:space="preserve">Viens projekts- līgums par visiem FI pasākumiem - 3.1.1.1., 3.1.1.2., 3.1.1.3., 3.1.1.4., 3.1.2.1., 3.1.2.2. </v>
      </c>
      <c r="BB154" s="164">
        <f t="shared" si="75"/>
        <v>0</v>
      </c>
      <c r="BC154" s="164">
        <f>BC155</f>
        <v>59220000</v>
      </c>
      <c r="BD154" s="164">
        <f>BD155</f>
        <v>56851200</v>
      </c>
      <c r="BE154" s="164">
        <f>BE155</f>
        <v>69670588.235294119</v>
      </c>
      <c r="BF154" s="164">
        <f>BF155</f>
        <v>69670588.235294119</v>
      </c>
      <c r="BG154" s="164">
        <f t="shared" si="75"/>
        <v>0</v>
      </c>
      <c r="BH154" s="164">
        <f t="shared" si="75"/>
        <v>0</v>
      </c>
      <c r="BI154" s="164">
        <f t="shared" si="75"/>
        <v>0</v>
      </c>
      <c r="BJ154" s="129">
        <f>AK154*0.96</f>
        <v>12940925.347200001</v>
      </c>
      <c r="BK154" s="129">
        <f>BJ154-BI154</f>
        <v>12940925.347200001</v>
      </c>
      <c r="BL154" s="129">
        <f>BL155</f>
        <v>29610000</v>
      </c>
      <c r="BM154" s="129">
        <f>AL154*0.96</f>
        <v>20070203.4144</v>
      </c>
      <c r="BN154" s="129">
        <f>BM154-BL154</f>
        <v>-9539796.5855999999</v>
      </c>
    </row>
    <row r="155" spans="1:66" s="161" customFormat="1" ht="76.5" hidden="1" customHeight="1" x14ac:dyDescent="0.2">
      <c r="A155" s="158" t="s">
        <v>1185</v>
      </c>
      <c r="B155" s="20" t="s">
        <v>46</v>
      </c>
      <c r="C155" s="21" t="s">
        <v>660</v>
      </c>
      <c r="D155" s="21" t="s">
        <v>47</v>
      </c>
      <c r="E155" s="20" t="s">
        <v>3</v>
      </c>
      <c r="F155" s="20" t="s">
        <v>11</v>
      </c>
      <c r="G155" s="20" t="s">
        <v>5</v>
      </c>
      <c r="H155" s="20" t="s">
        <v>3</v>
      </c>
      <c r="I155" s="20"/>
      <c r="J155" s="21" t="s">
        <v>48</v>
      </c>
      <c r="K155" s="21" t="s">
        <v>49</v>
      </c>
      <c r="L155" s="21"/>
      <c r="M155" s="21"/>
      <c r="N155" s="21" t="s">
        <v>50</v>
      </c>
      <c r="O155" s="159"/>
      <c r="P155" s="159"/>
      <c r="Q155" s="159"/>
      <c r="R155" s="159">
        <v>42529</v>
      </c>
      <c r="S155" s="144">
        <v>126000000</v>
      </c>
      <c r="T155" s="147">
        <v>7560000</v>
      </c>
      <c r="U155" s="153">
        <v>0</v>
      </c>
      <c r="V155" s="153">
        <v>0</v>
      </c>
      <c r="W155" s="153">
        <v>1987272.4899999984</v>
      </c>
      <c r="X155" s="145">
        <f>W155+V155+U155</f>
        <v>1987272.4899999984</v>
      </c>
      <c r="Y155" s="193">
        <v>1501559.09</v>
      </c>
      <c r="Z155" s="153">
        <v>0</v>
      </c>
      <c r="AA155" s="153"/>
      <c r="AB155" s="153">
        <v>3992857.16</v>
      </c>
      <c r="AC155" s="153">
        <v>0</v>
      </c>
      <c r="AD155" s="166">
        <v>0</v>
      </c>
      <c r="AE155" s="166">
        <v>3992857.16</v>
      </c>
      <c r="AF155" s="153">
        <v>0</v>
      </c>
      <c r="AG155" s="153">
        <v>0</v>
      </c>
      <c r="AH155" s="153">
        <v>3992857.16</v>
      </c>
      <c r="AI155" s="153">
        <v>0</v>
      </c>
      <c r="AJ155" s="153">
        <v>0</v>
      </c>
      <c r="AK155" s="153">
        <f>SUM(Y155:AJ155)</f>
        <v>13480130.57</v>
      </c>
      <c r="AL155" s="153">
        <v>20906461.890000001</v>
      </c>
      <c r="AM155" s="153">
        <v>22533376.979999997</v>
      </c>
      <c r="AN155" s="153">
        <v>16659423.530000001</v>
      </c>
      <c r="AO155" s="153">
        <v>13537217.08</v>
      </c>
      <c r="AP155" s="153">
        <v>11600459.26</v>
      </c>
      <c r="AQ155" s="153">
        <v>13994522.060000001</v>
      </c>
      <c r="AR155" s="153">
        <v>3741136.13</v>
      </c>
      <c r="AS155" s="147">
        <f>U155+V155+W155+AK155+AL155+AM155+AN155+AO155+AP155+AQ155+AR155</f>
        <v>118439999.99000001</v>
      </c>
      <c r="AT155" s="147"/>
      <c r="AU155" s="146">
        <f t="shared" si="63"/>
        <v>118439999.99000001</v>
      </c>
      <c r="AV155" s="146" t="str">
        <f>IFERROR(VLOOKUP(J155,Maksājumu_pieprasījumu_iesn.!G:BL,57,0),0)</f>
        <v>Š.g. augustā ALTUM ir iesniedzis samazinātu prognozi 2017.gadam. ALTUM  kavējumus skaidro, galvenokārt, jo Biznesa enģeļu ko-investīciju fonda programma tika atcelta un to neīstenos, Mikrokreditēšanas tirgū aktīvi darbojas arī banku sektors, līdz ar to pieprasījums pēc pakalpojuma nav tik liels kā sākotnēji plānots. Papildus informācija, ka kavējas arī akcelerācijas un riska kapitāla fondu iepirkumu process. Pārējos finanšu instrumentos vērojam laba izpilde pret sākotnēji plānotajiem apjomiem.</v>
      </c>
      <c r="AW155" s="139" t="e">
        <f t="shared" si="64"/>
        <v>#VALUE!</v>
      </c>
      <c r="AX155" s="146">
        <v>0</v>
      </c>
      <c r="AY155" s="146"/>
      <c r="AZ155" s="146"/>
      <c r="BA155" s="149" t="s">
        <v>1191</v>
      </c>
      <c r="BB155" s="147"/>
      <c r="BC155" s="194">
        <v>59220000</v>
      </c>
      <c r="BD155" s="194">
        <f>BC155*0.96</f>
        <v>56851200</v>
      </c>
      <c r="BE155" s="147">
        <f>BC155/0.85</f>
        <v>69670588.235294119</v>
      </c>
      <c r="BF155" s="147">
        <f>BE155-BB155</f>
        <v>69670588.235294119</v>
      </c>
      <c r="BG155" s="147"/>
      <c r="BH155" s="149">
        <v>0</v>
      </c>
      <c r="BI155" s="149">
        <v>0</v>
      </c>
      <c r="BJ155" s="149">
        <f>AK155*0.96</f>
        <v>12940925.347200001</v>
      </c>
      <c r="BK155" s="149"/>
      <c r="BL155" s="149">
        <v>29610000</v>
      </c>
      <c r="BM155" s="149"/>
      <c r="BN155" s="149"/>
    </row>
    <row r="156" spans="1:66" s="161" customFormat="1" ht="76.5" hidden="1" customHeight="1" x14ac:dyDescent="0.2">
      <c r="A156" s="158" t="s">
        <v>1185</v>
      </c>
      <c r="B156" s="20" t="s">
        <v>46</v>
      </c>
      <c r="C156" s="21" t="s">
        <v>660</v>
      </c>
      <c r="D156" s="21" t="s">
        <v>47</v>
      </c>
      <c r="E156" s="20" t="s">
        <v>3</v>
      </c>
      <c r="F156" s="20" t="s">
        <v>11</v>
      </c>
      <c r="G156" s="20" t="s">
        <v>5</v>
      </c>
      <c r="H156" s="20" t="s">
        <v>3</v>
      </c>
      <c r="I156" s="20"/>
      <c r="J156" s="21" t="s">
        <v>48</v>
      </c>
      <c r="K156" s="21" t="s">
        <v>49</v>
      </c>
      <c r="L156" s="21"/>
      <c r="M156" s="21"/>
      <c r="N156" s="21" t="s">
        <v>1192</v>
      </c>
      <c r="O156" s="159" t="s">
        <v>880</v>
      </c>
      <c r="P156" s="159"/>
      <c r="Q156" s="159"/>
      <c r="R156" s="159"/>
      <c r="S156" s="144"/>
      <c r="T156" s="147"/>
      <c r="U156" s="153"/>
      <c r="V156" s="153"/>
      <c r="W156" s="153">
        <v>29610000</v>
      </c>
      <c r="X156" s="145"/>
      <c r="Y156" s="195"/>
      <c r="Z156" s="153"/>
      <c r="AA156" s="153"/>
      <c r="AB156" s="153"/>
      <c r="AC156" s="153"/>
      <c r="AD156" s="153"/>
      <c r="AE156" s="153"/>
      <c r="AF156" s="153"/>
      <c r="AG156" s="153"/>
      <c r="AH156" s="153"/>
      <c r="AI156" s="153"/>
      <c r="AJ156" s="153"/>
      <c r="AK156" s="153"/>
      <c r="AL156" s="153">
        <v>29610000</v>
      </c>
      <c r="AM156" s="153">
        <v>29610000</v>
      </c>
      <c r="AN156" s="153">
        <v>29610000</v>
      </c>
      <c r="AO156" s="153"/>
      <c r="AP156" s="153"/>
      <c r="AQ156" s="153"/>
      <c r="AR156" s="153"/>
      <c r="AS156" s="147"/>
      <c r="AT156" s="147">
        <f>SUM(U156:AS156)</f>
        <v>118440000</v>
      </c>
      <c r="AU156" s="146"/>
      <c r="AV156" s="146" t="str">
        <f>IFERROR(VLOOKUP(J156,Maksājumu_pieprasījumu_iesn.!G:BL,57,0),0)</f>
        <v>Š.g. augustā ALTUM ir iesniedzis samazinātu prognozi 2017.gadam. ALTUM  kavējumus skaidro, galvenokārt, jo Biznesa enģeļu ko-investīciju fonda programma tika atcelta un to neīstenos, Mikrokreditēšanas tirgū aktīvi darbojas arī banku sektors, līdz ar to pieprasījums pēc pakalpojuma nav tik liels kā sākotnēji plānots. Papildus informācija, ka kavējas arī akcelerācijas un riska kapitāla fondu iepirkumu process. Pārējos finanšu instrumentos vērojam laba izpilde pret sākotnēji plānotajiem apjomiem.</v>
      </c>
      <c r="AW156" s="139" t="e">
        <f t="shared" si="64"/>
        <v>#VALUE!</v>
      </c>
      <c r="AX156" s="146"/>
      <c r="AY156" s="146"/>
      <c r="AZ156" s="146"/>
      <c r="BA156" s="149"/>
      <c r="BB156" s="147"/>
      <c r="BC156" s="194"/>
      <c r="BD156" s="194"/>
      <c r="BE156" s="147"/>
      <c r="BF156" s="147"/>
      <c r="BG156" s="147"/>
      <c r="BH156" s="149"/>
      <c r="BI156" s="149"/>
      <c r="BJ156" s="149"/>
      <c r="BK156" s="149"/>
      <c r="BL156" s="149"/>
      <c r="BM156" s="149"/>
      <c r="BN156" s="149"/>
    </row>
    <row r="157" spans="1:66" s="91" customFormat="1" ht="38.25" hidden="1" x14ac:dyDescent="0.2">
      <c r="A157" s="127" t="s">
        <v>1185</v>
      </c>
      <c r="B157" s="127" t="s">
        <v>51</v>
      </c>
      <c r="C157" s="127" t="s">
        <v>1023</v>
      </c>
      <c r="D157" s="128" t="s">
        <v>1193</v>
      </c>
      <c r="E157" s="127"/>
      <c r="F157" s="127"/>
      <c r="G157" s="127" t="s">
        <v>5</v>
      </c>
      <c r="H157" s="127"/>
      <c r="I157" s="127"/>
      <c r="J157" s="127"/>
      <c r="K157" s="128"/>
      <c r="L157" s="128"/>
      <c r="M157" s="128"/>
      <c r="N157" s="128"/>
      <c r="O157" s="163"/>
      <c r="P157" s="163"/>
      <c r="Q157" s="163"/>
      <c r="R157" s="163"/>
      <c r="S157" s="164">
        <f>S158</f>
        <v>51802900</v>
      </c>
      <c r="T157" s="164">
        <f t="shared" ref="T157:AT157" si="76">T158</f>
        <v>3159821</v>
      </c>
      <c r="U157" s="164">
        <f t="shared" si="76"/>
        <v>0</v>
      </c>
      <c r="V157" s="164">
        <f t="shared" si="76"/>
        <v>0</v>
      </c>
      <c r="W157" s="164">
        <f t="shared" si="76"/>
        <v>6529139.3399999999</v>
      </c>
      <c r="X157" s="164">
        <f t="shared" si="76"/>
        <v>6529139.3399999999</v>
      </c>
      <c r="Y157" s="164">
        <f t="shared" si="76"/>
        <v>0</v>
      </c>
      <c r="Z157" s="164">
        <f t="shared" si="76"/>
        <v>2931476.94</v>
      </c>
      <c r="AA157" s="164">
        <f t="shared" si="76"/>
        <v>0</v>
      </c>
      <c r="AB157" s="164">
        <f t="shared" si="76"/>
        <v>0</v>
      </c>
      <c r="AC157" s="164">
        <f t="shared" si="76"/>
        <v>1870377.85</v>
      </c>
      <c r="AD157" s="164">
        <f t="shared" si="76"/>
        <v>0</v>
      </c>
      <c r="AE157" s="164">
        <f t="shared" si="76"/>
        <v>0</v>
      </c>
      <c r="AF157" s="164">
        <f t="shared" si="76"/>
        <v>1775970.33</v>
      </c>
      <c r="AG157" s="164">
        <f t="shared" si="76"/>
        <v>0</v>
      </c>
      <c r="AH157" s="164">
        <f t="shared" si="76"/>
        <v>0</v>
      </c>
      <c r="AI157" s="164">
        <f t="shared" si="76"/>
        <v>1978320.94</v>
      </c>
      <c r="AJ157" s="164">
        <f t="shared" si="76"/>
        <v>0</v>
      </c>
      <c r="AK157" s="164">
        <f>AK158</f>
        <v>8556146.0599999987</v>
      </c>
      <c r="AL157" s="164">
        <f t="shared" si="76"/>
        <v>7913283.7599999998</v>
      </c>
      <c r="AM157" s="164">
        <f t="shared" si="76"/>
        <v>7913283.7599999998</v>
      </c>
      <c r="AN157" s="164">
        <f t="shared" si="76"/>
        <v>7913283.7599999998</v>
      </c>
      <c r="AO157" s="164">
        <f t="shared" si="76"/>
        <v>3796275.49</v>
      </c>
      <c r="AP157" s="164">
        <f t="shared" si="76"/>
        <v>2423939.42</v>
      </c>
      <c r="AQ157" s="164">
        <f t="shared" si="76"/>
        <v>2423939.42</v>
      </c>
      <c r="AR157" s="164">
        <f t="shared" si="76"/>
        <v>1173787.99</v>
      </c>
      <c r="AS157" s="164">
        <f>AS158</f>
        <v>48643079</v>
      </c>
      <c r="AT157" s="164">
        <f t="shared" si="76"/>
        <v>0</v>
      </c>
      <c r="AU157" s="164">
        <f>AU158</f>
        <v>48643079</v>
      </c>
      <c r="AV157" s="146">
        <f>IFERROR(VLOOKUP(J157,Maksājumu_pieprasījumu_iesn.!G:BL,57,0),0)</f>
        <v>0</v>
      </c>
      <c r="AW157" s="139">
        <f t="shared" si="64"/>
        <v>-48643079</v>
      </c>
      <c r="AX157" s="164">
        <f>AX158</f>
        <v>0</v>
      </c>
      <c r="AY157" s="164"/>
      <c r="AZ157" s="164"/>
      <c r="BA157" s="164"/>
      <c r="BB157" s="164">
        <f>BB158</f>
        <v>0</v>
      </c>
      <c r="BC157" s="164">
        <f>BC158</f>
        <v>19041927.279999997</v>
      </c>
      <c r="BD157" s="164">
        <f t="shared" ref="BD157:BN157" si="77">BD158</f>
        <v>0</v>
      </c>
      <c r="BE157" s="164">
        <f>BE158</f>
        <v>22402267.388235293</v>
      </c>
      <c r="BF157" s="164">
        <f t="shared" si="77"/>
        <v>0</v>
      </c>
      <c r="BG157" s="164">
        <f t="shared" si="77"/>
        <v>0</v>
      </c>
      <c r="BH157" s="164">
        <f t="shared" si="77"/>
        <v>4203846.46</v>
      </c>
      <c r="BI157" s="164">
        <f t="shared" si="77"/>
        <v>6756454.0864979699</v>
      </c>
      <c r="BJ157" s="164">
        <f t="shared" si="77"/>
        <v>0</v>
      </c>
      <c r="BK157" s="164">
        <f t="shared" si="77"/>
        <v>0</v>
      </c>
      <c r="BL157" s="164">
        <f t="shared" si="77"/>
        <v>7599658.3831251701</v>
      </c>
      <c r="BM157" s="164">
        <f t="shared" si="77"/>
        <v>0</v>
      </c>
      <c r="BN157" s="164">
        <f t="shared" si="77"/>
        <v>0</v>
      </c>
    </row>
    <row r="158" spans="1:66" s="91" customFormat="1" ht="25.5" hidden="1" customHeight="1" x14ac:dyDescent="0.2">
      <c r="A158" s="131" t="s">
        <v>1185</v>
      </c>
      <c r="B158" s="132" t="s">
        <v>51</v>
      </c>
      <c r="C158" s="132" t="s">
        <v>52</v>
      </c>
      <c r="D158" s="133" t="s">
        <v>568</v>
      </c>
      <c r="E158" s="22" t="s">
        <v>3</v>
      </c>
      <c r="F158" s="22" t="s">
        <v>11</v>
      </c>
      <c r="G158" s="22" t="s">
        <v>5</v>
      </c>
      <c r="H158" s="22" t="s">
        <v>3</v>
      </c>
      <c r="I158" s="22" t="s">
        <v>1022</v>
      </c>
      <c r="J158" s="134" t="s">
        <v>1026</v>
      </c>
      <c r="K158" s="133"/>
      <c r="L158" s="133"/>
      <c r="M158" s="133"/>
      <c r="N158" s="133"/>
      <c r="O158" s="135"/>
      <c r="P158" s="135"/>
      <c r="Q158" s="135"/>
      <c r="R158" s="135"/>
      <c r="S158" s="136">
        <v>51802900</v>
      </c>
      <c r="T158" s="136">
        <v>3159821</v>
      </c>
      <c r="U158" s="137">
        <f>SUM(U159:U160)</f>
        <v>0</v>
      </c>
      <c r="V158" s="137">
        <f>SUM(V159:V160)</f>
        <v>0</v>
      </c>
      <c r="W158" s="137">
        <f>SUM(W159:W160)</f>
        <v>6529139.3399999999</v>
      </c>
      <c r="X158" s="138">
        <f>U158+V158+W158</f>
        <v>6529139.3399999999</v>
      </c>
      <c r="Y158" s="137">
        <f t="shared" ref="Y158:AR158" si="78">SUM(Y159:Y160)</f>
        <v>0</v>
      </c>
      <c r="Z158" s="137">
        <f t="shared" si="78"/>
        <v>2931476.94</v>
      </c>
      <c r="AA158" s="137">
        <f t="shared" si="78"/>
        <v>0</v>
      </c>
      <c r="AB158" s="137">
        <f t="shared" si="78"/>
        <v>0</v>
      </c>
      <c r="AC158" s="137">
        <f t="shared" si="78"/>
        <v>1870377.85</v>
      </c>
      <c r="AD158" s="137">
        <f t="shared" si="78"/>
        <v>0</v>
      </c>
      <c r="AE158" s="137">
        <f t="shared" si="78"/>
        <v>0</v>
      </c>
      <c r="AF158" s="137">
        <f t="shared" si="78"/>
        <v>1775970.33</v>
      </c>
      <c r="AG158" s="137">
        <f t="shared" si="78"/>
        <v>0</v>
      </c>
      <c r="AH158" s="137">
        <f t="shared" si="78"/>
        <v>0</v>
      </c>
      <c r="AI158" s="137">
        <f t="shared" si="78"/>
        <v>1978320.94</v>
      </c>
      <c r="AJ158" s="137">
        <f t="shared" si="78"/>
        <v>0</v>
      </c>
      <c r="AK158" s="137">
        <f>SUM(AK159:AK160)</f>
        <v>8556146.0599999987</v>
      </c>
      <c r="AL158" s="137">
        <f t="shared" si="78"/>
        <v>7913283.7599999998</v>
      </c>
      <c r="AM158" s="137">
        <f t="shared" si="78"/>
        <v>7913283.7599999998</v>
      </c>
      <c r="AN158" s="137">
        <f t="shared" si="78"/>
        <v>7913283.7599999998</v>
      </c>
      <c r="AO158" s="137">
        <f t="shared" si="78"/>
        <v>3796275.49</v>
      </c>
      <c r="AP158" s="137">
        <f t="shared" si="78"/>
        <v>2423939.42</v>
      </c>
      <c r="AQ158" s="137">
        <f t="shared" si="78"/>
        <v>2423939.42</v>
      </c>
      <c r="AR158" s="137">
        <f t="shared" si="78"/>
        <v>1173787.99</v>
      </c>
      <c r="AS158" s="137">
        <f>U158+V158+W158+AK158+AL158+AM158+AN158+AO158+AP158+AQ158+AR158</f>
        <v>48643079</v>
      </c>
      <c r="AT158" s="137">
        <f>SUM(AT159:AT160)</f>
        <v>0</v>
      </c>
      <c r="AU158" s="139">
        <f>AS158-AT158</f>
        <v>48643079</v>
      </c>
      <c r="AV158" s="146">
        <f>IFERROR(VLOOKUP(J158,Maksājumu_pieprasījumu_iesn.!G:BL,57,0),0)</f>
        <v>0</v>
      </c>
      <c r="AW158" s="139">
        <f t="shared" si="64"/>
        <v>-48643079</v>
      </c>
      <c r="AX158" s="140">
        <f>S158-T158-AU158</f>
        <v>0</v>
      </c>
      <c r="AY158" s="137"/>
      <c r="AZ158" s="137"/>
      <c r="BA158" s="138"/>
      <c r="BB158" s="140"/>
      <c r="BC158" s="140">
        <f>X158+AK158+AL158/2</f>
        <v>19041927.279999997</v>
      </c>
      <c r="BD158" s="140"/>
      <c r="BE158" s="140">
        <f>BC158/0.85</f>
        <v>22402267.388235293</v>
      </c>
      <c r="BF158" s="137"/>
      <c r="BG158" s="137"/>
      <c r="BH158" s="138">
        <v>4203846.46</v>
      </c>
      <c r="BI158" s="138">
        <v>6756454.0864979699</v>
      </c>
      <c r="BJ158" s="138"/>
      <c r="BK158" s="138"/>
      <c r="BL158" s="138">
        <v>7599658.3831251701</v>
      </c>
      <c r="BM158" s="138"/>
      <c r="BN158" s="138"/>
    </row>
    <row r="159" spans="1:66" s="161" customFormat="1" ht="25.5" hidden="1" customHeight="1" x14ac:dyDescent="0.2">
      <c r="A159" s="158" t="s">
        <v>1185</v>
      </c>
      <c r="B159" s="20" t="s">
        <v>51</v>
      </c>
      <c r="C159" s="20" t="s">
        <v>52</v>
      </c>
      <c r="D159" s="21" t="s">
        <v>568</v>
      </c>
      <c r="E159" s="20" t="s">
        <v>3</v>
      </c>
      <c r="F159" s="20" t="s">
        <v>11</v>
      </c>
      <c r="G159" s="20" t="s">
        <v>5</v>
      </c>
      <c r="H159" s="20" t="s">
        <v>3</v>
      </c>
      <c r="I159" s="20"/>
      <c r="J159" s="20" t="s">
        <v>53</v>
      </c>
      <c r="K159" s="21" t="s">
        <v>25</v>
      </c>
      <c r="L159" s="21" t="s">
        <v>1188</v>
      </c>
      <c r="M159" s="21" t="s">
        <v>11</v>
      </c>
      <c r="N159" s="21" t="s">
        <v>54</v>
      </c>
      <c r="O159" s="159"/>
      <c r="P159" s="159"/>
      <c r="Q159" s="159"/>
      <c r="R159" s="159">
        <v>42443</v>
      </c>
      <c r="S159" s="144">
        <v>30828458</v>
      </c>
      <c r="T159" s="147"/>
      <c r="U159" s="153">
        <v>0</v>
      </c>
      <c r="V159" s="153">
        <v>0</v>
      </c>
      <c r="W159" s="153">
        <v>3337947.05</v>
      </c>
      <c r="X159" s="145">
        <f>W159+V159+U159</f>
        <v>3337947.05</v>
      </c>
      <c r="Y159" s="153">
        <v>0</v>
      </c>
      <c r="Z159" s="153">
        <v>2581749.15</v>
      </c>
      <c r="AA159" s="153">
        <v>0</v>
      </c>
      <c r="AB159" s="153">
        <v>0</v>
      </c>
      <c r="AC159" s="153">
        <v>1294407.53</v>
      </c>
      <c r="AD159" s="153">
        <v>0</v>
      </c>
      <c r="AE159" s="153">
        <v>0</v>
      </c>
      <c r="AF159" s="420">
        <v>1200000</v>
      </c>
      <c r="AG159" s="153">
        <v>0</v>
      </c>
      <c r="AH159" s="153">
        <v>0</v>
      </c>
      <c r="AI159" s="153">
        <v>1402350.62</v>
      </c>
      <c r="AJ159" s="153">
        <v>0</v>
      </c>
      <c r="AK159" s="153">
        <f>SUM(Y159:AJ159)</f>
        <v>6478507.2999999998</v>
      </c>
      <c r="AL159" s="153">
        <v>5609402.4800000004</v>
      </c>
      <c r="AM159" s="153">
        <v>5609402.4800000004</v>
      </c>
      <c r="AN159" s="153">
        <v>5609402.4800000004</v>
      </c>
      <c r="AO159" s="153">
        <v>2097712.0100000002</v>
      </c>
      <c r="AP159" s="153">
        <v>927148.53</v>
      </c>
      <c r="AQ159" s="153">
        <v>927148.53</v>
      </c>
      <c r="AR159" s="153">
        <v>231787.14</v>
      </c>
      <c r="AS159" s="147">
        <f>U159+V159+W159+AK159+AL159+AM159+AN159+AO159+AP159+AQ159+AR159</f>
        <v>30828458.000000007</v>
      </c>
      <c r="AT159" s="147"/>
      <c r="AU159" s="146">
        <f>AS159-AT159</f>
        <v>30828458.000000007</v>
      </c>
      <c r="AV159" s="146">
        <f>IFERROR(VLOOKUP(J159,Maksājumu_pieprasījumu_iesn.!G:BL,57,0),0)</f>
        <v>0</v>
      </c>
      <c r="AW159" s="139">
        <f t="shared" si="64"/>
        <v>-30828458.000000007</v>
      </c>
      <c r="AX159" s="147"/>
      <c r="AY159" s="147"/>
      <c r="AZ159" s="147"/>
      <c r="BA159" s="165"/>
      <c r="BB159" s="147"/>
      <c r="BC159" s="147"/>
      <c r="BD159" s="147"/>
      <c r="BE159" s="147"/>
      <c r="BF159" s="147"/>
      <c r="BG159" s="147"/>
      <c r="BH159" s="149"/>
      <c r="BI159" s="149"/>
      <c r="BJ159" s="149"/>
      <c r="BK159" s="149"/>
      <c r="BL159" s="149"/>
      <c r="BM159" s="149"/>
      <c r="BN159" s="149"/>
    </row>
    <row r="160" spans="1:66" s="161" customFormat="1" ht="25.5" hidden="1" customHeight="1" x14ac:dyDescent="0.2">
      <c r="A160" s="158" t="s">
        <v>1185</v>
      </c>
      <c r="B160" s="20" t="s">
        <v>51</v>
      </c>
      <c r="C160" s="20" t="s">
        <v>52</v>
      </c>
      <c r="D160" s="21" t="s">
        <v>568</v>
      </c>
      <c r="E160" s="20" t="s">
        <v>3</v>
      </c>
      <c r="F160" s="20" t="s">
        <v>11</v>
      </c>
      <c r="G160" s="20" t="s">
        <v>5</v>
      </c>
      <c r="H160" s="20" t="s">
        <v>3</v>
      </c>
      <c r="I160" s="20"/>
      <c r="J160" s="20" t="s">
        <v>55</v>
      </c>
      <c r="K160" s="21" t="s">
        <v>25</v>
      </c>
      <c r="L160" s="21" t="s">
        <v>1188</v>
      </c>
      <c r="M160" s="21" t="s">
        <v>11</v>
      </c>
      <c r="N160" s="21" t="s">
        <v>56</v>
      </c>
      <c r="O160" s="159"/>
      <c r="P160" s="159"/>
      <c r="Q160" s="159"/>
      <c r="R160" s="159">
        <v>42486</v>
      </c>
      <c r="S160" s="144">
        <v>17814621</v>
      </c>
      <c r="T160" s="147"/>
      <c r="U160" s="153">
        <v>0</v>
      </c>
      <c r="V160" s="153">
        <v>0</v>
      </c>
      <c r="W160" s="153">
        <f>3175097.75+16094.54</f>
        <v>3191192.29</v>
      </c>
      <c r="X160" s="145">
        <f>W160+V160+U160</f>
        <v>3191192.29</v>
      </c>
      <c r="Y160" s="153">
        <v>0</v>
      </c>
      <c r="Z160" s="153">
        <v>349727.79</v>
      </c>
      <c r="AA160" s="153">
        <v>0</v>
      </c>
      <c r="AB160" s="153">
        <v>0</v>
      </c>
      <c r="AC160" s="153">
        <v>575970.31999999995</v>
      </c>
      <c r="AD160" s="153">
        <v>0</v>
      </c>
      <c r="AE160" s="153">
        <v>0</v>
      </c>
      <c r="AF160" s="420">
        <v>575970.32999999996</v>
      </c>
      <c r="AG160" s="153">
        <v>0</v>
      </c>
      <c r="AH160" s="153">
        <v>0</v>
      </c>
      <c r="AI160" s="153">
        <v>575970.31999999995</v>
      </c>
      <c r="AJ160" s="153">
        <v>0</v>
      </c>
      <c r="AK160" s="153">
        <f>SUM(Y160:AJ160)</f>
        <v>2077638.7599999998</v>
      </c>
      <c r="AL160" s="153">
        <v>2303881.2799999998</v>
      </c>
      <c r="AM160" s="153">
        <v>2303881.2799999998</v>
      </c>
      <c r="AN160" s="153">
        <v>2303881.2799999998</v>
      </c>
      <c r="AO160" s="153">
        <v>1698563.48</v>
      </c>
      <c r="AP160" s="153">
        <v>1496790.89</v>
      </c>
      <c r="AQ160" s="153">
        <v>1496790.89</v>
      </c>
      <c r="AR160" s="153">
        <v>942000.85</v>
      </c>
      <c r="AS160" s="147">
        <f>U160+V160+W160+AK160+AL160+AM160+AN160+AO160+AP160+AQ160+AR160</f>
        <v>17814621</v>
      </c>
      <c r="AT160" s="147"/>
      <c r="AU160" s="146">
        <f>AS160-AT160</f>
        <v>17814621</v>
      </c>
      <c r="AV160" s="146" t="str">
        <f>IFERROR(VLOOKUP(J160,Maksājumu_pieprasījumu_iesn.!G:BL,57,0),0)</f>
        <v xml:space="preserve">Projektā plānotās reklāmas aktivitātes daļēji pārceltas uz vēlāku laiku, sākotnējais plāns noteikts pārāk optimistisks, LIAA sadarbībā ar EM plāno pasākumus uzlabojumiem. </v>
      </c>
      <c r="AW160" s="139" t="e">
        <f t="shared" si="64"/>
        <v>#VALUE!</v>
      </c>
      <c r="AX160" s="147"/>
      <c r="AY160" s="147"/>
      <c r="AZ160" s="147"/>
      <c r="BA160" s="165"/>
      <c r="BB160" s="147"/>
      <c r="BC160" s="147"/>
      <c r="BD160" s="147"/>
      <c r="BE160" s="147"/>
      <c r="BF160" s="147"/>
      <c r="BG160" s="147"/>
      <c r="BH160" s="149"/>
      <c r="BI160" s="149"/>
      <c r="BJ160" s="149"/>
      <c r="BK160" s="149"/>
      <c r="BL160" s="149"/>
      <c r="BM160" s="149"/>
      <c r="BN160" s="149"/>
    </row>
    <row r="161" spans="1:66" s="91" customFormat="1" ht="25.5" hidden="1" x14ac:dyDescent="0.2">
      <c r="A161" s="127" t="s">
        <v>1185</v>
      </c>
      <c r="B161" s="127" t="s">
        <v>57</v>
      </c>
      <c r="C161" s="127" t="s">
        <v>1023</v>
      </c>
      <c r="D161" s="128" t="s">
        <v>569</v>
      </c>
      <c r="E161" s="127"/>
      <c r="F161" s="127"/>
      <c r="G161" s="127" t="s">
        <v>5</v>
      </c>
      <c r="H161" s="127"/>
      <c r="I161" s="127"/>
      <c r="J161" s="127"/>
      <c r="K161" s="128"/>
      <c r="L161" s="128"/>
      <c r="M161" s="128"/>
      <c r="N161" s="128"/>
      <c r="O161" s="163"/>
      <c r="P161" s="163"/>
      <c r="Q161" s="163"/>
      <c r="R161" s="163"/>
      <c r="S161" s="164">
        <f>S162+S179+S212</f>
        <v>64219292</v>
      </c>
      <c r="T161" s="164">
        <f>T162+T179+T212</f>
        <v>3596683.6946472768</v>
      </c>
      <c r="U161" s="164">
        <f>U162+U179+U212</f>
        <v>0</v>
      </c>
      <c r="V161" s="164">
        <f>V162+V179+V212</f>
        <v>0</v>
      </c>
      <c r="W161" s="164">
        <f>W162+W179+W212</f>
        <v>486414.78</v>
      </c>
      <c r="X161" s="129">
        <f>U161+V161+W161</f>
        <v>486414.78</v>
      </c>
      <c r="Y161" s="164">
        <f t="shared" ref="Y161:AT161" si="79">Y162+Y179+Y212</f>
        <v>0</v>
      </c>
      <c r="Z161" s="164">
        <f t="shared" si="79"/>
        <v>0</v>
      </c>
      <c r="AA161" s="164">
        <f t="shared" si="79"/>
        <v>1955000</v>
      </c>
      <c r="AB161" s="164">
        <f t="shared" si="79"/>
        <v>0</v>
      </c>
      <c r="AC161" s="164">
        <f t="shared" si="79"/>
        <v>521385.62000000005</v>
      </c>
      <c r="AD161" s="164">
        <f t="shared" si="79"/>
        <v>386623.51</v>
      </c>
      <c r="AE161" s="164">
        <f t="shared" si="79"/>
        <v>514300.73</v>
      </c>
      <c r="AF161" s="164">
        <f t="shared" si="79"/>
        <v>672558.94000000006</v>
      </c>
      <c r="AG161" s="164">
        <f t="shared" si="79"/>
        <v>1019690.39</v>
      </c>
      <c r="AH161" s="164">
        <f t="shared" si="79"/>
        <v>129804.48</v>
      </c>
      <c r="AI161" s="164">
        <f t="shared" si="79"/>
        <v>364537.88</v>
      </c>
      <c r="AJ161" s="164">
        <f t="shared" si="79"/>
        <v>1000735.82</v>
      </c>
      <c r="AK161" s="164">
        <f>AK162+AK179+AK212</f>
        <v>6564637.3700000001</v>
      </c>
      <c r="AL161" s="164">
        <f t="shared" si="79"/>
        <v>45158678.253258117</v>
      </c>
      <c r="AM161" s="164">
        <f t="shared" si="79"/>
        <v>4984484.8715861728</v>
      </c>
      <c r="AN161" s="164">
        <f t="shared" si="79"/>
        <v>2320023</v>
      </c>
      <c r="AO161" s="164">
        <f t="shared" si="79"/>
        <v>236650</v>
      </c>
      <c r="AP161" s="164">
        <f t="shared" si="79"/>
        <v>0</v>
      </c>
      <c r="AQ161" s="164">
        <f t="shared" si="79"/>
        <v>0</v>
      </c>
      <c r="AR161" s="164">
        <f t="shared" si="79"/>
        <v>0</v>
      </c>
      <c r="AS161" s="196">
        <f>AS162+AS179+AS212</f>
        <v>59750888.274844289</v>
      </c>
      <c r="AT161" s="196">
        <f t="shared" si="79"/>
        <v>4489431.45</v>
      </c>
      <c r="AU161" s="197">
        <f>AS161-AT161</f>
        <v>55261456.824844286</v>
      </c>
      <c r="AV161" s="146">
        <f>IFERROR(VLOOKUP(J161,Maksājumu_pieprasījumu_iesn.!G:BL,57,0),0)</f>
        <v>0</v>
      </c>
      <c r="AW161" s="139">
        <f t="shared" si="64"/>
        <v>-55261456.824844286</v>
      </c>
      <c r="AX161" s="196">
        <f>AX162+AX179+AX212</f>
        <v>3562088.02947979</v>
      </c>
      <c r="AY161" s="196">
        <f>AY162+AY179+AY212</f>
        <v>871721.41737660184</v>
      </c>
      <c r="AZ161" s="196"/>
      <c r="BA161" s="164"/>
      <c r="BB161" s="164">
        <f>BB162+BB179+BB212</f>
        <v>0</v>
      </c>
      <c r="BC161" s="164">
        <f>BC162+BC179+BC212</f>
        <v>29630391.276629061</v>
      </c>
      <c r="BD161" s="129">
        <f>BC161*0.86</f>
        <v>25482136.497900993</v>
      </c>
      <c r="BE161" s="129">
        <f>BD161/0.85</f>
        <v>29978984.115177639</v>
      </c>
      <c r="BF161" s="164">
        <f>BF162+BF179+BF212</f>
        <v>0</v>
      </c>
      <c r="BG161" s="164">
        <f>BG162+BG179+BG212</f>
        <v>0</v>
      </c>
      <c r="BH161" s="129">
        <f>BH162+BH179+BH212</f>
        <v>3220091.19</v>
      </c>
      <c r="BI161" s="129">
        <f>BI162+BI179+BI212</f>
        <v>14667407.83182949</v>
      </c>
      <c r="BJ161" s="129">
        <f>AK161*0.86</f>
        <v>5645588.1381999999</v>
      </c>
      <c r="BK161" s="129">
        <f>BJ161-BI161</f>
        <v>-9021819.6936294902</v>
      </c>
      <c r="BL161" s="129">
        <f>BL162+BL179+BL212</f>
        <v>15790709.03696898</v>
      </c>
      <c r="BM161" s="129">
        <f>AL161*0.86</f>
        <v>38836463.297801979</v>
      </c>
      <c r="BN161" s="129">
        <f>BM161-BL161</f>
        <v>23045754.260832999</v>
      </c>
    </row>
    <row r="162" spans="1:66" s="91" customFormat="1" ht="25.5" hidden="1" customHeight="1" x14ac:dyDescent="0.2">
      <c r="A162" s="131" t="s">
        <v>1185</v>
      </c>
      <c r="B162" s="132" t="s">
        <v>57</v>
      </c>
      <c r="C162" s="132" t="s">
        <v>58</v>
      </c>
      <c r="D162" s="133" t="s">
        <v>569</v>
      </c>
      <c r="E162" s="22">
        <v>1</v>
      </c>
      <c r="F162" s="22" t="s">
        <v>35</v>
      </c>
      <c r="G162" s="22" t="s">
        <v>5</v>
      </c>
      <c r="H162" s="22" t="s">
        <v>960</v>
      </c>
      <c r="I162" s="22" t="s">
        <v>1022</v>
      </c>
      <c r="J162" s="134" t="s">
        <v>1026</v>
      </c>
      <c r="K162" s="133"/>
      <c r="L162" s="133"/>
      <c r="M162" s="133"/>
      <c r="N162" s="133"/>
      <c r="O162" s="135"/>
      <c r="P162" s="135"/>
      <c r="Q162" s="135"/>
      <c r="R162" s="135"/>
      <c r="S162" s="136">
        <v>16114183</v>
      </c>
      <c r="T162" s="136">
        <v>665557.69464727689</v>
      </c>
      <c r="U162" s="137">
        <f>SUM(U163:U175)+U177</f>
        <v>0</v>
      </c>
      <c r="V162" s="137">
        <f t="shared" ref="V162:AQ162" si="80">SUM(V163:V175)+V177</f>
        <v>0</v>
      </c>
      <c r="W162" s="137">
        <f t="shared" si="80"/>
        <v>0</v>
      </c>
      <c r="X162" s="137">
        <f t="shared" si="80"/>
        <v>0</v>
      </c>
      <c r="Y162" s="137">
        <f t="shared" si="80"/>
        <v>0</v>
      </c>
      <c r="Z162" s="137">
        <f t="shared" si="80"/>
        <v>0</v>
      </c>
      <c r="AA162" s="137">
        <f t="shared" si="80"/>
        <v>1955000</v>
      </c>
      <c r="AB162" s="137">
        <f t="shared" si="80"/>
        <v>0</v>
      </c>
      <c r="AC162" s="137">
        <f t="shared" si="80"/>
        <v>0</v>
      </c>
      <c r="AD162" s="137">
        <f t="shared" si="80"/>
        <v>386623.51</v>
      </c>
      <c r="AE162" s="137">
        <f t="shared" si="80"/>
        <v>0</v>
      </c>
      <c r="AF162" s="137">
        <f t="shared" si="80"/>
        <v>0</v>
      </c>
      <c r="AG162" s="137">
        <f t="shared" si="80"/>
        <v>719322.26</v>
      </c>
      <c r="AH162" s="137">
        <f t="shared" si="80"/>
        <v>0</v>
      </c>
      <c r="AI162" s="137">
        <f t="shared" si="80"/>
        <v>314406.40000000002</v>
      </c>
      <c r="AJ162" s="137">
        <f t="shared" si="80"/>
        <v>471609.59999999998</v>
      </c>
      <c r="AK162" s="137">
        <f t="shared" si="80"/>
        <v>3846961.7699999996</v>
      </c>
      <c r="AL162" s="137">
        <f t="shared" si="80"/>
        <v>9293315.1001931634</v>
      </c>
      <c r="AM162" s="137">
        <f t="shared" si="80"/>
        <v>1400064.7991200334</v>
      </c>
      <c r="AN162" s="137">
        <f t="shared" si="80"/>
        <v>873778</v>
      </c>
      <c r="AO162" s="137">
        <f t="shared" si="80"/>
        <v>0</v>
      </c>
      <c r="AP162" s="137">
        <f t="shared" si="80"/>
        <v>0</v>
      </c>
      <c r="AQ162" s="137">
        <f t="shared" si="80"/>
        <v>0</v>
      </c>
      <c r="AR162" s="137">
        <f>SUM(AR163:AR175)+AR177</f>
        <v>0</v>
      </c>
      <c r="AS162" s="198">
        <f t="shared" ref="AS162:AS175" si="81">U162+V162+W162+AK162+AL162+AM162+AN162+AO162+AP162+AQ162+AR162</f>
        <v>15414119.669313196</v>
      </c>
      <c r="AT162" s="198">
        <f>SUM(AT163:AT177)</f>
        <v>2754851.19</v>
      </c>
      <c r="AU162" s="199">
        <f t="shared" si="63"/>
        <v>12659268.479313197</v>
      </c>
      <c r="AV162" s="146">
        <f>IFERROR(VLOOKUP(J162,Maksājumu_pieprasījumu_iesn.!G:BL,57,0),0)</f>
        <v>0</v>
      </c>
      <c r="AW162" s="139">
        <f t="shared" si="64"/>
        <v>-12659268.479313197</v>
      </c>
      <c r="AX162" s="200">
        <f t="shared" ref="AX162:AX178" si="82">S162-T162-AU162</f>
        <v>2789356.8260395266</v>
      </c>
      <c r="AY162" s="137">
        <f>AY178</f>
        <v>34507</v>
      </c>
      <c r="AZ162" s="137"/>
      <c r="BA162" s="138"/>
      <c r="BB162" s="140"/>
      <c r="BC162" s="140">
        <f>X162+AK162+AL162/2</f>
        <v>8493619.3200965822</v>
      </c>
      <c r="BD162" s="140"/>
      <c r="BE162" s="140">
        <f>BC162/0.85</f>
        <v>9992493.3177606855</v>
      </c>
      <c r="BF162" s="137"/>
      <c r="BG162" s="137"/>
      <c r="BH162" s="138">
        <v>2754851.19</v>
      </c>
      <c r="BI162" s="138">
        <v>3208067.6987879998</v>
      </c>
      <c r="BJ162" s="138"/>
      <c r="BK162" s="138"/>
      <c r="BL162" s="138">
        <v>2219813</v>
      </c>
      <c r="BM162" s="138"/>
      <c r="BN162" s="138"/>
    </row>
    <row r="163" spans="1:66" s="91" customFormat="1" ht="38.25" hidden="1" customHeight="1" x14ac:dyDescent="0.2">
      <c r="A163" s="150" t="s">
        <v>1185</v>
      </c>
      <c r="B163" s="18" t="s">
        <v>57</v>
      </c>
      <c r="C163" s="18" t="s">
        <v>58</v>
      </c>
      <c r="D163" s="19" t="s">
        <v>569</v>
      </c>
      <c r="E163" s="55">
        <v>1</v>
      </c>
      <c r="F163" s="55" t="s">
        <v>35</v>
      </c>
      <c r="G163" s="55" t="s">
        <v>5</v>
      </c>
      <c r="H163" s="55" t="s">
        <v>960</v>
      </c>
      <c r="I163" s="55"/>
      <c r="J163" s="55"/>
      <c r="K163" s="19" t="s">
        <v>893</v>
      </c>
      <c r="L163" s="19"/>
      <c r="M163" s="19"/>
      <c r="N163" s="19" t="s">
        <v>1194</v>
      </c>
      <c r="O163" s="151">
        <v>42916</v>
      </c>
      <c r="P163" s="151"/>
      <c r="Q163" s="151"/>
      <c r="R163" s="151"/>
      <c r="S163" s="152">
        <v>1730000</v>
      </c>
      <c r="T163" s="152">
        <v>71453.502280555404</v>
      </c>
      <c r="U163" s="145">
        <v>0</v>
      </c>
      <c r="V163" s="145">
        <v>0</v>
      </c>
      <c r="W163" s="145">
        <v>0</v>
      </c>
      <c r="X163" s="145">
        <f t="shared" ref="X163:X177" si="83">W163+V163+U163</f>
        <v>0</v>
      </c>
      <c r="Y163" s="145">
        <v>0</v>
      </c>
      <c r="Z163" s="145">
        <v>0</v>
      </c>
      <c r="AA163" s="145">
        <v>0</v>
      </c>
      <c r="AB163" s="145">
        <v>0</v>
      </c>
      <c r="AC163" s="145">
        <v>0</v>
      </c>
      <c r="AD163" s="145">
        <v>0</v>
      </c>
      <c r="AE163" s="145">
        <v>0</v>
      </c>
      <c r="AF163" s="145">
        <v>0</v>
      </c>
      <c r="AG163" s="145">
        <v>0</v>
      </c>
      <c r="AH163" s="145">
        <v>0</v>
      </c>
      <c r="AI163" s="145">
        <v>0</v>
      </c>
      <c r="AJ163" s="145">
        <v>0</v>
      </c>
      <c r="AK163" s="145">
        <f t="shared" ref="AK163:AK175" si="84">SUM(Y163:AJ163)</f>
        <v>0</v>
      </c>
      <c r="AL163" s="145">
        <v>1557000</v>
      </c>
      <c r="AM163" s="145">
        <v>101546.4977194446</v>
      </c>
      <c r="AN163" s="145">
        <v>0</v>
      </c>
      <c r="AO163" s="145">
        <v>0</v>
      </c>
      <c r="AP163" s="145">
        <v>0</v>
      </c>
      <c r="AQ163" s="145">
        <v>0</v>
      </c>
      <c r="AR163" s="145">
        <v>0</v>
      </c>
      <c r="AS163" s="201">
        <f t="shared" si="81"/>
        <v>1658546.4977194446</v>
      </c>
      <c r="AT163" s="201"/>
      <c r="AU163" s="199">
        <f t="shared" si="63"/>
        <v>1658546.4977194446</v>
      </c>
      <c r="AV163" s="146">
        <f>IFERROR(VLOOKUP(J163,Maksājumu_pieprasījumu_iesn.!G:BL,57,0),0)</f>
        <v>0</v>
      </c>
      <c r="AW163" s="139">
        <f t="shared" si="64"/>
        <v>-1658546.4977194446</v>
      </c>
      <c r="AX163" s="200">
        <f t="shared" si="82"/>
        <v>0</v>
      </c>
      <c r="AY163" s="153" t="s">
        <v>1085</v>
      </c>
      <c r="AZ163" s="153"/>
      <c r="BA163" s="136" t="s">
        <v>1086</v>
      </c>
      <c r="BB163" s="145"/>
      <c r="BC163" s="145"/>
      <c r="BD163" s="145"/>
      <c r="BE163" s="145"/>
      <c r="BF163" s="145"/>
      <c r="BG163" s="145"/>
      <c r="BH163" s="138"/>
      <c r="BI163" s="138"/>
      <c r="BJ163" s="138"/>
      <c r="BK163" s="138"/>
      <c r="BL163" s="138"/>
      <c r="BM163" s="138"/>
      <c r="BN163" s="138"/>
    </row>
    <row r="164" spans="1:66" s="91" customFormat="1" ht="25.5" hidden="1" customHeight="1" x14ac:dyDescent="0.2">
      <c r="A164" s="150" t="s">
        <v>1185</v>
      </c>
      <c r="B164" s="18" t="s">
        <v>57</v>
      </c>
      <c r="C164" s="18" t="s">
        <v>58</v>
      </c>
      <c r="D164" s="19" t="s">
        <v>569</v>
      </c>
      <c r="E164" s="55">
        <v>1</v>
      </c>
      <c r="F164" s="55" t="s">
        <v>35</v>
      </c>
      <c r="G164" s="55" t="s">
        <v>5</v>
      </c>
      <c r="H164" s="55" t="s">
        <v>960</v>
      </c>
      <c r="I164" s="55"/>
      <c r="J164" s="55"/>
      <c r="K164" s="19" t="s">
        <v>1195</v>
      </c>
      <c r="L164" s="19"/>
      <c r="M164" s="19"/>
      <c r="N164" s="19" t="s">
        <v>1196</v>
      </c>
      <c r="O164" s="151">
        <v>42855</v>
      </c>
      <c r="P164" s="151"/>
      <c r="Q164" s="151"/>
      <c r="R164" s="151"/>
      <c r="S164" s="152">
        <v>1257020</v>
      </c>
      <c r="T164" s="152">
        <v>51918.197362256498</v>
      </c>
      <c r="U164" s="145">
        <v>0</v>
      </c>
      <c r="V164" s="145">
        <v>0</v>
      </c>
      <c r="W164" s="145">
        <v>0</v>
      </c>
      <c r="X164" s="145">
        <f t="shared" si="83"/>
        <v>0</v>
      </c>
      <c r="Y164" s="145">
        <v>0</v>
      </c>
      <c r="Z164" s="145">
        <v>0</v>
      </c>
      <c r="AA164" s="145">
        <v>0</v>
      </c>
      <c r="AB164" s="145">
        <v>0</v>
      </c>
      <c r="AC164" s="145">
        <v>0</v>
      </c>
      <c r="AD164" s="145">
        <v>0</v>
      </c>
      <c r="AE164" s="145">
        <v>0</v>
      </c>
      <c r="AF164" s="145">
        <v>0</v>
      </c>
      <c r="AG164" s="145">
        <v>0</v>
      </c>
      <c r="AH164" s="145">
        <v>0</v>
      </c>
      <c r="AI164" s="145">
        <v>0</v>
      </c>
      <c r="AJ164" s="145">
        <v>0</v>
      </c>
      <c r="AK164" s="145">
        <f t="shared" si="84"/>
        <v>0</v>
      </c>
      <c r="AL164" s="145">
        <v>302500</v>
      </c>
      <c r="AM164" s="145">
        <v>0</v>
      </c>
      <c r="AN164" s="145">
        <v>0</v>
      </c>
      <c r="AO164" s="145">
        <v>0</v>
      </c>
      <c r="AP164" s="145">
        <v>0</v>
      </c>
      <c r="AQ164" s="145">
        <v>0</v>
      </c>
      <c r="AR164" s="145">
        <v>0</v>
      </c>
      <c r="AS164" s="201">
        <f t="shared" si="81"/>
        <v>302500</v>
      </c>
      <c r="AT164" s="201"/>
      <c r="AU164" s="199">
        <f t="shared" si="63"/>
        <v>302500</v>
      </c>
      <c r="AV164" s="146">
        <f>IFERROR(VLOOKUP(J164,Maksājumu_pieprasījumu_iesn.!G:BL,57,0),0)</f>
        <v>0</v>
      </c>
      <c r="AW164" s="139">
        <f t="shared" si="64"/>
        <v>-302500</v>
      </c>
      <c r="AX164" s="200">
        <f t="shared" si="82"/>
        <v>902601.80263774353</v>
      </c>
      <c r="AY164" s="153"/>
      <c r="AZ164" s="153"/>
      <c r="BA164" s="136"/>
      <c r="BB164" s="145"/>
      <c r="BC164" s="145"/>
      <c r="BD164" s="145"/>
      <c r="BE164" s="145"/>
      <c r="BF164" s="145"/>
      <c r="BG164" s="145"/>
      <c r="BH164" s="138"/>
      <c r="BI164" s="138"/>
      <c r="BJ164" s="138"/>
      <c r="BK164" s="138"/>
      <c r="BL164" s="138"/>
      <c r="BM164" s="138"/>
      <c r="BN164" s="138"/>
    </row>
    <row r="165" spans="1:66" s="91" customFormat="1" ht="38.25" hidden="1" customHeight="1" x14ac:dyDescent="0.2">
      <c r="A165" s="150" t="s">
        <v>1185</v>
      </c>
      <c r="B165" s="18" t="s">
        <v>57</v>
      </c>
      <c r="C165" s="18" t="s">
        <v>58</v>
      </c>
      <c r="D165" s="19" t="s">
        <v>569</v>
      </c>
      <c r="E165" s="55">
        <v>1</v>
      </c>
      <c r="F165" s="55" t="s">
        <v>35</v>
      </c>
      <c r="G165" s="55" t="s">
        <v>5</v>
      </c>
      <c r="H165" s="55" t="s">
        <v>960</v>
      </c>
      <c r="I165" s="55"/>
      <c r="J165" s="55"/>
      <c r="K165" s="19" t="s">
        <v>1195</v>
      </c>
      <c r="L165" s="19"/>
      <c r="M165" s="19"/>
      <c r="N165" s="19" t="s">
        <v>1197</v>
      </c>
      <c r="O165" s="151">
        <v>43132</v>
      </c>
      <c r="P165" s="151"/>
      <c r="Q165" s="151"/>
      <c r="R165" s="151"/>
      <c r="S165" s="152">
        <v>0</v>
      </c>
      <c r="T165" s="152">
        <v>0</v>
      </c>
      <c r="U165" s="145">
        <v>0</v>
      </c>
      <c r="V165" s="145">
        <v>0</v>
      </c>
      <c r="W165" s="145">
        <v>0</v>
      </c>
      <c r="X165" s="145">
        <f t="shared" si="83"/>
        <v>0</v>
      </c>
      <c r="Y165" s="145">
        <v>0</v>
      </c>
      <c r="Z165" s="145">
        <v>0</v>
      </c>
      <c r="AA165" s="145">
        <v>0</v>
      </c>
      <c r="AB165" s="145">
        <v>0</v>
      </c>
      <c r="AC165" s="145">
        <v>0</v>
      </c>
      <c r="AD165" s="145">
        <v>0</v>
      </c>
      <c r="AE165" s="145">
        <v>0</v>
      </c>
      <c r="AF165" s="145">
        <v>0</v>
      </c>
      <c r="AG165" s="145">
        <v>0</v>
      </c>
      <c r="AH165" s="145">
        <v>0</v>
      </c>
      <c r="AI165" s="145">
        <v>0</v>
      </c>
      <c r="AJ165" s="145">
        <v>0</v>
      </c>
      <c r="AK165" s="145">
        <f t="shared" si="84"/>
        <v>0</v>
      </c>
      <c r="AL165" s="145">
        <v>654520</v>
      </c>
      <c r="AM165" s="145">
        <v>248081.8026377435</v>
      </c>
      <c r="AN165" s="145">
        <v>0</v>
      </c>
      <c r="AO165" s="145">
        <v>0</v>
      </c>
      <c r="AP165" s="145">
        <v>0</v>
      </c>
      <c r="AQ165" s="145">
        <v>0</v>
      </c>
      <c r="AR165" s="145">
        <v>0</v>
      </c>
      <c r="AS165" s="201">
        <f t="shared" si="81"/>
        <v>902601.80263774353</v>
      </c>
      <c r="AT165" s="201"/>
      <c r="AU165" s="199">
        <f t="shared" si="63"/>
        <v>902601.80263774353</v>
      </c>
      <c r="AV165" s="146">
        <f>IFERROR(VLOOKUP(J165,Maksājumu_pieprasījumu_iesn.!G:BL,57,0),0)</f>
        <v>0</v>
      </c>
      <c r="AW165" s="139">
        <f t="shared" si="64"/>
        <v>-902601.80263774353</v>
      </c>
      <c r="AX165" s="200">
        <f t="shared" si="82"/>
        <v>-902601.80263774353</v>
      </c>
      <c r="AY165" s="153" t="s">
        <v>1085</v>
      </c>
      <c r="AZ165" s="153"/>
      <c r="BA165" s="136" t="s">
        <v>1086</v>
      </c>
      <c r="BB165" s="145"/>
      <c r="BC165" s="145"/>
      <c r="BD165" s="145"/>
      <c r="BE165" s="145"/>
      <c r="BF165" s="145"/>
      <c r="BG165" s="145"/>
      <c r="BH165" s="138"/>
      <c r="BI165" s="138"/>
      <c r="BJ165" s="138"/>
      <c r="BK165" s="138"/>
      <c r="BL165" s="138"/>
      <c r="BM165" s="138"/>
      <c r="BN165" s="138"/>
    </row>
    <row r="166" spans="1:66" s="91" customFormat="1" ht="38.25" hidden="1" customHeight="1" x14ac:dyDescent="0.2">
      <c r="A166" s="150" t="s">
        <v>1185</v>
      </c>
      <c r="B166" s="18" t="s">
        <v>57</v>
      </c>
      <c r="C166" s="18" t="s">
        <v>58</v>
      </c>
      <c r="D166" s="19" t="s">
        <v>569</v>
      </c>
      <c r="E166" s="55">
        <v>1</v>
      </c>
      <c r="F166" s="55" t="s">
        <v>35</v>
      </c>
      <c r="G166" s="55" t="s">
        <v>5</v>
      </c>
      <c r="H166" s="55" t="s">
        <v>960</v>
      </c>
      <c r="I166" s="55"/>
      <c r="J166" s="55"/>
      <c r="K166" s="19" t="s">
        <v>1198</v>
      </c>
      <c r="L166" s="19"/>
      <c r="M166" s="19"/>
      <c r="N166" s="19" t="s">
        <v>1199</v>
      </c>
      <c r="O166" s="151">
        <v>43465</v>
      </c>
      <c r="P166" s="151"/>
      <c r="Q166" s="151"/>
      <c r="R166" s="151"/>
      <c r="S166" s="152">
        <v>500000</v>
      </c>
      <c r="T166" s="152">
        <v>20651.301237154701</v>
      </c>
      <c r="U166" s="145">
        <v>0</v>
      </c>
      <c r="V166" s="145">
        <v>0</v>
      </c>
      <c r="W166" s="145">
        <v>0</v>
      </c>
      <c r="X166" s="145">
        <f t="shared" si="83"/>
        <v>0</v>
      </c>
      <c r="Y166" s="145">
        <v>0</v>
      </c>
      <c r="Z166" s="145">
        <v>0</v>
      </c>
      <c r="AA166" s="145">
        <v>0</v>
      </c>
      <c r="AB166" s="145">
        <v>0</v>
      </c>
      <c r="AC166" s="145">
        <v>0</v>
      </c>
      <c r="AD166" s="145">
        <v>0</v>
      </c>
      <c r="AE166" s="145">
        <v>0</v>
      </c>
      <c r="AF166" s="145">
        <v>0</v>
      </c>
      <c r="AG166" s="145">
        <v>0</v>
      </c>
      <c r="AH166" s="145">
        <v>0</v>
      </c>
      <c r="AI166" s="145">
        <v>0</v>
      </c>
      <c r="AJ166" s="145">
        <v>0</v>
      </c>
      <c r="AK166" s="145">
        <f t="shared" si="84"/>
        <v>0</v>
      </c>
      <c r="AL166" s="145">
        <v>375000</v>
      </c>
      <c r="AM166" s="145">
        <v>104348.69876284531</v>
      </c>
      <c r="AN166" s="145">
        <v>0</v>
      </c>
      <c r="AO166" s="145">
        <v>0</v>
      </c>
      <c r="AP166" s="145">
        <v>0</v>
      </c>
      <c r="AQ166" s="145">
        <v>0</v>
      </c>
      <c r="AR166" s="145">
        <v>0</v>
      </c>
      <c r="AS166" s="201">
        <f t="shared" si="81"/>
        <v>479348.69876284531</v>
      </c>
      <c r="AT166" s="201"/>
      <c r="AU166" s="199">
        <f t="shared" si="63"/>
        <v>479348.69876284531</v>
      </c>
      <c r="AV166" s="146">
        <f>IFERROR(VLOOKUP(J166,Maksājumu_pieprasījumu_iesn.!G:BL,57,0),0)</f>
        <v>0</v>
      </c>
      <c r="AW166" s="139">
        <f t="shared" si="64"/>
        <v>-479348.69876284531</v>
      </c>
      <c r="AX166" s="200">
        <f t="shared" si="82"/>
        <v>0</v>
      </c>
      <c r="AY166" s="153" t="s">
        <v>1085</v>
      </c>
      <c r="AZ166" s="153"/>
      <c r="BA166" s="136" t="s">
        <v>1086</v>
      </c>
      <c r="BB166" s="145"/>
      <c r="BC166" s="145"/>
      <c r="BD166" s="145"/>
      <c r="BE166" s="145"/>
      <c r="BF166" s="145"/>
      <c r="BG166" s="145"/>
      <c r="BH166" s="138"/>
      <c r="BI166" s="138"/>
      <c r="BJ166" s="138"/>
      <c r="BK166" s="138"/>
      <c r="BL166" s="138"/>
      <c r="BM166" s="138"/>
      <c r="BN166" s="138"/>
    </row>
    <row r="167" spans="1:66" s="91" customFormat="1" ht="25.5" hidden="1" customHeight="1" x14ac:dyDescent="0.2">
      <c r="A167" s="150" t="s">
        <v>1185</v>
      </c>
      <c r="B167" s="18" t="s">
        <v>57</v>
      </c>
      <c r="C167" s="18" t="s">
        <v>58</v>
      </c>
      <c r="D167" s="19" t="s">
        <v>569</v>
      </c>
      <c r="E167" s="55">
        <v>1</v>
      </c>
      <c r="F167" s="55" t="s">
        <v>35</v>
      </c>
      <c r="G167" s="55" t="s">
        <v>5</v>
      </c>
      <c r="H167" s="55" t="s">
        <v>960</v>
      </c>
      <c r="I167" s="55"/>
      <c r="J167" s="55"/>
      <c r="K167" s="19" t="s">
        <v>1200</v>
      </c>
      <c r="L167" s="19"/>
      <c r="M167" s="19"/>
      <c r="N167" s="19" t="s">
        <v>1201</v>
      </c>
      <c r="O167" s="151">
        <v>43313</v>
      </c>
      <c r="P167" s="151"/>
      <c r="Q167" s="151"/>
      <c r="R167" s="151"/>
      <c r="S167" s="152">
        <v>2000000</v>
      </c>
      <c r="T167" s="152">
        <v>82605.204948618994</v>
      </c>
      <c r="U167" s="145">
        <v>0</v>
      </c>
      <c r="V167" s="145">
        <v>0</v>
      </c>
      <c r="W167" s="145">
        <v>0</v>
      </c>
      <c r="X167" s="145">
        <f t="shared" si="83"/>
        <v>0</v>
      </c>
      <c r="Y167" s="145">
        <v>0</v>
      </c>
      <c r="Z167" s="145">
        <v>0</v>
      </c>
      <c r="AA167" s="145">
        <v>0</v>
      </c>
      <c r="AB167" s="145">
        <v>0</v>
      </c>
      <c r="AC167" s="145">
        <v>0</v>
      </c>
      <c r="AD167" s="145">
        <v>0</v>
      </c>
      <c r="AE167" s="145">
        <v>0</v>
      </c>
      <c r="AF167" s="145">
        <v>0</v>
      </c>
      <c r="AG167" s="145">
        <v>0</v>
      </c>
      <c r="AH167" s="145">
        <v>0</v>
      </c>
      <c r="AI167" s="145">
        <v>0</v>
      </c>
      <c r="AJ167" s="145">
        <v>0</v>
      </c>
      <c r="AK167" s="145">
        <f t="shared" si="84"/>
        <v>0</v>
      </c>
      <c r="AL167" s="145">
        <v>300000</v>
      </c>
      <c r="AM167" s="145">
        <v>800000</v>
      </c>
      <c r="AN167" s="145">
        <v>400000</v>
      </c>
      <c r="AO167" s="145">
        <v>0</v>
      </c>
      <c r="AP167" s="145">
        <v>0</v>
      </c>
      <c r="AQ167" s="145">
        <v>0</v>
      </c>
      <c r="AR167" s="145">
        <v>0</v>
      </c>
      <c r="AS167" s="201">
        <f t="shared" si="81"/>
        <v>1500000</v>
      </c>
      <c r="AT167" s="201"/>
      <c r="AU167" s="199">
        <f t="shared" si="63"/>
        <v>1500000</v>
      </c>
      <c r="AV167" s="146">
        <f>IFERROR(VLOOKUP(J167,Maksājumu_pieprasījumu_iesn.!G:BL,57,0),0)</f>
        <v>0</v>
      </c>
      <c r="AW167" s="139">
        <f t="shared" si="64"/>
        <v>-1500000</v>
      </c>
      <c r="AX167" s="200">
        <f t="shared" si="82"/>
        <v>417394.79505138099</v>
      </c>
      <c r="AY167" s="153"/>
      <c r="AZ167" s="153"/>
      <c r="BA167" s="136"/>
      <c r="BB167" s="145"/>
      <c r="BC167" s="145"/>
      <c r="BD167" s="145"/>
      <c r="BE167" s="145"/>
      <c r="BF167" s="145"/>
      <c r="BG167" s="145"/>
      <c r="BH167" s="138"/>
      <c r="BI167" s="138"/>
      <c r="BJ167" s="138"/>
      <c r="BK167" s="138"/>
      <c r="BL167" s="138"/>
      <c r="BM167" s="138"/>
      <c r="BN167" s="138"/>
    </row>
    <row r="168" spans="1:66" s="91" customFormat="1" ht="38.25" hidden="1" customHeight="1" x14ac:dyDescent="0.2">
      <c r="A168" s="150" t="s">
        <v>1185</v>
      </c>
      <c r="B168" s="18" t="s">
        <v>57</v>
      </c>
      <c r="C168" s="18" t="s">
        <v>58</v>
      </c>
      <c r="D168" s="19" t="s">
        <v>569</v>
      </c>
      <c r="E168" s="55">
        <v>1</v>
      </c>
      <c r="F168" s="55" t="s">
        <v>35</v>
      </c>
      <c r="G168" s="55" t="s">
        <v>5</v>
      </c>
      <c r="H168" s="55" t="s">
        <v>960</v>
      </c>
      <c r="I168" s="55"/>
      <c r="J168" s="55"/>
      <c r="K168" s="19" t="s">
        <v>1200</v>
      </c>
      <c r="L168" s="19"/>
      <c r="M168" s="19"/>
      <c r="N168" s="19" t="s">
        <v>1202</v>
      </c>
      <c r="O168" s="151">
        <v>43222</v>
      </c>
      <c r="P168" s="151"/>
      <c r="Q168" s="151"/>
      <c r="R168" s="151"/>
      <c r="S168" s="152">
        <v>0</v>
      </c>
      <c r="T168" s="152">
        <v>0</v>
      </c>
      <c r="U168" s="145">
        <v>0</v>
      </c>
      <c r="V168" s="145">
        <v>0</v>
      </c>
      <c r="W168" s="145">
        <v>0</v>
      </c>
      <c r="X168" s="145">
        <f t="shared" si="83"/>
        <v>0</v>
      </c>
      <c r="Y168" s="145">
        <v>0</v>
      </c>
      <c r="Z168" s="145">
        <v>0</v>
      </c>
      <c r="AA168" s="145">
        <v>0</v>
      </c>
      <c r="AB168" s="145">
        <v>0</v>
      </c>
      <c r="AC168" s="145">
        <v>0</v>
      </c>
      <c r="AD168" s="145">
        <v>0</v>
      </c>
      <c r="AE168" s="145">
        <v>0</v>
      </c>
      <c r="AF168" s="145">
        <v>0</v>
      </c>
      <c r="AG168" s="145">
        <v>0</v>
      </c>
      <c r="AH168" s="145">
        <v>0</v>
      </c>
      <c r="AI168" s="145">
        <v>0</v>
      </c>
      <c r="AJ168" s="145">
        <v>0</v>
      </c>
      <c r="AK168" s="145">
        <f t="shared" si="84"/>
        <v>0</v>
      </c>
      <c r="AL168" s="145">
        <v>271307</v>
      </c>
      <c r="AM168" s="145">
        <v>146087.79999999999</v>
      </c>
      <c r="AN168" s="145">
        <v>0</v>
      </c>
      <c r="AO168" s="145">
        <v>0</v>
      </c>
      <c r="AP168" s="145">
        <v>0</v>
      </c>
      <c r="AQ168" s="145">
        <v>0</v>
      </c>
      <c r="AR168" s="145">
        <v>0</v>
      </c>
      <c r="AS168" s="201">
        <f t="shared" si="81"/>
        <v>417394.8</v>
      </c>
      <c r="AT168" s="201"/>
      <c r="AU168" s="199">
        <f t="shared" si="63"/>
        <v>417394.8</v>
      </c>
      <c r="AV168" s="146">
        <f>IFERROR(VLOOKUP(J168,Maksājumu_pieprasījumu_iesn.!G:BL,57,0),0)</f>
        <v>0</v>
      </c>
      <c r="AW168" s="139">
        <f t="shared" si="64"/>
        <v>-417394.8</v>
      </c>
      <c r="AX168" s="200">
        <f t="shared" si="82"/>
        <v>-417394.8</v>
      </c>
      <c r="AY168" s="153"/>
      <c r="AZ168" s="153"/>
      <c r="BA168" s="136"/>
      <c r="BB168" s="145"/>
      <c r="BC168" s="145"/>
      <c r="BD168" s="145"/>
      <c r="BE168" s="145"/>
      <c r="BF168" s="145"/>
      <c r="BG168" s="145"/>
      <c r="BH168" s="138"/>
      <c r="BI168" s="138"/>
      <c r="BJ168" s="138"/>
      <c r="BK168" s="138"/>
      <c r="BL168" s="138"/>
      <c r="BM168" s="138"/>
      <c r="BN168" s="138"/>
    </row>
    <row r="169" spans="1:66" s="91" customFormat="1" ht="38.25" hidden="1" customHeight="1" x14ac:dyDescent="0.2">
      <c r="A169" s="150" t="s">
        <v>1185</v>
      </c>
      <c r="B169" s="18" t="s">
        <v>57</v>
      </c>
      <c r="C169" s="18" t="s">
        <v>58</v>
      </c>
      <c r="D169" s="19" t="s">
        <v>569</v>
      </c>
      <c r="E169" s="55">
        <v>1</v>
      </c>
      <c r="F169" s="55" t="s">
        <v>35</v>
      </c>
      <c r="G169" s="55" t="s">
        <v>5</v>
      </c>
      <c r="H169" s="55" t="s">
        <v>960</v>
      </c>
      <c r="I169" s="55"/>
      <c r="J169" s="55"/>
      <c r="K169" s="19" t="s">
        <v>1200</v>
      </c>
      <c r="L169" s="19"/>
      <c r="M169" s="19"/>
      <c r="N169" s="19" t="s">
        <v>1203</v>
      </c>
      <c r="O169" s="151">
        <v>43444</v>
      </c>
      <c r="P169" s="151"/>
      <c r="Q169" s="151"/>
      <c r="R169" s="151"/>
      <c r="S169" s="152">
        <v>0</v>
      </c>
      <c r="T169" s="152">
        <v>0</v>
      </c>
      <c r="U169" s="145">
        <v>0</v>
      </c>
      <c r="V169" s="145">
        <v>0</v>
      </c>
      <c r="W169" s="145">
        <v>0</v>
      </c>
      <c r="X169" s="145">
        <f t="shared" si="83"/>
        <v>0</v>
      </c>
      <c r="Y169" s="145">
        <v>0</v>
      </c>
      <c r="Z169" s="145">
        <v>0</v>
      </c>
      <c r="AA169" s="145">
        <v>0</v>
      </c>
      <c r="AB169" s="145">
        <v>0</v>
      </c>
      <c r="AC169" s="145">
        <v>0</v>
      </c>
      <c r="AD169" s="145">
        <v>0</v>
      </c>
      <c r="AE169" s="145">
        <v>0</v>
      </c>
      <c r="AF169" s="145">
        <v>0</v>
      </c>
      <c r="AG169" s="145">
        <v>0</v>
      </c>
      <c r="AH169" s="145">
        <v>0</v>
      </c>
      <c r="AI169" s="145">
        <v>0</v>
      </c>
      <c r="AJ169" s="145">
        <v>0</v>
      </c>
      <c r="AK169" s="145">
        <f t="shared" si="84"/>
        <v>0</v>
      </c>
      <c r="AL169" s="145">
        <v>0</v>
      </c>
      <c r="AM169" s="145">
        <v>0</v>
      </c>
      <c r="AN169" s="145">
        <v>0</v>
      </c>
      <c r="AO169" s="145">
        <v>0</v>
      </c>
      <c r="AP169" s="145">
        <v>0</v>
      </c>
      <c r="AQ169" s="145">
        <v>0</v>
      </c>
      <c r="AR169" s="145">
        <v>0</v>
      </c>
      <c r="AS169" s="201">
        <f t="shared" si="81"/>
        <v>0</v>
      </c>
      <c r="AT169" s="201"/>
      <c r="AU169" s="199">
        <f t="shared" si="63"/>
        <v>0</v>
      </c>
      <c r="AV169" s="146">
        <f>IFERROR(VLOOKUP(J169,Maksājumu_pieprasījumu_iesn.!G:BL,57,0),0)</f>
        <v>0</v>
      </c>
      <c r="AW169" s="139">
        <f t="shared" si="64"/>
        <v>0</v>
      </c>
      <c r="AX169" s="200">
        <f t="shared" si="82"/>
        <v>0</v>
      </c>
      <c r="AY169" s="153" t="s">
        <v>1204</v>
      </c>
      <c r="AZ169" s="153"/>
      <c r="BA169" s="138" t="s">
        <v>1205</v>
      </c>
      <c r="BB169" s="145"/>
      <c r="BC169" s="145"/>
      <c r="BD169" s="145"/>
      <c r="BE169" s="145"/>
      <c r="BF169" s="145"/>
      <c r="BG169" s="145"/>
      <c r="BH169" s="138"/>
      <c r="BI169" s="138"/>
      <c r="BJ169" s="138"/>
      <c r="BK169" s="138"/>
      <c r="BL169" s="138"/>
      <c r="BM169" s="138"/>
      <c r="BN169" s="138"/>
    </row>
    <row r="170" spans="1:66" ht="38.25" hidden="1" customHeight="1" x14ac:dyDescent="0.2">
      <c r="A170" s="142" t="s">
        <v>1185</v>
      </c>
      <c r="B170" s="18" t="s">
        <v>57</v>
      </c>
      <c r="C170" s="18" t="s">
        <v>58</v>
      </c>
      <c r="D170" s="19" t="s">
        <v>569</v>
      </c>
      <c r="E170" s="18">
        <v>1</v>
      </c>
      <c r="F170" s="18" t="s">
        <v>35</v>
      </c>
      <c r="G170" s="18" t="s">
        <v>5</v>
      </c>
      <c r="H170" s="18" t="s">
        <v>960</v>
      </c>
      <c r="I170" s="18"/>
      <c r="J170" s="18" t="s">
        <v>1206</v>
      </c>
      <c r="K170" s="19" t="s">
        <v>1207</v>
      </c>
      <c r="L170" s="19"/>
      <c r="M170" s="19"/>
      <c r="N170" s="19" t="s">
        <v>1208</v>
      </c>
      <c r="O170" s="143"/>
      <c r="P170" s="143"/>
      <c r="Q170" s="143"/>
      <c r="R170" s="187" t="s">
        <v>1209</v>
      </c>
      <c r="S170" s="144">
        <v>3829250</v>
      </c>
      <c r="T170" s="144">
        <v>158157.99052475</v>
      </c>
      <c r="U170" s="145">
        <v>0</v>
      </c>
      <c r="V170" s="145">
        <v>0</v>
      </c>
      <c r="W170" s="145">
        <v>0</v>
      </c>
      <c r="X170" s="145">
        <f t="shared" si="83"/>
        <v>0</v>
      </c>
      <c r="Y170" s="145">
        <v>0</v>
      </c>
      <c r="Z170" s="145">
        <v>0</v>
      </c>
      <c r="AA170" s="145">
        <v>0</v>
      </c>
      <c r="AB170" s="145">
        <v>0</v>
      </c>
      <c r="AC170" s="145">
        <v>0</v>
      </c>
      <c r="AD170" s="145">
        <v>0</v>
      </c>
      <c r="AE170" s="145">
        <v>0</v>
      </c>
      <c r="AF170" s="145">
        <v>0</v>
      </c>
      <c r="AG170" s="145">
        <v>0</v>
      </c>
      <c r="AH170" s="145">
        <v>0</v>
      </c>
      <c r="AI170" s="145">
        <v>0</v>
      </c>
      <c r="AJ170" s="145">
        <v>0</v>
      </c>
      <c r="AK170" s="145">
        <f t="shared" si="84"/>
        <v>0</v>
      </c>
      <c r="AL170" s="145">
        <v>1466926</v>
      </c>
      <c r="AM170" s="145">
        <v>0</v>
      </c>
      <c r="AN170" s="145">
        <v>0</v>
      </c>
      <c r="AO170" s="145">
        <v>0</v>
      </c>
      <c r="AP170" s="145">
        <v>0</v>
      </c>
      <c r="AQ170" s="145">
        <v>0</v>
      </c>
      <c r="AR170" s="145">
        <v>0</v>
      </c>
      <c r="AS170" s="201">
        <f t="shared" si="81"/>
        <v>1466926</v>
      </c>
      <c r="AT170" s="201">
        <v>0</v>
      </c>
      <c r="AU170" s="199">
        <f t="shared" si="63"/>
        <v>1466926</v>
      </c>
      <c r="AV170" s="146">
        <f>IFERROR(VLOOKUP(J170,Maksājumu_pieprasījumu_iesn.!G:BL,57,0),0)</f>
        <v>0</v>
      </c>
      <c r="AW170" s="139">
        <f t="shared" si="64"/>
        <v>-1466926</v>
      </c>
      <c r="AX170" s="200">
        <f t="shared" si="82"/>
        <v>2204166.0094752498</v>
      </c>
      <c r="AY170" s="147"/>
      <c r="AZ170" s="147"/>
      <c r="BA170" s="165"/>
      <c r="BB170" s="144"/>
      <c r="BC170" s="144"/>
      <c r="BD170" s="144"/>
      <c r="BE170" s="144"/>
      <c r="BF170" s="144"/>
      <c r="BG170" s="144"/>
      <c r="BH170" s="149"/>
      <c r="BI170" s="149"/>
      <c r="BJ170" s="149"/>
      <c r="BK170" s="149"/>
      <c r="BL170" s="149"/>
      <c r="BM170" s="149"/>
      <c r="BN170" s="149"/>
    </row>
    <row r="171" spans="1:66" s="91" customFormat="1" ht="25.5" hidden="1" customHeight="1" x14ac:dyDescent="0.2">
      <c r="A171" s="150" t="s">
        <v>1185</v>
      </c>
      <c r="B171" s="18" t="s">
        <v>57</v>
      </c>
      <c r="C171" s="18" t="s">
        <v>58</v>
      </c>
      <c r="D171" s="19" t="s">
        <v>569</v>
      </c>
      <c r="E171" s="55">
        <v>1</v>
      </c>
      <c r="F171" s="55" t="s">
        <v>35</v>
      </c>
      <c r="G171" s="55" t="s">
        <v>5</v>
      </c>
      <c r="H171" s="55" t="s">
        <v>960</v>
      </c>
      <c r="I171" s="55"/>
      <c r="J171" s="55"/>
      <c r="K171" s="19" t="s">
        <v>1207</v>
      </c>
      <c r="L171" s="19"/>
      <c r="M171" s="19"/>
      <c r="N171" s="19" t="s">
        <v>1210</v>
      </c>
      <c r="O171" s="151">
        <v>42853</v>
      </c>
      <c r="P171" s="151"/>
      <c r="Q171" s="151"/>
      <c r="R171" s="151"/>
      <c r="S171" s="152">
        <v>0</v>
      </c>
      <c r="T171" s="152">
        <v>0</v>
      </c>
      <c r="U171" s="145">
        <v>0</v>
      </c>
      <c r="V171" s="145">
        <v>0</v>
      </c>
      <c r="W171" s="145">
        <v>0</v>
      </c>
      <c r="X171" s="145">
        <f t="shared" si="83"/>
        <v>0</v>
      </c>
      <c r="Y171" s="145">
        <v>0</v>
      </c>
      <c r="Z171" s="145">
        <v>0</v>
      </c>
      <c r="AA171" s="145">
        <v>0</v>
      </c>
      <c r="AB171" s="145">
        <v>0</v>
      </c>
      <c r="AC171" s="145">
        <v>0</v>
      </c>
      <c r="AD171" s="145">
        <v>0</v>
      </c>
      <c r="AE171" s="145">
        <v>0</v>
      </c>
      <c r="AF171" s="145">
        <v>0</v>
      </c>
      <c r="AG171" s="145">
        <v>0</v>
      </c>
      <c r="AH171" s="145">
        <v>0</v>
      </c>
      <c r="AI171" s="145">
        <v>314406.40000000002</v>
      </c>
      <c r="AJ171" s="145">
        <v>471609.59999999998</v>
      </c>
      <c r="AK171" s="145">
        <f t="shared" si="84"/>
        <v>786016</v>
      </c>
      <c r="AL171" s="145">
        <v>786016</v>
      </c>
      <c r="AM171" s="145">
        <v>0</v>
      </c>
      <c r="AN171" s="145">
        <v>0</v>
      </c>
      <c r="AO171" s="145">
        <v>0</v>
      </c>
      <c r="AP171" s="145">
        <v>0</v>
      </c>
      <c r="AQ171" s="145">
        <v>0</v>
      </c>
      <c r="AR171" s="145">
        <v>0</v>
      </c>
      <c r="AS171" s="201">
        <f t="shared" si="81"/>
        <v>1572032</v>
      </c>
      <c r="AT171" s="201"/>
      <c r="AU171" s="199">
        <f t="shared" si="63"/>
        <v>1572032</v>
      </c>
      <c r="AV171" s="146">
        <f>IFERROR(VLOOKUP(J171,Maksājumu_pieprasījumu_iesn.!G:BL,57,0),0)</f>
        <v>0</v>
      </c>
      <c r="AW171" s="139">
        <f t="shared" si="64"/>
        <v>-1572032</v>
      </c>
      <c r="AX171" s="200">
        <f t="shared" si="82"/>
        <v>-1572032</v>
      </c>
      <c r="AY171" s="153"/>
      <c r="AZ171" s="153"/>
      <c r="BA171" s="136"/>
      <c r="BB171" s="145"/>
      <c r="BC171" s="145"/>
      <c r="BD171" s="145"/>
      <c r="BE171" s="145"/>
      <c r="BF171" s="145"/>
      <c r="BG171" s="145"/>
      <c r="BH171" s="138"/>
      <c r="BI171" s="138"/>
      <c r="BJ171" s="138"/>
      <c r="BK171" s="138"/>
      <c r="BL171" s="138"/>
      <c r="BM171" s="138"/>
      <c r="BN171" s="138"/>
    </row>
    <row r="172" spans="1:66" s="91" customFormat="1" ht="25.5" hidden="1" customHeight="1" x14ac:dyDescent="0.2">
      <c r="A172" s="150" t="s">
        <v>1185</v>
      </c>
      <c r="B172" s="18" t="s">
        <v>57</v>
      </c>
      <c r="C172" s="18" t="s">
        <v>58</v>
      </c>
      <c r="D172" s="19" t="s">
        <v>569</v>
      </c>
      <c r="E172" s="55">
        <v>1</v>
      </c>
      <c r="F172" s="55" t="s">
        <v>35</v>
      </c>
      <c r="G172" s="55" t="s">
        <v>5</v>
      </c>
      <c r="H172" s="55" t="s">
        <v>960</v>
      </c>
      <c r="I172" s="55"/>
      <c r="J172" s="55"/>
      <c r="K172" s="19" t="s">
        <v>1207</v>
      </c>
      <c r="L172" s="19"/>
      <c r="M172" s="19"/>
      <c r="N172" s="19" t="s">
        <v>1211</v>
      </c>
      <c r="O172" s="151">
        <v>43039</v>
      </c>
      <c r="P172" s="151"/>
      <c r="Q172" s="151"/>
      <c r="R172" s="151"/>
      <c r="S172" s="152">
        <v>0</v>
      </c>
      <c r="T172" s="152">
        <v>0</v>
      </c>
      <c r="U172" s="145">
        <v>0</v>
      </c>
      <c r="V172" s="145">
        <v>0</v>
      </c>
      <c r="W172" s="145">
        <v>0</v>
      </c>
      <c r="X172" s="145">
        <f t="shared" si="83"/>
        <v>0</v>
      </c>
      <c r="Y172" s="145">
        <v>0</v>
      </c>
      <c r="Z172" s="145">
        <v>0</v>
      </c>
      <c r="AA172" s="145">
        <v>0</v>
      </c>
      <c r="AB172" s="145">
        <v>0</v>
      </c>
      <c r="AC172" s="145">
        <v>0</v>
      </c>
      <c r="AD172" s="145">
        <v>0</v>
      </c>
      <c r="AE172" s="145">
        <v>0</v>
      </c>
      <c r="AF172" s="145">
        <v>0</v>
      </c>
      <c r="AG172" s="145">
        <v>0</v>
      </c>
      <c r="AH172" s="145">
        <v>0</v>
      </c>
      <c r="AI172" s="145">
        <v>0</v>
      </c>
      <c r="AJ172" s="145">
        <v>0</v>
      </c>
      <c r="AK172" s="145">
        <f t="shared" si="84"/>
        <v>0</v>
      </c>
      <c r="AL172" s="145">
        <v>632135.00947525003</v>
      </c>
      <c r="AM172" s="145">
        <v>0</v>
      </c>
      <c r="AN172" s="145">
        <v>0</v>
      </c>
      <c r="AO172" s="145">
        <v>0</v>
      </c>
      <c r="AP172" s="145">
        <v>0</v>
      </c>
      <c r="AQ172" s="145">
        <v>0</v>
      </c>
      <c r="AR172" s="145">
        <v>0</v>
      </c>
      <c r="AS172" s="201">
        <f t="shared" si="81"/>
        <v>632135.00947525003</v>
      </c>
      <c r="AT172" s="201"/>
      <c r="AU172" s="199">
        <f t="shared" si="63"/>
        <v>632135.00947525003</v>
      </c>
      <c r="AV172" s="146">
        <f>IFERROR(VLOOKUP(J172,Maksājumu_pieprasījumu_iesn.!G:BL,57,0),0)</f>
        <v>0</v>
      </c>
      <c r="AW172" s="139">
        <f t="shared" si="64"/>
        <v>-632135.00947525003</v>
      </c>
      <c r="AX172" s="200">
        <f t="shared" si="82"/>
        <v>-632135.00947525003</v>
      </c>
      <c r="AY172" s="153" t="s">
        <v>1085</v>
      </c>
      <c r="AZ172" s="153"/>
      <c r="BA172" s="136" t="s">
        <v>1086</v>
      </c>
      <c r="BB172" s="145"/>
      <c r="BC172" s="145"/>
      <c r="BD172" s="145"/>
      <c r="BE172" s="145"/>
      <c r="BF172" s="145"/>
      <c r="BG172" s="145"/>
      <c r="BH172" s="138"/>
      <c r="BI172" s="138"/>
      <c r="BJ172" s="138"/>
      <c r="BK172" s="138"/>
      <c r="BL172" s="138"/>
      <c r="BM172" s="138"/>
      <c r="BN172" s="138"/>
    </row>
    <row r="173" spans="1:66" s="91" customFormat="1" ht="51" hidden="1" customHeight="1" x14ac:dyDescent="0.2">
      <c r="A173" s="150" t="s">
        <v>1185</v>
      </c>
      <c r="B173" s="18" t="s">
        <v>57</v>
      </c>
      <c r="C173" s="18" t="s">
        <v>58</v>
      </c>
      <c r="D173" s="19" t="s">
        <v>569</v>
      </c>
      <c r="E173" s="55">
        <v>1</v>
      </c>
      <c r="F173" s="55" t="s">
        <v>35</v>
      </c>
      <c r="G173" s="55" t="s">
        <v>5</v>
      </c>
      <c r="H173" s="55" t="s">
        <v>960</v>
      </c>
      <c r="I173" s="55"/>
      <c r="J173" s="55"/>
      <c r="K173" s="19" t="s">
        <v>1212</v>
      </c>
      <c r="L173" s="19"/>
      <c r="M173" s="19"/>
      <c r="N173" s="19" t="s">
        <v>1213</v>
      </c>
      <c r="O173" s="151">
        <v>42855</v>
      </c>
      <c r="P173" s="151"/>
      <c r="Q173" s="151"/>
      <c r="R173" s="151"/>
      <c r="S173" s="152">
        <v>3074913</v>
      </c>
      <c r="T173" s="152">
        <v>127001.909282086</v>
      </c>
      <c r="U173" s="145">
        <v>0</v>
      </c>
      <c r="V173" s="145">
        <v>0</v>
      </c>
      <c r="W173" s="145">
        <v>0</v>
      </c>
      <c r="X173" s="145">
        <f t="shared" si="83"/>
        <v>0</v>
      </c>
      <c r="Y173" s="145">
        <v>0</v>
      </c>
      <c r="Z173" s="145">
        <v>0</v>
      </c>
      <c r="AA173" s="145">
        <v>0</v>
      </c>
      <c r="AB173" s="145">
        <v>0</v>
      </c>
      <c r="AC173" s="145">
        <v>0</v>
      </c>
      <c r="AD173" s="145">
        <v>0</v>
      </c>
      <c r="AE173" s="145">
        <v>0</v>
      </c>
      <c r="AF173" s="145">
        <v>0</v>
      </c>
      <c r="AG173" s="145">
        <v>0</v>
      </c>
      <c r="AH173" s="145">
        <v>0</v>
      </c>
      <c r="AI173" s="145">
        <v>0</v>
      </c>
      <c r="AJ173" s="145">
        <v>0</v>
      </c>
      <c r="AK173" s="145">
        <f t="shared" si="84"/>
        <v>0</v>
      </c>
      <c r="AL173" s="145">
        <v>1289553</v>
      </c>
      <c r="AM173" s="145">
        <v>0</v>
      </c>
      <c r="AN173" s="145">
        <v>0</v>
      </c>
      <c r="AO173" s="145">
        <v>0</v>
      </c>
      <c r="AP173" s="145">
        <v>0</v>
      </c>
      <c r="AQ173" s="145">
        <v>0</v>
      </c>
      <c r="AR173" s="145">
        <v>0</v>
      </c>
      <c r="AS173" s="201">
        <f t="shared" si="81"/>
        <v>1289553</v>
      </c>
      <c r="AT173" s="201"/>
      <c r="AU173" s="199">
        <f t="shared" si="63"/>
        <v>1289553</v>
      </c>
      <c r="AV173" s="146">
        <f>IFERROR(VLOOKUP(J173,Maksājumu_pieprasījumu_iesn.!G:BL,57,0),0)</f>
        <v>0</v>
      </c>
      <c r="AW173" s="139">
        <f t="shared" si="64"/>
        <v>-1289553</v>
      </c>
      <c r="AX173" s="200">
        <f t="shared" si="82"/>
        <v>1658358.090717914</v>
      </c>
      <c r="AY173" s="153"/>
      <c r="AZ173" s="153"/>
      <c r="BA173" s="136"/>
      <c r="BB173" s="145"/>
      <c r="BC173" s="145"/>
      <c r="BD173" s="145"/>
      <c r="BE173" s="145"/>
      <c r="BF173" s="145"/>
      <c r="BG173" s="145"/>
      <c r="BH173" s="138"/>
      <c r="BI173" s="138"/>
      <c r="BJ173" s="138"/>
      <c r="BK173" s="138"/>
      <c r="BL173" s="138"/>
      <c r="BM173" s="138"/>
      <c r="BN173" s="138"/>
    </row>
    <row r="174" spans="1:66" s="91" customFormat="1" ht="51" hidden="1" customHeight="1" x14ac:dyDescent="0.2">
      <c r="A174" s="150" t="s">
        <v>1185</v>
      </c>
      <c r="B174" s="18" t="s">
        <v>57</v>
      </c>
      <c r="C174" s="18" t="s">
        <v>58</v>
      </c>
      <c r="D174" s="19" t="s">
        <v>569</v>
      </c>
      <c r="E174" s="55">
        <v>1</v>
      </c>
      <c r="F174" s="55" t="s">
        <v>35</v>
      </c>
      <c r="G174" s="55" t="s">
        <v>5</v>
      </c>
      <c r="H174" s="55" t="s">
        <v>960</v>
      </c>
      <c r="I174" s="55"/>
      <c r="J174" s="55"/>
      <c r="K174" s="19" t="s">
        <v>1212</v>
      </c>
      <c r="L174" s="19"/>
      <c r="M174" s="19"/>
      <c r="N174" s="19" t="s">
        <v>1214</v>
      </c>
      <c r="O174" s="151">
        <v>42855</v>
      </c>
      <c r="P174" s="151"/>
      <c r="Q174" s="151"/>
      <c r="R174" s="151"/>
      <c r="S174" s="152">
        <v>0</v>
      </c>
      <c r="T174" s="152">
        <v>0</v>
      </c>
      <c r="U174" s="145">
        <v>0</v>
      </c>
      <c r="V174" s="145">
        <v>0</v>
      </c>
      <c r="W174" s="145">
        <v>0</v>
      </c>
      <c r="X174" s="145">
        <f t="shared" si="83"/>
        <v>0</v>
      </c>
      <c r="Y174" s="145">
        <v>0</v>
      </c>
      <c r="Z174" s="145">
        <v>0</v>
      </c>
      <c r="AA174" s="145">
        <v>0</v>
      </c>
      <c r="AB174" s="145">
        <v>0</v>
      </c>
      <c r="AC174" s="145">
        <v>0</v>
      </c>
      <c r="AD174" s="145">
        <v>0</v>
      </c>
      <c r="AE174" s="145">
        <v>0</v>
      </c>
      <c r="AF174" s="145">
        <v>0</v>
      </c>
      <c r="AG174" s="145">
        <v>0</v>
      </c>
      <c r="AH174" s="145">
        <v>0</v>
      </c>
      <c r="AI174" s="145">
        <v>0</v>
      </c>
      <c r="AJ174" s="145">
        <v>0</v>
      </c>
      <c r="AK174" s="145">
        <f t="shared" si="84"/>
        <v>0</v>
      </c>
      <c r="AL174" s="145">
        <v>1658358.090717914</v>
      </c>
      <c r="AM174" s="145">
        <v>0</v>
      </c>
      <c r="AN174" s="145">
        <v>0</v>
      </c>
      <c r="AO174" s="145">
        <v>0</v>
      </c>
      <c r="AP174" s="145">
        <v>0</v>
      </c>
      <c r="AQ174" s="145">
        <v>0</v>
      </c>
      <c r="AR174" s="145">
        <v>0</v>
      </c>
      <c r="AS174" s="201">
        <f t="shared" si="81"/>
        <v>1658358.090717914</v>
      </c>
      <c r="AT174" s="201"/>
      <c r="AU174" s="199">
        <f t="shared" si="63"/>
        <v>1658358.090717914</v>
      </c>
      <c r="AV174" s="146">
        <f>IFERROR(VLOOKUP(J174,Maksājumu_pieprasījumu_iesn.!G:BL,57,0),0)</f>
        <v>0</v>
      </c>
      <c r="AW174" s="139">
        <f t="shared" si="64"/>
        <v>-1658358.090717914</v>
      </c>
      <c r="AX174" s="200">
        <f t="shared" si="82"/>
        <v>-1658358.090717914</v>
      </c>
      <c r="AY174" s="153" t="s">
        <v>1085</v>
      </c>
      <c r="AZ174" s="153"/>
      <c r="BA174" s="136" t="s">
        <v>1086</v>
      </c>
      <c r="BB174" s="145"/>
      <c r="BC174" s="145"/>
      <c r="BD174" s="145"/>
      <c r="BE174" s="145"/>
      <c r="BF174" s="145"/>
      <c r="BG174" s="145"/>
      <c r="BH174" s="138"/>
      <c r="BI174" s="138"/>
      <c r="BJ174" s="138"/>
      <c r="BK174" s="138"/>
      <c r="BL174" s="138"/>
      <c r="BM174" s="138"/>
      <c r="BN174" s="138"/>
    </row>
    <row r="175" spans="1:66" ht="63.75" hidden="1" customHeight="1" x14ac:dyDescent="0.2">
      <c r="A175" s="142" t="s">
        <v>1185</v>
      </c>
      <c r="B175" s="18" t="s">
        <v>57</v>
      </c>
      <c r="C175" s="18" t="s">
        <v>58</v>
      </c>
      <c r="D175" s="19" t="s">
        <v>569</v>
      </c>
      <c r="E175" s="55">
        <v>1</v>
      </c>
      <c r="F175" s="18" t="s">
        <v>35</v>
      </c>
      <c r="G175" s="18" t="s">
        <v>5</v>
      </c>
      <c r="H175" s="18" t="s">
        <v>960</v>
      </c>
      <c r="I175" s="18"/>
      <c r="J175" s="18" t="s">
        <v>59</v>
      </c>
      <c r="K175" s="19" t="s">
        <v>60</v>
      </c>
      <c r="L175" s="19"/>
      <c r="M175" s="19"/>
      <c r="N175" s="19" t="s">
        <v>61</v>
      </c>
      <c r="O175" s="143"/>
      <c r="P175" s="143"/>
      <c r="Q175" s="143"/>
      <c r="R175" s="143">
        <v>42725</v>
      </c>
      <c r="S175" s="144">
        <v>3060945.77</v>
      </c>
      <c r="T175" s="144">
        <v>0</v>
      </c>
      <c r="U175" s="145">
        <v>0</v>
      </c>
      <c r="V175" s="145">
        <v>0</v>
      </c>
      <c r="W175" s="145">
        <v>0</v>
      </c>
      <c r="X175" s="145">
        <f t="shared" si="83"/>
        <v>0</v>
      </c>
      <c r="Y175" s="145">
        <v>0</v>
      </c>
      <c r="Z175" s="145">
        <v>0</v>
      </c>
      <c r="AA175" s="145">
        <v>1955000</v>
      </c>
      <c r="AB175" s="145">
        <v>0</v>
      </c>
      <c r="AC175" s="145">
        <v>0</v>
      </c>
      <c r="AD175" s="145">
        <v>386623.51</v>
      </c>
      <c r="AE175" s="145">
        <v>0</v>
      </c>
      <c r="AF175" s="145">
        <v>0</v>
      </c>
      <c r="AG175" s="145">
        <v>719322.26</v>
      </c>
      <c r="AH175" s="145">
        <v>0</v>
      </c>
      <c r="AI175" s="145">
        <v>0</v>
      </c>
      <c r="AJ175" s="145">
        <v>0</v>
      </c>
      <c r="AK175" s="145">
        <f t="shared" si="84"/>
        <v>3060945.7699999996</v>
      </c>
      <c r="AL175" s="145">
        <v>0</v>
      </c>
      <c r="AM175" s="145">
        <v>0</v>
      </c>
      <c r="AN175" s="145">
        <v>0</v>
      </c>
      <c r="AO175" s="145">
        <v>0</v>
      </c>
      <c r="AP175" s="145">
        <v>0</v>
      </c>
      <c r="AQ175" s="145">
        <v>0</v>
      </c>
      <c r="AR175" s="145">
        <v>0</v>
      </c>
      <c r="AS175" s="201">
        <f t="shared" si="81"/>
        <v>3060945.7699999996</v>
      </c>
      <c r="AT175" s="202"/>
      <c r="AU175" s="199">
        <f t="shared" si="63"/>
        <v>3060945.7699999996</v>
      </c>
      <c r="AV175" s="146" t="str">
        <f>IFERROR(VLOOKUP(J175,Maksājumu_pieprasījumu_iesn.!G:BL,57,0),0)</f>
        <v xml:space="preserve">Darbu uzsākšanu kavēja klimatiskie apstākļi un darbi tika atsākti ievērojami vēlāk. </v>
      </c>
      <c r="AW175" s="139" t="e">
        <f t="shared" si="64"/>
        <v>#VALUE!</v>
      </c>
      <c r="AX175" s="200">
        <f t="shared" si="82"/>
        <v>0</v>
      </c>
      <c r="AY175" s="203"/>
      <c r="AZ175" s="203"/>
      <c r="BA175" s="165"/>
      <c r="BB175" s="144"/>
      <c r="BC175" s="144"/>
      <c r="BD175" s="144"/>
      <c r="BE175" s="144"/>
      <c r="BF175" s="144"/>
      <c r="BG175" s="144"/>
      <c r="BH175" s="149"/>
      <c r="BI175" s="149"/>
      <c r="BJ175" s="149"/>
      <c r="BK175" s="149"/>
      <c r="BL175" s="149"/>
      <c r="BM175" s="149"/>
      <c r="BN175" s="149"/>
    </row>
    <row r="176" spans="1:66" ht="63.75" hidden="1" customHeight="1" x14ac:dyDescent="0.2">
      <c r="A176" s="142" t="s">
        <v>1185</v>
      </c>
      <c r="B176" s="18" t="s">
        <v>57</v>
      </c>
      <c r="C176" s="18" t="s">
        <v>58</v>
      </c>
      <c r="D176" s="19" t="s">
        <v>569</v>
      </c>
      <c r="E176" s="55">
        <v>1</v>
      </c>
      <c r="F176" s="18" t="s">
        <v>35</v>
      </c>
      <c r="G176" s="18" t="s">
        <v>5</v>
      </c>
      <c r="H176" s="18" t="s">
        <v>960</v>
      </c>
      <c r="I176" s="18"/>
      <c r="J176" s="18" t="s">
        <v>59</v>
      </c>
      <c r="K176" s="19" t="s">
        <v>60</v>
      </c>
      <c r="L176" s="19"/>
      <c r="M176" s="19"/>
      <c r="N176" s="19" t="s">
        <v>61</v>
      </c>
      <c r="O176" s="143" t="s">
        <v>880</v>
      </c>
      <c r="P176" s="143"/>
      <c r="Q176" s="143"/>
      <c r="R176" s="143"/>
      <c r="S176" s="144"/>
      <c r="T176" s="144"/>
      <c r="U176" s="145"/>
      <c r="V176" s="145"/>
      <c r="W176" s="145">
        <v>2754851.19</v>
      </c>
      <c r="X176" s="145">
        <f>W176+V176+U176</f>
        <v>2754851.19</v>
      </c>
      <c r="Y176" s="145"/>
      <c r="Z176" s="145"/>
      <c r="AA176" s="145"/>
      <c r="AB176" s="145"/>
      <c r="AC176" s="145"/>
      <c r="AD176" s="145"/>
      <c r="AE176" s="145"/>
      <c r="AF176" s="145"/>
      <c r="AG176" s="145"/>
      <c r="AH176" s="145"/>
      <c r="AI176" s="145"/>
      <c r="AJ176" s="145"/>
      <c r="AK176" s="145"/>
      <c r="AL176" s="145"/>
      <c r="AM176" s="145"/>
      <c r="AN176" s="145"/>
      <c r="AO176" s="145"/>
      <c r="AP176" s="145"/>
      <c r="AQ176" s="145"/>
      <c r="AR176" s="145"/>
      <c r="AS176" s="201"/>
      <c r="AT176" s="201">
        <v>2754851.19</v>
      </c>
      <c r="AU176" s="199"/>
      <c r="AV176" s="146" t="str">
        <f>IFERROR(VLOOKUP(J176,Maksājumu_pieprasījumu_iesn.!G:BL,57,0),0)</f>
        <v xml:space="preserve">Darbu uzsākšanu kavēja klimatiskie apstākļi un darbi tika atsākti ievērojami vēlāk. </v>
      </c>
      <c r="AW176" s="139" t="e">
        <f t="shared" si="64"/>
        <v>#VALUE!</v>
      </c>
      <c r="AX176" s="200">
        <f t="shared" si="82"/>
        <v>0</v>
      </c>
      <c r="AY176" s="203"/>
      <c r="AZ176" s="203"/>
      <c r="BA176" s="165"/>
      <c r="BB176" s="144"/>
      <c r="BC176" s="144"/>
      <c r="BD176" s="144"/>
      <c r="BE176" s="144"/>
      <c r="BF176" s="144"/>
      <c r="BG176" s="144"/>
      <c r="BH176" s="149"/>
      <c r="BI176" s="149"/>
      <c r="BJ176" s="149"/>
      <c r="BK176" s="149"/>
      <c r="BL176" s="149"/>
      <c r="BM176" s="149"/>
      <c r="BN176" s="149"/>
    </row>
    <row r="177" spans="1:66" s="91" customFormat="1" ht="25.5" hidden="1" customHeight="1" x14ac:dyDescent="0.2">
      <c r="A177" s="150" t="s">
        <v>1185</v>
      </c>
      <c r="B177" s="18" t="s">
        <v>57</v>
      </c>
      <c r="C177" s="18" t="s">
        <v>58</v>
      </c>
      <c r="D177" s="19" t="s">
        <v>569</v>
      </c>
      <c r="E177" s="55">
        <v>1</v>
      </c>
      <c r="F177" s="55" t="s">
        <v>35</v>
      </c>
      <c r="G177" s="55" t="s">
        <v>5</v>
      </c>
      <c r="H177" s="55" t="s">
        <v>960</v>
      </c>
      <c r="I177" s="55"/>
      <c r="J177" s="55"/>
      <c r="K177" s="19" t="s">
        <v>60</v>
      </c>
      <c r="L177" s="19"/>
      <c r="M177" s="19"/>
      <c r="N177" s="19" t="s">
        <v>1215</v>
      </c>
      <c r="O177" s="151">
        <v>43830</v>
      </c>
      <c r="P177" s="151"/>
      <c r="Q177" s="151"/>
      <c r="R177" s="151"/>
      <c r="S177" s="152">
        <v>662054.23</v>
      </c>
      <c r="T177" s="152">
        <v>153769.589011854</v>
      </c>
      <c r="U177" s="145">
        <v>0</v>
      </c>
      <c r="V177" s="145">
        <v>0</v>
      </c>
      <c r="W177" s="145">
        <v>0</v>
      </c>
      <c r="X177" s="145">
        <f t="shared" si="83"/>
        <v>0</v>
      </c>
      <c r="Y177" s="145">
        <v>0</v>
      </c>
      <c r="Z177" s="145">
        <v>0</v>
      </c>
      <c r="AA177" s="145">
        <v>0</v>
      </c>
      <c r="AB177" s="145">
        <v>0</v>
      </c>
      <c r="AC177" s="145">
        <v>0</v>
      </c>
      <c r="AD177" s="145">
        <v>0</v>
      </c>
      <c r="AE177" s="145">
        <v>0</v>
      </c>
      <c r="AF177" s="145">
        <v>0</v>
      </c>
      <c r="AG177" s="145">
        <v>0</v>
      </c>
      <c r="AH177" s="145">
        <v>0</v>
      </c>
      <c r="AI177" s="145">
        <v>0</v>
      </c>
      <c r="AJ177" s="145">
        <v>0</v>
      </c>
      <c r="AK177" s="145">
        <f>SUM(Y177:AJ177)</f>
        <v>0</v>
      </c>
      <c r="AL177" s="145">
        <v>0</v>
      </c>
      <c r="AM177" s="145">
        <v>0</v>
      </c>
      <c r="AN177" s="145">
        <v>473778</v>
      </c>
      <c r="AO177" s="145">
        <v>0</v>
      </c>
      <c r="AP177" s="145">
        <v>0</v>
      </c>
      <c r="AQ177" s="145">
        <v>0</v>
      </c>
      <c r="AR177" s="145">
        <v>0</v>
      </c>
      <c r="AS177" s="201">
        <f>U177+V177+W177+AK177+AL177+AM177+AN177+AO177+AP177+AQ177+AR177</f>
        <v>473778</v>
      </c>
      <c r="AT177" s="201"/>
      <c r="AU177" s="199">
        <f t="shared" si="63"/>
        <v>473778</v>
      </c>
      <c r="AV177" s="146">
        <f>IFERROR(VLOOKUP(J177,Maksājumu_pieprasījumu_iesn.!G:BL,57,0),0)</f>
        <v>0</v>
      </c>
      <c r="AW177" s="139">
        <f t="shared" si="64"/>
        <v>-473778</v>
      </c>
      <c r="AX177" s="200">
        <f t="shared" si="82"/>
        <v>34506.640988145955</v>
      </c>
      <c r="AY177" s="153"/>
      <c r="AZ177" s="153"/>
      <c r="BA177" s="136"/>
      <c r="BB177" s="145"/>
      <c r="BC177" s="145"/>
      <c r="BD177" s="145"/>
      <c r="BE177" s="145"/>
      <c r="BF177" s="145"/>
      <c r="BG177" s="145"/>
      <c r="BH177" s="138"/>
      <c r="BI177" s="138"/>
      <c r="BJ177" s="138"/>
      <c r="BK177" s="138"/>
      <c r="BL177" s="138"/>
      <c r="BM177" s="138"/>
      <c r="BN177" s="138"/>
    </row>
    <row r="178" spans="1:66" s="91" customFormat="1" ht="25.5" hidden="1" customHeight="1" x14ac:dyDescent="0.2">
      <c r="A178" s="150" t="s">
        <v>1185</v>
      </c>
      <c r="B178" s="18" t="s">
        <v>57</v>
      </c>
      <c r="C178" s="18" t="s">
        <v>58</v>
      </c>
      <c r="D178" s="19" t="s">
        <v>569</v>
      </c>
      <c r="E178" s="55">
        <v>1</v>
      </c>
      <c r="F178" s="55" t="s">
        <v>35</v>
      </c>
      <c r="G178" s="55" t="s">
        <v>5</v>
      </c>
      <c r="H178" s="55" t="s">
        <v>960</v>
      </c>
      <c r="I178" s="55"/>
      <c r="J178" s="55" t="s">
        <v>1081</v>
      </c>
      <c r="K178" s="19" t="s">
        <v>60</v>
      </c>
      <c r="L178" s="19"/>
      <c r="M178" s="19"/>
      <c r="N178" s="19" t="s">
        <v>1215</v>
      </c>
      <c r="O178" s="151"/>
      <c r="P178" s="151"/>
      <c r="Q178" s="151"/>
      <c r="R178" s="151"/>
      <c r="S178" s="152"/>
      <c r="T178" s="152"/>
      <c r="U178" s="145"/>
      <c r="V178" s="145"/>
      <c r="W178" s="145"/>
      <c r="X178" s="145"/>
      <c r="Y178" s="145"/>
      <c r="Z178" s="145"/>
      <c r="AA178" s="145"/>
      <c r="AB178" s="145"/>
      <c r="AC178" s="145"/>
      <c r="AD178" s="145"/>
      <c r="AE178" s="145"/>
      <c r="AF178" s="145"/>
      <c r="AG178" s="145"/>
      <c r="AH178" s="145"/>
      <c r="AI178" s="145"/>
      <c r="AJ178" s="145"/>
      <c r="AK178" s="145"/>
      <c r="AL178" s="145"/>
      <c r="AM178" s="145"/>
      <c r="AN178" s="145"/>
      <c r="AO178" s="145"/>
      <c r="AP178" s="145"/>
      <c r="AQ178" s="145"/>
      <c r="AR178" s="145"/>
      <c r="AS178" s="201"/>
      <c r="AT178" s="201"/>
      <c r="AU178" s="199">
        <f t="shared" si="63"/>
        <v>0</v>
      </c>
      <c r="AV178" s="146">
        <f>IFERROR(VLOOKUP(J178,Maksājumu_pieprasījumu_iesn.!G:BL,57,0),0)</f>
        <v>0</v>
      </c>
      <c r="AW178" s="139">
        <f t="shared" si="64"/>
        <v>0</v>
      </c>
      <c r="AX178" s="200">
        <f t="shared" si="82"/>
        <v>0</v>
      </c>
      <c r="AY178" s="153">
        <v>34507</v>
      </c>
      <c r="AZ178" s="153"/>
      <c r="BA178" s="136" t="s">
        <v>1216</v>
      </c>
      <c r="BB178" s="145"/>
      <c r="BC178" s="145"/>
      <c r="BD178" s="145"/>
      <c r="BE178" s="145"/>
      <c r="BF178" s="145"/>
      <c r="BG178" s="145"/>
      <c r="BH178" s="138"/>
      <c r="BI178" s="138"/>
      <c r="BJ178" s="138"/>
      <c r="BK178" s="138"/>
      <c r="BL178" s="138"/>
      <c r="BM178" s="138"/>
      <c r="BN178" s="138"/>
    </row>
    <row r="179" spans="1:66" s="212" customFormat="1" ht="42.75" hidden="1" customHeight="1" x14ac:dyDescent="0.2">
      <c r="A179" s="204" t="s">
        <v>1185</v>
      </c>
      <c r="B179" s="205" t="s">
        <v>57</v>
      </c>
      <c r="C179" s="205" t="s">
        <v>58</v>
      </c>
      <c r="D179" s="206" t="s">
        <v>569</v>
      </c>
      <c r="E179" s="207">
        <v>2</v>
      </c>
      <c r="F179" s="207" t="s">
        <v>35</v>
      </c>
      <c r="G179" s="207" t="s">
        <v>5</v>
      </c>
      <c r="H179" s="207" t="s">
        <v>3</v>
      </c>
      <c r="I179" s="207" t="s">
        <v>1022</v>
      </c>
      <c r="J179" s="207" t="s">
        <v>1026</v>
      </c>
      <c r="K179" s="206"/>
      <c r="L179" s="206"/>
      <c r="M179" s="206"/>
      <c r="N179" s="206"/>
      <c r="O179" s="208"/>
      <c r="P179" s="208"/>
      <c r="Q179" s="208"/>
      <c r="R179" s="208"/>
      <c r="S179" s="209">
        <v>10911633</v>
      </c>
      <c r="T179" s="209">
        <v>662502</v>
      </c>
      <c r="U179" s="210">
        <f>SUM(U180:U181)+U190+U191+U192+U194+U195+U196+U198+U199+U200+U201+U203+U204+U205+U206+U207+U208+U209+U210+U183+U186+U187+U188</f>
        <v>0</v>
      </c>
      <c r="V179" s="210">
        <f t="shared" ref="V179:AJ179" si="85">SUM(V180:V181)+V190+V191+V192+V194+V195+V196+V198+V199+V200+V201+V203+V204+V205+V206+V207+V208+V209+V210+V183+V186+V187+V188</f>
        <v>0</v>
      </c>
      <c r="W179" s="210">
        <f t="shared" si="85"/>
        <v>486414.78</v>
      </c>
      <c r="X179" s="210">
        <f t="shared" si="85"/>
        <v>486414.78</v>
      </c>
      <c r="Y179" s="210">
        <f t="shared" si="85"/>
        <v>0</v>
      </c>
      <c r="Z179" s="210">
        <f t="shared" si="85"/>
        <v>0</v>
      </c>
      <c r="AA179" s="210">
        <f t="shared" si="85"/>
        <v>0</v>
      </c>
      <c r="AB179" s="210">
        <f t="shared" si="85"/>
        <v>0</v>
      </c>
      <c r="AC179" s="210">
        <f t="shared" si="85"/>
        <v>446472.04000000004</v>
      </c>
      <c r="AD179" s="210">
        <f t="shared" si="85"/>
        <v>0</v>
      </c>
      <c r="AE179" s="210">
        <f t="shared" si="85"/>
        <v>514300.73</v>
      </c>
      <c r="AF179" s="210">
        <f t="shared" si="85"/>
        <v>672558.94000000006</v>
      </c>
      <c r="AG179" s="210">
        <f t="shared" si="85"/>
        <v>300368.13</v>
      </c>
      <c r="AH179" s="210">
        <f t="shared" si="85"/>
        <v>129804.48</v>
      </c>
      <c r="AI179" s="210">
        <f t="shared" si="85"/>
        <v>50131.48</v>
      </c>
      <c r="AJ179" s="210">
        <f t="shared" si="85"/>
        <v>148604.22</v>
      </c>
      <c r="AK179" s="210">
        <f>SUM(AK180:AK181)+AK190+AK191+AK192+AK194+AK195+AK196+AK198+AK199+AK200+AK201+AK203+AK204+AK205+AK206+AK207+AK208+AK209+AK210+AK183+AK186+AK187+AK188</f>
        <v>2262240.0200000005</v>
      </c>
      <c r="AL179" s="210">
        <f>SUM(AL180:AL181)+AL190+AL191+AL192+AL194+AL195+AL196+AL198+AL199+AL200+AL201+AL203+AL204+AL205+AL206+AL207+AL208+AL209+AL210+AL183+AL186+AL187+AL188</f>
        <v>6602404.143064958</v>
      </c>
      <c r="AM179" s="210">
        <f t="shared" ref="AM179:AR179" si="86">SUM(AM180:AM181)+AM190+AM191+AM192+AM194+AM195+AM196+AM198+AM199+AM200+AM201+AM203+AM204+AM205+AM206+AM207+AM208+AM209+AM210+AM183+AM186+AM187+AM188</f>
        <v>833588.5224661394</v>
      </c>
      <c r="AN179" s="210">
        <f t="shared" si="86"/>
        <v>0</v>
      </c>
      <c r="AO179" s="210">
        <f t="shared" si="86"/>
        <v>0</v>
      </c>
      <c r="AP179" s="210">
        <f t="shared" si="86"/>
        <v>0</v>
      </c>
      <c r="AQ179" s="210">
        <f t="shared" si="86"/>
        <v>0</v>
      </c>
      <c r="AR179" s="210">
        <f t="shared" si="86"/>
        <v>0</v>
      </c>
      <c r="AS179" s="210">
        <f>SUM(AS180:AS181)+AS190+AS191+AS192+AS194+AS195+AS196+AS198+AS199+AS200+AS201+AS203+AS204+AS205+AS206+AS207+AS208+AS209+AS210+AS183+AS186+AS187+AS188</f>
        <v>10184647.465531096</v>
      </c>
      <c r="AT179" s="210">
        <f>SUM(AT180:AT211)</f>
        <v>1734580.26</v>
      </c>
      <c r="AU179" s="210">
        <f>SUM(AU180:AU188)+AU190+AU191+AU192+AU194+AU195+AU196+AU198+AU199+AU200+AU201+AU203+AU204+AU205+AU206+AU207+AU208+AU209+AU210</f>
        <v>10184647.465531098</v>
      </c>
      <c r="AV179" s="146">
        <f>IFERROR(VLOOKUP(J179,Maksājumu_pieprasījumu_iesn.!G:BL,57,0),0)</f>
        <v>0</v>
      </c>
      <c r="AW179" s="139">
        <f t="shared" si="64"/>
        <v>-10184647.465531098</v>
      </c>
      <c r="AX179" s="210">
        <f>SUM(AX180:AX188)+AX190+AX191+AX192+AX194+AX195+AX196+AX198+AX199+AX200+AX201+AX203+AX204+AX205+AX206+AX207+AX208+AX209+AX210</f>
        <v>0.34344026411417872</v>
      </c>
      <c r="AY179" s="210">
        <f>AY211+AY185</f>
        <v>64483.557376602366</v>
      </c>
      <c r="AZ179" s="210"/>
      <c r="BA179" s="211"/>
      <c r="BB179" s="211"/>
      <c r="BC179" s="211">
        <f>X179+AK179+AL179/2</f>
        <v>6049856.8715324793</v>
      </c>
      <c r="BD179" s="211"/>
      <c r="BE179" s="211">
        <f>BC179/0.85</f>
        <v>7117478.672391152</v>
      </c>
      <c r="BF179" s="210"/>
      <c r="BG179" s="210"/>
      <c r="BH179" s="211">
        <v>465240</v>
      </c>
      <c r="BI179" s="211">
        <v>3572518.6330414899</v>
      </c>
      <c r="BJ179" s="211"/>
      <c r="BK179" s="211"/>
      <c r="BL179" s="211">
        <v>3083370.03696898</v>
      </c>
      <c r="BM179" s="211"/>
      <c r="BN179" s="211"/>
    </row>
    <row r="180" spans="1:66" s="91" customFormat="1" ht="63.75" hidden="1" customHeight="1" x14ac:dyDescent="0.2">
      <c r="A180" s="150" t="s">
        <v>1185</v>
      </c>
      <c r="B180" s="18" t="s">
        <v>57</v>
      </c>
      <c r="C180" s="18" t="s">
        <v>58</v>
      </c>
      <c r="D180" s="19" t="s">
        <v>569</v>
      </c>
      <c r="E180" s="55">
        <v>2</v>
      </c>
      <c r="F180" s="55" t="s">
        <v>35</v>
      </c>
      <c r="G180" s="55" t="s">
        <v>5</v>
      </c>
      <c r="H180" s="55" t="s">
        <v>3</v>
      </c>
      <c r="I180" s="55"/>
      <c r="J180" s="55"/>
      <c r="K180" s="19" t="s">
        <v>703</v>
      </c>
      <c r="L180" s="19"/>
      <c r="M180" s="19"/>
      <c r="N180" s="19" t="s">
        <v>1217</v>
      </c>
      <c r="O180" s="151">
        <v>43008</v>
      </c>
      <c r="P180" s="151"/>
      <c r="Q180" s="151"/>
      <c r="R180" s="151"/>
      <c r="S180" s="152">
        <v>417055</v>
      </c>
      <c r="T180" s="152">
        <v>25438.3706216219</v>
      </c>
      <c r="U180" s="145">
        <v>0</v>
      </c>
      <c r="V180" s="145">
        <v>0</v>
      </c>
      <c r="W180" s="145">
        <v>0</v>
      </c>
      <c r="X180" s="145">
        <f t="shared" ref="X180:X210" si="87">W180+V180+U180</f>
        <v>0</v>
      </c>
      <c r="Y180" s="145">
        <v>0</v>
      </c>
      <c r="Z180" s="145">
        <v>0</v>
      </c>
      <c r="AA180" s="145">
        <v>0</v>
      </c>
      <c r="AB180" s="145">
        <v>0</v>
      </c>
      <c r="AC180" s="145">
        <v>0</v>
      </c>
      <c r="AD180" s="145">
        <v>0</v>
      </c>
      <c r="AE180" s="145">
        <v>0</v>
      </c>
      <c r="AF180" s="145">
        <v>0</v>
      </c>
      <c r="AG180" s="145">
        <v>0</v>
      </c>
      <c r="AH180" s="145">
        <v>0</v>
      </c>
      <c r="AI180" s="145">
        <v>0</v>
      </c>
      <c r="AJ180" s="145">
        <v>0</v>
      </c>
      <c r="AK180" s="145">
        <f>SUM(Y180:AJ180)</f>
        <v>0</v>
      </c>
      <c r="AL180" s="145">
        <v>391616.6293783781</v>
      </c>
      <c r="AM180" s="145">
        <v>0</v>
      </c>
      <c r="AN180" s="145">
        <v>0</v>
      </c>
      <c r="AO180" s="145">
        <v>0</v>
      </c>
      <c r="AP180" s="145">
        <v>0</v>
      </c>
      <c r="AQ180" s="145">
        <v>0</v>
      </c>
      <c r="AR180" s="145">
        <v>0</v>
      </c>
      <c r="AS180" s="201">
        <f>U180+V180+W180+AK180+AL180+AM180+AN180+AO180+AP180+AQ180+AR180</f>
        <v>391616.6293783781</v>
      </c>
      <c r="AT180" s="201"/>
      <c r="AU180" s="199">
        <f t="shared" ref="AU180:AU249" si="88">AS180-AT180</f>
        <v>391616.6293783781</v>
      </c>
      <c r="AV180" s="146">
        <f>IFERROR(VLOOKUP(J180,Maksājumu_pieprasījumu_iesn.!G:BL,57,0),0)</f>
        <v>0</v>
      </c>
      <c r="AW180" s="139">
        <f t="shared" si="64"/>
        <v>-391616.6293783781</v>
      </c>
      <c r="AX180" s="200">
        <f>S180-T180-AU180</f>
        <v>0</v>
      </c>
      <c r="AY180" s="153" t="s">
        <v>1085</v>
      </c>
      <c r="AZ180" s="153"/>
      <c r="BA180" s="136" t="s">
        <v>1086</v>
      </c>
      <c r="BB180" s="145"/>
      <c r="BC180" s="145"/>
      <c r="BD180" s="145"/>
      <c r="BE180" s="145"/>
      <c r="BF180" s="145"/>
      <c r="BG180" s="145"/>
      <c r="BH180" s="138"/>
      <c r="BI180" s="138"/>
      <c r="BJ180" s="138"/>
      <c r="BK180" s="138"/>
      <c r="BL180" s="138"/>
      <c r="BM180" s="138"/>
      <c r="BN180" s="138"/>
    </row>
    <row r="181" spans="1:66" ht="25.5" hidden="1" customHeight="1" x14ac:dyDescent="0.2">
      <c r="A181" s="142" t="s">
        <v>1185</v>
      </c>
      <c r="B181" s="18" t="s">
        <v>57</v>
      </c>
      <c r="C181" s="18" t="s">
        <v>58</v>
      </c>
      <c r="D181" s="19" t="s">
        <v>569</v>
      </c>
      <c r="E181" s="18">
        <v>2</v>
      </c>
      <c r="F181" s="18" t="s">
        <v>35</v>
      </c>
      <c r="G181" s="18" t="s">
        <v>5</v>
      </c>
      <c r="H181" s="18" t="s">
        <v>3</v>
      </c>
      <c r="I181" s="18"/>
      <c r="J181" s="18" t="s">
        <v>62</v>
      </c>
      <c r="K181" s="19" t="s">
        <v>63</v>
      </c>
      <c r="L181" s="19"/>
      <c r="M181" s="19"/>
      <c r="N181" s="19" t="s">
        <v>64</v>
      </c>
      <c r="O181" s="143"/>
      <c r="P181" s="143"/>
      <c r="Q181" s="143"/>
      <c r="R181" s="143">
        <v>42767</v>
      </c>
      <c r="S181" s="144">
        <v>197610.45</v>
      </c>
      <c r="T181" s="144">
        <v>0</v>
      </c>
      <c r="U181" s="145">
        <v>0</v>
      </c>
      <c r="V181" s="145">
        <v>0</v>
      </c>
      <c r="W181" s="145">
        <v>0</v>
      </c>
      <c r="X181" s="145">
        <f t="shared" si="87"/>
        <v>0</v>
      </c>
      <c r="Y181" s="145">
        <v>0</v>
      </c>
      <c r="Z181" s="145">
        <v>0</v>
      </c>
      <c r="AA181" s="145">
        <v>0</v>
      </c>
      <c r="AB181" s="145">
        <v>0</v>
      </c>
      <c r="AC181" s="145">
        <v>88924.7</v>
      </c>
      <c r="AD181" s="145">
        <v>0</v>
      </c>
      <c r="AE181" s="145">
        <v>0</v>
      </c>
      <c r="AF181" s="420">
        <v>88924.71</v>
      </c>
      <c r="AG181" s="145">
        <v>0</v>
      </c>
      <c r="AH181" s="145">
        <v>0</v>
      </c>
      <c r="AI181" s="145">
        <v>0</v>
      </c>
      <c r="AJ181" s="145">
        <v>19761.04</v>
      </c>
      <c r="AK181" s="145">
        <f>SUM(Y181:AJ181)</f>
        <v>197610.45</v>
      </c>
      <c r="AL181" s="145">
        <v>0</v>
      </c>
      <c r="AM181" s="145">
        <v>0</v>
      </c>
      <c r="AN181" s="145">
        <v>0</v>
      </c>
      <c r="AO181" s="145">
        <v>0</v>
      </c>
      <c r="AP181" s="145">
        <v>0</v>
      </c>
      <c r="AQ181" s="145">
        <v>0</v>
      </c>
      <c r="AR181" s="145">
        <v>0</v>
      </c>
      <c r="AS181" s="201">
        <f>U181+V181+W181+AK181+AL181+AM181+AN181+AO181+AP181+AQ181+AR181</f>
        <v>197610.45</v>
      </c>
      <c r="AT181" s="201">
        <v>0</v>
      </c>
      <c r="AU181" s="199">
        <f>AS181-AT181</f>
        <v>197610.45</v>
      </c>
      <c r="AV181" s="146">
        <f>IFERROR(VLOOKUP(J181,Maksājumu_pieprasījumu_iesn.!G:BL,57,0),0)</f>
        <v>0</v>
      </c>
      <c r="AW181" s="139">
        <f t="shared" si="64"/>
        <v>-197610.45</v>
      </c>
      <c r="AX181" s="200">
        <f>S181-T181-AU181</f>
        <v>0</v>
      </c>
      <c r="AY181" s="213"/>
      <c r="AZ181" s="213"/>
      <c r="BA181" s="165"/>
      <c r="BB181" s="145"/>
      <c r="BC181" s="144"/>
      <c r="BD181" s="144"/>
      <c r="BE181" s="144"/>
      <c r="BF181" s="144"/>
      <c r="BG181" s="144"/>
      <c r="BH181" s="149"/>
      <c r="BI181" s="149"/>
      <c r="BJ181" s="149"/>
      <c r="BK181" s="149"/>
      <c r="BL181" s="149"/>
      <c r="BM181" s="149"/>
      <c r="BN181" s="149"/>
    </row>
    <row r="182" spans="1:66" ht="25.5" hidden="1" customHeight="1" x14ac:dyDescent="0.2">
      <c r="A182" s="142" t="s">
        <v>1185</v>
      </c>
      <c r="B182" s="18" t="s">
        <v>57</v>
      </c>
      <c r="C182" s="18" t="s">
        <v>58</v>
      </c>
      <c r="D182" s="19" t="s">
        <v>569</v>
      </c>
      <c r="E182" s="18">
        <v>2</v>
      </c>
      <c r="F182" s="18" t="s">
        <v>35</v>
      </c>
      <c r="G182" s="18" t="s">
        <v>5</v>
      </c>
      <c r="H182" s="18" t="s">
        <v>3</v>
      </c>
      <c r="I182" s="18"/>
      <c r="J182" s="18" t="s">
        <v>62</v>
      </c>
      <c r="K182" s="19" t="s">
        <v>63</v>
      </c>
      <c r="L182" s="19"/>
      <c r="M182" s="19"/>
      <c r="N182" s="19" t="s">
        <v>64</v>
      </c>
      <c r="O182" s="143" t="s">
        <v>880</v>
      </c>
      <c r="P182" s="143"/>
      <c r="Q182" s="143"/>
      <c r="R182" s="143"/>
      <c r="S182" s="144"/>
      <c r="T182" s="144"/>
      <c r="U182" s="145"/>
      <c r="V182" s="145"/>
      <c r="W182" s="145"/>
      <c r="X182" s="145">
        <f>W182+V182+U182</f>
        <v>0</v>
      </c>
      <c r="Y182" s="145"/>
      <c r="Z182" s="145">
        <v>177849</v>
      </c>
      <c r="AA182" s="145"/>
      <c r="AB182" s="145"/>
      <c r="AC182" s="145"/>
      <c r="AD182" s="145"/>
      <c r="AE182" s="145"/>
      <c r="AF182" s="145"/>
      <c r="AG182" s="145"/>
      <c r="AH182" s="145"/>
      <c r="AI182" s="145"/>
      <c r="AJ182" s="145"/>
      <c r="AK182" s="145"/>
      <c r="AL182" s="145"/>
      <c r="AM182" s="145"/>
      <c r="AN182" s="145"/>
      <c r="AO182" s="145"/>
      <c r="AP182" s="145"/>
      <c r="AQ182" s="145"/>
      <c r="AR182" s="145"/>
      <c r="AS182" s="144"/>
      <c r="AT182" s="144">
        <v>177849.41</v>
      </c>
      <c r="AU182" s="146"/>
      <c r="AV182" s="146">
        <f>IFERROR(VLOOKUP(J182,Maksājumu_pieprasījumu_iesn.!G:BL,57,0),0)</f>
        <v>0</v>
      </c>
      <c r="AW182" s="139">
        <f t="shared" si="64"/>
        <v>0</v>
      </c>
      <c r="AX182" s="147"/>
      <c r="AY182" s="213"/>
      <c r="AZ182" s="213"/>
      <c r="BA182" s="165"/>
      <c r="BB182" s="145"/>
      <c r="BC182" s="144"/>
      <c r="BD182" s="144"/>
      <c r="BE182" s="144"/>
      <c r="BF182" s="144"/>
      <c r="BG182" s="144"/>
      <c r="BH182" s="149"/>
      <c r="BI182" s="149"/>
      <c r="BJ182" s="149"/>
      <c r="BK182" s="149"/>
      <c r="BL182" s="149"/>
      <c r="BM182" s="149"/>
      <c r="BN182" s="149"/>
    </row>
    <row r="183" spans="1:66" ht="63.75" hidden="1" customHeight="1" x14ac:dyDescent="0.2">
      <c r="A183" s="142" t="s">
        <v>1185</v>
      </c>
      <c r="B183" s="18" t="s">
        <v>57</v>
      </c>
      <c r="C183" s="18" t="s">
        <v>58</v>
      </c>
      <c r="D183" s="19" t="s">
        <v>569</v>
      </c>
      <c r="E183" s="18">
        <v>2</v>
      </c>
      <c r="F183" s="18" t="s">
        <v>35</v>
      </c>
      <c r="G183" s="18" t="s">
        <v>5</v>
      </c>
      <c r="H183" s="18" t="s">
        <v>3</v>
      </c>
      <c r="I183" s="18"/>
      <c r="J183" s="18" t="s">
        <v>859</v>
      </c>
      <c r="K183" s="19" t="s">
        <v>63</v>
      </c>
      <c r="L183" s="19"/>
      <c r="M183" s="19"/>
      <c r="N183" s="19" t="s">
        <v>860</v>
      </c>
      <c r="O183" s="143"/>
      <c r="P183" s="143"/>
      <c r="Q183" s="143"/>
      <c r="R183" s="214">
        <v>42850</v>
      </c>
      <c r="S183" s="144">
        <v>288452.14</v>
      </c>
      <c r="T183" s="144"/>
      <c r="U183" s="145">
        <v>0</v>
      </c>
      <c r="V183" s="145">
        <v>0</v>
      </c>
      <c r="W183" s="145">
        <v>0</v>
      </c>
      <c r="X183" s="145">
        <f t="shared" si="87"/>
        <v>0</v>
      </c>
      <c r="Y183" s="145">
        <v>0</v>
      </c>
      <c r="Z183" s="145">
        <v>0</v>
      </c>
      <c r="AA183" s="145">
        <v>0</v>
      </c>
      <c r="AB183" s="145">
        <v>0</v>
      </c>
      <c r="AC183" s="145">
        <v>0</v>
      </c>
      <c r="AD183" s="145">
        <v>0</v>
      </c>
      <c r="AE183" s="166">
        <v>129804.48</v>
      </c>
      <c r="AF183" s="145">
        <v>0</v>
      </c>
      <c r="AG183" s="145">
        <v>0</v>
      </c>
      <c r="AH183" s="145">
        <v>129804.48</v>
      </c>
      <c r="AI183" s="145">
        <v>0</v>
      </c>
      <c r="AJ183" s="145">
        <v>28843.18</v>
      </c>
      <c r="AK183" s="145">
        <f>SUM(Y183:AJ183)</f>
        <v>288452.14</v>
      </c>
      <c r="AL183" s="145">
        <v>0</v>
      </c>
      <c r="AM183" s="145">
        <v>0</v>
      </c>
      <c r="AN183" s="145">
        <v>0</v>
      </c>
      <c r="AO183" s="145">
        <v>0</v>
      </c>
      <c r="AP183" s="145">
        <v>0</v>
      </c>
      <c r="AQ183" s="145">
        <v>0</v>
      </c>
      <c r="AR183" s="145">
        <v>0</v>
      </c>
      <c r="AS183" s="201">
        <f>U183+V183+W183+AK183+AL183+AM183+AN183+AO183+AP183+AQ183+AR183</f>
        <v>288452.14</v>
      </c>
      <c r="AT183" s="202">
        <v>0</v>
      </c>
      <c r="AU183" s="199">
        <f t="shared" si="88"/>
        <v>288452.14</v>
      </c>
      <c r="AV183" s="146">
        <f>IFERROR(VLOOKUP(J183,Maksājumu_pieprasījumu_iesn.!G:BL,57,0),0)</f>
        <v>0</v>
      </c>
      <c r="AW183" s="139">
        <f t="shared" si="64"/>
        <v>-288452.14</v>
      </c>
      <c r="AX183" s="200">
        <f>S183-T183-AU183</f>
        <v>0</v>
      </c>
      <c r="AY183" s="153"/>
      <c r="AZ183" s="153"/>
      <c r="BA183" s="136"/>
      <c r="BB183" s="145"/>
      <c r="BC183" s="144"/>
      <c r="BD183" s="144"/>
      <c r="BE183" s="144"/>
      <c r="BF183" s="144"/>
      <c r="BG183" s="144"/>
      <c r="BH183" s="149"/>
      <c r="BI183" s="149"/>
      <c r="BJ183" s="149"/>
      <c r="BK183" s="149"/>
      <c r="BL183" s="149"/>
      <c r="BM183" s="149"/>
      <c r="BN183" s="149"/>
    </row>
    <row r="184" spans="1:66" ht="63.75" hidden="1" customHeight="1" x14ac:dyDescent="0.2">
      <c r="A184" s="142" t="s">
        <v>1185</v>
      </c>
      <c r="B184" s="18" t="s">
        <v>57</v>
      </c>
      <c r="C184" s="18" t="s">
        <v>58</v>
      </c>
      <c r="D184" s="19" t="s">
        <v>569</v>
      </c>
      <c r="E184" s="18">
        <v>2</v>
      </c>
      <c r="F184" s="18" t="s">
        <v>35</v>
      </c>
      <c r="G184" s="18" t="s">
        <v>5</v>
      </c>
      <c r="H184" s="18" t="s">
        <v>3</v>
      </c>
      <c r="I184" s="18"/>
      <c r="J184" s="18" t="s">
        <v>859</v>
      </c>
      <c r="K184" s="19" t="s">
        <v>63</v>
      </c>
      <c r="L184" s="19"/>
      <c r="M184" s="19"/>
      <c r="N184" s="19" t="s">
        <v>860</v>
      </c>
      <c r="O184" s="143" t="s">
        <v>880</v>
      </c>
      <c r="P184" s="143"/>
      <c r="Q184" s="143"/>
      <c r="R184" s="214"/>
      <c r="S184" s="144"/>
      <c r="T184" s="144"/>
      <c r="U184" s="145"/>
      <c r="V184" s="145"/>
      <c r="W184" s="145"/>
      <c r="X184" s="145"/>
      <c r="Y184" s="145"/>
      <c r="Z184" s="145"/>
      <c r="AA184" s="145"/>
      <c r="AB184" s="145">
        <v>259606.92</v>
      </c>
      <c r="AC184" s="145"/>
      <c r="AD184" s="145"/>
      <c r="AE184" s="145"/>
      <c r="AF184" s="145"/>
      <c r="AG184" s="145"/>
      <c r="AH184" s="145"/>
      <c r="AI184" s="145"/>
      <c r="AJ184" s="145"/>
      <c r="AK184" s="145">
        <f>SUM(Y184:AJ184)</f>
        <v>259606.92</v>
      </c>
      <c r="AL184" s="145"/>
      <c r="AM184" s="145"/>
      <c r="AN184" s="145"/>
      <c r="AO184" s="145"/>
      <c r="AP184" s="145"/>
      <c r="AQ184" s="145"/>
      <c r="AR184" s="145"/>
      <c r="AT184" s="201">
        <f>U184+V184+W184+AK184+AL184+AM184+AN184+AO184+AP184+AQ184+AR184</f>
        <v>259606.92</v>
      </c>
      <c r="AU184" s="199"/>
      <c r="AV184" s="146">
        <f>IFERROR(VLOOKUP(J184,Maksājumu_pieprasījumu_iesn.!G:BL,57,0),0)</f>
        <v>0</v>
      </c>
      <c r="AW184" s="139">
        <f t="shared" si="64"/>
        <v>0</v>
      </c>
      <c r="AX184" s="200"/>
      <c r="AY184" s="153"/>
      <c r="AZ184" s="153"/>
      <c r="BA184" s="136"/>
      <c r="BB184" s="145"/>
      <c r="BC184" s="144"/>
      <c r="BD184" s="144"/>
      <c r="BE184" s="144"/>
      <c r="BF184" s="144"/>
      <c r="BG184" s="144"/>
      <c r="BH184" s="149"/>
      <c r="BI184" s="149"/>
      <c r="BJ184" s="149"/>
      <c r="BK184" s="149"/>
      <c r="BL184" s="149"/>
      <c r="BM184" s="149"/>
      <c r="BN184" s="149"/>
    </row>
    <row r="185" spans="1:66" ht="63.75" hidden="1" customHeight="1" x14ac:dyDescent="0.2">
      <c r="A185" s="142" t="s">
        <v>1185</v>
      </c>
      <c r="B185" s="18" t="s">
        <v>57</v>
      </c>
      <c r="C185" s="18" t="s">
        <v>58</v>
      </c>
      <c r="D185" s="19" t="s">
        <v>569</v>
      </c>
      <c r="E185" s="18">
        <v>3</v>
      </c>
      <c r="F185" s="18" t="s">
        <v>35</v>
      </c>
      <c r="G185" s="18" t="s">
        <v>5</v>
      </c>
      <c r="H185" s="18" t="s">
        <v>3</v>
      </c>
      <c r="I185" s="18"/>
      <c r="J185" s="18"/>
      <c r="K185" s="19" t="s">
        <v>63</v>
      </c>
      <c r="L185" s="19"/>
      <c r="M185" s="19"/>
      <c r="N185" s="19"/>
      <c r="O185" s="143"/>
      <c r="P185" s="143"/>
      <c r="Q185" s="143"/>
      <c r="R185" s="214"/>
      <c r="S185" s="144">
        <v>64449</v>
      </c>
      <c r="T185" s="144">
        <v>33578.612623395697</v>
      </c>
      <c r="U185" s="145"/>
      <c r="V185" s="145"/>
      <c r="W185" s="145"/>
      <c r="X185" s="145"/>
      <c r="Y185" s="145"/>
      <c r="Z185" s="145"/>
      <c r="AA185" s="145"/>
      <c r="AB185" s="145"/>
      <c r="AC185" s="145"/>
      <c r="AD185" s="145"/>
      <c r="AE185" s="145"/>
      <c r="AF185" s="145"/>
      <c r="AG185" s="145"/>
      <c r="AH185" s="145"/>
      <c r="AI185" s="145"/>
      <c r="AJ185" s="145"/>
      <c r="AK185" s="145"/>
      <c r="AL185" s="145"/>
      <c r="AM185" s="145"/>
      <c r="AN185" s="145"/>
      <c r="AO185" s="145"/>
      <c r="AP185" s="145"/>
      <c r="AQ185" s="145"/>
      <c r="AR185" s="145"/>
      <c r="AS185" s="201"/>
      <c r="AT185" s="202"/>
      <c r="AU185" s="199"/>
      <c r="AV185" s="146">
        <f>IFERROR(VLOOKUP(J185,Maksājumu_pieprasījumu_iesn.!G:BL,57,0),0)</f>
        <v>0</v>
      </c>
      <c r="AW185" s="139">
        <f t="shared" si="64"/>
        <v>0</v>
      </c>
      <c r="AX185" s="200"/>
      <c r="AY185" s="153">
        <f>S185-T185</f>
        <v>30870.387376604303</v>
      </c>
      <c r="AZ185" s="153"/>
      <c r="BA185" s="136" t="s">
        <v>1086</v>
      </c>
      <c r="BB185" s="145"/>
      <c r="BC185" s="144"/>
      <c r="BD185" s="144"/>
      <c r="BE185" s="144"/>
      <c r="BF185" s="144"/>
      <c r="BG185" s="144"/>
      <c r="BH185" s="149"/>
      <c r="BI185" s="149"/>
      <c r="BJ185" s="149"/>
      <c r="BK185" s="149"/>
      <c r="BL185" s="149"/>
      <c r="BM185" s="149"/>
      <c r="BN185" s="149"/>
    </row>
    <row r="186" spans="1:66" s="91" customFormat="1" ht="38.25" hidden="1" customHeight="1" x14ac:dyDescent="0.2">
      <c r="A186" s="150" t="s">
        <v>1185</v>
      </c>
      <c r="B186" s="18" t="s">
        <v>57</v>
      </c>
      <c r="C186" s="18" t="s">
        <v>58</v>
      </c>
      <c r="D186" s="19" t="s">
        <v>569</v>
      </c>
      <c r="E186" s="55">
        <v>2</v>
      </c>
      <c r="F186" s="55" t="s">
        <v>35</v>
      </c>
      <c r="G186" s="55" t="s">
        <v>5</v>
      </c>
      <c r="H186" s="55" t="s">
        <v>3</v>
      </c>
      <c r="I186" s="55"/>
      <c r="J186" s="55"/>
      <c r="K186" s="19" t="s">
        <v>1218</v>
      </c>
      <c r="L186" s="19"/>
      <c r="M186" s="19"/>
      <c r="N186" s="19" t="s">
        <v>1219</v>
      </c>
      <c r="O186" s="151">
        <v>43007</v>
      </c>
      <c r="P186" s="151"/>
      <c r="Q186" s="151"/>
      <c r="R186" s="151"/>
      <c r="S186" s="152">
        <v>720671</v>
      </c>
      <c r="T186" s="152">
        <v>43957.501994352897</v>
      </c>
      <c r="U186" s="145">
        <v>0</v>
      </c>
      <c r="V186" s="145">
        <v>0</v>
      </c>
      <c r="W186" s="145">
        <v>0</v>
      </c>
      <c r="X186" s="145">
        <f t="shared" si="87"/>
        <v>0</v>
      </c>
      <c r="Y186" s="145">
        <v>0</v>
      </c>
      <c r="Z186" s="145">
        <v>0</v>
      </c>
      <c r="AA186" s="145">
        <v>0</v>
      </c>
      <c r="AB186" s="145">
        <v>0</v>
      </c>
      <c r="AC186" s="145">
        <v>0</v>
      </c>
      <c r="AD186" s="145">
        <v>0</v>
      </c>
      <c r="AE186" s="145">
        <v>0</v>
      </c>
      <c r="AF186" s="145">
        <v>0</v>
      </c>
      <c r="AG186" s="145">
        <v>0</v>
      </c>
      <c r="AH186" s="145">
        <v>0</v>
      </c>
      <c r="AI186" s="145">
        <v>0</v>
      </c>
      <c r="AJ186" s="145">
        <v>0</v>
      </c>
      <c r="AK186" s="145">
        <f>SUM(Y186:AJ186)</f>
        <v>0</v>
      </c>
      <c r="AL186" s="145">
        <v>676713.06900000002</v>
      </c>
      <c r="AM186" s="145">
        <v>0</v>
      </c>
      <c r="AN186" s="145">
        <v>0</v>
      </c>
      <c r="AO186" s="145">
        <v>0</v>
      </c>
      <c r="AP186" s="145">
        <v>0</v>
      </c>
      <c r="AQ186" s="145">
        <v>0</v>
      </c>
      <c r="AR186" s="145">
        <v>0</v>
      </c>
      <c r="AS186" s="201">
        <f>U186+V186+W186+AK186+AL186+AM186+AN186+AO186+AP186+AQ186+AR186</f>
        <v>676713.06900000002</v>
      </c>
      <c r="AT186" s="201"/>
      <c r="AU186" s="199">
        <f t="shared" si="88"/>
        <v>676713.06900000002</v>
      </c>
      <c r="AV186" s="146">
        <f>IFERROR(VLOOKUP(J186,Maksājumu_pieprasījumu_iesn.!G:BL,57,0),0)</f>
        <v>0</v>
      </c>
      <c r="AW186" s="139">
        <f t="shared" si="64"/>
        <v>-676713.06900000002</v>
      </c>
      <c r="AX186" s="200">
        <f t="shared" ref="AX186:AX196" si="89">S186-T186-AU186</f>
        <v>0.42900564707815647</v>
      </c>
      <c r="AY186" s="153" t="s">
        <v>1085</v>
      </c>
      <c r="AZ186" s="153"/>
      <c r="BA186" s="136" t="s">
        <v>1086</v>
      </c>
      <c r="BB186" s="145"/>
      <c r="BC186" s="145"/>
      <c r="BD186" s="145"/>
      <c r="BE186" s="145"/>
      <c r="BF186" s="145"/>
      <c r="BG186" s="145"/>
      <c r="BH186" s="138"/>
      <c r="BI186" s="138"/>
      <c r="BJ186" s="138"/>
      <c r="BK186" s="138"/>
      <c r="BL186" s="138"/>
      <c r="BM186" s="138"/>
      <c r="BN186" s="138"/>
    </row>
    <row r="187" spans="1:66" s="91" customFormat="1" ht="38.25" hidden="1" customHeight="1" x14ac:dyDescent="0.2">
      <c r="A187" s="150" t="s">
        <v>1185</v>
      </c>
      <c r="B187" s="18" t="s">
        <v>57</v>
      </c>
      <c r="C187" s="18" t="s">
        <v>58</v>
      </c>
      <c r="D187" s="19" t="s">
        <v>569</v>
      </c>
      <c r="E187" s="55">
        <v>2</v>
      </c>
      <c r="F187" s="55" t="s">
        <v>35</v>
      </c>
      <c r="G187" s="55" t="s">
        <v>5</v>
      </c>
      <c r="H187" s="55" t="s">
        <v>3</v>
      </c>
      <c r="I187" s="55"/>
      <c r="J187" s="55" t="s">
        <v>1220</v>
      </c>
      <c r="K187" s="19" t="s">
        <v>894</v>
      </c>
      <c r="L187" s="19"/>
      <c r="M187" s="19"/>
      <c r="N187" s="19" t="s">
        <v>895</v>
      </c>
      <c r="O187" s="151">
        <v>42855</v>
      </c>
      <c r="P187" s="151"/>
      <c r="Q187" s="151"/>
      <c r="R187" s="151"/>
      <c r="S187" s="152">
        <v>504636</v>
      </c>
      <c r="T187" s="152">
        <v>30780.394904779401</v>
      </c>
      <c r="U187" s="145">
        <v>0</v>
      </c>
      <c r="V187" s="145">
        <v>0</v>
      </c>
      <c r="W187" s="145">
        <v>0</v>
      </c>
      <c r="X187" s="145">
        <f t="shared" si="87"/>
        <v>0</v>
      </c>
      <c r="Y187" s="145">
        <v>0</v>
      </c>
      <c r="Z187" s="145">
        <v>0</v>
      </c>
      <c r="AA187" s="145">
        <v>0</v>
      </c>
      <c r="AB187" s="145">
        <v>0</v>
      </c>
      <c r="AC187" s="145">
        <v>0</v>
      </c>
      <c r="AD187" s="145">
        <v>0</v>
      </c>
      <c r="AE187" s="145">
        <v>0</v>
      </c>
      <c r="AF187" s="145">
        <v>0</v>
      </c>
      <c r="AG187" s="145">
        <v>0</v>
      </c>
      <c r="AH187" s="145">
        <v>0</v>
      </c>
      <c r="AI187" s="145">
        <v>0</v>
      </c>
      <c r="AJ187" s="145">
        <v>100000</v>
      </c>
      <c r="AK187" s="145">
        <f>SUM(Y187:AJ187)</f>
        <v>100000</v>
      </c>
      <c r="AL187" s="145">
        <v>373855.61</v>
      </c>
      <c r="AM187" s="145">
        <v>0</v>
      </c>
      <c r="AN187" s="145">
        <v>0</v>
      </c>
      <c r="AO187" s="145">
        <v>0</v>
      </c>
      <c r="AP187" s="145">
        <v>0</v>
      </c>
      <c r="AQ187" s="145">
        <v>0</v>
      </c>
      <c r="AR187" s="145">
        <v>0</v>
      </c>
      <c r="AS187" s="201">
        <f>U187+V187+W187+AK187+AL187+AM187+AN187+AO187+AP187+AQ187+AR187</f>
        <v>473855.61</v>
      </c>
      <c r="AT187" s="201"/>
      <c r="AU187" s="199">
        <f t="shared" si="88"/>
        <v>473855.61</v>
      </c>
      <c r="AV187" s="146">
        <f>IFERROR(VLOOKUP(J187,Maksājumu_pieprasījumu_iesn.!G:BL,57,0),0)</f>
        <v>0</v>
      </c>
      <c r="AW187" s="139">
        <f t="shared" si="64"/>
        <v>-473855.61</v>
      </c>
      <c r="AX187" s="200">
        <f t="shared" si="89"/>
        <v>-4.9047793727368116E-3</v>
      </c>
      <c r="AY187" s="153"/>
      <c r="AZ187" s="153"/>
      <c r="BA187" s="136"/>
      <c r="BB187" s="145"/>
      <c r="BC187" s="145"/>
      <c r="BD187" s="145"/>
      <c r="BE187" s="145"/>
      <c r="BF187" s="145"/>
      <c r="BG187" s="145"/>
      <c r="BH187" s="138"/>
      <c r="BI187" s="138"/>
      <c r="BJ187" s="138"/>
      <c r="BK187" s="138"/>
      <c r="BL187" s="138"/>
      <c r="BM187" s="138"/>
      <c r="BN187" s="138"/>
    </row>
    <row r="188" spans="1:66" ht="38.25" hidden="1" customHeight="1" x14ac:dyDescent="0.2">
      <c r="A188" s="142" t="s">
        <v>1185</v>
      </c>
      <c r="B188" s="18" t="s">
        <v>57</v>
      </c>
      <c r="C188" s="18" t="s">
        <v>58</v>
      </c>
      <c r="D188" s="19" t="s">
        <v>569</v>
      </c>
      <c r="E188" s="18">
        <v>2</v>
      </c>
      <c r="F188" s="18" t="s">
        <v>35</v>
      </c>
      <c r="G188" s="18" t="s">
        <v>5</v>
      </c>
      <c r="H188" s="18" t="s">
        <v>3</v>
      </c>
      <c r="I188" s="18"/>
      <c r="J188" s="18" t="s">
        <v>661</v>
      </c>
      <c r="K188" s="19" t="s">
        <v>662</v>
      </c>
      <c r="L188" s="19"/>
      <c r="M188" s="19"/>
      <c r="N188" s="19" t="s">
        <v>663</v>
      </c>
      <c r="O188" s="143"/>
      <c r="P188" s="143"/>
      <c r="Q188" s="143"/>
      <c r="R188" s="187" t="s">
        <v>1221</v>
      </c>
      <c r="S188" s="144">
        <v>417055</v>
      </c>
      <c r="T188" s="144">
        <v>25438.3706216219</v>
      </c>
      <c r="U188" s="145">
        <v>0</v>
      </c>
      <c r="V188" s="145">
        <v>0</v>
      </c>
      <c r="W188" s="145">
        <v>0</v>
      </c>
      <c r="X188" s="145">
        <f t="shared" si="87"/>
        <v>0</v>
      </c>
      <c r="Y188" s="145">
        <v>0</v>
      </c>
      <c r="Z188" s="145">
        <v>0</v>
      </c>
      <c r="AA188" s="145">
        <v>0</v>
      </c>
      <c r="AB188" s="145">
        <v>0</v>
      </c>
      <c r="AC188" s="145">
        <v>0</v>
      </c>
      <c r="AD188" s="145">
        <v>0</v>
      </c>
      <c r="AE188" s="145">
        <v>0</v>
      </c>
      <c r="AF188" s="420">
        <v>176683.89</v>
      </c>
      <c r="AG188" s="145">
        <v>0</v>
      </c>
      <c r="AH188" s="145">
        <v>0</v>
      </c>
      <c r="AI188" s="145">
        <v>50131.48</v>
      </c>
      <c r="AJ188" s="145">
        <v>0</v>
      </c>
      <c r="AK188" s="145">
        <f>SUM(Y188:AJ188)</f>
        <v>226815.37000000002</v>
      </c>
      <c r="AL188" s="145">
        <v>164801.32</v>
      </c>
      <c r="AM188" s="145">
        <v>0</v>
      </c>
      <c r="AN188" s="145">
        <v>0</v>
      </c>
      <c r="AO188" s="145">
        <v>0</v>
      </c>
      <c r="AP188" s="145">
        <v>0</v>
      </c>
      <c r="AQ188" s="145">
        <v>0</v>
      </c>
      <c r="AR188" s="145">
        <v>0</v>
      </c>
      <c r="AS188" s="201">
        <f>U188+V188+W188+AK188+AL188+AM188+AN188+AO188+AP188+AQ188+AR188</f>
        <v>391616.69000000006</v>
      </c>
      <c r="AT188" s="202"/>
      <c r="AU188" s="199">
        <f>AS188-AT188</f>
        <v>391616.69000000006</v>
      </c>
      <c r="AV188" s="146">
        <f>IFERROR(VLOOKUP(J188,Maksājumu_pieprasījumu_iesn.!G:BL,57,0),0)</f>
        <v>0</v>
      </c>
      <c r="AW188" s="139">
        <f t="shared" si="64"/>
        <v>-391616.69000000006</v>
      </c>
      <c r="AX188" s="200">
        <f t="shared" si="89"/>
        <v>-6.0621621960308403E-2</v>
      </c>
      <c r="AY188" s="203"/>
      <c r="AZ188" s="203"/>
      <c r="BA188" s="146"/>
      <c r="BB188" s="145"/>
      <c r="BC188" s="144"/>
      <c r="BD188" s="144"/>
      <c r="BE188" s="144"/>
      <c r="BF188" s="144"/>
      <c r="BG188" s="144"/>
      <c r="BH188" s="149"/>
      <c r="BI188" s="149"/>
      <c r="BJ188" s="149"/>
      <c r="BK188" s="149"/>
      <c r="BL188" s="149"/>
      <c r="BM188" s="149"/>
      <c r="BN188" s="149"/>
    </row>
    <row r="189" spans="1:66" ht="38.25" hidden="1" customHeight="1" x14ac:dyDescent="0.2">
      <c r="A189" s="142" t="s">
        <v>1185</v>
      </c>
      <c r="B189" s="18" t="s">
        <v>57</v>
      </c>
      <c r="C189" s="18" t="s">
        <v>58</v>
      </c>
      <c r="D189" s="19" t="s">
        <v>569</v>
      </c>
      <c r="E189" s="18">
        <v>2</v>
      </c>
      <c r="F189" s="18" t="s">
        <v>35</v>
      </c>
      <c r="G189" s="18" t="s">
        <v>5</v>
      </c>
      <c r="H189" s="18" t="s">
        <v>3</v>
      </c>
      <c r="I189" s="18"/>
      <c r="J189" s="18" t="s">
        <v>661</v>
      </c>
      <c r="K189" s="19" t="s">
        <v>662</v>
      </c>
      <c r="L189" s="19"/>
      <c r="M189" s="19"/>
      <c r="N189" s="19" t="s">
        <v>663</v>
      </c>
      <c r="O189" s="143" t="s">
        <v>880</v>
      </c>
      <c r="P189" s="143"/>
      <c r="Q189" s="143"/>
      <c r="R189" s="187"/>
      <c r="S189" s="144"/>
      <c r="T189" s="144"/>
      <c r="U189" s="145"/>
      <c r="V189" s="145"/>
      <c r="W189" s="145"/>
      <c r="X189" s="145">
        <f>W189+V189+U189</f>
        <v>0</v>
      </c>
      <c r="Y189" s="145"/>
      <c r="Z189" s="145"/>
      <c r="AA189" s="145"/>
      <c r="AB189" s="145">
        <v>156646</v>
      </c>
      <c r="AC189" s="145"/>
      <c r="AD189" s="145"/>
      <c r="AE189" s="145"/>
      <c r="AF189" s="145"/>
      <c r="AG189" s="145"/>
      <c r="AH189" s="145"/>
      <c r="AI189" s="145"/>
      <c r="AJ189" s="145"/>
      <c r="AK189" s="145"/>
      <c r="AL189" s="145"/>
      <c r="AM189" s="145"/>
      <c r="AN189" s="145"/>
      <c r="AO189" s="145"/>
      <c r="AP189" s="145"/>
      <c r="AQ189" s="145"/>
      <c r="AR189" s="145"/>
      <c r="AS189" s="201"/>
      <c r="AT189" s="215">
        <v>156646</v>
      </c>
      <c r="AU189" s="216"/>
      <c r="AV189" s="146">
        <f>IFERROR(VLOOKUP(J189,Maksājumu_pieprasījumu_iesn.!G:BL,57,0),0)</f>
        <v>0</v>
      </c>
      <c r="AW189" s="139">
        <f t="shared" si="64"/>
        <v>0</v>
      </c>
      <c r="AX189" s="200">
        <f t="shared" si="89"/>
        <v>0</v>
      </c>
      <c r="AY189" s="217"/>
      <c r="AZ189" s="217"/>
      <c r="BA189" s="146"/>
      <c r="BB189" s="145"/>
      <c r="BC189" s="144"/>
      <c r="BD189" s="144"/>
      <c r="BE189" s="144"/>
      <c r="BF189" s="144"/>
      <c r="BG189" s="144"/>
      <c r="BH189" s="149"/>
      <c r="BI189" s="149"/>
      <c r="BJ189" s="149"/>
      <c r="BK189" s="149"/>
      <c r="BL189" s="149"/>
      <c r="BM189" s="149"/>
      <c r="BN189" s="149"/>
    </row>
    <row r="190" spans="1:66" ht="38.25" hidden="1" customHeight="1" x14ac:dyDescent="0.2">
      <c r="A190" s="142" t="s">
        <v>1185</v>
      </c>
      <c r="B190" s="18" t="s">
        <v>57</v>
      </c>
      <c r="C190" s="18" t="s">
        <v>58</v>
      </c>
      <c r="D190" s="19" t="s">
        <v>569</v>
      </c>
      <c r="E190" s="18">
        <v>2</v>
      </c>
      <c r="F190" s="18" t="s">
        <v>35</v>
      </c>
      <c r="G190" s="18" t="s">
        <v>5</v>
      </c>
      <c r="H190" s="18" t="s">
        <v>3</v>
      </c>
      <c r="I190" s="18"/>
      <c r="J190" s="18" t="s">
        <v>1222</v>
      </c>
      <c r="K190" s="19" t="s">
        <v>829</v>
      </c>
      <c r="L190" s="19"/>
      <c r="M190" s="19"/>
      <c r="N190" s="19" t="s">
        <v>1223</v>
      </c>
      <c r="O190" s="143"/>
      <c r="P190" s="143"/>
      <c r="Q190" s="143"/>
      <c r="R190" s="187" t="s">
        <v>1224</v>
      </c>
      <c r="S190" s="144">
        <v>417055</v>
      </c>
      <c r="T190" s="144">
        <v>25438.3706216219</v>
      </c>
      <c r="U190" s="145">
        <v>0</v>
      </c>
      <c r="V190" s="145">
        <v>0</v>
      </c>
      <c r="W190" s="145">
        <v>0</v>
      </c>
      <c r="X190" s="145">
        <f t="shared" si="87"/>
        <v>0</v>
      </c>
      <c r="Y190" s="145">
        <v>0</v>
      </c>
      <c r="Z190" s="145">
        <v>0</v>
      </c>
      <c r="AA190" s="145">
        <v>0</v>
      </c>
      <c r="AB190" s="145">
        <v>0</v>
      </c>
      <c r="AC190" s="145">
        <v>0</v>
      </c>
      <c r="AD190" s="145">
        <v>0</v>
      </c>
      <c r="AE190" s="145">
        <v>0</v>
      </c>
      <c r="AF190" s="145">
        <v>0</v>
      </c>
      <c r="AG190" s="145">
        <v>0</v>
      </c>
      <c r="AH190" s="145">
        <v>0</v>
      </c>
      <c r="AI190" s="145">
        <v>0</v>
      </c>
      <c r="AJ190" s="145">
        <v>0</v>
      </c>
      <c r="AK190" s="145">
        <f>SUM(Y190:AJ190)</f>
        <v>0</v>
      </c>
      <c r="AL190" s="145">
        <v>391616.64</v>
      </c>
      <c r="AM190" s="145">
        <v>0</v>
      </c>
      <c r="AN190" s="145">
        <v>0</v>
      </c>
      <c r="AO190" s="145">
        <v>0</v>
      </c>
      <c r="AP190" s="145">
        <v>0</v>
      </c>
      <c r="AQ190" s="145">
        <v>0</v>
      </c>
      <c r="AR190" s="145">
        <v>0</v>
      </c>
      <c r="AS190" s="201">
        <f>U190+V190+W190+AK190+AL190+AM190+AN190+AO190+AP190+AQ190+AR190</f>
        <v>391616.64</v>
      </c>
      <c r="AT190" s="201">
        <v>0</v>
      </c>
      <c r="AU190" s="199">
        <f t="shared" si="88"/>
        <v>391616.64</v>
      </c>
      <c r="AV190" s="146">
        <f>IFERROR(VLOOKUP(J190,Maksājumu_pieprasījumu_iesn.!G:BL,57,0),0)</f>
        <v>0</v>
      </c>
      <c r="AW190" s="139">
        <f t="shared" si="64"/>
        <v>-391616.64</v>
      </c>
      <c r="AX190" s="200">
        <f t="shared" si="89"/>
        <v>-1.0621621913742274E-2</v>
      </c>
      <c r="AY190" s="147"/>
      <c r="AZ190" s="147"/>
      <c r="BA190" s="165"/>
      <c r="BB190" s="145"/>
      <c r="BC190" s="144"/>
      <c r="BD190" s="144"/>
      <c r="BE190" s="144"/>
      <c r="BF190" s="144"/>
      <c r="BG190" s="144"/>
      <c r="BH190" s="149"/>
      <c r="BI190" s="149"/>
      <c r="BJ190" s="149"/>
      <c r="BK190" s="149"/>
      <c r="BL190" s="149"/>
      <c r="BM190" s="149"/>
      <c r="BN190" s="149"/>
    </row>
    <row r="191" spans="1:66" s="91" customFormat="1" ht="38.25" hidden="1" customHeight="1" x14ac:dyDescent="0.2">
      <c r="A191" s="150" t="s">
        <v>1185</v>
      </c>
      <c r="B191" s="18" t="s">
        <v>57</v>
      </c>
      <c r="C191" s="18" t="s">
        <v>58</v>
      </c>
      <c r="D191" s="19" t="s">
        <v>569</v>
      </c>
      <c r="E191" s="55">
        <v>2</v>
      </c>
      <c r="F191" s="55" t="s">
        <v>35</v>
      </c>
      <c r="G191" s="55" t="s">
        <v>5</v>
      </c>
      <c r="H191" s="55" t="s">
        <v>3</v>
      </c>
      <c r="I191" s="55"/>
      <c r="J191" s="55"/>
      <c r="K191" s="19" t="s">
        <v>708</v>
      </c>
      <c r="L191" s="19"/>
      <c r="M191" s="19"/>
      <c r="N191" s="19" t="s">
        <v>1225</v>
      </c>
      <c r="O191" s="151">
        <v>42978</v>
      </c>
      <c r="P191" s="151"/>
      <c r="Q191" s="151"/>
      <c r="R191" s="151"/>
      <c r="S191" s="152">
        <v>504636</v>
      </c>
      <c r="T191" s="152">
        <v>30780.394904779401</v>
      </c>
      <c r="U191" s="145">
        <v>0</v>
      </c>
      <c r="V191" s="145">
        <v>0</v>
      </c>
      <c r="W191" s="145">
        <v>0</v>
      </c>
      <c r="X191" s="145">
        <f t="shared" si="87"/>
        <v>0</v>
      </c>
      <c r="Y191" s="145">
        <v>0</v>
      </c>
      <c r="Z191" s="145">
        <v>0</v>
      </c>
      <c r="AA191" s="145">
        <v>0</v>
      </c>
      <c r="AB191" s="145">
        <v>0</v>
      </c>
      <c r="AC191" s="145">
        <v>0</v>
      </c>
      <c r="AD191" s="145">
        <v>0</v>
      </c>
      <c r="AE191" s="145">
        <v>0</v>
      </c>
      <c r="AF191" s="145">
        <v>0</v>
      </c>
      <c r="AG191" s="145">
        <v>0</v>
      </c>
      <c r="AH191" s="145">
        <v>0</v>
      </c>
      <c r="AI191" s="145">
        <v>0</v>
      </c>
      <c r="AJ191" s="145">
        <v>0</v>
      </c>
      <c r="AK191" s="145">
        <f>SUM(Y191:AJ191)</f>
        <v>0</v>
      </c>
      <c r="AL191" s="145">
        <v>320000</v>
      </c>
      <c r="AM191" s="145">
        <v>153855.60509522061</v>
      </c>
      <c r="AN191" s="145">
        <v>0</v>
      </c>
      <c r="AO191" s="145">
        <v>0</v>
      </c>
      <c r="AP191" s="145">
        <v>0</v>
      </c>
      <c r="AQ191" s="145">
        <v>0</v>
      </c>
      <c r="AR191" s="145">
        <v>0</v>
      </c>
      <c r="AS191" s="201">
        <f>U191+V191+W191+AK191+AL191+AM191+AN191+AO191+AP191+AQ191+AR191</f>
        <v>473855.60509522061</v>
      </c>
      <c r="AT191" s="201"/>
      <c r="AU191" s="199">
        <f t="shared" si="88"/>
        <v>473855.60509522061</v>
      </c>
      <c r="AV191" s="146">
        <f>IFERROR(VLOOKUP(J191,Maksājumu_pieprasījumu_iesn.!G:BL,57,0),0)</f>
        <v>0</v>
      </c>
      <c r="AW191" s="139">
        <f t="shared" si="64"/>
        <v>-473855.60509522061</v>
      </c>
      <c r="AX191" s="200">
        <f t="shared" si="89"/>
        <v>0</v>
      </c>
      <c r="AY191" s="153" t="s">
        <v>1085</v>
      </c>
      <c r="AZ191" s="153"/>
      <c r="BA191" s="136" t="s">
        <v>1086</v>
      </c>
      <c r="BB191" s="145"/>
      <c r="BC191" s="145"/>
      <c r="BD191" s="145"/>
      <c r="BE191" s="145"/>
      <c r="BF191" s="145"/>
      <c r="BG191" s="145"/>
      <c r="BH191" s="138"/>
      <c r="BI191" s="138"/>
      <c r="BJ191" s="138"/>
      <c r="BK191" s="138"/>
      <c r="BL191" s="138"/>
      <c r="BM191" s="138"/>
      <c r="BN191" s="138"/>
    </row>
    <row r="192" spans="1:66" ht="51" hidden="1" customHeight="1" x14ac:dyDescent="0.2">
      <c r="A192" s="142" t="s">
        <v>1185</v>
      </c>
      <c r="B192" s="18" t="s">
        <v>57</v>
      </c>
      <c r="C192" s="18" t="s">
        <v>58</v>
      </c>
      <c r="D192" s="19" t="s">
        <v>569</v>
      </c>
      <c r="E192" s="18">
        <v>2</v>
      </c>
      <c r="F192" s="18" t="s">
        <v>35</v>
      </c>
      <c r="G192" s="18" t="s">
        <v>5</v>
      </c>
      <c r="H192" s="18" t="s">
        <v>3</v>
      </c>
      <c r="I192" s="18"/>
      <c r="J192" s="18" t="s">
        <v>65</v>
      </c>
      <c r="K192" s="19" t="s">
        <v>66</v>
      </c>
      <c r="L192" s="19"/>
      <c r="M192" s="19"/>
      <c r="N192" s="19" t="s">
        <v>67</v>
      </c>
      <c r="O192" s="143"/>
      <c r="P192" s="143"/>
      <c r="Q192" s="143"/>
      <c r="R192" s="143">
        <v>42787</v>
      </c>
      <c r="S192" s="144">
        <v>655155</v>
      </c>
      <c r="T192" s="144">
        <v>39961.337724301797</v>
      </c>
      <c r="U192" s="145">
        <v>0</v>
      </c>
      <c r="V192" s="145">
        <v>0</v>
      </c>
      <c r="W192" s="145">
        <v>0</v>
      </c>
      <c r="X192" s="145">
        <f t="shared" si="87"/>
        <v>0</v>
      </c>
      <c r="Y192" s="145">
        <v>0</v>
      </c>
      <c r="Z192" s="145">
        <v>0</v>
      </c>
      <c r="AA192" s="145">
        <v>0</v>
      </c>
      <c r="AB192" s="145">
        <v>0</v>
      </c>
      <c r="AC192" s="145">
        <v>357547.34</v>
      </c>
      <c r="AD192" s="145">
        <v>0</v>
      </c>
      <c r="AE192" s="145">
        <v>0</v>
      </c>
      <c r="AF192" s="145">
        <v>0</v>
      </c>
      <c r="AG192" s="145">
        <v>257646.32</v>
      </c>
      <c r="AH192" s="145">
        <v>0</v>
      </c>
      <c r="AI192" s="145">
        <v>0</v>
      </c>
      <c r="AJ192" s="145"/>
      <c r="AK192" s="145">
        <f>SUM(Y192:AJ192)</f>
        <v>615193.66</v>
      </c>
      <c r="AL192" s="145">
        <v>0</v>
      </c>
      <c r="AM192" s="145">
        <v>0</v>
      </c>
      <c r="AN192" s="145">
        <v>0</v>
      </c>
      <c r="AO192" s="145">
        <v>0</v>
      </c>
      <c r="AP192" s="145">
        <v>0</v>
      </c>
      <c r="AQ192" s="145">
        <v>0</v>
      </c>
      <c r="AR192" s="145">
        <v>0</v>
      </c>
      <c r="AS192" s="201">
        <f>U192+V192+W192+AK192+AL192+AM192+AN192+AO192+AP192+AQ192+AR192</f>
        <v>615193.66</v>
      </c>
      <c r="AT192" s="218">
        <v>0</v>
      </c>
      <c r="AU192" s="199">
        <f t="shared" si="88"/>
        <v>615193.66</v>
      </c>
      <c r="AV192" s="146">
        <f>IFERROR(VLOOKUP(J192,Maksājumu_pieprasījumu_iesn.!G:BL,57,0),0)</f>
        <v>0</v>
      </c>
      <c r="AW192" s="139">
        <f t="shared" si="64"/>
        <v>-615193.66</v>
      </c>
      <c r="AX192" s="200">
        <f t="shared" si="89"/>
        <v>2.2756981197744608E-3</v>
      </c>
      <c r="AY192" s="203"/>
      <c r="AZ192" s="203"/>
      <c r="BA192" s="165"/>
      <c r="BB192" s="145"/>
      <c r="BC192" s="144"/>
      <c r="BD192" s="144"/>
      <c r="BE192" s="144"/>
      <c r="BF192" s="144"/>
      <c r="BG192" s="144"/>
      <c r="BH192" s="149"/>
      <c r="BI192" s="149"/>
      <c r="BJ192" s="149"/>
      <c r="BK192" s="149"/>
      <c r="BL192" s="149"/>
      <c r="BM192" s="149"/>
      <c r="BN192" s="149"/>
    </row>
    <row r="193" spans="1:66" ht="51" hidden="1" customHeight="1" x14ac:dyDescent="0.2">
      <c r="A193" s="142" t="s">
        <v>1185</v>
      </c>
      <c r="B193" s="18" t="s">
        <v>57</v>
      </c>
      <c r="C193" s="18" t="s">
        <v>58</v>
      </c>
      <c r="D193" s="19" t="s">
        <v>569</v>
      </c>
      <c r="E193" s="18">
        <v>2</v>
      </c>
      <c r="F193" s="18" t="s">
        <v>35</v>
      </c>
      <c r="G193" s="18" t="s">
        <v>5</v>
      </c>
      <c r="H193" s="18" t="s">
        <v>3</v>
      </c>
      <c r="I193" s="18"/>
      <c r="J193" s="18" t="s">
        <v>65</v>
      </c>
      <c r="K193" s="19" t="s">
        <v>66</v>
      </c>
      <c r="L193" s="19"/>
      <c r="M193" s="19"/>
      <c r="N193" s="19" t="s">
        <v>67</v>
      </c>
      <c r="O193" s="143" t="s">
        <v>880</v>
      </c>
      <c r="P193" s="143"/>
      <c r="Q193" s="143"/>
      <c r="R193" s="143"/>
      <c r="S193" s="144"/>
      <c r="T193" s="144"/>
      <c r="U193" s="145"/>
      <c r="V193" s="145"/>
      <c r="W193" s="145"/>
      <c r="X193" s="145">
        <f>W193+V193+U193</f>
        <v>0</v>
      </c>
      <c r="Y193" s="145"/>
      <c r="Z193" s="145"/>
      <c r="AA193" s="145"/>
      <c r="AB193" s="145">
        <v>307597</v>
      </c>
      <c r="AC193" s="145"/>
      <c r="AD193" s="145"/>
      <c r="AE193" s="145"/>
      <c r="AF193" s="145"/>
      <c r="AG193" s="145"/>
      <c r="AH193" s="145"/>
      <c r="AI193" s="145"/>
      <c r="AJ193" s="145"/>
      <c r="AK193" s="145"/>
      <c r="AL193" s="145"/>
      <c r="AM193" s="145"/>
      <c r="AN193" s="145"/>
      <c r="AO193" s="145"/>
      <c r="AP193" s="145"/>
      <c r="AQ193" s="145"/>
      <c r="AR193" s="145"/>
      <c r="AS193" s="201"/>
      <c r="AT193" s="201">
        <v>307597</v>
      </c>
      <c r="AU193" s="199"/>
      <c r="AV193" s="146">
        <f>IFERROR(VLOOKUP(J193,Maksājumu_pieprasījumu_iesn.!G:BL,57,0),0)</f>
        <v>0</v>
      </c>
      <c r="AW193" s="139">
        <f t="shared" si="64"/>
        <v>0</v>
      </c>
      <c r="AX193" s="200">
        <f t="shared" si="89"/>
        <v>0</v>
      </c>
      <c r="AY193" s="203"/>
      <c r="AZ193" s="203"/>
      <c r="BA193" s="165"/>
      <c r="BB193" s="145"/>
      <c r="BC193" s="144"/>
      <c r="BD193" s="144"/>
      <c r="BE193" s="144"/>
      <c r="BF193" s="144"/>
      <c r="BG193" s="144"/>
      <c r="BH193" s="149"/>
      <c r="BI193" s="149"/>
      <c r="BJ193" s="149"/>
      <c r="BK193" s="149"/>
      <c r="BL193" s="149"/>
      <c r="BM193" s="149"/>
      <c r="BN193" s="149"/>
    </row>
    <row r="194" spans="1:66" s="91" customFormat="1" ht="38.25" hidden="1" customHeight="1" x14ac:dyDescent="0.2">
      <c r="A194" s="150" t="s">
        <v>1185</v>
      </c>
      <c r="B194" s="18" t="s">
        <v>57</v>
      </c>
      <c r="C194" s="18" t="s">
        <v>58</v>
      </c>
      <c r="D194" s="19" t="s">
        <v>569</v>
      </c>
      <c r="E194" s="55">
        <v>2</v>
      </c>
      <c r="F194" s="55" t="s">
        <v>35</v>
      </c>
      <c r="G194" s="55" t="s">
        <v>5</v>
      </c>
      <c r="H194" s="55" t="s">
        <v>3</v>
      </c>
      <c r="I194" s="55"/>
      <c r="J194" s="55"/>
      <c r="K194" s="19" t="s">
        <v>1226</v>
      </c>
      <c r="L194" s="19"/>
      <c r="M194" s="19"/>
      <c r="N194" s="19" t="s">
        <v>1227</v>
      </c>
      <c r="O194" s="151">
        <v>43131</v>
      </c>
      <c r="P194" s="151"/>
      <c r="Q194" s="151"/>
      <c r="R194" s="151"/>
      <c r="S194" s="152">
        <v>500466</v>
      </c>
      <c r="T194" s="152">
        <v>30526.044745946299</v>
      </c>
      <c r="U194" s="145">
        <v>0</v>
      </c>
      <c r="V194" s="145">
        <v>0</v>
      </c>
      <c r="W194" s="145">
        <v>0</v>
      </c>
      <c r="X194" s="145">
        <f t="shared" si="87"/>
        <v>0</v>
      </c>
      <c r="Y194" s="145">
        <v>0</v>
      </c>
      <c r="Z194" s="145">
        <v>0</v>
      </c>
      <c r="AA194" s="145">
        <v>0</v>
      </c>
      <c r="AB194" s="145">
        <v>0</v>
      </c>
      <c r="AC194" s="145">
        <v>0</v>
      </c>
      <c r="AD194" s="145">
        <v>0</v>
      </c>
      <c r="AE194" s="145">
        <v>0</v>
      </c>
      <c r="AF194" s="145">
        <v>0</v>
      </c>
      <c r="AG194" s="145">
        <v>0</v>
      </c>
      <c r="AH194" s="145">
        <v>0</v>
      </c>
      <c r="AI194" s="145">
        <v>0</v>
      </c>
      <c r="AJ194" s="145">
        <v>0</v>
      </c>
      <c r="AK194" s="145">
        <f t="shared" ref="AK194:AK201" si="90">SUM(Y194:AJ194)</f>
        <v>0</v>
      </c>
      <c r="AL194" s="145">
        <v>321965.8</v>
      </c>
      <c r="AM194" s="145">
        <v>0</v>
      </c>
      <c r="AN194" s="145">
        <v>0</v>
      </c>
      <c r="AO194" s="145">
        <v>0</v>
      </c>
      <c r="AP194" s="145">
        <v>0</v>
      </c>
      <c r="AQ194" s="145">
        <v>0</v>
      </c>
      <c r="AR194" s="145">
        <v>0</v>
      </c>
      <c r="AS194" s="201">
        <f>U194+V194+W194+AK194+AL194+AM194+AN194+AO194+AP194+AQ194+AR194</f>
        <v>321965.8</v>
      </c>
      <c r="AT194" s="201"/>
      <c r="AU194" s="199">
        <f t="shared" si="88"/>
        <v>321965.8</v>
      </c>
      <c r="AV194" s="146">
        <f>IFERROR(VLOOKUP(J194,Maksājumu_pieprasījumu_iesn.!G:BL,57,0),0)</f>
        <v>0</v>
      </c>
      <c r="AW194" s="139">
        <f t="shared" si="64"/>
        <v>-321965.8</v>
      </c>
      <c r="AX194" s="200">
        <f t="shared" si="89"/>
        <v>147974.15525405371</v>
      </c>
      <c r="AY194" s="153"/>
      <c r="AZ194" s="153"/>
      <c r="BA194" s="136"/>
      <c r="BB194" s="145"/>
      <c r="BC194" s="145"/>
      <c r="BD194" s="145"/>
      <c r="BE194" s="145"/>
      <c r="BF194" s="145"/>
      <c r="BG194" s="145"/>
      <c r="BH194" s="138"/>
      <c r="BI194" s="138"/>
      <c r="BJ194" s="138"/>
      <c r="BK194" s="138"/>
      <c r="BL194" s="138"/>
      <c r="BM194" s="138"/>
      <c r="BN194" s="138"/>
    </row>
    <row r="195" spans="1:66" s="91" customFormat="1" ht="25.5" hidden="1" customHeight="1" x14ac:dyDescent="0.2">
      <c r="A195" s="150" t="s">
        <v>1185</v>
      </c>
      <c r="B195" s="18" t="s">
        <v>57</v>
      </c>
      <c r="C195" s="18" t="s">
        <v>58</v>
      </c>
      <c r="D195" s="19" t="s">
        <v>569</v>
      </c>
      <c r="E195" s="55">
        <v>2</v>
      </c>
      <c r="F195" s="55" t="s">
        <v>35</v>
      </c>
      <c r="G195" s="55" t="s">
        <v>5</v>
      </c>
      <c r="H195" s="55" t="s">
        <v>3</v>
      </c>
      <c r="I195" s="55"/>
      <c r="J195" s="55"/>
      <c r="K195" s="19" t="s">
        <v>1226</v>
      </c>
      <c r="L195" s="19"/>
      <c r="M195" s="19"/>
      <c r="N195" s="19" t="s">
        <v>1228</v>
      </c>
      <c r="O195" s="151">
        <v>42886</v>
      </c>
      <c r="P195" s="151"/>
      <c r="Q195" s="151"/>
      <c r="R195" s="151"/>
      <c r="S195" s="152">
        <v>0</v>
      </c>
      <c r="T195" s="152">
        <v>0</v>
      </c>
      <c r="U195" s="145">
        <v>0</v>
      </c>
      <c r="V195" s="145">
        <v>0</v>
      </c>
      <c r="W195" s="145">
        <v>0</v>
      </c>
      <c r="X195" s="145">
        <f t="shared" si="87"/>
        <v>0</v>
      </c>
      <c r="Y195" s="145">
        <v>0</v>
      </c>
      <c r="Z195" s="145">
        <v>0</v>
      </c>
      <c r="AA195" s="145">
        <v>0</v>
      </c>
      <c r="AB195" s="145">
        <v>0</v>
      </c>
      <c r="AC195" s="145">
        <v>0</v>
      </c>
      <c r="AD195" s="145">
        <v>0</v>
      </c>
      <c r="AE195" s="145">
        <v>0</v>
      </c>
      <c r="AF195" s="145">
        <v>0</v>
      </c>
      <c r="AG195" s="145">
        <v>0</v>
      </c>
      <c r="AH195" s="145">
        <v>0</v>
      </c>
      <c r="AI195" s="145">
        <v>0</v>
      </c>
      <c r="AJ195" s="145">
        <v>0</v>
      </c>
      <c r="AK195" s="145">
        <f t="shared" si="90"/>
        <v>0</v>
      </c>
      <c r="AL195" s="145">
        <v>147973.9552540537</v>
      </c>
      <c r="AM195" s="145">
        <v>0</v>
      </c>
      <c r="AN195" s="145">
        <v>0</v>
      </c>
      <c r="AO195" s="145">
        <v>0</v>
      </c>
      <c r="AP195" s="145">
        <v>0</v>
      </c>
      <c r="AQ195" s="145">
        <v>0</v>
      </c>
      <c r="AR195" s="145">
        <v>0</v>
      </c>
      <c r="AS195" s="201">
        <f>U195+V195+W195+AK195+AL195+AM195+AN195+AO195+AP195+AQ195+AR195</f>
        <v>147973.9552540537</v>
      </c>
      <c r="AT195" s="201"/>
      <c r="AU195" s="199">
        <f t="shared" si="88"/>
        <v>147973.9552540537</v>
      </c>
      <c r="AV195" s="146">
        <f>IFERROR(VLOOKUP(J195,Maksājumu_pieprasījumu_iesn.!G:BL,57,0),0)</f>
        <v>0</v>
      </c>
      <c r="AW195" s="139">
        <f t="shared" si="64"/>
        <v>-147973.9552540537</v>
      </c>
      <c r="AX195" s="200">
        <f t="shared" si="89"/>
        <v>-147973.9552540537</v>
      </c>
      <c r="AY195" s="153" t="s">
        <v>1085</v>
      </c>
      <c r="AZ195" s="153"/>
      <c r="BA195" s="136" t="s">
        <v>1086</v>
      </c>
      <c r="BB195" s="145"/>
      <c r="BC195" s="145"/>
      <c r="BD195" s="145"/>
      <c r="BE195" s="145"/>
      <c r="BF195" s="145"/>
      <c r="BG195" s="145"/>
      <c r="BH195" s="138"/>
      <c r="BI195" s="138"/>
      <c r="BJ195" s="138"/>
      <c r="BK195" s="138"/>
      <c r="BL195" s="138"/>
      <c r="BM195" s="138"/>
      <c r="BN195" s="138"/>
    </row>
    <row r="196" spans="1:66" s="161" customFormat="1" ht="25.5" hidden="1" customHeight="1" x14ac:dyDescent="0.2">
      <c r="A196" s="158" t="s">
        <v>1185</v>
      </c>
      <c r="B196" s="20" t="s">
        <v>57</v>
      </c>
      <c r="C196" s="20" t="s">
        <v>58</v>
      </c>
      <c r="D196" s="21" t="s">
        <v>569</v>
      </c>
      <c r="E196" s="20">
        <v>2</v>
      </c>
      <c r="F196" s="20" t="s">
        <v>35</v>
      </c>
      <c r="G196" s="20" t="s">
        <v>5</v>
      </c>
      <c r="H196" s="20" t="s">
        <v>3</v>
      </c>
      <c r="I196" s="20"/>
      <c r="J196" s="20" t="s">
        <v>664</v>
      </c>
      <c r="K196" s="21" t="s">
        <v>665</v>
      </c>
      <c r="L196" s="21"/>
      <c r="M196" s="21"/>
      <c r="N196" s="21" t="s">
        <v>666</v>
      </c>
      <c r="O196" s="159"/>
      <c r="P196" s="159"/>
      <c r="Q196" s="159"/>
      <c r="R196" s="160" t="s">
        <v>1229</v>
      </c>
      <c r="S196" s="147">
        <v>498205.2</v>
      </c>
      <c r="T196" s="158">
        <v>0</v>
      </c>
      <c r="U196" s="153">
        <v>0</v>
      </c>
      <c r="V196" s="153">
        <v>0</v>
      </c>
      <c r="W196" s="153">
        <v>0</v>
      </c>
      <c r="X196" s="153">
        <f t="shared" si="87"/>
        <v>0</v>
      </c>
      <c r="Y196" s="153">
        <v>0</v>
      </c>
      <c r="Z196" s="153">
        <v>0</v>
      </c>
      <c r="AA196" s="153">
        <v>0</v>
      </c>
      <c r="AB196" s="153">
        <v>0</v>
      </c>
      <c r="AC196" s="153">
        <v>0</v>
      </c>
      <c r="AD196" s="153">
        <v>0</v>
      </c>
      <c r="AE196" s="153">
        <v>0</v>
      </c>
      <c r="AF196" s="420">
        <v>406950.34</v>
      </c>
      <c r="AG196" s="153">
        <v>0</v>
      </c>
      <c r="AH196" s="153">
        <v>0</v>
      </c>
      <c r="AI196" s="153">
        <v>0</v>
      </c>
      <c r="AJ196" s="153">
        <v>0</v>
      </c>
      <c r="AK196" s="153">
        <f t="shared" si="90"/>
        <v>406950.34</v>
      </c>
      <c r="AL196" s="153">
        <v>91254.859999999986</v>
      </c>
      <c r="AM196" s="153">
        <v>0</v>
      </c>
      <c r="AN196" s="153">
        <v>0</v>
      </c>
      <c r="AO196" s="153">
        <v>0</v>
      </c>
      <c r="AP196" s="153">
        <v>0</v>
      </c>
      <c r="AQ196" s="153">
        <v>0</v>
      </c>
      <c r="AR196" s="153">
        <v>0</v>
      </c>
      <c r="AS196" s="219">
        <f>U196+V196+W196+AK196+AL196+AM196+AN196+AO196+AP196+AQ196+AR196</f>
        <v>498205.2</v>
      </c>
      <c r="AT196" s="219">
        <v>0</v>
      </c>
      <c r="AU196" s="199">
        <f>AS196-AT196</f>
        <v>498205.2</v>
      </c>
      <c r="AV196" s="146">
        <f>IFERROR(VLOOKUP(J196,Maksājumu_pieprasījumu_iesn.!G:BL,57,0),0)</f>
        <v>0</v>
      </c>
      <c r="AW196" s="139">
        <f t="shared" si="64"/>
        <v>-498205.2</v>
      </c>
      <c r="AX196" s="200">
        <f t="shared" si="89"/>
        <v>0</v>
      </c>
      <c r="AY196" s="147"/>
      <c r="AZ196" s="147"/>
      <c r="BA196" s="165"/>
      <c r="BB196" s="145"/>
      <c r="BC196" s="147"/>
      <c r="BD196" s="147"/>
      <c r="BE196" s="147"/>
      <c r="BF196" s="147"/>
      <c r="BG196" s="147"/>
      <c r="BH196" s="149"/>
      <c r="BI196" s="149"/>
      <c r="BJ196" s="149"/>
      <c r="BK196" s="149"/>
      <c r="BL196" s="149"/>
      <c r="BM196" s="149"/>
      <c r="BN196" s="149"/>
    </row>
    <row r="197" spans="1:66" s="161" customFormat="1" ht="25.5" hidden="1" customHeight="1" x14ac:dyDescent="0.2">
      <c r="A197" s="158" t="s">
        <v>1185</v>
      </c>
      <c r="B197" s="20" t="s">
        <v>57</v>
      </c>
      <c r="C197" s="20" t="s">
        <v>58</v>
      </c>
      <c r="D197" s="21" t="s">
        <v>569</v>
      </c>
      <c r="E197" s="20">
        <v>2</v>
      </c>
      <c r="F197" s="20" t="s">
        <v>35</v>
      </c>
      <c r="G197" s="20" t="s">
        <v>5</v>
      </c>
      <c r="H197" s="20" t="s">
        <v>3</v>
      </c>
      <c r="I197" s="20"/>
      <c r="J197" s="20" t="s">
        <v>664</v>
      </c>
      <c r="K197" s="21" t="s">
        <v>665</v>
      </c>
      <c r="L197" s="21"/>
      <c r="M197" s="21"/>
      <c r="N197" s="21" t="s">
        <v>666</v>
      </c>
      <c r="O197" s="159" t="s">
        <v>880</v>
      </c>
      <c r="P197" s="159"/>
      <c r="Q197" s="159"/>
      <c r="R197" s="160"/>
      <c r="S197" s="147"/>
      <c r="T197" s="158"/>
      <c r="U197" s="153"/>
      <c r="V197" s="153"/>
      <c r="W197" s="153"/>
      <c r="X197" s="153">
        <f>W197+V197+U197</f>
        <v>0</v>
      </c>
      <c r="Y197" s="153"/>
      <c r="Z197" s="153"/>
      <c r="AA197" s="153"/>
      <c r="AB197" s="153"/>
      <c r="AC197" s="153">
        <v>448384.68</v>
      </c>
      <c r="AD197" s="153"/>
      <c r="AE197" s="153"/>
      <c r="AF197" s="153"/>
      <c r="AG197" s="153"/>
      <c r="AH197" s="153"/>
      <c r="AI197" s="153"/>
      <c r="AJ197" s="153"/>
      <c r="AK197" s="153">
        <f t="shared" si="90"/>
        <v>448384.68</v>
      </c>
      <c r="AL197" s="153"/>
      <c r="AM197" s="153"/>
      <c r="AN197" s="153"/>
      <c r="AO197" s="153"/>
      <c r="AP197" s="153"/>
      <c r="AQ197" s="153"/>
      <c r="AR197" s="153"/>
      <c r="AS197" s="158"/>
      <c r="AT197" s="219">
        <f>U197+V197+W197+AK197+AL197+AM197+AN197+AO197+AP197+AQ197+AR197</f>
        <v>448384.68</v>
      </c>
      <c r="AU197" s="199"/>
      <c r="AV197" s="146">
        <f>IFERROR(VLOOKUP(J197,Maksājumu_pieprasījumu_iesn.!G:BL,57,0),0)</f>
        <v>0</v>
      </c>
      <c r="AW197" s="139">
        <f t="shared" si="64"/>
        <v>0</v>
      </c>
      <c r="AX197" s="200"/>
      <c r="AY197" s="147"/>
      <c r="AZ197" s="147"/>
      <c r="BA197" s="165"/>
      <c r="BB197" s="145"/>
      <c r="BC197" s="147"/>
      <c r="BD197" s="147"/>
      <c r="BE197" s="147"/>
      <c r="BF197" s="147"/>
      <c r="BG197" s="147"/>
      <c r="BH197" s="149"/>
      <c r="BI197" s="149"/>
      <c r="BJ197" s="149"/>
      <c r="BK197" s="149"/>
      <c r="BL197" s="149"/>
      <c r="BM197" s="149"/>
      <c r="BN197" s="149"/>
    </row>
    <row r="198" spans="1:66" s="221" customFormat="1" ht="38.25" hidden="1" customHeight="1" x14ac:dyDescent="0.2">
      <c r="A198" s="220" t="s">
        <v>1185</v>
      </c>
      <c r="B198" s="20" t="s">
        <v>57</v>
      </c>
      <c r="C198" s="20" t="s">
        <v>58</v>
      </c>
      <c r="D198" s="21" t="s">
        <v>569</v>
      </c>
      <c r="E198" s="52">
        <v>2</v>
      </c>
      <c r="F198" s="52" t="s">
        <v>35</v>
      </c>
      <c r="G198" s="52" t="s">
        <v>5</v>
      </c>
      <c r="H198" s="52" t="s">
        <v>3</v>
      </c>
      <c r="I198" s="52"/>
      <c r="J198" s="52"/>
      <c r="K198" s="21" t="s">
        <v>665</v>
      </c>
      <c r="L198" s="21"/>
      <c r="M198" s="21"/>
      <c r="N198" s="21" t="s">
        <v>1230</v>
      </c>
      <c r="O198" s="188">
        <v>43373</v>
      </c>
      <c r="P198" s="188"/>
      <c r="Q198" s="188"/>
      <c r="R198" s="188"/>
      <c r="S198" s="189">
        <v>156916.65</v>
      </c>
      <c r="T198" s="147">
        <v>39961.337724301797</v>
      </c>
      <c r="U198" s="153">
        <v>0</v>
      </c>
      <c r="V198" s="153">
        <v>0</v>
      </c>
      <c r="W198" s="153">
        <v>0</v>
      </c>
      <c r="X198" s="153">
        <f>W198+V198+U198</f>
        <v>0</v>
      </c>
      <c r="Y198" s="153">
        <v>0</v>
      </c>
      <c r="Z198" s="153">
        <v>0</v>
      </c>
      <c r="AA198" s="153">
        <v>0</v>
      </c>
      <c r="AB198" s="153">
        <v>0</v>
      </c>
      <c r="AC198" s="153">
        <v>0</v>
      </c>
      <c r="AD198" s="153">
        <v>0</v>
      </c>
      <c r="AE198" s="153">
        <v>0</v>
      </c>
      <c r="AF198" s="153">
        <v>0</v>
      </c>
      <c r="AG198" s="153">
        <v>0</v>
      </c>
      <c r="AH198" s="153">
        <v>0</v>
      </c>
      <c r="AI198" s="153">
        <v>0</v>
      </c>
      <c r="AJ198" s="153">
        <v>0</v>
      </c>
      <c r="AK198" s="153">
        <f t="shared" si="90"/>
        <v>0</v>
      </c>
      <c r="AL198" s="153">
        <v>0</v>
      </c>
      <c r="AM198" s="153">
        <v>116955.3122756982</v>
      </c>
      <c r="AN198" s="153">
        <v>0</v>
      </c>
      <c r="AO198" s="153">
        <v>0</v>
      </c>
      <c r="AP198" s="153">
        <v>0</v>
      </c>
      <c r="AQ198" s="153">
        <v>0</v>
      </c>
      <c r="AR198" s="153">
        <v>0</v>
      </c>
      <c r="AS198" s="219">
        <f>U198+V198+W198+AK198+AL198+AM198+AN198+AO198+AP198+AQ198+AR198</f>
        <v>116955.3122756982</v>
      </c>
      <c r="AT198" s="219"/>
      <c r="AU198" s="199">
        <f t="shared" si="88"/>
        <v>116955.3122756982</v>
      </c>
      <c r="AV198" s="146">
        <f>IFERROR(VLOOKUP(J198,Maksājumu_pieprasījumu_iesn.!G:BL,57,0),0)</f>
        <v>0</v>
      </c>
      <c r="AW198" s="139">
        <f t="shared" si="64"/>
        <v>-116955.3122756982</v>
      </c>
      <c r="AX198" s="200">
        <f>S198-T199-AU198</f>
        <v>0</v>
      </c>
      <c r="AY198" s="153" t="s">
        <v>1085</v>
      </c>
      <c r="AZ198" s="153"/>
      <c r="BA198" s="136" t="s">
        <v>1086</v>
      </c>
      <c r="BB198" s="145"/>
      <c r="BC198" s="153"/>
      <c r="BD198" s="153"/>
      <c r="BE198" s="153"/>
      <c r="BF198" s="153"/>
      <c r="BG198" s="153"/>
      <c r="BH198" s="138"/>
      <c r="BI198" s="138"/>
      <c r="BJ198" s="138"/>
      <c r="BK198" s="138"/>
      <c r="BL198" s="138"/>
      <c r="BM198" s="138"/>
      <c r="BN198" s="138"/>
    </row>
    <row r="199" spans="1:66" s="91" customFormat="1" ht="25.5" hidden="1" customHeight="1" x14ac:dyDescent="0.2">
      <c r="A199" s="150" t="s">
        <v>1185</v>
      </c>
      <c r="B199" s="18" t="s">
        <v>57</v>
      </c>
      <c r="C199" s="18" t="s">
        <v>58</v>
      </c>
      <c r="D199" s="19" t="s">
        <v>569</v>
      </c>
      <c r="E199" s="55">
        <v>2</v>
      </c>
      <c r="F199" s="55" t="s">
        <v>35</v>
      </c>
      <c r="G199" s="55" t="s">
        <v>5</v>
      </c>
      <c r="H199" s="55" t="s">
        <v>3</v>
      </c>
      <c r="I199" s="55"/>
      <c r="J199" s="55"/>
      <c r="K199" s="19" t="s">
        <v>143</v>
      </c>
      <c r="L199" s="19"/>
      <c r="M199" s="19"/>
      <c r="N199" s="19" t="s">
        <v>1231</v>
      </c>
      <c r="O199" s="151">
        <v>43008</v>
      </c>
      <c r="P199" s="151"/>
      <c r="Q199" s="151"/>
      <c r="R199" s="151"/>
      <c r="S199" s="152">
        <v>655155</v>
      </c>
      <c r="T199" s="152">
        <v>39961.337724301797</v>
      </c>
      <c r="U199" s="145">
        <v>0</v>
      </c>
      <c r="V199" s="145">
        <v>0</v>
      </c>
      <c r="W199" s="145">
        <v>0</v>
      </c>
      <c r="X199" s="145">
        <f t="shared" si="87"/>
        <v>0</v>
      </c>
      <c r="Y199" s="145">
        <v>0</v>
      </c>
      <c r="Z199" s="145">
        <v>0</v>
      </c>
      <c r="AA199" s="145">
        <v>0</v>
      </c>
      <c r="AB199" s="145">
        <v>0</v>
      </c>
      <c r="AC199" s="145">
        <v>0</v>
      </c>
      <c r="AD199" s="145">
        <v>0</v>
      </c>
      <c r="AE199" s="145">
        <v>0</v>
      </c>
      <c r="AF199" s="145">
        <v>0</v>
      </c>
      <c r="AG199" s="145">
        <v>0</v>
      </c>
      <c r="AH199" s="145">
        <v>0</v>
      </c>
      <c r="AI199" s="145">
        <v>0</v>
      </c>
      <c r="AJ199" s="145">
        <v>0</v>
      </c>
      <c r="AK199" s="145">
        <f t="shared" si="90"/>
        <v>0</v>
      </c>
      <c r="AL199" s="145">
        <v>615193.66227569815</v>
      </c>
      <c r="AM199" s="145">
        <v>0</v>
      </c>
      <c r="AN199" s="145">
        <v>0</v>
      </c>
      <c r="AO199" s="145">
        <v>0</v>
      </c>
      <c r="AP199" s="145">
        <v>0</v>
      </c>
      <c r="AQ199" s="145">
        <v>0</v>
      </c>
      <c r="AR199" s="145">
        <v>0</v>
      </c>
      <c r="AS199" s="201">
        <f>U199+V199+W199+AK199+AL199+AM199+AN199+AO199+AP199+AQ199+AR199</f>
        <v>615193.66227569815</v>
      </c>
      <c r="AT199" s="201"/>
      <c r="AU199" s="199">
        <f t="shared" si="88"/>
        <v>615193.66227569815</v>
      </c>
      <c r="AV199" s="146">
        <f>IFERROR(VLOOKUP(J199,Maksājumu_pieprasījumu_iesn.!G:BL,57,0),0)</f>
        <v>0</v>
      </c>
      <c r="AW199" s="139">
        <f t="shared" si="64"/>
        <v>-615193.66227569815</v>
      </c>
      <c r="AX199" s="200">
        <f t="shared" ref="AX199:AX210" si="91">S199-T199-AU199</f>
        <v>0</v>
      </c>
      <c r="AY199" s="153" t="s">
        <v>1085</v>
      </c>
      <c r="AZ199" s="153"/>
      <c r="BA199" s="136" t="s">
        <v>1086</v>
      </c>
      <c r="BB199" s="145"/>
      <c r="BC199" s="145"/>
      <c r="BD199" s="145"/>
      <c r="BE199" s="145"/>
      <c r="BF199" s="145"/>
      <c r="BG199" s="145"/>
      <c r="BH199" s="138"/>
      <c r="BI199" s="138"/>
      <c r="BJ199" s="138"/>
      <c r="BK199" s="138"/>
      <c r="BL199" s="138"/>
      <c r="BM199" s="138"/>
      <c r="BN199" s="138"/>
    </row>
    <row r="200" spans="1:66" s="91" customFormat="1" ht="25.5" hidden="1" customHeight="1" x14ac:dyDescent="0.2">
      <c r="A200" s="150" t="s">
        <v>1185</v>
      </c>
      <c r="B200" s="18" t="s">
        <v>57</v>
      </c>
      <c r="C200" s="18" t="s">
        <v>58</v>
      </c>
      <c r="D200" s="19" t="s">
        <v>569</v>
      </c>
      <c r="E200" s="55">
        <v>2</v>
      </c>
      <c r="F200" s="55" t="s">
        <v>35</v>
      </c>
      <c r="G200" s="55" t="s">
        <v>5</v>
      </c>
      <c r="H200" s="55" t="s">
        <v>3</v>
      </c>
      <c r="I200" s="55"/>
      <c r="J200" s="55"/>
      <c r="K200" s="19" t="s">
        <v>1232</v>
      </c>
      <c r="L200" s="19"/>
      <c r="M200" s="19"/>
      <c r="N200" s="19" t="s">
        <v>1233</v>
      </c>
      <c r="O200" s="151">
        <v>43039</v>
      </c>
      <c r="P200" s="151"/>
      <c r="Q200" s="151"/>
      <c r="R200" s="151"/>
      <c r="S200" s="152">
        <v>555100</v>
      </c>
      <c r="T200" s="152">
        <v>33858.458793354097</v>
      </c>
      <c r="U200" s="145">
        <v>0</v>
      </c>
      <c r="V200" s="145">
        <v>0</v>
      </c>
      <c r="W200" s="145">
        <v>0</v>
      </c>
      <c r="X200" s="145">
        <f t="shared" si="87"/>
        <v>0</v>
      </c>
      <c r="Y200" s="145">
        <v>0</v>
      </c>
      <c r="Z200" s="145">
        <v>0</v>
      </c>
      <c r="AA200" s="145">
        <v>0</v>
      </c>
      <c r="AB200" s="145">
        <v>0</v>
      </c>
      <c r="AC200" s="145">
        <v>0</v>
      </c>
      <c r="AD200" s="145">
        <v>0</v>
      </c>
      <c r="AE200" s="145">
        <v>0</v>
      </c>
      <c r="AF200" s="145">
        <v>0</v>
      </c>
      <c r="AG200" s="145">
        <v>0</v>
      </c>
      <c r="AH200" s="145">
        <v>0</v>
      </c>
      <c r="AI200" s="145">
        <v>0</v>
      </c>
      <c r="AJ200" s="145">
        <v>0</v>
      </c>
      <c r="AK200" s="145">
        <f t="shared" si="90"/>
        <v>0</v>
      </c>
      <c r="AL200" s="145">
        <v>521241.5412066459</v>
      </c>
      <c r="AM200" s="145">
        <v>0</v>
      </c>
      <c r="AN200" s="145">
        <v>0</v>
      </c>
      <c r="AO200" s="145">
        <v>0</v>
      </c>
      <c r="AP200" s="145">
        <v>0</v>
      </c>
      <c r="AQ200" s="145">
        <v>0</v>
      </c>
      <c r="AR200" s="145">
        <v>0</v>
      </c>
      <c r="AS200" s="201">
        <f>U200+V200+W200+AK200+AL200+AM200+AN200+AO200+AP200+AQ200+AR200</f>
        <v>521241.5412066459</v>
      </c>
      <c r="AT200" s="201"/>
      <c r="AU200" s="199">
        <f t="shared" si="88"/>
        <v>521241.5412066459</v>
      </c>
      <c r="AV200" s="146">
        <f>IFERROR(VLOOKUP(J200,Maksājumu_pieprasījumu_iesn.!G:BL,57,0),0)</f>
        <v>0</v>
      </c>
      <c r="AW200" s="139">
        <f t="shared" si="64"/>
        <v>-521241.5412066459</v>
      </c>
      <c r="AX200" s="200">
        <f t="shared" si="91"/>
        <v>0</v>
      </c>
      <c r="AY200" s="153" t="s">
        <v>1085</v>
      </c>
      <c r="AZ200" s="153"/>
      <c r="BA200" s="136" t="s">
        <v>1086</v>
      </c>
      <c r="BB200" s="145"/>
      <c r="BC200" s="145"/>
      <c r="BD200" s="145"/>
      <c r="BE200" s="145"/>
      <c r="BF200" s="145"/>
      <c r="BG200" s="145"/>
      <c r="BH200" s="138"/>
      <c r="BI200" s="138"/>
      <c r="BJ200" s="138"/>
      <c r="BK200" s="138"/>
      <c r="BL200" s="138"/>
      <c r="BM200" s="138"/>
      <c r="BN200" s="138"/>
    </row>
    <row r="201" spans="1:66" ht="38.25" hidden="1" customHeight="1" x14ac:dyDescent="0.2">
      <c r="A201" s="142" t="s">
        <v>1185</v>
      </c>
      <c r="B201" s="18" t="s">
        <v>57</v>
      </c>
      <c r="C201" s="18" t="s">
        <v>58</v>
      </c>
      <c r="D201" s="19" t="s">
        <v>569</v>
      </c>
      <c r="E201" s="18">
        <v>2</v>
      </c>
      <c r="F201" s="18" t="s">
        <v>35</v>
      </c>
      <c r="G201" s="18" t="s">
        <v>5</v>
      </c>
      <c r="H201" s="18" t="s">
        <v>3</v>
      </c>
      <c r="I201" s="18"/>
      <c r="J201" s="18" t="s">
        <v>68</v>
      </c>
      <c r="K201" s="19" t="s">
        <v>69</v>
      </c>
      <c r="L201" s="19"/>
      <c r="M201" s="19"/>
      <c r="N201" s="19" t="s">
        <v>70</v>
      </c>
      <c r="O201" s="143"/>
      <c r="P201" s="143"/>
      <c r="Q201" s="143"/>
      <c r="R201" s="143">
        <v>42822</v>
      </c>
      <c r="S201" s="144">
        <v>454969</v>
      </c>
      <c r="T201" s="144">
        <v>27750.944224020099</v>
      </c>
      <c r="U201" s="145">
        <v>0</v>
      </c>
      <c r="V201" s="145">
        <v>0</v>
      </c>
      <c r="W201" s="145">
        <v>0</v>
      </c>
      <c r="X201" s="145">
        <f t="shared" si="87"/>
        <v>0</v>
      </c>
      <c r="Y201" s="145">
        <v>0</v>
      </c>
      <c r="Z201" s="145">
        <v>0</v>
      </c>
      <c r="AA201" s="145">
        <v>0</v>
      </c>
      <c r="AB201" s="145">
        <v>0</v>
      </c>
      <c r="AC201" s="145">
        <v>0</v>
      </c>
      <c r="AD201" s="145">
        <v>0</v>
      </c>
      <c r="AE201" s="166">
        <v>384496.25</v>
      </c>
      <c r="AF201" s="145">
        <v>0</v>
      </c>
      <c r="AG201" s="145">
        <v>42721.81</v>
      </c>
      <c r="AH201" s="145">
        <v>0</v>
      </c>
      <c r="AI201" s="145">
        <v>0</v>
      </c>
      <c r="AJ201" s="145">
        <v>0</v>
      </c>
      <c r="AK201" s="145">
        <f t="shared" si="90"/>
        <v>427218.06</v>
      </c>
      <c r="AL201" s="145">
        <v>0</v>
      </c>
      <c r="AM201" s="145">
        <v>0</v>
      </c>
      <c r="AN201" s="145">
        <v>0</v>
      </c>
      <c r="AO201" s="145">
        <v>0</v>
      </c>
      <c r="AP201" s="145">
        <v>0</v>
      </c>
      <c r="AQ201" s="145">
        <v>0</v>
      </c>
      <c r="AR201" s="145">
        <v>0</v>
      </c>
      <c r="AS201" s="201">
        <f>U201+V201+W201+AK201+AL201+AM201+AN201+AO201+AP201+AQ201+AR201</f>
        <v>427218.06</v>
      </c>
      <c r="AT201" s="202">
        <v>0</v>
      </c>
      <c r="AU201" s="199">
        <f t="shared" si="88"/>
        <v>427218.06</v>
      </c>
      <c r="AV201" s="146">
        <f>IFERROR(VLOOKUP(J201,Maksājumu_pieprasījumu_iesn.!G:BL,57,0),0)</f>
        <v>0</v>
      </c>
      <c r="AW201" s="139">
        <f t="shared" si="64"/>
        <v>-427218.06</v>
      </c>
      <c r="AX201" s="200">
        <f t="shared" si="91"/>
        <v>-4.224020114634186E-3</v>
      </c>
      <c r="AY201" s="203"/>
      <c r="AZ201" s="203"/>
      <c r="BA201" s="165"/>
      <c r="BB201" s="145"/>
      <c r="BC201" s="144"/>
      <c r="BD201" s="144"/>
      <c r="BE201" s="144"/>
      <c r="BF201" s="144"/>
      <c r="BG201" s="144"/>
      <c r="BH201" s="149"/>
      <c r="BI201" s="149"/>
      <c r="BJ201" s="149"/>
      <c r="BK201" s="149"/>
      <c r="BL201" s="149"/>
      <c r="BM201" s="149"/>
      <c r="BN201" s="149"/>
    </row>
    <row r="202" spans="1:66" ht="38.25" hidden="1" customHeight="1" x14ac:dyDescent="0.2">
      <c r="A202" s="142" t="s">
        <v>1185</v>
      </c>
      <c r="B202" s="18" t="s">
        <v>57</v>
      </c>
      <c r="C202" s="18" t="s">
        <v>58</v>
      </c>
      <c r="D202" s="19" t="s">
        <v>569</v>
      </c>
      <c r="E202" s="55">
        <v>2</v>
      </c>
      <c r="F202" s="18" t="s">
        <v>35</v>
      </c>
      <c r="G202" s="18" t="s">
        <v>5</v>
      </c>
      <c r="H202" s="18" t="s">
        <v>3</v>
      </c>
      <c r="I202" s="18"/>
      <c r="J202" s="18" t="s">
        <v>68</v>
      </c>
      <c r="K202" s="19" t="s">
        <v>69</v>
      </c>
      <c r="L202" s="19"/>
      <c r="M202" s="19"/>
      <c r="N202" s="19" t="s">
        <v>70</v>
      </c>
      <c r="O202" s="143" t="s">
        <v>880</v>
      </c>
      <c r="P202" s="143"/>
      <c r="Q202" s="143"/>
      <c r="R202" s="143"/>
      <c r="S202" s="144"/>
      <c r="T202" s="144"/>
      <c r="U202" s="145"/>
      <c r="V202" s="145"/>
      <c r="W202" s="145"/>
      <c r="X202" s="145">
        <f>W202+V202+U202</f>
        <v>0</v>
      </c>
      <c r="Y202" s="145"/>
      <c r="Z202" s="145"/>
      <c r="AA202" s="145"/>
      <c r="AB202" s="145">
        <v>384496.25</v>
      </c>
      <c r="AC202" s="145"/>
      <c r="AD202" s="145"/>
      <c r="AE202" s="145"/>
      <c r="AF202" s="145"/>
      <c r="AG202" s="145"/>
      <c r="AH202" s="145"/>
      <c r="AI202" s="145"/>
      <c r="AJ202" s="145"/>
      <c r="AK202" s="145"/>
      <c r="AL202" s="145"/>
      <c r="AM202" s="145"/>
      <c r="AN202" s="145"/>
      <c r="AO202" s="145"/>
      <c r="AP202" s="145"/>
      <c r="AQ202" s="145"/>
      <c r="AR202" s="145"/>
      <c r="AS202" s="201"/>
      <c r="AT202" s="202">
        <v>384496.25</v>
      </c>
      <c r="AU202" s="199"/>
      <c r="AV202" s="146">
        <f>IFERROR(VLOOKUP(J202,Maksājumu_pieprasījumu_iesn.!G:BL,57,0),0)</f>
        <v>0</v>
      </c>
      <c r="AW202" s="139">
        <f t="shared" si="64"/>
        <v>0</v>
      </c>
      <c r="AX202" s="200">
        <f t="shared" si="91"/>
        <v>0</v>
      </c>
      <c r="AY202" s="217"/>
      <c r="AZ202" s="217"/>
      <c r="BA202" s="165"/>
      <c r="BB202" s="145"/>
      <c r="BC202" s="144"/>
      <c r="BD202" s="144"/>
      <c r="BE202" s="144"/>
      <c r="BF202" s="144"/>
      <c r="BG202" s="144"/>
      <c r="BH202" s="149"/>
      <c r="BI202" s="149"/>
      <c r="BJ202" s="149"/>
      <c r="BK202" s="149"/>
      <c r="BL202" s="149"/>
      <c r="BM202" s="149"/>
      <c r="BN202" s="149"/>
    </row>
    <row r="203" spans="1:66" s="91" customFormat="1" ht="25.5" hidden="1" customHeight="1" x14ac:dyDescent="0.2">
      <c r="A203" s="150" t="s">
        <v>1185</v>
      </c>
      <c r="B203" s="18" t="s">
        <v>57</v>
      </c>
      <c r="C203" s="18" t="s">
        <v>58</v>
      </c>
      <c r="D203" s="19" t="s">
        <v>569</v>
      </c>
      <c r="E203" s="55">
        <v>2</v>
      </c>
      <c r="F203" s="55" t="s">
        <v>35</v>
      </c>
      <c r="G203" s="55" t="s">
        <v>5</v>
      </c>
      <c r="H203" s="55" t="s">
        <v>3</v>
      </c>
      <c r="I203" s="55"/>
      <c r="J203" s="55"/>
      <c r="K203" s="19" t="s">
        <v>1234</v>
      </c>
      <c r="L203" s="19"/>
      <c r="M203" s="19"/>
      <c r="N203" s="19" t="s">
        <v>1235</v>
      </c>
      <c r="O203" s="151">
        <v>42982</v>
      </c>
      <c r="P203" s="151"/>
      <c r="Q203" s="151"/>
      <c r="R203" s="151"/>
      <c r="S203" s="152">
        <v>1101025</v>
      </c>
      <c r="T203" s="152">
        <v>67157.286242033399</v>
      </c>
      <c r="U203" s="145">
        <v>0</v>
      </c>
      <c r="V203" s="145">
        <v>0</v>
      </c>
      <c r="W203" s="145">
        <v>0</v>
      </c>
      <c r="X203" s="145">
        <f t="shared" si="87"/>
        <v>0</v>
      </c>
      <c r="Y203" s="145">
        <v>0</v>
      </c>
      <c r="Z203" s="145">
        <v>0</v>
      </c>
      <c r="AA203" s="145">
        <v>0</v>
      </c>
      <c r="AB203" s="145">
        <v>0</v>
      </c>
      <c r="AC203" s="145">
        <v>0</v>
      </c>
      <c r="AD203" s="145">
        <v>0</v>
      </c>
      <c r="AE203" s="145">
        <v>0</v>
      </c>
      <c r="AF203" s="145">
        <v>0</v>
      </c>
      <c r="AG203" s="145">
        <v>0</v>
      </c>
      <c r="AH203" s="145">
        <v>0</v>
      </c>
      <c r="AI203" s="145">
        <v>0</v>
      </c>
      <c r="AJ203" s="145">
        <v>0</v>
      </c>
      <c r="AK203" s="145">
        <f t="shared" ref="AK203:AK210" si="92">SUM(Y203:AJ203)</f>
        <v>0</v>
      </c>
      <c r="AL203" s="145">
        <v>1033867.7137579666</v>
      </c>
      <c r="AM203" s="145">
        <v>0</v>
      </c>
      <c r="AN203" s="145">
        <v>0</v>
      </c>
      <c r="AO203" s="145">
        <v>0</v>
      </c>
      <c r="AP203" s="145">
        <v>0</v>
      </c>
      <c r="AQ203" s="145">
        <v>0</v>
      </c>
      <c r="AR203" s="145">
        <v>0</v>
      </c>
      <c r="AS203" s="201">
        <f t="shared" ref="AS203:AS210" si="93">U203+V203+W203+AK203+AL203+AM203+AN203+AO203+AP203+AQ203+AR203</f>
        <v>1033867.7137579666</v>
      </c>
      <c r="AT203" s="201"/>
      <c r="AU203" s="199">
        <f t="shared" si="88"/>
        <v>1033867.7137579666</v>
      </c>
      <c r="AV203" s="146">
        <f>IFERROR(VLOOKUP(J203,Maksājumu_pieprasījumu_iesn.!G:BL,57,0),0)</f>
        <v>0</v>
      </c>
      <c r="AW203" s="139">
        <f t="shared" si="64"/>
        <v>-1033867.7137579666</v>
      </c>
      <c r="AX203" s="200">
        <f t="shared" si="91"/>
        <v>0</v>
      </c>
      <c r="AY203" s="153" t="s">
        <v>1085</v>
      </c>
      <c r="AZ203" s="153"/>
      <c r="BA203" s="136" t="s">
        <v>1086</v>
      </c>
      <c r="BB203" s="145"/>
      <c r="BC203" s="145"/>
      <c r="BD203" s="145"/>
      <c r="BE203" s="145"/>
      <c r="BF203" s="145"/>
      <c r="BG203" s="145"/>
      <c r="BH203" s="138"/>
      <c r="BI203" s="138"/>
      <c r="BJ203" s="138"/>
      <c r="BK203" s="138"/>
      <c r="BL203" s="138"/>
      <c r="BM203" s="138"/>
      <c r="BN203" s="138"/>
    </row>
    <row r="204" spans="1:66" s="91" customFormat="1" ht="38.25" hidden="1" customHeight="1" x14ac:dyDescent="0.2">
      <c r="A204" s="150" t="s">
        <v>1185</v>
      </c>
      <c r="B204" s="18" t="s">
        <v>57</v>
      </c>
      <c r="C204" s="18" t="s">
        <v>58</v>
      </c>
      <c r="D204" s="19" t="s">
        <v>569</v>
      </c>
      <c r="E204" s="55">
        <v>2</v>
      </c>
      <c r="F204" s="55" t="s">
        <v>35</v>
      </c>
      <c r="G204" s="55" t="s">
        <v>5</v>
      </c>
      <c r="H204" s="55" t="s">
        <v>3</v>
      </c>
      <c r="I204" s="55"/>
      <c r="J204" s="55"/>
      <c r="K204" s="19" t="s">
        <v>724</v>
      </c>
      <c r="L204" s="19"/>
      <c r="M204" s="19"/>
      <c r="N204" s="19" t="s">
        <v>1236</v>
      </c>
      <c r="O204" s="151">
        <v>43190</v>
      </c>
      <c r="P204" s="151"/>
      <c r="Q204" s="151"/>
      <c r="R204" s="151"/>
      <c r="S204" s="152">
        <v>417055</v>
      </c>
      <c r="T204" s="152">
        <v>25440.3706216219</v>
      </c>
      <c r="U204" s="145">
        <v>0</v>
      </c>
      <c r="V204" s="145">
        <v>0</v>
      </c>
      <c r="W204" s="145">
        <v>0</v>
      </c>
      <c r="X204" s="145">
        <f t="shared" si="87"/>
        <v>0</v>
      </c>
      <c r="Y204" s="145">
        <v>0</v>
      </c>
      <c r="Z204" s="145">
        <v>0</v>
      </c>
      <c r="AA204" s="145">
        <v>0</v>
      </c>
      <c r="AB204" s="145">
        <v>0</v>
      </c>
      <c r="AC204" s="145">
        <v>0</v>
      </c>
      <c r="AD204" s="145">
        <v>0</v>
      </c>
      <c r="AE204" s="145">
        <v>0</v>
      </c>
      <c r="AF204" s="145">
        <v>0</v>
      </c>
      <c r="AG204" s="145">
        <v>0</v>
      </c>
      <c r="AH204" s="145">
        <v>0</v>
      </c>
      <c r="AI204" s="145">
        <v>0</v>
      </c>
      <c r="AJ204" s="145">
        <v>0</v>
      </c>
      <c r="AK204" s="145">
        <f t="shared" si="92"/>
        <v>0</v>
      </c>
      <c r="AL204" s="145">
        <v>191615</v>
      </c>
      <c r="AM204" s="145">
        <v>200000</v>
      </c>
      <c r="AN204" s="145">
        <v>0</v>
      </c>
      <c r="AO204" s="145">
        <v>0</v>
      </c>
      <c r="AP204" s="145">
        <v>0</v>
      </c>
      <c r="AQ204" s="145">
        <v>0</v>
      </c>
      <c r="AR204" s="145">
        <v>0</v>
      </c>
      <c r="AS204" s="201">
        <f t="shared" si="93"/>
        <v>391615</v>
      </c>
      <c r="AT204" s="201"/>
      <c r="AU204" s="199">
        <f t="shared" si="88"/>
        <v>391615</v>
      </c>
      <c r="AV204" s="146">
        <f>IFERROR(VLOOKUP(J204,Maksājumu_pieprasījumu_iesn.!G:BL,57,0),0)</f>
        <v>0</v>
      </c>
      <c r="AW204" s="139">
        <f t="shared" si="64"/>
        <v>-391615</v>
      </c>
      <c r="AX204" s="200">
        <f t="shared" si="91"/>
        <v>-0.37062162189977244</v>
      </c>
      <c r="AY204" s="153" t="s">
        <v>1085</v>
      </c>
      <c r="AZ204" s="153"/>
      <c r="BA204" s="136" t="s">
        <v>1086</v>
      </c>
      <c r="BB204" s="145"/>
      <c r="BC204" s="145"/>
      <c r="BD204" s="145"/>
      <c r="BE204" s="145"/>
      <c r="BF204" s="145"/>
      <c r="BG204" s="145"/>
      <c r="BH204" s="138"/>
      <c r="BI204" s="138"/>
      <c r="BJ204" s="138"/>
      <c r="BK204" s="138"/>
      <c r="BL204" s="138"/>
      <c r="BM204" s="138"/>
      <c r="BN204" s="138"/>
    </row>
    <row r="205" spans="1:66" ht="51" hidden="1" customHeight="1" x14ac:dyDescent="0.2">
      <c r="A205" s="142" t="s">
        <v>1185</v>
      </c>
      <c r="B205" s="18" t="s">
        <v>57</v>
      </c>
      <c r="C205" s="18" t="s">
        <v>58</v>
      </c>
      <c r="D205" s="19" t="s">
        <v>569</v>
      </c>
      <c r="E205" s="18">
        <v>2</v>
      </c>
      <c r="F205" s="18" t="s">
        <v>35</v>
      </c>
      <c r="G205" s="18" t="s">
        <v>5</v>
      </c>
      <c r="H205" s="18" t="s">
        <v>3</v>
      </c>
      <c r="I205" s="18"/>
      <c r="J205" s="18" t="s">
        <v>1237</v>
      </c>
      <c r="K205" s="19" t="s">
        <v>896</v>
      </c>
      <c r="L205" s="19"/>
      <c r="M205" s="19"/>
      <c r="N205" s="19" t="s">
        <v>1238</v>
      </c>
      <c r="O205" s="143"/>
      <c r="P205" s="143"/>
      <c r="Q205" s="143"/>
      <c r="R205" s="187" t="s">
        <v>1239</v>
      </c>
      <c r="S205" s="144">
        <v>454969</v>
      </c>
      <c r="T205" s="144">
        <v>27752.944224020099</v>
      </c>
      <c r="U205" s="145">
        <v>0</v>
      </c>
      <c r="V205" s="145">
        <v>0</v>
      </c>
      <c r="W205" s="145">
        <v>0</v>
      </c>
      <c r="X205" s="145">
        <f t="shared" si="87"/>
        <v>0</v>
      </c>
      <c r="Y205" s="145">
        <v>0</v>
      </c>
      <c r="Z205" s="145">
        <v>0</v>
      </c>
      <c r="AA205" s="145">
        <v>0</v>
      </c>
      <c r="AB205" s="145">
        <v>0</v>
      </c>
      <c r="AC205" s="145">
        <v>0</v>
      </c>
      <c r="AD205" s="145">
        <v>0</v>
      </c>
      <c r="AE205" s="145">
        <v>0</v>
      </c>
      <c r="AF205" s="145">
        <v>0</v>
      </c>
      <c r="AG205" s="145">
        <v>0</v>
      </c>
      <c r="AH205" s="145">
        <v>0</v>
      </c>
      <c r="AI205" s="145">
        <v>0</v>
      </c>
      <c r="AJ205" s="145">
        <v>0</v>
      </c>
      <c r="AK205" s="145">
        <f t="shared" si="92"/>
        <v>0</v>
      </c>
      <c r="AL205" s="145">
        <v>427215.89</v>
      </c>
      <c r="AM205" s="145">
        <v>0</v>
      </c>
      <c r="AN205" s="145">
        <v>0</v>
      </c>
      <c r="AO205" s="145">
        <v>0</v>
      </c>
      <c r="AP205" s="145">
        <v>0</v>
      </c>
      <c r="AQ205" s="145">
        <v>0</v>
      </c>
      <c r="AR205" s="145">
        <v>0</v>
      </c>
      <c r="AS205" s="201">
        <f t="shared" si="93"/>
        <v>427215.89</v>
      </c>
      <c r="AT205" s="201">
        <v>0</v>
      </c>
      <c r="AU205" s="199">
        <f t="shared" si="88"/>
        <v>427215.89</v>
      </c>
      <c r="AV205" s="146">
        <f>IFERROR(VLOOKUP(J205,Maksājumu_pieprasījumu_iesn.!G:BL,57,0),0)</f>
        <v>0</v>
      </c>
      <c r="AW205" s="139">
        <f t="shared" si="64"/>
        <v>-427215.89</v>
      </c>
      <c r="AX205" s="200">
        <f t="shared" si="91"/>
        <v>0.16577597986906767</v>
      </c>
      <c r="AY205" s="147"/>
      <c r="AZ205" s="147"/>
      <c r="BA205" s="165"/>
      <c r="BB205" s="145"/>
      <c r="BC205" s="144"/>
      <c r="BD205" s="144"/>
      <c r="BE205" s="144"/>
      <c r="BF205" s="144"/>
      <c r="BG205" s="144"/>
      <c r="BH205" s="149"/>
      <c r="BI205" s="149"/>
      <c r="BJ205" s="149"/>
      <c r="BK205" s="149"/>
      <c r="BL205" s="149"/>
      <c r="BM205" s="149"/>
      <c r="BN205" s="149"/>
    </row>
    <row r="206" spans="1:66" s="91" customFormat="1" ht="38.25" hidden="1" customHeight="1" x14ac:dyDescent="0.2">
      <c r="A206" s="150" t="s">
        <v>1185</v>
      </c>
      <c r="B206" s="18" t="s">
        <v>57</v>
      </c>
      <c r="C206" s="18" t="s">
        <v>58</v>
      </c>
      <c r="D206" s="19" t="s">
        <v>569</v>
      </c>
      <c r="E206" s="55">
        <v>2</v>
      </c>
      <c r="F206" s="55" t="s">
        <v>35</v>
      </c>
      <c r="G206" s="55" t="s">
        <v>5</v>
      </c>
      <c r="H206" s="55" t="s">
        <v>3</v>
      </c>
      <c r="I206" s="55"/>
      <c r="J206" s="55"/>
      <c r="K206" s="19" t="s">
        <v>897</v>
      </c>
      <c r="L206" s="19"/>
      <c r="M206" s="19"/>
      <c r="N206" s="19" t="s">
        <v>1240</v>
      </c>
      <c r="O206" s="151">
        <v>42982</v>
      </c>
      <c r="P206" s="151"/>
      <c r="Q206" s="151"/>
      <c r="R206" s="151"/>
      <c r="S206" s="152">
        <v>504636</v>
      </c>
      <c r="T206" s="152">
        <v>30780.394904779401</v>
      </c>
      <c r="U206" s="145">
        <v>0</v>
      </c>
      <c r="V206" s="145">
        <v>0</v>
      </c>
      <c r="W206" s="145">
        <v>0</v>
      </c>
      <c r="X206" s="145">
        <f t="shared" si="87"/>
        <v>0</v>
      </c>
      <c r="Y206" s="145">
        <v>0</v>
      </c>
      <c r="Z206" s="145">
        <v>0</v>
      </c>
      <c r="AA206" s="145">
        <v>0</v>
      </c>
      <c r="AB206" s="145">
        <v>0</v>
      </c>
      <c r="AC206" s="145">
        <v>0</v>
      </c>
      <c r="AD206" s="145">
        <v>0</v>
      </c>
      <c r="AE206" s="145">
        <v>0</v>
      </c>
      <c r="AF206" s="145">
        <v>0</v>
      </c>
      <c r="AG206" s="145">
        <v>0</v>
      </c>
      <c r="AH206" s="145">
        <v>0</v>
      </c>
      <c r="AI206" s="145">
        <v>0</v>
      </c>
      <c r="AJ206" s="145">
        <v>0</v>
      </c>
      <c r="AK206" s="145">
        <f t="shared" si="92"/>
        <v>0</v>
      </c>
      <c r="AL206" s="145">
        <v>0</v>
      </c>
      <c r="AM206" s="145">
        <v>362777.60509522061</v>
      </c>
      <c r="AN206" s="145">
        <v>0</v>
      </c>
      <c r="AO206" s="145">
        <v>0</v>
      </c>
      <c r="AP206" s="145">
        <v>0</v>
      </c>
      <c r="AQ206" s="145">
        <v>0</v>
      </c>
      <c r="AR206" s="145">
        <v>0</v>
      </c>
      <c r="AS206" s="201">
        <f t="shared" si="93"/>
        <v>362777.60509522061</v>
      </c>
      <c r="AT206" s="201"/>
      <c r="AU206" s="199">
        <f t="shared" si="88"/>
        <v>362777.60509522061</v>
      </c>
      <c r="AV206" s="146">
        <f>IFERROR(VLOOKUP(J206,Maksājumu_pieprasījumu_iesn.!G:BL,57,0),0)</f>
        <v>0</v>
      </c>
      <c r="AW206" s="139">
        <f t="shared" si="64"/>
        <v>-362777.60509522061</v>
      </c>
      <c r="AX206" s="200">
        <f t="shared" si="91"/>
        <v>111078</v>
      </c>
      <c r="AY206" s="153" t="s">
        <v>1085</v>
      </c>
      <c r="AZ206" s="153"/>
      <c r="BA206" s="136" t="s">
        <v>1086</v>
      </c>
      <c r="BB206" s="145"/>
      <c r="BC206" s="145"/>
      <c r="BD206" s="145"/>
      <c r="BE206" s="145"/>
      <c r="BF206" s="145"/>
      <c r="BG206" s="145"/>
      <c r="BH206" s="138"/>
      <c r="BI206" s="138"/>
      <c r="BJ206" s="138"/>
      <c r="BK206" s="138"/>
      <c r="BL206" s="138"/>
      <c r="BM206" s="138"/>
      <c r="BN206" s="138"/>
    </row>
    <row r="207" spans="1:66" s="91" customFormat="1" ht="38.25" hidden="1" customHeight="1" x14ac:dyDescent="0.2">
      <c r="A207" s="150" t="s">
        <v>1185</v>
      </c>
      <c r="B207" s="18" t="s">
        <v>57</v>
      </c>
      <c r="C207" s="18" t="s">
        <v>58</v>
      </c>
      <c r="D207" s="19" t="s">
        <v>569</v>
      </c>
      <c r="E207" s="55">
        <v>2</v>
      </c>
      <c r="F207" s="55" t="s">
        <v>35</v>
      </c>
      <c r="G207" s="55" t="s">
        <v>5</v>
      </c>
      <c r="H207" s="55" t="s">
        <v>3</v>
      </c>
      <c r="I207" s="55"/>
      <c r="J207" s="55"/>
      <c r="K207" s="19" t="s">
        <v>897</v>
      </c>
      <c r="L207" s="19"/>
      <c r="M207" s="19"/>
      <c r="N207" s="19" t="s">
        <v>1241</v>
      </c>
      <c r="O207" s="151">
        <v>42982</v>
      </c>
      <c r="P207" s="151"/>
      <c r="Q207" s="151"/>
      <c r="R207" s="151"/>
      <c r="S207" s="152">
        <v>0</v>
      </c>
      <c r="T207" s="152">
        <v>0</v>
      </c>
      <c r="U207" s="145">
        <v>0</v>
      </c>
      <c r="V207" s="145">
        <v>0</v>
      </c>
      <c r="W207" s="145">
        <v>0</v>
      </c>
      <c r="X207" s="145">
        <f t="shared" si="87"/>
        <v>0</v>
      </c>
      <c r="Y207" s="145">
        <v>0</v>
      </c>
      <c r="Z207" s="145">
        <v>0</v>
      </c>
      <c r="AA207" s="145">
        <v>0</v>
      </c>
      <c r="AB207" s="145">
        <v>0</v>
      </c>
      <c r="AC207" s="145">
        <v>0</v>
      </c>
      <c r="AD207" s="145">
        <v>0</v>
      </c>
      <c r="AE207" s="145">
        <v>0</v>
      </c>
      <c r="AF207" s="145">
        <v>0</v>
      </c>
      <c r="AG207" s="145">
        <v>0</v>
      </c>
      <c r="AH207" s="145">
        <v>0</v>
      </c>
      <c r="AI207" s="145">
        <v>0</v>
      </c>
      <c r="AJ207" s="145">
        <v>0</v>
      </c>
      <c r="AK207" s="145">
        <f t="shared" si="92"/>
        <v>0</v>
      </c>
      <c r="AL207" s="145">
        <v>111078</v>
      </c>
      <c r="AM207" s="145">
        <v>0</v>
      </c>
      <c r="AN207" s="145">
        <v>0</v>
      </c>
      <c r="AO207" s="145">
        <v>0</v>
      </c>
      <c r="AP207" s="145">
        <v>0</v>
      </c>
      <c r="AQ207" s="145">
        <v>0</v>
      </c>
      <c r="AR207" s="145">
        <v>0</v>
      </c>
      <c r="AS207" s="201">
        <f t="shared" si="93"/>
        <v>111078</v>
      </c>
      <c r="AT207" s="201"/>
      <c r="AU207" s="199">
        <f t="shared" si="88"/>
        <v>111078</v>
      </c>
      <c r="AV207" s="146">
        <f>IFERROR(VLOOKUP(J207,Maksājumu_pieprasījumu_iesn.!G:BL,57,0),0)</f>
        <v>0</v>
      </c>
      <c r="AW207" s="139">
        <f t="shared" si="64"/>
        <v>-111078</v>
      </c>
      <c r="AX207" s="200">
        <f t="shared" si="91"/>
        <v>-111078</v>
      </c>
      <c r="AY207" s="153"/>
      <c r="AZ207" s="153"/>
      <c r="BA207" s="136"/>
      <c r="BB207" s="145"/>
      <c r="BC207" s="145"/>
      <c r="BD207" s="145"/>
      <c r="BE207" s="145"/>
      <c r="BF207" s="145"/>
      <c r="BG207" s="145"/>
      <c r="BH207" s="138"/>
      <c r="BI207" s="138"/>
      <c r="BJ207" s="138"/>
      <c r="BK207" s="138"/>
      <c r="BL207" s="138"/>
      <c r="BM207" s="138"/>
      <c r="BN207" s="138"/>
    </row>
    <row r="208" spans="1:66" s="91" customFormat="1" ht="25.5" hidden="1" customHeight="1" x14ac:dyDescent="0.2">
      <c r="A208" s="150" t="s">
        <v>1185</v>
      </c>
      <c r="B208" s="18" t="s">
        <v>57</v>
      </c>
      <c r="C208" s="18" t="s">
        <v>58</v>
      </c>
      <c r="D208" s="19" t="s">
        <v>569</v>
      </c>
      <c r="E208" s="55">
        <v>2</v>
      </c>
      <c r="F208" s="55" t="s">
        <v>35</v>
      </c>
      <c r="G208" s="55" t="s">
        <v>5</v>
      </c>
      <c r="H208" s="55" t="s">
        <v>3</v>
      </c>
      <c r="I208" s="55"/>
      <c r="J208" s="55"/>
      <c r="K208" s="19" t="s">
        <v>856</v>
      </c>
      <c r="L208" s="19"/>
      <c r="M208" s="19"/>
      <c r="N208" s="19" t="s">
        <v>1242</v>
      </c>
      <c r="O208" s="151">
        <v>42982</v>
      </c>
      <c r="P208" s="151"/>
      <c r="Q208" s="151"/>
      <c r="R208" s="151"/>
      <c r="S208" s="152">
        <v>417055</v>
      </c>
      <c r="T208" s="152">
        <v>25438.3706216219</v>
      </c>
      <c r="U208" s="145">
        <v>0</v>
      </c>
      <c r="V208" s="145">
        <v>0</v>
      </c>
      <c r="W208" s="145">
        <v>0</v>
      </c>
      <c r="X208" s="145">
        <f t="shared" si="87"/>
        <v>0</v>
      </c>
      <c r="Y208" s="145">
        <v>0</v>
      </c>
      <c r="Z208" s="145">
        <v>0</v>
      </c>
      <c r="AA208" s="145">
        <v>0</v>
      </c>
      <c r="AB208" s="145">
        <v>0</v>
      </c>
      <c r="AC208" s="145">
        <v>0</v>
      </c>
      <c r="AD208" s="145">
        <v>0</v>
      </c>
      <c r="AE208" s="145">
        <v>0</v>
      </c>
      <c r="AF208" s="145">
        <v>0</v>
      </c>
      <c r="AG208" s="145">
        <v>0</v>
      </c>
      <c r="AH208" s="145">
        <v>0</v>
      </c>
      <c r="AI208" s="145">
        <v>0</v>
      </c>
      <c r="AJ208" s="145">
        <v>0</v>
      </c>
      <c r="AK208" s="145">
        <f t="shared" si="92"/>
        <v>0</v>
      </c>
      <c r="AL208" s="145">
        <v>391616.6293783781</v>
      </c>
      <c r="AM208" s="145">
        <v>0</v>
      </c>
      <c r="AN208" s="145">
        <v>0</v>
      </c>
      <c r="AO208" s="145">
        <v>0</v>
      </c>
      <c r="AP208" s="145">
        <v>0</v>
      </c>
      <c r="AQ208" s="145">
        <v>0</v>
      </c>
      <c r="AR208" s="145">
        <v>0</v>
      </c>
      <c r="AS208" s="201">
        <f t="shared" si="93"/>
        <v>391616.6293783781</v>
      </c>
      <c r="AT208" s="201"/>
      <c r="AU208" s="199">
        <f t="shared" si="88"/>
        <v>391616.6293783781</v>
      </c>
      <c r="AV208" s="146">
        <f>IFERROR(VLOOKUP(J208,Maksājumu_pieprasījumu_iesn.!G:BL,57,0),0)</f>
        <v>0</v>
      </c>
      <c r="AW208" s="139">
        <f t="shared" ref="AW208:AW271" si="94">AV208-AU208</f>
        <v>-391616.6293783781</v>
      </c>
      <c r="AX208" s="200">
        <f t="shared" si="91"/>
        <v>0</v>
      </c>
      <c r="AY208" s="153" t="s">
        <v>1085</v>
      </c>
      <c r="AZ208" s="153"/>
      <c r="BA208" s="136" t="s">
        <v>1086</v>
      </c>
      <c r="BB208" s="145"/>
      <c r="BC208" s="145"/>
      <c r="BD208" s="145"/>
      <c r="BE208" s="145"/>
      <c r="BF208" s="145"/>
      <c r="BG208" s="145"/>
      <c r="BH208" s="138"/>
      <c r="BI208" s="138"/>
      <c r="BJ208" s="138"/>
      <c r="BK208" s="138"/>
      <c r="BL208" s="138"/>
      <c r="BM208" s="138"/>
      <c r="BN208" s="138"/>
    </row>
    <row r="209" spans="1:66" s="91" customFormat="1" ht="25.5" hidden="1" customHeight="1" x14ac:dyDescent="0.2">
      <c r="A209" s="150" t="s">
        <v>1185</v>
      </c>
      <c r="B209" s="18" t="s">
        <v>57</v>
      </c>
      <c r="C209" s="18" t="s">
        <v>58</v>
      </c>
      <c r="D209" s="19" t="s">
        <v>569</v>
      </c>
      <c r="E209" s="55">
        <v>2</v>
      </c>
      <c r="F209" s="55" t="s">
        <v>35</v>
      </c>
      <c r="G209" s="55" t="s">
        <v>5</v>
      </c>
      <c r="H209" s="55" t="s">
        <v>3</v>
      </c>
      <c r="I209" s="55"/>
      <c r="J209" s="55"/>
      <c r="K209" s="19" t="s">
        <v>810</v>
      </c>
      <c r="L209" s="19"/>
      <c r="M209" s="19"/>
      <c r="N209" s="156" t="s">
        <v>1243</v>
      </c>
      <c r="O209" s="151">
        <v>42886</v>
      </c>
      <c r="P209" s="151"/>
      <c r="Q209" s="151"/>
      <c r="R209" s="151"/>
      <c r="S209" s="152">
        <v>458760</v>
      </c>
      <c r="T209" s="152">
        <v>27982.177186163099</v>
      </c>
      <c r="U209" s="145">
        <v>0</v>
      </c>
      <c r="V209" s="145">
        <v>0</v>
      </c>
      <c r="W209" s="145">
        <v>0</v>
      </c>
      <c r="X209" s="145">
        <f t="shared" si="87"/>
        <v>0</v>
      </c>
      <c r="Y209" s="145">
        <v>0</v>
      </c>
      <c r="Z209" s="145">
        <v>0</v>
      </c>
      <c r="AA209" s="145">
        <v>0</v>
      </c>
      <c r="AB209" s="145">
        <v>0</v>
      </c>
      <c r="AC209" s="145">
        <v>0</v>
      </c>
      <c r="AD209" s="145">
        <v>0</v>
      </c>
      <c r="AE209" s="145">
        <v>0</v>
      </c>
      <c r="AF209" s="145">
        <v>0</v>
      </c>
      <c r="AG209" s="145">
        <v>0</v>
      </c>
      <c r="AH209" s="145">
        <v>0</v>
      </c>
      <c r="AI209" s="145">
        <v>0</v>
      </c>
      <c r="AJ209" s="145">
        <v>0</v>
      </c>
      <c r="AK209" s="145">
        <f t="shared" si="92"/>
        <v>0</v>
      </c>
      <c r="AL209" s="145">
        <v>430777.82281383692</v>
      </c>
      <c r="AM209" s="145">
        <v>0</v>
      </c>
      <c r="AN209" s="145">
        <v>0</v>
      </c>
      <c r="AO209" s="145">
        <v>0</v>
      </c>
      <c r="AP209" s="145">
        <v>0</v>
      </c>
      <c r="AQ209" s="145">
        <v>0</v>
      </c>
      <c r="AR209" s="145">
        <v>0</v>
      </c>
      <c r="AS209" s="201">
        <f t="shared" si="93"/>
        <v>430777.82281383692</v>
      </c>
      <c r="AT209" s="201"/>
      <c r="AU209" s="199">
        <f t="shared" si="88"/>
        <v>430777.82281383692</v>
      </c>
      <c r="AV209" s="146">
        <f>IFERROR(VLOOKUP(J209,Maksājumu_pieprasījumu_iesn.!G:BL,57,0),0)</f>
        <v>0</v>
      </c>
      <c r="AW209" s="139">
        <f t="shared" si="94"/>
        <v>-430777.82281383692</v>
      </c>
      <c r="AX209" s="200">
        <f t="shared" si="91"/>
        <v>0</v>
      </c>
      <c r="AY209" s="153" t="s">
        <v>1085</v>
      </c>
      <c r="AZ209" s="153"/>
      <c r="BA209" s="136" t="s">
        <v>1086</v>
      </c>
      <c r="BB209" s="145"/>
      <c r="BC209" s="145"/>
      <c r="BD209" s="145"/>
      <c r="BE209" s="145"/>
      <c r="BF209" s="145"/>
      <c r="BG209" s="145"/>
      <c r="BH209" s="138"/>
      <c r="BI209" s="138"/>
      <c r="BJ209" s="138"/>
      <c r="BK209" s="138"/>
      <c r="BL209" s="138"/>
      <c r="BM209" s="138"/>
      <c r="BN209" s="138"/>
    </row>
    <row r="210" spans="1:66" s="161" customFormat="1" ht="25.5" hidden="1" customHeight="1" x14ac:dyDescent="0.2">
      <c r="A210" s="158" t="s">
        <v>1185</v>
      </c>
      <c r="B210" s="20" t="s">
        <v>57</v>
      </c>
      <c r="C210" s="20" t="s">
        <v>58</v>
      </c>
      <c r="D210" s="21" t="s">
        <v>569</v>
      </c>
      <c r="E210" s="20">
        <v>2</v>
      </c>
      <c r="F210" s="20" t="s">
        <v>35</v>
      </c>
      <c r="G210" s="20" t="s">
        <v>5</v>
      </c>
      <c r="H210" s="20" t="s">
        <v>3</v>
      </c>
      <c r="I210" s="20"/>
      <c r="J210" s="20" t="s">
        <v>71</v>
      </c>
      <c r="K210" s="21" t="s">
        <v>72</v>
      </c>
      <c r="L210" s="21"/>
      <c r="M210" s="21"/>
      <c r="N210" s="21" t="s">
        <v>73</v>
      </c>
      <c r="O210" s="159"/>
      <c r="P210" s="159"/>
      <c r="Q210" s="159"/>
      <c r="R210" s="159">
        <v>42800</v>
      </c>
      <c r="S210" s="147">
        <v>516933.39</v>
      </c>
      <c r="T210" s="147">
        <v>30518.6126233957</v>
      </c>
      <c r="U210" s="153">
        <v>0</v>
      </c>
      <c r="V210" s="153">
        <v>0</v>
      </c>
      <c r="W210" s="153">
        <v>486414.78</v>
      </c>
      <c r="X210" s="153">
        <f t="shared" si="87"/>
        <v>486414.78</v>
      </c>
      <c r="Y210" s="153">
        <v>0</v>
      </c>
      <c r="Z210" s="153">
        <v>0</v>
      </c>
      <c r="AA210" s="153">
        <v>0</v>
      </c>
      <c r="AB210" s="153">
        <v>0</v>
      </c>
      <c r="AC210" s="153">
        <v>0</v>
      </c>
      <c r="AD210" s="153">
        <v>0</v>
      </c>
      <c r="AE210" s="153">
        <v>0</v>
      </c>
      <c r="AF210" s="153">
        <v>0</v>
      </c>
      <c r="AG210" s="153">
        <v>0</v>
      </c>
      <c r="AH210" s="153">
        <v>0</v>
      </c>
      <c r="AI210" s="153">
        <v>0</v>
      </c>
      <c r="AJ210" s="153">
        <v>0</v>
      </c>
      <c r="AK210" s="153">
        <f t="shared" si="92"/>
        <v>0</v>
      </c>
      <c r="AL210" s="153">
        <v>0</v>
      </c>
      <c r="AM210" s="153">
        <v>0</v>
      </c>
      <c r="AN210" s="153">
        <v>0</v>
      </c>
      <c r="AO210" s="153">
        <v>0</v>
      </c>
      <c r="AP210" s="153">
        <v>0</v>
      </c>
      <c r="AQ210" s="153">
        <v>0</v>
      </c>
      <c r="AR210" s="153">
        <v>0</v>
      </c>
      <c r="AS210" s="219">
        <f t="shared" si="93"/>
        <v>486414.78</v>
      </c>
      <c r="AT210" s="222">
        <v>0</v>
      </c>
      <c r="AU210" s="199">
        <f t="shared" si="88"/>
        <v>486414.78</v>
      </c>
      <c r="AV210" s="146">
        <f>IFERROR(VLOOKUP(J210,Maksājumu_pieprasījumu_iesn.!G:BL,57,0),0)</f>
        <v>0</v>
      </c>
      <c r="AW210" s="139">
        <f t="shared" si="94"/>
        <v>-486414.78</v>
      </c>
      <c r="AX210" s="200">
        <f t="shared" si="91"/>
        <v>-2.6233957032673061E-3</v>
      </c>
      <c r="AY210" s="223"/>
      <c r="AZ210" s="223"/>
      <c r="BA210" s="146"/>
      <c r="BB210" s="145"/>
      <c r="BC210" s="147"/>
      <c r="BD210" s="147"/>
      <c r="BE210" s="147"/>
      <c r="BF210" s="147"/>
      <c r="BG210" s="147"/>
      <c r="BH210" s="149"/>
      <c r="BI210" s="149"/>
      <c r="BJ210" s="149"/>
      <c r="BK210" s="149"/>
      <c r="BL210" s="149"/>
      <c r="BM210" s="149"/>
      <c r="BN210" s="149"/>
    </row>
    <row r="211" spans="1:66" s="91" customFormat="1" ht="25.5" hidden="1" customHeight="1" x14ac:dyDescent="0.2">
      <c r="A211" s="220" t="s">
        <v>1185</v>
      </c>
      <c r="B211" s="20" t="s">
        <v>57</v>
      </c>
      <c r="C211" s="20" t="s">
        <v>58</v>
      </c>
      <c r="D211" s="21" t="s">
        <v>569</v>
      </c>
      <c r="E211" s="52">
        <v>2</v>
      </c>
      <c r="F211" s="52" t="s">
        <v>35</v>
      </c>
      <c r="G211" s="52" t="s">
        <v>5</v>
      </c>
      <c r="H211" s="52" t="s">
        <v>3</v>
      </c>
      <c r="I211" s="52"/>
      <c r="J211" s="52" t="s">
        <v>1081</v>
      </c>
      <c r="K211" s="21"/>
      <c r="L211" s="21"/>
      <c r="M211" s="21"/>
      <c r="N211" s="21"/>
      <c r="O211" s="188"/>
      <c r="P211" s="188"/>
      <c r="Q211" s="188"/>
      <c r="R211" s="188"/>
      <c r="S211" s="189">
        <f>S179-SUM(S180:S210)</f>
        <v>33613.169999998063</v>
      </c>
      <c r="T211" s="152"/>
      <c r="U211" s="145"/>
      <c r="V211" s="145"/>
      <c r="W211" s="145"/>
      <c r="X211" s="145"/>
      <c r="Y211" s="145"/>
      <c r="Z211" s="145"/>
      <c r="AA211" s="145"/>
      <c r="AB211" s="145"/>
      <c r="AC211" s="145"/>
      <c r="AD211" s="145"/>
      <c r="AE211" s="145"/>
      <c r="AF211" s="145"/>
      <c r="AG211" s="145"/>
      <c r="AH211" s="145"/>
      <c r="AI211" s="145"/>
      <c r="AJ211" s="145"/>
      <c r="AK211" s="145"/>
      <c r="AL211" s="145"/>
      <c r="AM211" s="145"/>
      <c r="AN211" s="145"/>
      <c r="AO211" s="145"/>
      <c r="AP211" s="145"/>
      <c r="AQ211" s="145"/>
      <c r="AR211" s="145"/>
      <c r="AS211" s="201">
        <v>0</v>
      </c>
      <c r="AT211" s="201"/>
      <c r="AU211" s="199"/>
      <c r="AV211" s="146">
        <f>IFERROR(VLOOKUP(J211,Maksājumu_pieprasījumu_iesn.!G:BL,57,0),0)</f>
        <v>0</v>
      </c>
      <c r="AW211" s="139">
        <f t="shared" si="94"/>
        <v>0</v>
      </c>
      <c r="AX211" s="200"/>
      <c r="AY211" s="189">
        <f>S211</f>
        <v>33613.169999998063</v>
      </c>
      <c r="AZ211" s="189"/>
      <c r="BA211" s="136" t="s">
        <v>1244</v>
      </c>
      <c r="BB211" s="145"/>
      <c r="BC211" s="145"/>
      <c r="BD211" s="145"/>
      <c r="BE211" s="145"/>
      <c r="BF211" s="145"/>
      <c r="BG211" s="145"/>
      <c r="BH211" s="138"/>
      <c r="BI211" s="138"/>
      <c r="BJ211" s="138"/>
      <c r="BK211" s="138"/>
      <c r="BL211" s="138"/>
      <c r="BM211" s="138"/>
      <c r="BN211" s="138"/>
    </row>
    <row r="212" spans="1:66" s="91" customFormat="1" ht="25.5" hidden="1" customHeight="1" x14ac:dyDescent="0.2">
      <c r="A212" s="131" t="s">
        <v>1185</v>
      </c>
      <c r="B212" s="132" t="s">
        <v>57</v>
      </c>
      <c r="C212" s="132" t="s">
        <v>58</v>
      </c>
      <c r="D212" s="133" t="s">
        <v>569</v>
      </c>
      <c r="E212" s="22">
        <v>3</v>
      </c>
      <c r="F212" s="22" t="s">
        <v>35</v>
      </c>
      <c r="G212" s="22" t="s">
        <v>5</v>
      </c>
      <c r="H212" s="22" t="s">
        <v>3</v>
      </c>
      <c r="I212" s="22" t="s">
        <v>1022</v>
      </c>
      <c r="J212" s="134" t="s">
        <v>1026</v>
      </c>
      <c r="K212" s="133"/>
      <c r="L212" s="133"/>
      <c r="M212" s="133"/>
      <c r="N212" s="133"/>
      <c r="O212" s="135"/>
      <c r="P212" s="135"/>
      <c r="Q212" s="135"/>
      <c r="R212" s="135"/>
      <c r="S212" s="136">
        <v>37193476</v>
      </c>
      <c r="T212" s="136">
        <v>2268624</v>
      </c>
      <c r="U212" s="137">
        <f>SUM(U213:U265)</f>
        <v>0</v>
      </c>
      <c r="V212" s="137">
        <f>SUM(V213:V265)</f>
        <v>0</v>
      </c>
      <c r="W212" s="137">
        <f>SUM(W213:W265)</f>
        <v>0</v>
      </c>
      <c r="X212" s="138">
        <f>U212+V212+W212</f>
        <v>0</v>
      </c>
      <c r="Y212" s="137">
        <f t="shared" ref="Y212:AR212" si="95">SUM(Y213:Y265)</f>
        <v>0</v>
      </c>
      <c r="Z212" s="137">
        <f t="shared" si="95"/>
        <v>0</v>
      </c>
      <c r="AA212" s="137">
        <f t="shared" si="95"/>
        <v>0</v>
      </c>
      <c r="AB212" s="137">
        <f t="shared" si="95"/>
        <v>0</v>
      </c>
      <c r="AC212" s="137">
        <f t="shared" si="95"/>
        <v>74913.58</v>
      </c>
      <c r="AD212" s="137">
        <f t="shared" si="95"/>
        <v>0</v>
      </c>
      <c r="AE212" s="137">
        <f t="shared" si="95"/>
        <v>0</v>
      </c>
      <c r="AF212" s="137">
        <f t="shared" si="95"/>
        <v>0</v>
      </c>
      <c r="AG212" s="137">
        <f t="shared" si="95"/>
        <v>0</v>
      </c>
      <c r="AH212" s="137">
        <f t="shared" si="95"/>
        <v>0</v>
      </c>
      <c r="AI212" s="137">
        <f t="shared" si="95"/>
        <v>0</v>
      </c>
      <c r="AJ212" s="137">
        <f t="shared" si="95"/>
        <v>380522</v>
      </c>
      <c r="AK212" s="137">
        <f t="shared" si="95"/>
        <v>455435.58000000007</v>
      </c>
      <c r="AL212" s="137">
        <f t="shared" si="95"/>
        <v>29262959.009999994</v>
      </c>
      <c r="AM212" s="137">
        <f t="shared" si="95"/>
        <v>2750831.55</v>
      </c>
      <c r="AN212" s="137">
        <f t="shared" si="95"/>
        <v>1446245</v>
      </c>
      <c r="AO212" s="137">
        <f t="shared" si="95"/>
        <v>236650</v>
      </c>
      <c r="AP212" s="137">
        <f t="shared" si="95"/>
        <v>0</v>
      </c>
      <c r="AQ212" s="137">
        <f t="shared" si="95"/>
        <v>0</v>
      </c>
      <c r="AR212" s="137">
        <f t="shared" si="95"/>
        <v>0</v>
      </c>
      <c r="AS212" s="198">
        <f t="shared" ref="AS212:AS243" si="96">U212+V212+W212+AK212+AL212+AM212+AN212+AO212+AP212+AQ212+AR212</f>
        <v>34152121.140000001</v>
      </c>
      <c r="AT212" s="198">
        <f>SUM(AT213:AT265)</f>
        <v>0</v>
      </c>
      <c r="AU212" s="199">
        <f t="shared" si="88"/>
        <v>34152121.140000001</v>
      </c>
      <c r="AV212" s="146">
        <f>IFERROR(VLOOKUP(J212,Maksājumu_pieprasījumu_iesn.!G:BL,57,0),0)</f>
        <v>0</v>
      </c>
      <c r="AW212" s="139">
        <f t="shared" si="94"/>
        <v>-34152121.140000001</v>
      </c>
      <c r="AX212" s="200">
        <f t="shared" ref="AX212:AX243" si="97">S212-T212-AU212</f>
        <v>772730.8599999994</v>
      </c>
      <c r="AY212" s="137">
        <f>AY266</f>
        <v>772730.8599999994</v>
      </c>
      <c r="AZ212" s="137"/>
      <c r="BA212" s="138"/>
      <c r="BB212" s="140"/>
      <c r="BC212" s="140">
        <f>X212+AK212+AL212/2</f>
        <v>15086915.084999997</v>
      </c>
      <c r="BD212" s="140"/>
      <c r="BE212" s="140">
        <f>BC212/0.85</f>
        <v>17749311.864705879</v>
      </c>
      <c r="BF212" s="137"/>
      <c r="BG212" s="137"/>
      <c r="BH212" s="138">
        <v>0</v>
      </c>
      <c r="BI212" s="138">
        <v>7886821.5</v>
      </c>
      <c r="BJ212" s="138"/>
      <c r="BK212" s="138"/>
      <c r="BL212" s="138">
        <v>10487526</v>
      </c>
      <c r="BM212" s="138"/>
      <c r="BN212" s="138"/>
    </row>
    <row r="213" spans="1:66" s="91" customFormat="1" ht="38.25" hidden="1" customHeight="1" x14ac:dyDescent="0.2">
      <c r="A213" s="150" t="s">
        <v>1185</v>
      </c>
      <c r="B213" s="18" t="s">
        <v>57</v>
      </c>
      <c r="C213" s="18" t="s">
        <v>58</v>
      </c>
      <c r="D213" s="19" t="s">
        <v>569</v>
      </c>
      <c r="E213" s="55">
        <v>3</v>
      </c>
      <c r="F213" s="55" t="s">
        <v>35</v>
      </c>
      <c r="G213" s="55" t="s">
        <v>5</v>
      </c>
      <c r="H213" s="55" t="s">
        <v>3</v>
      </c>
      <c r="I213" s="55"/>
      <c r="J213" s="55"/>
      <c r="K213" s="19" t="s">
        <v>1245</v>
      </c>
      <c r="L213" s="19"/>
      <c r="M213" s="19"/>
      <c r="N213" s="19" t="s">
        <v>1246</v>
      </c>
      <c r="O213" s="151">
        <v>42886</v>
      </c>
      <c r="P213" s="151"/>
      <c r="Q213" s="151"/>
      <c r="R213" s="151"/>
      <c r="S213" s="152">
        <v>837250</v>
      </c>
      <c r="T213" s="152">
        <v>0</v>
      </c>
      <c r="U213" s="145">
        <v>0</v>
      </c>
      <c r="V213" s="145">
        <v>0</v>
      </c>
      <c r="W213" s="145">
        <v>0</v>
      </c>
      <c r="X213" s="145">
        <f t="shared" ref="X213:X265" si="98">W213+V213+U213</f>
        <v>0</v>
      </c>
      <c r="Y213" s="145">
        <v>0</v>
      </c>
      <c r="Z213" s="145">
        <v>0</v>
      </c>
      <c r="AA213" s="145">
        <v>0</v>
      </c>
      <c r="AB213" s="145">
        <v>0</v>
      </c>
      <c r="AC213" s="145">
        <v>0</v>
      </c>
      <c r="AD213" s="145">
        <v>0</v>
      </c>
      <c r="AE213" s="145">
        <v>0</v>
      </c>
      <c r="AF213" s="145">
        <v>0</v>
      </c>
      <c r="AG213" s="145">
        <v>0</v>
      </c>
      <c r="AH213" s="145">
        <v>0</v>
      </c>
      <c r="AI213" s="145">
        <v>0</v>
      </c>
      <c r="AJ213" s="145">
        <v>0</v>
      </c>
      <c r="AK213" s="145">
        <f t="shared" ref="AK213:AK244" si="99">SUM(Y213:AJ213)</f>
        <v>0</v>
      </c>
      <c r="AL213" s="145">
        <v>837250</v>
      </c>
      <c r="AM213" s="145">
        <v>0</v>
      </c>
      <c r="AN213" s="145">
        <v>0</v>
      </c>
      <c r="AO213" s="145">
        <v>0</v>
      </c>
      <c r="AP213" s="145">
        <v>0</v>
      </c>
      <c r="AQ213" s="145">
        <v>0</v>
      </c>
      <c r="AR213" s="145">
        <v>0</v>
      </c>
      <c r="AS213" s="201">
        <f t="shared" si="96"/>
        <v>837250</v>
      </c>
      <c r="AT213" s="201"/>
      <c r="AU213" s="199">
        <f t="shared" si="88"/>
        <v>837250</v>
      </c>
      <c r="AV213" s="146">
        <f>IFERROR(VLOOKUP(J213,Maksājumu_pieprasījumu_iesn.!G:BL,57,0),0)</f>
        <v>0</v>
      </c>
      <c r="AW213" s="139">
        <f t="shared" si="94"/>
        <v>-837250</v>
      </c>
      <c r="AX213" s="200">
        <f t="shared" si="97"/>
        <v>0</v>
      </c>
      <c r="AY213" s="153"/>
      <c r="AZ213" s="153"/>
      <c r="BA213" s="136"/>
      <c r="BB213" s="145"/>
      <c r="BC213" s="145"/>
      <c r="BD213" s="145"/>
      <c r="BE213" s="145"/>
      <c r="BF213" s="145"/>
      <c r="BG213" s="145"/>
      <c r="BH213" s="138"/>
      <c r="BI213" s="138"/>
      <c r="BJ213" s="138"/>
      <c r="BK213" s="138"/>
      <c r="BL213" s="138"/>
      <c r="BM213" s="138"/>
      <c r="BN213" s="138"/>
    </row>
    <row r="214" spans="1:66" s="91" customFormat="1" ht="38.25" hidden="1" customHeight="1" x14ac:dyDescent="0.2">
      <c r="A214" s="150" t="s">
        <v>1185</v>
      </c>
      <c r="B214" s="18" t="s">
        <v>57</v>
      </c>
      <c r="C214" s="18" t="s">
        <v>58</v>
      </c>
      <c r="D214" s="19" t="s">
        <v>569</v>
      </c>
      <c r="E214" s="55">
        <v>3</v>
      </c>
      <c r="F214" s="55" t="s">
        <v>35</v>
      </c>
      <c r="G214" s="55" t="s">
        <v>5</v>
      </c>
      <c r="H214" s="55" t="s">
        <v>3</v>
      </c>
      <c r="I214" s="55"/>
      <c r="J214" s="55"/>
      <c r="K214" s="19" t="s">
        <v>1247</v>
      </c>
      <c r="L214" s="19"/>
      <c r="M214" s="19"/>
      <c r="N214" s="19" t="s">
        <v>1248</v>
      </c>
      <c r="O214" s="151">
        <v>43039</v>
      </c>
      <c r="P214" s="151"/>
      <c r="Q214" s="151"/>
      <c r="R214" s="151"/>
      <c r="S214" s="152">
        <v>98854</v>
      </c>
      <c r="T214" s="152">
        <v>0</v>
      </c>
      <c r="U214" s="145">
        <v>0</v>
      </c>
      <c r="V214" s="145">
        <v>0</v>
      </c>
      <c r="W214" s="145">
        <v>0</v>
      </c>
      <c r="X214" s="145">
        <f t="shared" si="98"/>
        <v>0</v>
      </c>
      <c r="Y214" s="145">
        <v>0</v>
      </c>
      <c r="Z214" s="145">
        <v>0</v>
      </c>
      <c r="AA214" s="145">
        <v>0</v>
      </c>
      <c r="AB214" s="145">
        <v>0</v>
      </c>
      <c r="AC214" s="145">
        <v>0</v>
      </c>
      <c r="AD214" s="145">
        <v>0</v>
      </c>
      <c r="AE214" s="145">
        <v>0</v>
      </c>
      <c r="AF214" s="145">
        <v>0</v>
      </c>
      <c r="AG214" s="145">
        <v>0</v>
      </c>
      <c r="AH214" s="145">
        <v>0</v>
      </c>
      <c r="AI214" s="145">
        <v>0</v>
      </c>
      <c r="AJ214" s="145">
        <v>0</v>
      </c>
      <c r="AK214" s="145">
        <f t="shared" si="99"/>
        <v>0</v>
      </c>
      <c r="AL214" s="145">
        <v>98854</v>
      </c>
      <c r="AM214" s="145">
        <v>0</v>
      </c>
      <c r="AN214" s="145">
        <v>0</v>
      </c>
      <c r="AO214" s="145">
        <v>0</v>
      </c>
      <c r="AP214" s="145">
        <v>0</v>
      </c>
      <c r="AQ214" s="145">
        <v>0</v>
      </c>
      <c r="AR214" s="145">
        <v>0</v>
      </c>
      <c r="AS214" s="201">
        <f t="shared" si="96"/>
        <v>98854</v>
      </c>
      <c r="AT214" s="201"/>
      <c r="AU214" s="199">
        <f t="shared" si="88"/>
        <v>98854</v>
      </c>
      <c r="AV214" s="146">
        <f>IFERROR(VLOOKUP(J214,Maksājumu_pieprasījumu_iesn.!G:BL,57,0),0)</f>
        <v>0</v>
      </c>
      <c r="AW214" s="139">
        <f t="shared" si="94"/>
        <v>-98854</v>
      </c>
      <c r="AX214" s="200">
        <f t="shared" si="97"/>
        <v>0</v>
      </c>
      <c r="AY214" s="153"/>
      <c r="AZ214" s="153"/>
      <c r="BA214" s="136"/>
      <c r="BB214" s="145"/>
      <c r="BC214" s="145"/>
      <c r="BD214" s="145"/>
      <c r="BE214" s="145"/>
      <c r="BF214" s="145"/>
      <c r="BG214" s="145"/>
      <c r="BH214" s="138"/>
      <c r="BI214" s="138"/>
      <c r="BJ214" s="138"/>
      <c r="BK214" s="138"/>
      <c r="BL214" s="138"/>
      <c r="BM214" s="138"/>
      <c r="BN214" s="138"/>
    </row>
    <row r="215" spans="1:66" s="91" customFormat="1" ht="51" hidden="1" customHeight="1" x14ac:dyDescent="0.2">
      <c r="A215" s="150" t="s">
        <v>1185</v>
      </c>
      <c r="B215" s="18" t="s">
        <v>57</v>
      </c>
      <c r="C215" s="18" t="s">
        <v>58</v>
      </c>
      <c r="D215" s="19" t="s">
        <v>569</v>
      </c>
      <c r="E215" s="55">
        <v>3</v>
      </c>
      <c r="F215" s="55" t="s">
        <v>35</v>
      </c>
      <c r="G215" s="55" t="s">
        <v>5</v>
      </c>
      <c r="H215" s="55" t="s">
        <v>3</v>
      </c>
      <c r="I215" s="55"/>
      <c r="J215" s="55"/>
      <c r="K215" s="19" t="s">
        <v>1249</v>
      </c>
      <c r="L215" s="19"/>
      <c r="M215" s="19"/>
      <c r="N215" s="19" t="s">
        <v>1250</v>
      </c>
      <c r="O215" s="151">
        <v>42978</v>
      </c>
      <c r="P215" s="151"/>
      <c r="Q215" s="151"/>
      <c r="R215" s="151"/>
      <c r="S215" s="152">
        <v>486625</v>
      </c>
      <c r="T215" s="152">
        <v>0</v>
      </c>
      <c r="U215" s="145">
        <v>0</v>
      </c>
      <c r="V215" s="145">
        <v>0</v>
      </c>
      <c r="W215" s="145">
        <v>0</v>
      </c>
      <c r="X215" s="145">
        <f t="shared" si="98"/>
        <v>0</v>
      </c>
      <c r="Y215" s="145">
        <v>0</v>
      </c>
      <c r="Z215" s="145">
        <v>0</v>
      </c>
      <c r="AA215" s="145">
        <v>0</v>
      </c>
      <c r="AB215" s="145">
        <v>0</v>
      </c>
      <c r="AC215" s="145">
        <v>0</v>
      </c>
      <c r="AD215" s="145">
        <v>0</v>
      </c>
      <c r="AE215" s="145">
        <v>0</v>
      </c>
      <c r="AF215" s="145">
        <v>0</v>
      </c>
      <c r="AG215" s="145">
        <v>0</v>
      </c>
      <c r="AH215" s="145">
        <v>0</v>
      </c>
      <c r="AI215" s="145">
        <v>0</v>
      </c>
      <c r="AJ215" s="145">
        <v>0</v>
      </c>
      <c r="AK215" s="145">
        <f t="shared" si="99"/>
        <v>0</v>
      </c>
      <c r="AL215" s="145">
        <v>486625</v>
      </c>
      <c r="AM215" s="145">
        <v>0</v>
      </c>
      <c r="AN215" s="145">
        <v>0</v>
      </c>
      <c r="AO215" s="145">
        <v>0</v>
      </c>
      <c r="AP215" s="145">
        <v>0</v>
      </c>
      <c r="AQ215" s="145">
        <v>0</v>
      </c>
      <c r="AR215" s="145">
        <v>0</v>
      </c>
      <c r="AS215" s="201">
        <f t="shared" si="96"/>
        <v>486625</v>
      </c>
      <c r="AT215" s="201"/>
      <c r="AU215" s="199">
        <f t="shared" si="88"/>
        <v>486625</v>
      </c>
      <c r="AV215" s="146">
        <f>IFERROR(VLOOKUP(J215,Maksājumu_pieprasījumu_iesn.!G:BL,57,0),0)</f>
        <v>0</v>
      </c>
      <c r="AW215" s="139">
        <f t="shared" si="94"/>
        <v>-486625</v>
      </c>
      <c r="AX215" s="200">
        <f t="shared" si="97"/>
        <v>0</v>
      </c>
      <c r="AY215" s="153"/>
      <c r="AZ215" s="153"/>
      <c r="BA215" s="136"/>
      <c r="BB215" s="145"/>
      <c r="BC215" s="145"/>
      <c r="BD215" s="145"/>
      <c r="BE215" s="145"/>
      <c r="BF215" s="145"/>
      <c r="BG215" s="145"/>
      <c r="BH215" s="138"/>
      <c r="BI215" s="138"/>
      <c r="BJ215" s="138"/>
      <c r="BK215" s="138"/>
      <c r="BL215" s="138"/>
      <c r="BM215" s="138"/>
      <c r="BN215" s="138"/>
    </row>
    <row r="216" spans="1:66" s="91" customFormat="1" ht="51" hidden="1" customHeight="1" x14ac:dyDescent="0.2">
      <c r="A216" s="150" t="s">
        <v>1185</v>
      </c>
      <c r="B216" s="18" t="s">
        <v>57</v>
      </c>
      <c r="C216" s="18" t="s">
        <v>58</v>
      </c>
      <c r="D216" s="19" t="s">
        <v>569</v>
      </c>
      <c r="E216" s="55">
        <v>3</v>
      </c>
      <c r="F216" s="55" t="s">
        <v>35</v>
      </c>
      <c r="G216" s="55" t="s">
        <v>5</v>
      </c>
      <c r="H216" s="55" t="s">
        <v>3</v>
      </c>
      <c r="I216" s="55"/>
      <c r="J216" s="55"/>
      <c r="K216" s="19" t="s">
        <v>1249</v>
      </c>
      <c r="L216" s="19"/>
      <c r="M216" s="19"/>
      <c r="N216" s="19" t="s">
        <v>1251</v>
      </c>
      <c r="O216" s="151">
        <v>42978</v>
      </c>
      <c r="P216" s="151"/>
      <c r="Q216" s="151"/>
      <c r="R216" s="151"/>
      <c r="S216" s="152">
        <v>193800</v>
      </c>
      <c r="T216" s="152">
        <v>0</v>
      </c>
      <c r="U216" s="145">
        <v>0</v>
      </c>
      <c r="V216" s="145">
        <v>0</v>
      </c>
      <c r="W216" s="145">
        <v>0</v>
      </c>
      <c r="X216" s="145">
        <f t="shared" si="98"/>
        <v>0</v>
      </c>
      <c r="Y216" s="145">
        <v>0</v>
      </c>
      <c r="Z216" s="145">
        <v>0</v>
      </c>
      <c r="AA216" s="145">
        <v>0</v>
      </c>
      <c r="AB216" s="145">
        <v>0</v>
      </c>
      <c r="AC216" s="145">
        <v>0</v>
      </c>
      <c r="AD216" s="145">
        <v>0</v>
      </c>
      <c r="AE216" s="145">
        <v>0</v>
      </c>
      <c r="AF216" s="145">
        <v>0</v>
      </c>
      <c r="AG216" s="145">
        <v>0</v>
      </c>
      <c r="AH216" s="145">
        <v>0</v>
      </c>
      <c r="AI216" s="145">
        <v>0</v>
      </c>
      <c r="AJ216" s="145">
        <v>0</v>
      </c>
      <c r="AK216" s="145">
        <f t="shared" si="99"/>
        <v>0</v>
      </c>
      <c r="AL216" s="145">
        <v>193800</v>
      </c>
      <c r="AM216" s="145">
        <v>0</v>
      </c>
      <c r="AN216" s="145">
        <v>0</v>
      </c>
      <c r="AO216" s="145">
        <v>0</v>
      </c>
      <c r="AP216" s="145">
        <v>0</v>
      </c>
      <c r="AQ216" s="145">
        <v>0</v>
      </c>
      <c r="AR216" s="145">
        <v>0</v>
      </c>
      <c r="AS216" s="201">
        <f t="shared" si="96"/>
        <v>193800</v>
      </c>
      <c r="AT216" s="201"/>
      <c r="AU216" s="199">
        <f t="shared" si="88"/>
        <v>193800</v>
      </c>
      <c r="AV216" s="146">
        <f>IFERROR(VLOOKUP(J216,Maksājumu_pieprasījumu_iesn.!G:BL,57,0),0)</f>
        <v>0</v>
      </c>
      <c r="AW216" s="139">
        <f t="shared" si="94"/>
        <v>-193800</v>
      </c>
      <c r="AX216" s="200">
        <f t="shared" si="97"/>
        <v>0</v>
      </c>
      <c r="AY216" s="153"/>
      <c r="AZ216" s="153"/>
      <c r="BA216" s="136"/>
      <c r="BB216" s="145"/>
      <c r="BC216" s="145"/>
      <c r="BD216" s="145"/>
      <c r="BE216" s="145"/>
      <c r="BF216" s="145"/>
      <c r="BG216" s="145"/>
      <c r="BH216" s="138"/>
      <c r="BI216" s="138"/>
      <c r="BJ216" s="138"/>
      <c r="BK216" s="138"/>
      <c r="BL216" s="138"/>
      <c r="BM216" s="138"/>
      <c r="BN216" s="138"/>
    </row>
    <row r="217" spans="1:66" ht="38.25" hidden="1" customHeight="1" x14ac:dyDescent="0.2">
      <c r="A217" s="142" t="s">
        <v>1185</v>
      </c>
      <c r="B217" s="18" t="s">
        <v>57</v>
      </c>
      <c r="C217" s="18" t="s">
        <v>58</v>
      </c>
      <c r="D217" s="19" t="s">
        <v>569</v>
      </c>
      <c r="E217" s="18">
        <v>3</v>
      </c>
      <c r="F217" s="18" t="s">
        <v>35</v>
      </c>
      <c r="G217" s="18" t="s">
        <v>5</v>
      </c>
      <c r="H217" s="18" t="s">
        <v>3</v>
      </c>
      <c r="I217" s="18"/>
      <c r="J217" s="18" t="s">
        <v>1252</v>
      </c>
      <c r="K217" s="19" t="s">
        <v>1253</v>
      </c>
      <c r="L217" s="19"/>
      <c r="M217" s="19"/>
      <c r="N217" s="19" t="s">
        <v>1254</v>
      </c>
      <c r="O217" s="143"/>
      <c r="P217" s="143"/>
      <c r="Q217" s="143"/>
      <c r="R217" s="187" t="s">
        <v>1224</v>
      </c>
      <c r="S217" s="144">
        <v>790063</v>
      </c>
      <c r="T217" s="144">
        <v>0</v>
      </c>
      <c r="U217" s="145">
        <v>0</v>
      </c>
      <c r="V217" s="145">
        <v>0</v>
      </c>
      <c r="W217" s="145">
        <v>0</v>
      </c>
      <c r="X217" s="145">
        <f t="shared" si="98"/>
        <v>0</v>
      </c>
      <c r="Y217" s="145">
        <v>0</v>
      </c>
      <c r="Z217" s="145">
        <v>0</v>
      </c>
      <c r="AA217" s="145">
        <v>0</v>
      </c>
      <c r="AB217" s="145">
        <v>0</v>
      </c>
      <c r="AC217" s="145">
        <v>0</v>
      </c>
      <c r="AD217" s="145">
        <v>0</v>
      </c>
      <c r="AE217" s="145">
        <v>0</v>
      </c>
      <c r="AF217" s="145">
        <v>0</v>
      </c>
      <c r="AG217" s="145">
        <v>0</v>
      </c>
      <c r="AH217" s="145">
        <v>0</v>
      </c>
      <c r="AI217" s="145">
        <v>0</v>
      </c>
      <c r="AJ217" s="145">
        <v>0</v>
      </c>
      <c r="AK217" s="145">
        <f t="shared" si="99"/>
        <v>0</v>
      </c>
      <c r="AL217" s="145">
        <v>790063</v>
      </c>
      <c r="AM217" s="145">
        <v>0</v>
      </c>
      <c r="AN217" s="145">
        <v>0</v>
      </c>
      <c r="AO217" s="145">
        <v>0</v>
      </c>
      <c r="AP217" s="145">
        <v>0</v>
      </c>
      <c r="AQ217" s="145">
        <v>0</v>
      </c>
      <c r="AR217" s="145">
        <v>0</v>
      </c>
      <c r="AS217" s="201">
        <f t="shared" si="96"/>
        <v>790063</v>
      </c>
      <c r="AT217" s="201">
        <v>0</v>
      </c>
      <c r="AU217" s="199">
        <f t="shared" si="88"/>
        <v>790063</v>
      </c>
      <c r="AV217" s="146">
        <f>IFERROR(VLOOKUP(J217,Maksājumu_pieprasījumu_iesn.!G:BL,57,0),0)</f>
        <v>0</v>
      </c>
      <c r="AW217" s="139">
        <f t="shared" si="94"/>
        <v>-790063</v>
      </c>
      <c r="AX217" s="200">
        <f t="shared" si="97"/>
        <v>0</v>
      </c>
      <c r="AY217" s="147"/>
      <c r="AZ217" s="147"/>
      <c r="BA217" s="165"/>
      <c r="BB217" s="144"/>
      <c r="BC217" s="144"/>
      <c r="BD217" s="144"/>
      <c r="BE217" s="144"/>
      <c r="BF217" s="144"/>
      <c r="BG217" s="144"/>
      <c r="BH217" s="149"/>
      <c r="BI217" s="149"/>
      <c r="BJ217" s="149"/>
      <c r="BK217" s="149"/>
      <c r="BL217" s="149"/>
      <c r="BM217" s="149"/>
      <c r="BN217" s="149"/>
    </row>
    <row r="218" spans="1:66" ht="51" hidden="1" customHeight="1" x14ac:dyDescent="0.2">
      <c r="A218" s="142" t="s">
        <v>1185</v>
      </c>
      <c r="B218" s="18" t="s">
        <v>57</v>
      </c>
      <c r="C218" s="18" t="s">
        <v>58</v>
      </c>
      <c r="D218" s="19" t="s">
        <v>569</v>
      </c>
      <c r="E218" s="18">
        <v>3</v>
      </c>
      <c r="F218" s="18" t="s">
        <v>35</v>
      </c>
      <c r="G218" s="18" t="s">
        <v>5</v>
      </c>
      <c r="H218" s="18" t="s">
        <v>3</v>
      </c>
      <c r="I218" s="18"/>
      <c r="J218" s="18" t="s">
        <v>1255</v>
      </c>
      <c r="K218" s="19" t="s">
        <v>413</v>
      </c>
      <c r="L218" s="19"/>
      <c r="M218" s="19"/>
      <c r="N218" s="19" t="s">
        <v>1256</v>
      </c>
      <c r="O218" s="143"/>
      <c r="P218" s="143"/>
      <c r="Q218" s="143"/>
      <c r="R218" s="187" t="s">
        <v>1257</v>
      </c>
      <c r="S218" s="144">
        <v>1700900.14</v>
      </c>
      <c r="T218" s="144">
        <v>0</v>
      </c>
      <c r="U218" s="145">
        <v>0</v>
      </c>
      <c r="V218" s="145">
        <v>0</v>
      </c>
      <c r="W218" s="145">
        <v>0</v>
      </c>
      <c r="X218" s="145">
        <f t="shared" si="98"/>
        <v>0</v>
      </c>
      <c r="Y218" s="145">
        <v>0</v>
      </c>
      <c r="Z218" s="145">
        <v>0</v>
      </c>
      <c r="AA218" s="145">
        <v>0</v>
      </c>
      <c r="AB218" s="145">
        <v>0</v>
      </c>
      <c r="AC218" s="145">
        <v>0</v>
      </c>
      <c r="AD218" s="145">
        <v>0</v>
      </c>
      <c r="AE218" s="145">
        <v>0</v>
      </c>
      <c r="AF218" s="145">
        <v>0</v>
      </c>
      <c r="AG218" s="145">
        <v>0</v>
      </c>
      <c r="AH218" s="145">
        <v>0</v>
      </c>
      <c r="AI218" s="145">
        <v>0</v>
      </c>
      <c r="AJ218" s="145">
        <v>0</v>
      </c>
      <c r="AK218" s="145">
        <f t="shared" si="99"/>
        <v>0</v>
      </c>
      <c r="AL218" s="145">
        <v>1700900.1400000001</v>
      </c>
      <c r="AM218" s="145">
        <v>0</v>
      </c>
      <c r="AN218" s="145">
        <v>0</v>
      </c>
      <c r="AO218" s="145">
        <v>0</v>
      </c>
      <c r="AP218" s="145">
        <v>0</v>
      </c>
      <c r="AQ218" s="145">
        <v>0</v>
      </c>
      <c r="AR218" s="145">
        <v>0</v>
      </c>
      <c r="AS218" s="201">
        <f t="shared" si="96"/>
        <v>1700900.1400000001</v>
      </c>
      <c r="AT218" s="201">
        <v>0</v>
      </c>
      <c r="AU218" s="199">
        <f t="shared" si="88"/>
        <v>1700900.1400000001</v>
      </c>
      <c r="AV218" s="146">
        <f>IFERROR(VLOOKUP(J218,Maksājumu_pieprasījumu_iesn.!G:BL,57,0),0)</f>
        <v>0</v>
      </c>
      <c r="AW218" s="139">
        <f t="shared" si="94"/>
        <v>-1700900.1400000001</v>
      </c>
      <c r="AX218" s="200">
        <f t="shared" si="97"/>
        <v>0</v>
      </c>
      <c r="AY218" s="147"/>
      <c r="AZ218" s="147"/>
      <c r="BA218" s="165"/>
      <c r="BB218" s="144"/>
      <c r="BC218" s="144"/>
      <c r="BD218" s="144"/>
      <c r="BE218" s="144"/>
      <c r="BF218" s="144"/>
      <c r="BG218" s="144"/>
      <c r="BH218" s="149"/>
      <c r="BI218" s="149"/>
      <c r="BJ218" s="149"/>
      <c r="BK218" s="149"/>
      <c r="BL218" s="149"/>
      <c r="BM218" s="149"/>
      <c r="BN218" s="149"/>
    </row>
    <row r="219" spans="1:66" ht="38.25" hidden="1" customHeight="1" x14ac:dyDescent="0.2">
      <c r="A219" s="142" t="s">
        <v>1185</v>
      </c>
      <c r="B219" s="18" t="s">
        <v>57</v>
      </c>
      <c r="C219" s="18" t="s">
        <v>58</v>
      </c>
      <c r="D219" s="19" t="s">
        <v>569</v>
      </c>
      <c r="E219" s="18">
        <v>3</v>
      </c>
      <c r="F219" s="18" t="s">
        <v>35</v>
      </c>
      <c r="G219" s="18" t="s">
        <v>5</v>
      </c>
      <c r="H219" s="18" t="s">
        <v>3</v>
      </c>
      <c r="I219" s="18"/>
      <c r="J219" s="18" t="s">
        <v>1258</v>
      </c>
      <c r="K219" s="19" t="s">
        <v>1259</v>
      </c>
      <c r="L219" s="19"/>
      <c r="M219" s="19"/>
      <c r="N219" s="19" t="s">
        <v>1260</v>
      </c>
      <c r="O219" s="143"/>
      <c r="P219" s="143"/>
      <c r="Q219" s="143"/>
      <c r="R219" s="187" t="s">
        <v>1261</v>
      </c>
      <c r="S219" s="144">
        <v>102000</v>
      </c>
      <c r="T219" s="144">
        <v>0</v>
      </c>
      <c r="U219" s="145">
        <v>0</v>
      </c>
      <c r="V219" s="145">
        <v>0</v>
      </c>
      <c r="W219" s="145">
        <v>0</v>
      </c>
      <c r="X219" s="145">
        <f t="shared" si="98"/>
        <v>0</v>
      </c>
      <c r="Y219" s="145">
        <v>0</v>
      </c>
      <c r="Z219" s="145">
        <v>0</v>
      </c>
      <c r="AA219" s="145">
        <v>0</v>
      </c>
      <c r="AB219" s="145">
        <v>0</v>
      </c>
      <c r="AC219" s="145">
        <v>0</v>
      </c>
      <c r="AD219" s="145">
        <v>0</v>
      </c>
      <c r="AE219" s="145">
        <v>0</v>
      </c>
      <c r="AF219" s="145">
        <v>0</v>
      </c>
      <c r="AG219" s="145">
        <v>0</v>
      </c>
      <c r="AH219" s="145">
        <v>0</v>
      </c>
      <c r="AI219" s="145">
        <v>0</v>
      </c>
      <c r="AJ219" s="145">
        <v>0</v>
      </c>
      <c r="AK219" s="145">
        <f t="shared" si="99"/>
        <v>0</v>
      </c>
      <c r="AL219" s="145">
        <v>102000</v>
      </c>
      <c r="AM219" s="145">
        <v>0</v>
      </c>
      <c r="AN219" s="145">
        <v>0</v>
      </c>
      <c r="AO219" s="145">
        <v>0</v>
      </c>
      <c r="AP219" s="145">
        <v>0</v>
      </c>
      <c r="AQ219" s="145">
        <v>0</v>
      </c>
      <c r="AR219" s="145">
        <v>0</v>
      </c>
      <c r="AS219" s="201">
        <f t="shared" si="96"/>
        <v>102000</v>
      </c>
      <c r="AT219" s="201">
        <v>0</v>
      </c>
      <c r="AU219" s="199">
        <f t="shared" si="88"/>
        <v>102000</v>
      </c>
      <c r="AV219" s="146">
        <f>IFERROR(VLOOKUP(J219,Maksājumu_pieprasījumu_iesn.!G:BL,57,0),0)</f>
        <v>0</v>
      </c>
      <c r="AW219" s="139">
        <f t="shared" si="94"/>
        <v>-102000</v>
      </c>
      <c r="AX219" s="200">
        <f t="shared" si="97"/>
        <v>0</v>
      </c>
      <c r="AY219" s="147"/>
      <c r="AZ219" s="147"/>
      <c r="BA219" s="165"/>
      <c r="BB219" s="144"/>
      <c r="BC219" s="144"/>
      <c r="BD219" s="144"/>
      <c r="BE219" s="144"/>
      <c r="BF219" s="144"/>
      <c r="BG219" s="144"/>
      <c r="BH219" s="149"/>
      <c r="BI219" s="149"/>
      <c r="BJ219" s="149"/>
      <c r="BK219" s="149"/>
      <c r="BL219" s="149"/>
      <c r="BM219" s="149"/>
      <c r="BN219" s="149"/>
    </row>
    <row r="220" spans="1:66" s="91" customFormat="1" ht="25.5" hidden="1" customHeight="1" x14ac:dyDescent="0.2">
      <c r="A220" s="150" t="s">
        <v>1185</v>
      </c>
      <c r="B220" s="18" t="s">
        <v>57</v>
      </c>
      <c r="C220" s="18" t="s">
        <v>58</v>
      </c>
      <c r="D220" s="19" t="s">
        <v>569</v>
      </c>
      <c r="E220" s="55">
        <v>3</v>
      </c>
      <c r="F220" s="55" t="s">
        <v>35</v>
      </c>
      <c r="G220" s="55" t="s">
        <v>5</v>
      </c>
      <c r="H220" s="55" t="s">
        <v>3</v>
      </c>
      <c r="I220" s="55"/>
      <c r="J220" s="55"/>
      <c r="K220" s="19" t="s">
        <v>1259</v>
      </c>
      <c r="L220" s="19"/>
      <c r="M220" s="19"/>
      <c r="N220" s="19" t="s">
        <v>1262</v>
      </c>
      <c r="O220" s="151">
        <v>42978</v>
      </c>
      <c r="P220" s="151"/>
      <c r="Q220" s="151"/>
      <c r="R220" s="151"/>
      <c r="S220" s="152">
        <v>263071</v>
      </c>
      <c r="T220" s="152">
        <v>0</v>
      </c>
      <c r="U220" s="145">
        <v>0</v>
      </c>
      <c r="V220" s="145">
        <v>0</v>
      </c>
      <c r="W220" s="145">
        <v>0</v>
      </c>
      <c r="X220" s="145">
        <f t="shared" si="98"/>
        <v>0</v>
      </c>
      <c r="Y220" s="145">
        <v>0</v>
      </c>
      <c r="Z220" s="145">
        <v>0</v>
      </c>
      <c r="AA220" s="145">
        <v>0</v>
      </c>
      <c r="AB220" s="145">
        <v>0</v>
      </c>
      <c r="AC220" s="145">
        <v>0</v>
      </c>
      <c r="AD220" s="145">
        <v>0</v>
      </c>
      <c r="AE220" s="145">
        <v>0</v>
      </c>
      <c r="AF220" s="145">
        <v>0</v>
      </c>
      <c r="AG220" s="145">
        <v>0</v>
      </c>
      <c r="AH220" s="145">
        <v>0</v>
      </c>
      <c r="AI220" s="145">
        <v>0</v>
      </c>
      <c r="AJ220" s="145">
        <v>0</v>
      </c>
      <c r="AK220" s="145">
        <f t="shared" si="99"/>
        <v>0</v>
      </c>
      <c r="AL220" s="145">
        <v>263071</v>
      </c>
      <c r="AM220" s="145">
        <v>0</v>
      </c>
      <c r="AN220" s="145">
        <v>0</v>
      </c>
      <c r="AO220" s="145">
        <v>0</v>
      </c>
      <c r="AP220" s="145">
        <v>0</v>
      </c>
      <c r="AQ220" s="145">
        <v>0</v>
      </c>
      <c r="AR220" s="145">
        <v>0</v>
      </c>
      <c r="AS220" s="201">
        <f t="shared" si="96"/>
        <v>263071</v>
      </c>
      <c r="AT220" s="201"/>
      <c r="AU220" s="199">
        <f t="shared" si="88"/>
        <v>263071</v>
      </c>
      <c r="AV220" s="146">
        <f>IFERROR(VLOOKUP(J220,Maksājumu_pieprasījumu_iesn.!G:BL,57,0),0)</f>
        <v>0</v>
      </c>
      <c r="AW220" s="139">
        <f t="shared" si="94"/>
        <v>-263071</v>
      </c>
      <c r="AX220" s="200">
        <f t="shared" si="97"/>
        <v>0</v>
      </c>
      <c r="AY220" s="153"/>
      <c r="AZ220" s="153"/>
      <c r="BA220" s="136"/>
      <c r="BB220" s="145"/>
      <c r="BC220" s="145"/>
      <c r="BD220" s="145"/>
      <c r="BE220" s="145"/>
      <c r="BF220" s="145"/>
      <c r="BG220" s="145"/>
      <c r="BH220" s="138"/>
      <c r="BI220" s="138"/>
      <c r="BJ220" s="138"/>
      <c r="BK220" s="138"/>
      <c r="BL220" s="138"/>
      <c r="BM220" s="138"/>
      <c r="BN220" s="138"/>
    </row>
    <row r="221" spans="1:66" s="91" customFormat="1" ht="38.25" hidden="1" customHeight="1" x14ac:dyDescent="0.2">
      <c r="A221" s="150" t="s">
        <v>1185</v>
      </c>
      <c r="B221" s="18" t="s">
        <v>57</v>
      </c>
      <c r="C221" s="18" t="s">
        <v>58</v>
      </c>
      <c r="D221" s="19" t="s">
        <v>569</v>
      </c>
      <c r="E221" s="55">
        <v>3</v>
      </c>
      <c r="F221" s="55" t="s">
        <v>35</v>
      </c>
      <c r="G221" s="55" t="s">
        <v>5</v>
      </c>
      <c r="H221" s="55" t="s">
        <v>3</v>
      </c>
      <c r="I221" s="55"/>
      <c r="J221" s="55"/>
      <c r="K221" s="19" t="s">
        <v>1263</v>
      </c>
      <c r="L221" s="19"/>
      <c r="M221" s="19"/>
      <c r="N221" s="19" t="s">
        <v>1264</v>
      </c>
      <c r="O221" s="151">
        <v>42978</v>
      </c>
      <c r="P221" s="151"/>
      <c r="Q221" s="151"/>
      <c r="R221" s="151"/>
      <c r="S221" s="152">
        <v>2989155</v>
      </c>
      <c r="T221" s="152">
        <v>0</v>
      </c>
      <c r="U221" s="145">
        <v>0</v>
      </c>
      <c r="V221" s="145">
        <v>0</v>
      </c>
      <c r="W221" s="145">
        <v>0</v>
      </c>
      <c r="X221" s="145">
        <f t="shared" si="98"/>
        <v>0</v>
      </c>
      <c r="Y221" s="145">
        <v>0</v>
      </c>
      <c r="Z221" s="145">
        <v>0</v>
      </c>
      <c r="AA221" s="145">
        <v>0</v>
      </c>
      <c r="AB221" s="145">
        <v>0</v>
      </c>
      <c r="AC221" s="145">
        <v>0</v>
      </c>
      <c r="AD221" s="145">
        <v>0</v>
      </c>
      <c r="AE221" s="145">
        <v>0</v>
      </c>
      <c r="AF221" s="145">
        <v>0</v>
      </c>
      <c r="AG221" s="145">
        <v>0</v>
      </c>
      <c r="AH221" s="145">
        <v>0</v>
      </c>
      <c r="AI221" s="145">
        <v>0</v>
      </c>
      <c r="AJ221" s="145">
        <v>0</v>
      </c>
      <c r="AK221" s="145">
        <f t="shared" si="99"/>
        <v>0</v>
      </c>
      <c r="AL221" s="145">
        <v>1500000</v>
      </c>
      <c r="AM221" s="145">
        <v>896746</v>
      </c>
      <c r="AN221" s="145">
        <v>592409</v>
      </c>
      <c r="AO221" s="145">
        <v>0</v>
      </c>
      <c r="AP221" s="145">
        <v>0</v>
      </c>
      <c r="AQ221" s="145">
        <v>0</v>
      </c>
      <c r="AR221" s="145">
        <v>0</v>
      </c>
      <c r="AS221" s="201">
        <f t="shared" si="96"/>
        <v>2989155</v>
      </c>
      <c r="AT221" s="201"/>
      <c r="AU221" s="199">
        <f t="shared" si="88"/>
        <v>2989155</v>
      </c>
      <c r="AV221" s="146">
        <f>IFERROR(VLOOKUP(J221,Maksājumu_pieprasījumu_iesn.!G:BL,57,0),0)</f>
        <v>0</v>
      </c>
      <c r="AW221" s="139">
        <f t="shared" si="94"/>
        <v>-2989155</v>
      </c>
      <c r="AX221" s="200">
        <f t="shared" si="97"/>
        <v>0</v>
      </c>
      <c r="AY221" s="153"/>
      <c r="AZ221" s="153"/>
      <c r="BA221" s="136"/>
      <c r="BB221" s="145"/>
      <c r="BC221" s="145"/>
      <c r="BD221" s="145"/>
      <c r="BE221" s="145"/>
      <c r="BF221" s="145"/>
      <c r="BG221" s="145"/>
      <c r="BH221" s="138"/>
      <c r="BI221" s="138"/>
      <c r="BJ221" s="138"/>
      <c r="BK221" s="138"/>
      <c r="BL221" s="138"/>
      <c r="BM221" s="138"/>
      <c r="BN221" s="138"/>
    </row>
    <row r="222" spans="1:66" ht="38.25" hidden="1" customHeight="1" x14ac:dyDescent="0.2">
      <c r="A222" s="142" t="s">
        <v>1185</v>
      </c>
      <c r="B222" s="18" t="s">
        <v>57</v>
      </c>
      <c r="C222" s="18" t="s">
        <v>58</v>
      </c>
      <c r="D222" s="19" t="s">
        <v>569</v>
      </c>
      <c r="E222" s="18">
        <v>3</v>
      </c>
      <c r="F222" s="18" t="s">
        <v>35</v>
      </c>
      <c r="G222" s="18" t="s">
        <v>5</v>
      </c>
      <c r="H222" s="18" t="s">
        <v>3</v>
      </c>
      <c r="I222" s="18"/>
      <c r="J222" s="18" t="s">
        <v>1265</v>
      </c>
      <c r="K222" s="19" t="s">
        <v>1266</v>
      </c>
      <c r="L222" s="19"/>
      <c r="M222" s="19"/>
      <c r="N222" s="19" t="s">
        <v>1267</v>
      </c>
      <c r="O222" s="143"/>
      <c r="P222" s="143"/>
      <c r="Q222" s="143"/>
      <c r="R222" s="187" t="s">
        <v>1268</v>
      </c>
      <c r="S222" s="144">
        <v>178000</v>
      </c>
      <c r="T222" s="144">
        <v>0</v>
      </c>
      <c r="U222" s="145">
        <v>0</v>
      </c>
      <c r="V222" s="145">
        <v>0</v>
      </c>
      <c r="W222" s="145">
        <v>0</v>
      </c>
      <c r="X222" s="145">
        <f t="shared" si="98"/>
        <v>0</v>
      </c>
      <c r="Y222" s="145">
        <v>0</v>
      </c>
      <c r="Z222" s="145">
        <v>0</v>
      </c>
      <c r="AA222" s="145">
        <v>0</v>
      </c>
      <c r="AB222" s="145">
        <v>0</v>
      </c>
      <c r="AC222" s="145">
        <v>0</v>
      </c>
      <c r="AD222" s="145">
        <v>0</v>
      </c>
      <c r="AE222" s="145">
        <v>0</v>
      </c>
      <c r="AF222" s="145">
        <v>0</v>
      </c>
      <c r="AG222" s="145">
        <v>0</v>
      </c>
      <c r="AH222" s="145">
        <v>0</v>
      </c>
      <c r="AI222" s="145">
        <v>0</v>
      </c>
      <c r="AJ222" s="145">
        <v>0</v>
      </c>
      <c r="AK222" s="145">
        <f t="shared" si="99"/>
        <v>0</v>
      </c>
      <c r="AL222" s="145">
        <v>178000</v>
      </c>
      <c r="AM222" s="145">
        <v>0</v>
      </c>
      <c r="AN222" s="145">
        <v>0</v>
      </c>
      <c r="AO222" s="145">
        <v>0</v>
      </c>
      <c r="AP222" s="145">
        <v>0</v>
      </c>
      <c r="AQ222" s="145">
        <v>0</v>
      </c>
      <c r="AR222" s="145">
        <v>0</v>
      </c>
      <c r="AS222" s="201">
        <f t="shared" si="96"/>
        <v>178000</v>
      </c>
      <c r="AT222" s="201">
        <v>0</v>
      </c>
      <c r="AU222" s="199">
        <f t="shared" si="88"/>
        <v>178000</v>
      </c>
      <c r="AV222" s="146">
        <f>IFERROR(VLOOKUP(J222,Maksājumu_pieprasījumu_iesn.!G:BL,57,0),0)</f>
        <v>0</v>
      </c>
      <c r="AW222" s="139">
        <f t="shared" si="94"/>
        <v>-178000</v>
      </c>
      <c r="AX222" s="200">
        <f t="shared" si="97"/>
        <v>0</v>
      </c>
      <c r="AY222" s="147"/>
      <c r="AZ222" s="147"/>
      <c r="BA222" s="165"/>
      <c r="BB222" s="144"/>
      <c r="BC222" s="144"/>
      <c r="BD222" s="144"/>
      <c r="BE222" s="144"/>
      <c r="BF222" s="144"/>
      <c r="BG222" s="144"/>
      <c r="BH222" s="149"/>
      <c r="BI222" s="149"/>
      <c r="BJ222" s="149"/>
      <c r="BK222" s="149"/>
      <c r="BL222" s="149"/>
      <c r="BM222" s="149"/>
      <c r="BN222" s="149"/>
    </row>
    <row r="223" spans="1:66" s="91" customFormat="1" ht="38.25" hidden="1" customHeight="1" x14ac:dyDescent="0.2">
      <c r="A223" s="150" t="s">
        <v>1185</v>
      </c>
      <c r="B223" s="18" t="s">
        <v>57</v>
      </c>
      <c r="C223" s="18" t="s">
        <v>58</v>
      </c>
      <c r="D223" s="19" t="s">
        <v>569</v>
      </c>
      <c r="E223" s="55">
        <v>3</v>
      </c>
      <c r="F223" s="55" t="s">
        <v>35</v>
      </c>
      <c r="G223" s="55" t="s">
        <v>5</v>
      </c>
      <c r="H223" s="55" t="s">
        <v>3</v>
      </c>
      <c r="I223" s="55"/>
      <c r="J223" s="55"/>
      <c r="K223" s="19" t="s">
        <v>1266</v>
      </c>
      <c r="L223" s="19"/>
      <c r="M223" s="19"/>
      <c r="N223" s="19" t="s">
        <v>1269</v>
      </c>
      <c r="O223" s="151">
        <v>42886</v>
      </c>
      <c r="P223" s="151"/>
      <c r="Q223" s="151"/>
      <c r="R223" s="151"/>
      <c r="S223" s="152">
        <v>618250</v>
      </c>
      <c r="T223" s="152">
        <v>0</v>
      </c>
      <c r="U223" s="145">
        <v>0</v>
      </c>
      <c r="V223" s="145">
        <v>0</v>
      </c>
      <c r="W223" s="145">
        <v>0</v>
      </c>
      <c r="X223" s="145">
        <f t="shared" si="98"/>
        <v>0</v>
      </c>
      <c r="Y223" s="145">
        <v>0</v>
      </c>
      <c r="Z223" s="145">
        <v>0</v>
      </c>
      <c r="AA223" s="145">
        <v>0</v>
      </c>
      <c r="AB223" s="145">
        <v>0</v>
      </c>
      <c r="AC223" s="145">
        <v>0</v>
      </c>
      <c r="AD223" s="145">
        <v>0</v>
      </c>
      <c r="AE223" s="145">
        <v>0</v>
      </c>
      <c r="AF223" s="145">
        <v>0</v>
      </c>
      <c r="AG223" s="145">
        <v>0</v>
      </c>
      <c r="AH223" s="145">
        <v>0</v>
      </c>
      <c r="AI223" s="145">
        <v>0</v>
      </c>
      <c r="AJ223" s="145">
        <v>0</v>
      </c>
      <c r="AK223" s="145">
        <f t="shared" si="99"/>
        <v>0</v>
      </c>
      <c r="AL223" s="145">
        <v>618250</v>
      </c>
      <c r="AM223" s="145">
        <v>0</v>
      </c>
      <c r="AN223" s="145">
        <v>0</v>
      </c>
      <c r="AO223" s="145">
        <v>0</v>
      </c>
      <c r="AP223" s="145">
        <v>0</v>
      </c>
      <c r="AQ223" s="145">
        <v>0</v>
      </c>
      <c r="AR223" s="145">
        <v>0</v>
      </c>
      <c r="AS223" s="201">
        <f t="shared" si="96"/>
        <v>618250</v>
      </c>
      <c r="AT223" s="201"/>
      <c r="AU223" s="199">
        <f t="shared" si="88"/>
        <v>618250</v>
      </c>
      <c r="AV223" s="146">
        <f>IFERROR(VLOOKUP(J223,Maksājumu_pieprasījumu_iesn.!G:BL,57,0),0)</f>
        <v>0</v>
      </c>
      <c r="AW223" s="139">
        <f t="shared" si="94"/>
        <v>-618250</v>
      </c>
      <c r="AX223" s="200">
        <f t="shared" si="97"/>
        <v>0</v>
      </c>
      <c r="AY223" s="153"/>
      <c r="AZ223" s="153"/>
      <c r="BA223" s="136"/>
      <c r="BB223" s="145"/>
      <c r="BC223" s="145"/>
      <c r="BD223" s="145"/>
      <c r="BE223" s="145"/>
      <c r="BF223" s="145"/>
      <c r="BG223" s="145"/>
      <c r="BH223" s="138"/>
      <c r="BI223" s="138"/>
      <c r="BJ223" s="138"/>
      <c r="BK223" s="138"/>
      <c r="BL223" s="138"/>
      <c r="BM223" s="138"/>
      <c r="BN223" s="138"/>
    </row>
    <row r="224" spans="1:66" s="91" customFormat="1" ht="25.5" hidden="1" customHeight="1" x14ac:dyDescent="0.2">
      <c r="A224" s="150" t="s">
        <v>1185</v>
      </c>
      <c r="B224" s="18" t="s">
        <v>57</v>
      </c>
      <c r="C224" s="18" t="s">
        <v>58</v>
      </c>
      <c r="D224" s="19" t="s">
        <v>569</v>
      </c>
      <c r="E224" s="55">
        <v>3</v>
      </c>
      <c r="F224" s="55" t="s">
        <v>35</v>
      </c>
      <c r="G224" s="55" t="s">
        <v>5</v>
      </c>
      <c r="H224" s="55" t="s">
        <v>3</v>
      </c>
      <c r="I224" s="55"/>
      <c r="J224" s="55"/>
      <c r="K224" s="19" t="s">
        <v>1270</v>
      </c>
      <c r="L224" s="19"/>
      <c r="M224" s="19"/>
      <c r="N224" s="19" t="s">
        <v>1271</v>
      </c>
      <c r="O224" s="151">
        <v>42855</v>
      </c>
      <c r="P224" s="151"/>
      <c r="Q224" s="151"/>
      <c r="R224" s="151"/>
      <c r="S224" s="152">
        <v>41000</v>
      </c>
      <c r="T224" s="152">
        <v>0</v>
      </c>
      <c r="U224" s="145">
        <v>0</v>
      </c>
      <c r="V224" s="145">
        <v>0</v>
      </c>
      <c r="W224" s="145">
        <v>0</v>
      </c>
      <c r="X224" s="145">
        <f t="shared" si="98"/>
        <v>0</v>
      </c>
      <c r="Y224" s="145">
        <v>0</v>
      </c>
      <c r="Z224" s="145">
        <v>0</v>
      </c>
      <c r="AA224" s="145">
        <v>0</v>
      </c>
      <c r="AB224" s="145">
        <v>0</v>
      </c>
      <c r="AC224" s="145">
        <v>0</v>
      </c>
      <c r="AD224" s="145">
        <v>0</v>
      </c>
      <c r="AE224" s="145">
        <v>0</v>
      </c>
      <c r="AF224" s="145">
        <v>0</v>
      </c>
      <c r="AG224" s="145">
        <v>0</v>
      </c>
      <c r="AH224" s="145">
        <v>0</v>
      </c>
      <c r="AI224" s="145">
        <v>0</v>
      </c>
      <c r="AJ224" s="145">
        <v>36900</v>
      </c>
      <c r="AK224" s="145">
        <f t="shared" si="99"/>
        <v>36900</v>
      </c>
      <c r="AL224" s="145">
        <v>4100</v>
      </c>
      <c r="AM224" s="145">
        <v>0</v>
      </c>
      <c r="AN224" s="145">
        <v>0</v>
      </c>
      <c r="AO224" s="145">
        <v>0</v>
      </c>
      <c r="AP224" s="145">
        <v>0</v>
      </c>
      <c r="AQ224" s="145">
        <v>0</v>
      </c>
      <c r="AR224" s="145">
        <v>0</v>
      </c>
      <c r="AS224" s="201">
        <f t="shared" si="96"/>
        <v>41000</v>
      </c>
      <c r="AT224" s="201"/>
      <c r="AU224" s="199">
        <f t="shared" si="88"/>
        <v>41000</v>
      </c>
      <c r="AV224" s="146">
        <f>IFERROR(VLOOKUP(J224,Maksājumu_pieprasījumu_iesn.!G:BL,57,0),0)</f>
        <v>0</v>
      </c>
      <c r="AW224" s="139">
        <f t="shared" si="94"/>
        <v>-41000</v>
      </c>
      <c r="AX224" s="200">
        <f t="shared" si="97"/>
        <v>0</v>
      </c>
      <c r="AY224" s="153"/>
      <c r="AZ224" s="153"/>
      <c r="BA224" s="136"/>
      <c r="BB224" s="145"/>
      <c r="BC224" s="145"/>
      <c r="BD224" s="145"/>
      <c r="BE224" s="145"/>
      <c r="BF224" s="145"/>
      <c r="BG224" s="145"/>
      <c r="BH224" s="138"/>
      <c r="BI224" s="138"/>
      <c r="BJ224" s="138"/>
      <c r="BK224" s="138"/>
      <c r="BL224" s="138"/>
      <c r="BM224" s="138"/>
      <c r="BN224" s="138"/>
    </row>
    <row r="225" spans="1:66" s="91" customFormat="1" ht="38.25" hidden="1" customHeight="1" x14ac:dyDescent="0.2">
      <c r="A225" s="150" t="s">
        <v>1185</v>
      </c>
      <c r="B225" s="18" t="s">
        <v>57</v>
      </c>
      <c r="C225" s="18" t="s">
        <v>58</v>
      </c>
      <c r="D225" s="19" t="s">
        <v>569</v>
      </c>
      <c r="E225" s="55">
        <v>3</v>
      </c>
      <c r="F225" s="55" t="s">
        <v>35</v>
      </c>
      <c r="G225" s="55" t="s">
        <v>5</v>
      </c>
      <c r="H225" s="55" t="s">
        <v>3</v>
      </c>
      <c r="I225" s="55"/>
      <c r="J225" s="55"/>
      <c r="K225" s="19" t="s">
        <v>1272</v>
      </c>
      <c r="L225" s="19"/>
      <c r="M225" s="19"/>
      <c r="N225" s="19" t="s">
        <v>1273</v>
      </c>
      <c r="O225" s="151">
        <v>42979</v>
      </c>
      <c r="P225" s="151"/>
      <c r="Q225" s="151"/>
      <c r="R225" s="151"/>
      <c r="S225" s="152">
        <v>497265</v>
      </c>
      <c r="T225" s="152">
        <v>0</v>
      </c>
      <c r="U225" s="145">
        <v>0</v>
      </c>
      <c r="V225" s="145">
        <v>0</v>
      </c>
      <c r="W225" s="145">
        <v>0</v>
      </c>
      <c r="X225" s="145">
        <f t="shared" si="98"/>
        <v>0</v>
      </c>
      <c r="Y225" s="145">
        <v>0</v>
      </c>
      <c r="Z225" s="145">
        <v>0</v>
      </c>
      <c r="AA225" s="145">
        <v>0</v>
      </c>
      <c r="AB225" s="145">
        <v>0</v>
      </c>
      <c r="AC225" s="145">
        <v>0</v>
      </c>
      <c r="AD225" s="145">
        <v>0</v>
      </c>
      <c r="AE225" s="145">
        <v>0</v>
      </c>
      <c r="AF225" s="145">
        <v>0</v>
      </c>
      <c r="AG225" s="145">
        <v>0</v>
      </c>
      <c r="AH225" s="145">
        <v>0</v>
      </c>
      <c r="AI225" s="145">
        <v>0</v>
      </c>
      <c r="AJ225" s="145">
        <v>0</v>
      </c>
      <c r="AK225" s="145">
        <f t="shared" si="99"/>
        <v>0</v>
      </c>
      <c r="AL225" s="145">
        <v>497265</v>
      </c>
      <c r="AM225" s="145">
        <v>0</v>
      </c>
      <c r="AN225" s="145">
        <v>0</v>
      </c>
      <c r="AO225" s="145">
        <v>0</v>
      </c>
      <c r="AP225" s="145">
        <v>0</v>
      </c>
      <c r="AQ225" s="145">
        <v>0</v>
      </c>
      <c r="AR225" s="145">
        <v>0</v>
      </c>
      <c r="AS225" s="201">
        <f t="shared" si="96"/>
        <v>497265</v>
      </c>
      <c r="AT225" s="201"/>
      <c r="AU225" s="199">
        <f t="shared" si="88"/>
        <v>497265</v>
      </c>
      <c r="AV225" s="146">
        <f>IFERROR(VLOOKUP(J225,Maksājumu_pieprasījumu_iesn.!G:BL,57,0),0)</f>
        <v>0</v>
      </c>
      <c r="AW225" s="139">
        <f t="shared" si="94"/>
        <v>-497265</v>
      </c>
      <c r="AX225" s="200">
        <f t="shared" si="97"/>
        <v>0</v>
      </c>
      <c r="AY225" s="153"/>
      <c r="AZ225" s="153"/>
      <c r="BA225" s="136"/>
      <c r="BB225" s="145"/>
      <c r="BC225" s="145"/>
      <c r="BD225" s="145"/>
      <c r="BE225" s="145"/>
      <c r="BF225" s="145"/>
      <c r="BG225" s="145"/>
      <c r="BH225" s="138"/>
      <c r="BI225" s="138"/>
      <c r="BJ225" s="138"/>
      <c r="BK225" s="138"/>
      <c r="BL225" s="138"/>
      <c r="BM225" s="138"/>
      <c r="BN225" s="138"/>
    </row>
    <row r="226" spans="1:66" s="91" customFormat="1" ht="38.25" hidden="1" customHeight="1" x14ac:dyDescent="0.2">
      <c r="A226" s="150" t="s">
        <v>1185</v>
      </c>
      <c r="B226" s="18" t="s">
        <v>57</v>
      </c>
      <c r="C226" s="18" t="s">
        <v>58</v>
      </c>
      <c r="D226" s="19" t="s">
        <v>569</v>
      </c>
      <c r="E226" s="55">
        <v>3</v>
      </c>
      <c r="F226" s="55" t="s">
        <v>35</v>
      </c>
      <c r="G226" s="55" t="s">
        <v>5</v>
      </c>
      <c r="H226" s="55" t="s">
        <v>3</v>
      </c>
      <c r="I226" s="55"/>
      <c r="J226" s="55"/>
      <c r="K226" s="19" t="s">
        <v>1272</v>
      </c>
      <c r="L226" s="19"/>
      <c r="M226" s="19"/>
      <c r="N226" s="19" t="s">
        <v>1274</v>
      </c>
      <c r="O226" s="151">
        <v>42916</v>
      </c>
      <c r="P226" s="151"/>
      <c r="Q226" s="151"/>
      <c r="R226" s="151"/>
      <c r="S226" s="152">
        <v>157038</v>
      </c>
      <c r="T226" s="152">
        <v>0</v>
      </c>
      <c r="U226" s="145">
        <v>0</v>
      </c>
      <c r="V226" s="145">
        <v>0</v>
      </c>
      <c r="W226" s="145">
        <v>0</v>
      </c>
      <c r="X226" s="145">
        <f t="shared" si="98"/>
        <v>0</v>
      </c>
      <c r="Y226" s="145">
        <v>0</v>
      </c>
      <c r="Z226" s="145">
        <v>0</v>
      </c>
      <c r="AA226" s="145">
        <v>0</v>
      </c>
      <c r="AB226" s="145">
        <v>0</v>
      </c>
      <c r="AC226" s="145">
        <v>0</v>
      </c>
      <c r="AD226" s="145">
        <v>0</v>
      </c>
      <c r="AE226" s="145">
        <v>0</v>
      </c>
      <c r="AF226" s="145">
        <v>0</v>
      </c>
      <c r="AG226" s="145">
        <v>0</v>
      </c>
      <c r="AH226" s="145">
        <v>0</v>
      </c>
      <c r="AI226" s="145">
        <v>0</v>
      </c>
      <c r="AJ226" s="145">
        <v>43622</v>
      </c>
      <c r="AK226" s="145">
        <f t="shared" si="99"/>
        <v>43622</v>
      </c>
      <c r="AL226" s="145">
        <v>113416</v>
      </c>
      <c r="AM226" s="145">
        <v>0</v>
      </c>
      <c r="AN226" s="145">
        <v>0</v>
      </c>
      <c r="AO226" s="145">
        <v>0</v>
      </c>
      <c r="AP226" s="145">
        <v>0</v>
      </c>
      <c r="AQ226" s="145">
        <v>0</v>
      </c>
      <c r="AR226" s="145">
        <v>0</v>
      </c>
      <c r="AS226" s="201">
        <f t="shared" si="96"/>
        <v>157038</v>
      </c>
      <c r="AT226" s="201"/>
      <c r="AU226" s="199">
        <f t="shared" si="88"/>
        <v>157038</v>
      </c>
      <c r="AV226" s="146">
        <f>IFERROR(VLOOKUP(J226,Maksājumu_pieprasījumu_iesn.!G:BL,57,0),0)</f>
        <v>0</v>
      </c>
      <c r="AW226" s="139">
        <f t="shared" si="94"/>
        <v>-157038</v>
      </c>
      <c r="AX226" s="200">
        <f t="shared" si="97"/>
        <v>0</v>
      </c>
      <c r="AY226" s="153"/>
      <c r="AZ226" s="153"/>
      <c r="BA226" s="136"/>
      <c r="BB226" s="145"/>
      <c r="BC226" s="145"/>
      <c r="BD226" s="145"/>
      <c r="BE226" s="145"/>
      <c r="BF226" s="145"/>
      <c r="BG226" s="145"/>
      <c r="BH226" s="138"/>
      <c r="BI226" s="138"/>
      <c r="BJ226" s="138"/>
      <c r="BK226" s="138"/>
      <c r="BL226" s="138"/>
      <c r="BM226" s="138"/>
      <c r="BN226" s="138"/>
    </row>
    <row r="227" spans="1:66" s="91" customFormat="1" ht="25.5" hidden="1" customHeight="1" x14ac:dyDescent="0.2">
      <c r="A227" s="150" t="s">
        <v>1185</v>
      </c>
      <c r="B227" s="18" t="s">
        <v>57</v>
      </c>
      <c r="C227" s="18" t="s">
        <v>58</v>
      </c>
      <c r="D227" s="19" t="s">
        <v>569</v>
      </c>
      <c r="E227" s="55">
        <v>3</v>
      </c>
      <c r="F227" s="55" t="s">
        <v>35</v>
      </c>
      <c r="G227" s="55" t="s">
        <v>5</v>
      </c>
      <c r="H227" s="55" t="s">
        <v>3</v>
      </c>
      <c r="I227" s="55"/>
      <c r="J227" s="55"/>
      <c r="K227" s="19" t="s">
        <v>1275</v>
      </c>
      <c r="L227" s="19"/>
      <c r="M227" s="19"/>
      <c r="N227" s="19" t="s">
        <v>1276</v>
      </c>
      <c r="O227" s="151">
        <v>42947</v>
      </c>
      <c r="P227" s="151"/>
      <c r="Q227" s="151"/>
      <c r="R227" s="151"/>
      <c r="S227" s="152">
        <v>114750</v>
      </c>
      <c r="T227" s="152">
        <v>0</v>
      </c>
      <c r="U227" s="145">
        <v>0</v>
      </c>
      <c r="V227" s="145">
        <v>0</v>
      </c>
      <c r="W227" s="145">
        <v>0</v>
      </c>
      <c r="X227" s="145">
        <f t="shared" si="98"/>
        <v>0</v>
      </c>
      <c r="Y227" s="145">
        <v>0</v>
      </c>
      <c r="Z227" s="145">
        <v>0</v>
      </c>
      <c r="AA227" s="145">
        <v>0</v>
      </c>
      <c r="AB227" s="145">
        <v>0</v>
      </c>
      <c r="AC227" s="145">
        <v>0</v>
      </c>
      <c r="AD227" s="145">
        <v>0</v>
      </c>
      <c r="AE227" s="145">
        <v>0</v>
      </c>
      <c r="AF227" s="145">
        <v>0</v>
      </c>
      <c r="AG227" s="145">
        <v>0</v>
      </c>
      <c r="AH227" s="145">
        <v>0</v>
      </c>
      <c r="AI227" s="145">
        <v>0</v>
      </c>
      <c r="AJ227" s="145">
        <v>0</v>
      </c>
      <c r="AK227" s="145">
        <f t="shared" si="99"/>
        <v>0</v>
      </c>
      <c r="AL227" s="145">
        <v>114750</v>
      </c>
      <c r="AM227" s="145">
        <v>0</v>
      </c>
      <c r="AN227" s="145">
        <v>0</v>
      </c>
      <c r="AO227" s="145">
        <v>0</v>
      </c>
      <c r="AP227" s="145">
        <v>0</v>
      </c>
      <c r="AQ227" s="145">
        <v>0</v>
      </c>
      <c r="AR227" s="145">
        <v>0</v>
      </c>
      <c r="AS227" s="201">
        <f t="shared" si="96"/>
        <v>114750</v>
      </c>
      <c r="AT227" s="201"/>
      <c r="AU227" s="199">
        <f t="shared" si="88"/>
        <v>114750</v>
      </c>
      <c r="AV227" s="146">
        <f>IFERROR(VLOOKUP(J227,Maksājumu_pieprasījumu_iesn.!G:BL,57,0),0)</f>
        <v>0</v>
      </c>
      <c r="AW227" s="139">
        <f t="shared" si="94"/>
        <v>-114750</v>
      </c>
      <c r="AX227" s="200">
        <f t="shared" si="97"/>
        <v>0</v>
      </c>
      <c r="AY227" s="153"/>
      <c r="AZ227" s="153"/>
      <c r="BA227" s="136"/>
      <c r="BB227" s="145"/>
      <c r="BC227" s="145"/>
      <c r="BD227" s="145"/>
      <c r="BE227" s="145"/>
      <c r="BF227" s="145"/>
      <c r="BG227" s="145"/>
      <c r="BH227" s="138"/>
      <c r="BI227" s="138"/>
      <c r="BJ227" s="138"/>
      <c r="BK227" s="138"/>
      <c r="BL227" s="138"/>
      <c r="BM227" s="138"/>
      <c r="BN227" s="138"/>
    </row>
    <row r="228" spans="1:66" s="91" customFormat="1" ht="38.25" hidden="1" customHeight="1" x14ac:dyDescent="0.2">
      <c r="A228" s="150" t="s">
        <v>1185</v>
      </c>
      <c r="B228" s="18" t="s">
        <v>57</v>
      </c>
      <c r="C228" s="18" t="s">
        <v>58</v>
      </c>
      <c r="D228" s="19" t="s">
        <v>569</v>
      </c>
      <c r="E228" s="55">
        <v>3</v>
      </c>
      <c r="F228" s="55" t="s">
        <v>35</v>
      </c>
      <c r="G228" s="55" t="s">
        <v>5</v>
      </c>
      <c r="H228" s="55" t="s">
        <v>3</v>
      </c>
      <c r="I228" s="55"/>
      <c r="J228" s="55"/>
      <c r="K228" s="19" t="s">
        <v>1277</v>
      </c>
      <c r="L228" s="19"/>
      <c r="M228" s="19"/>
      <c r="N228" s="19" t="s">
        <v>1278</v>
      </c>
      <c r="O228" s="151">
        <v>42979</v>
      </c>
      <c r="P228" s="151"/>
      <c r="Q228" s="151"/>
      <c r="R228" s="151"/>
      <c r="S228" s="152">
        <v>2150500</v>
      </c>
      <c r="T228" s="152">
        <v>0</v>
      </c>
      <c r="U228" s="145">
        <v>0</v>
      </c>
      <c r="V228" s="145">
        <v>0</v>
      </c>
      <c r="W228" s="145">
        <v>0</v>
      </c>
      <c r="X228" s="145">
        <f t="shared" si="98"/>
        <v>0</v>
      </c>
      <c r="Y228" s="145">
        <v>0</v>
      </c>
      <c r="Z228" s="145">
        <v>0</v>
      </c>
      <c r="AA228" s="145">
        <v>0</v>
      </c>
      <c r="AB228" s="145">
        <v>0</v>
      </c>
      <c r="AC228" s="145">
        <v>0</v>
      </c>
      <c r="AD228" s="145">
        <v>0</v>
      </c>
      <c r="AE228" s="145">
        <v>0</v>
      </c>
      <c r="AF228" s="145">
        <v>0</v>
      </c>
      <c r="AG228" s="145">
        <v>0</v>
      </c>
      <c r="AH228" s="145">
        <v>0</v>
      </c>
      <c r="AI228" s="145">
        <v>0</v>
      </c>
      <c r="AJ228" s="145">
        <v>0</v>
      </c>
      <c r="AK228" s="145">
        <f t="shared" si="99"/>
        <v>0</v>
      </c>
      <c r="AL228" s="145">
        <v>2150500</v>
      </c>
      <c r="AM228" s="145">
        <v>0</v>
      </c>
      <c r="AN228" s="145">
        <v>0</v>
      </c>
      <c r="AO228" s="145">
        <v>0</v>
      </c>
      <c r="AP228" s="145">
        <v>0</v>
      </c>
      <c r="AQ228" s="145">
        <v>0</v>
      </c>
      <c r="AR228" s="145">
        <v>0</v>
      </c>
      <c r="AS228" s="201">
        <f t="shared" si="96"/>
        <v>2150500</v>
      </c>
      <c r="AT228" s="201"/>
      <c r="AU228" s="199">
        <f t="shared" si="88"/>
        <v>2150500</v>
      </c>
      <c r="AV228" s="146">
        <f>IFERROR(VLOOKUP(J228,Maksājumu_pieprasījumu_iesn.!G:BL,57,0),0)</f>
        <v>0</v>
      </c>
      <c r="AW228" s="139">
        <f t="shared" si="94"/>
        <v>-2150500</v>
      </c>
      <c r="AX228" s="200">
        <f t="shared" si="97"/>
        <v>0</v>
      </c>
      <c r="AY228" s="153"/>
      <c r="AZ228" s="153"/>
      <c r="BA228" s="136"/>
      <c r="BB228" s="145"/>
      <c r="BC228" s="145"/>
      <c r="BD228" s="145"/>
      <c r="BE228" s="145"/>
      <c r="BF228" s="145"/>
      <c r="BG228" s="145"/>
      <c r="BH228" s="138"/>
      <c r="BI228" s="138"/>
      <c r="BJ228" s="138"/>
      <c r="BK228" s="138"/>
      <c r="BL228" s="138"/>
      <c r="BM228" s="138"/>
      <c r="BN228" s="138"/>
    </row>
    <row r="229" spans="1:66" ht="38.25" hidden="1" customHeight="1" x14ac:dyDescent="0.2">
      <c r="A229" s="142" t="s">
        <v>1185</v>
      </c>
      <c r="B229" s="18" t="s">
        <v>57</v>
      </c>
      <c r="C229" s="18" t="s">
        <v>58</v>
      </c>
      <c r="D229" s="19" t="s">
        <v>569</v>
      </c>
      <c r="E229" s="18">
        <v>3</v>
      </c>
      <c r="F229" s="18" t="s">
        <v>35</v>
      </c>
      <c r="G229" s="18" t="s">
        <v>5</v>
      </c>
      <c r="H229" s="18" t="s">
        <v>3</v>
      </c>
      <c r="I229" s="18"/>
      <c r="J229" s="18" t="s">
        <v>1279</v>
      </c>
      <c r="K229" s="19" t="s">
        <v>898</v>
      </c>
      <c r="L229" s="19"/>
      <c r="M229" s="19"/>
      <c r="N229" s="19" t="s">
        <v>1280</v>
      </c>
      <c r="O229" s="143"/>
      <c r="P229" s="143"/>
      <c r="Q229" s="143"/>
      <c r="R229" s="187" t="s">
        <v>1281</v>
      </c>
      <c r="S229" s="144">
        <v>697193.93</v>
      </c>
      <c r="T229" s="144">
        <v>0</v>
      </c>
      <c r="U229" s="145">
        <v>0</v>
      </c>
      <c r="V229" s="145">
        <v>0</v>
      </c>
      <c r="W229" s="145">
        <v>0</v>
      </c>
      <c r="X229" s="145">
        <f t="shared" si="98"/>
        <v>0</v>
      </c>
      <c r="Y229" s="145">
        <v>0</v>
      </c>
      <c r="Z229" s="145">
        <v>0</v>
      </c>
      <c r="AA229" s="145">
        <v>0</v>
      </c>
      <c r="AB229" s="145">
        <v>0</v>
      </c>
      <c r="AC229" s="145">
        <v>0</v>
      </c>
      <c r="AD229" s="145">
        <v>0</v>
      </c>
      <c r="AE229" s="145">
        <v>0</v>
      </c>
      <c r="AF229" s="145">
        <v>0</v>
      </c>
      <c r="AG229" s="145">
        <v>0</v>
      </c>
      <c r="AH229" s="145">
        <v>0</v>
      </c>
      <c r="AI229" s="145">
        <v>0</v>
      </c>
      <c r="AJ229" s="145">
        <v>0</v>
      </c>
      <c r="AK229" s="145">
        <f t="shared" si="99"/>
        <v>0</v>
      </c>
      <c r="AL229" s="145">
        <v>697193.93</v>
      </c>
      <c r="AM229" s="145">
        <v>0</v>
      </c>
      <c r="AN229" s="145">
        <v>0</v>
      </c>
      <c r="AO229" s="145">
        <v>0</v>
      </c>
      <c r="AP229" s="145">
        <v>0</v>
      </c>
      <c r="AQ229" s="145">
        <v>0</v>
      </c>
      <c r="AR229" s="145">
        <v>0</v>
      </c>
      <c r="AS229" s="201">
        <f t="shared" si="96"/>
        <v>697193.93</v>
      </c>
      <c r="AT229" s="201">
        <v>0</v>
      </c>
      <c r="AU229" s="199">
        <f t="shared" si="88"/>
        <v>697193.93</v>
      </c>
      <c r="AV229" s="146">
        <f>IFERROR(VLOOKUP(J229,Maksājumu_pieprasījumu_iesn.!G:BL,57,0),0)</f>
        <v>0</v>
      </c>
      <c r="AW229" s="139">
        <f t="shared" si="94"/>
        <v>-697193.93</v>
      </c>
      <c r="AX229" s="200">
        <f t="shared" si="97"/>
        <v>0</v>
      </c>
      <c r="AY229" s="147"/>
      <c r="AZ229" s="147"/>
      <c r="BA229" s="165"/>
      <c r="BB229" s="144"/>
      <c r="BC229" s="144"/>
      <c r="BD229" s="144"/>
      <c r="BE229" s="144"/>
      <c r="BF229" s="144"/>
      <c r="BG229" s="144"/>
      <c r="BH229" s="149"/>
      <c r="BI229" s="149"/>
      <c r="BJ229" s="149"/>
      <c r="BK229" s="149"/>
      <c r="BL229" s="149"/>
      <c r="BM229" s="149"/>
      <c r="BN229" s="149"/>
    </row>
    <row r="230" spans="1:66" ht="38.25" hidden="1" customHeight="1" x14ac:dyDescent="0.2">
      <c r="A230" s="142" t="s">
        <v>1185</v>
      </c>
      <c r="B230" s="18" t="s">
        <v>57</v>
      </c>
      <c r="C230" s="18" t="s">
        <v>58</v>
      </c>
      <c r="D230" s="19" t="s">
        <v>569</v>
      </c>
      <c r="E230" s="18">
        <v>3</v>
      </c>
      <c r="F230" s="18" t="s">
        <v>35</v>
      </c>
      <c r="G230" s="18" t="s">
        <v>5</v>
      </c>
      <c r="H230" s="18" t="s">
        <v>3</v>
      </c>
      <c r="I230" s="18"/>
      <c r="J230" s="18" t="s">
        <v>1282</v>
      </c>
      <c r="K230" s="19" t="s">
        <v>898</v>
      </c>
      <c r="L230" s="19"/>
      <c r="M230" s="19"/>
      <c r="N230" s="19" t="s">
        <v>1283</v>
      </c>
      <c r="O230" s="143"/>
      <c r="P230" s="143"/>
      <c r="Q230" s="143"/>
      <c r="R230" s="187" t="s">
        <v>1284</v>
      </c>
      <c r="S230" s="144">
        <v>1906354.84</v>
      </c>
      <c r="T230" s="144">
        <v>0</v>
      </c>
      <c r="U230" s="145">
        <v>0</v>
      </c>
      <c r="V230" s="145">
        <v>0</v>
      </c>
      <c r="W230" s="145">
        <v>0</v>
      </c>
      <c r="X230" s="145">
        <f t="shared" si="98"/>
        <v>0</v>
      </c>
      <c r="Y230" s="145">
        <v>0</v>
      </c>
      <c r="Z230" s="145">
        <v>0</v>
      </c>
      <c r="AA230" s="145">
        <v>0</v>
      </c>
      <c r="AB230" s="145">
        <v>0</v>
      </c>
      <c r="AC230" s="145">
        <v>0</v>
      </c>
      <c r="AD230" s="145">
        <v>0</v>
      </c>
      <c r="AE230" s="145">
        <v>0</v>
      </c>
      <c r="AF230" s="145">
        <v>0</v>
      </c>
      <c r="AG230" s="145">
        <v>0</v>
      </c>
      <c r="AH230" s="145">
        <v>0</v>
      </c>
      <c r="AI230" s="145">
        <v>0</v>
      </c>
      <c r="AJ230" s="145">
        <v>0</v>
      </c>
      <c r="AK230" s="145">
        <f t="shared" si="99"/>
        <v>0</v>
      </c>
      <c r="AL230" s="145">
        <v>1906354.84</v>
      </c>
      <c r="AM230" s="145">
        <v>0</v>
      </c>
      <c r="AN230" s="145">
        <v>0</v>
      </c>
      <c r="AO230" s="145">
        <v>0</v>
      </c>
      <c r="AP230" s="145">
        <v>0</v>
      </c>
      <c r="AQ230" s="145">
        <v>0</v>
      </c>
      <c r="AR230" s="145">
        <v>0</v>
      </c>
      <c r="AS230" s="201">
        <f t="shared" si="96"/>
        <v>1906354.84</v>
      </c>
      <c r="AT230" s="201">
        <v>0</v>
      </c>
      <c r="AU230" s="199">
        <f t="shared" si="88"/>
        <v>1906354.84</v>
      </c>
      <c r="AV230" s="146">
        <f>IFERROR(VLOOKUP(J230,Maksājumu_pieprasījumu_iesn.!G:BL,57,0),0)</f>
        <v>0</v>
      </c>
      <c r="AW230" s="139">
        <f t="shared" si="94"/>
        <v>-1906354.84</v>
      </c>
      <c r="AX230" s="200">
        <f t="shared" si="97"/>
        <v>0</v>
      </c>
      <c r="AY230" s="147"/>
      <c r="AZ230" s="147"/>
      <c r="BA230" s="165"/>
      <c r="BB230" s="144"/>
      <c r="BC230" s="144"/>
      <c r="BD230" s="144"/>
      <c r="BE230" s="144"/>
      <c r="BF230" s="144"/>
      <c r="BG230" s="144"/>
      <c r="BH230" s="149"/>
      <c r="BI230" s="149"/>
      <c r="BJ230" s="149"/>
      <c r="BK230" s="149"/>
      <c r="BL230" s="149"/>
      <c r="BM230" s="149"/>
      <c r="BN230" s="149"/>
    </row>
    <row r="231" spans="1:66" s="91" customFormat="1" ht="38.25" hidden="1" customHeight="1" x14ac:dyDescent="0.2">
      <c r="A231" s="150" t="s">
        <v>1185</v>
      </c>
      <c r="B231" s="18" t="s">
        <v>57</v>
      </c>
      <c r="C231" s="18" t="s">
        <v>58</v>
      </c>
      <c r="D231" s="19" t="s">
        <v>569</v>
      </c>
      <c r="E231" s="55">
        <v>3</v>
      </c>
      <c r="F231" s="55" t="s">
        <v>35</v>
      </c>
      <c r="G231" s="55" t="s">
        <v>5</v>
      </c>
      <c r="H231" s="55" t="s">
        <v>3</v>
      </c>
      <c r="I231" s="55"/>
      <c r="J231" s="55"/>
      <c r="K231" s="19" t="s">
        <v>428</v>
      </c>
      <c r="L231" s="19"/>
      <c r="M231" s="19"/>
      <c r="N231" s="19" t="s">
        <v>1285</v>
      </c>
      <c r="O231" s="151">
        <v>42978</v>
      </c>
      <c r="P231" s="151"/>
      <c r="Q231" s="151"/>
      <c r="R231" s="151"/>
      <c r="S231" s="152">
        <v>73950</v>
      </c>
      <c r="T231" s="152">
        <v>0</v>
      </c>
      <c r="U231" s="145">
        <v>0</v>
      </c>
      <c r="V231" s="145">
        <v>0</v>
      </c>
      <c r="W231" s="145">
        <v>0</v>
      </c>
      <c r="X231" s="145">
        <f t="shared" si="98"/>
        <v>0</v>
      </c>
      <c r="Y231" s="145">
        <v>0</v>
      </c>
      <c r="Z231" s="145">
        <v>0</v>
      </c>
      <c r="AA231" s="145">
        <v>0</v>
      </c>
      <c r="AB231" s="145">
        <v>0</v>
      </c>
      <c r="AC231" s="145">
        <v>0</v>
      </c>
      <c r="AD231" s="145">
        <v>0</v>
      </c>
      <c r="AE231" s="145">
        <v>0</v>
      </c>
      <c r="AF231" s="145">
        <v>0</v>
      </c>
      <c r="AG231" s="145">
        <v>0</v>
      </c>
      <c r="AH231" s="145">
        <v>0</v>
      </c>
      <c r="AI231" s="145">
        <v>0</v>
      </c>
      <c r="AJ231" s="145">
        <v>0</v>
      </c>
      <c r="AK231" s="145">
        <f t="shared" si="99"/>
        <v>0</v>
      </c>
      <c r="AL231" s="145">
        <v>73950</v>
      </c>
      <c r="AM231" s="145">
        <v>0</v>
      </c>
      <c r="AN231" s="145">
        <v>0</v>
      </c>
      <c r="AO231" s="145">
        <v>0</v>
      </c>
      <c r="AP231" s="145">
        <v>0</v>
      </c>
      <c r="AQ231" s="145">
        <v>0</v>
      </c>
      <c r="AR231" s="145">
        <v>0</v>
      </c>
      <c r="AS231" s="201">
        <f t="shared" si="96"/>
        <v>73950</v>
      </c>
      <c r="AT231" s="201"/>
      <c r="AU231" s="199">
        <f t="shared" si="88"/>
        <v>73950</v>
      </c>
      <c r="AV231" s="146">
        <f>IFERROR(VLOOKUP(J231,Maksājumu_pieprasījumu_iesn.!G:BL,57,0),0)</f>
        <v>0</v>
      </c>
      <c r="AW231" s="139">
        <f t="shared" si="94"/>
        <v>-73950</v>
      </c>
      <c r="AX231" s="200">
        <f t="shared" si="97"/>
        <v>0</v>
      </c>
      <c r="AY231" s="153"/>
      <c r="AZ231" s="153"/>
      <c r="BA231" s="136"/>
      <c r="BB231" s="145"/>
      <c r="BC231" s="145"/>
      <c r="BD231" s="145"/>
      <c r="BE231" s="145"/>
      <c r="BF231" s="145"/>
      <c r="BG231" s="145"/>
      <c r="BH231" s="138"/>
      <c r="BI231" s="138"/>
      <c r="BJ231" s="138"/>
      <c r="BK231" s="138"/>
      <c r="BL231" s="138"/>
      <c r="BM231" s="138"/>
      <c r="BN231" s="138"/>
    </row>
    <row r="232" spans="1:66" ht="51" hidden="1" customHeight="1" x14ac:dyDescent="0.2">
      <c r="A232" s="142" t="s">
        <v>1185</v>
      </c>
      <c r="B232" s="18" t="s">
        <v>57</v>
      </c>
      <c r="C232" s="18" t="s">
        <v>58</v>
      </c>
      <c r="D232" s="19" t="s">
        <v>569</v>
      </c>
      <c r="E232" s="18">
        <v>3</v>
      </c>
      <c r="F232" s="18" t="s">
        <v>35</v>
      </c>
      <c r="G232" s="18" t="s">
        <v>5</v>
      </c>
      <c r="H232" s="18" t="s">
        <v>3</v>
      </c>
      <c r="I232" s="18"/>
      <c r="J232" s="18" t="s">
        <v>1286</v>
      </c>
      <c r="K232" s="19" t="s">
        <v>1287</v>
      </c>
      <c r="L232" s="19"/>
      <c r="M232" s="19"/>
      <c r="N232" s="19" t="s">
        <v>1288</v>
      </c>
      <c r="O232" s="143"/>
      <c r="P232" s="143"/>
      <c r="Q232" s="143"/>
      <c r="R232" s="187" t="s">
        <v>1289</v>
      </c>
      <c r="S232" s="144">
        <v>660236.43999999994</v>
      </c>
      <c r="T232" s="144">
        <v>0</v>
      </c>
      <c r="U232" s="145">
        <v>0</v>
      </c>
      <c r="V232" s="145">
        <v>0</v>
      </c>
      <c r="W232" s="145">
        <v>0</v>
      </c>
      <c r="X232" s="145">
        <f t="shared" si="98"/>
        <v>0</v>
      </c>
      <c r="Y232" s="145">
        <v>0</v>
      </c>
      <c r="Z232" s="145">
        <v>0</v>
      </c>
      <c r="AA232" s="145">
        <v>0</v>
      </c>
      <c r="AB232" s="145">
        <v>0</v>
      </c>
      <c r="AC232" s="145">
        <v>0</v>
      </c>
      <c r="AD232" s="145">
        <v>0</v>
      </c>
      <c r="AE232" s="145">
        <v>0</v>
      </c>
      <c r="AF232" s="145">
        <v>0</v>
      </c>
      <c r="AG232" s="145">
        <v>0</v>
      </c>
      <c r="AH232" s="145">
        <v>0</v>
      </c>
      <c r="AI232" s="145">
        <v>0</v>
      </c>
      <c r="AJ232" s="145">
        <v>0</v>
      </c>
      <c r="AK232" s="145">
        <f t="shared" si="99"/>
        <v>0</v>
      </c>
      <c r="AL232" s="145">
        <v>660236.44000000006</v>
      </c>
      <c r="AM232" s="145">
        <v>0</v>
      </c>
      <c r="AN232" s="145">
        <v>0</v>
      </c>
      <c r="AO232" s="145">
        <v>0</v>
      </c>
      <c r="AP232" s="145">
        <v>0</v>
      </c>
      <c r="AQ232" s="145">
        <v>0</v>
      </c>
      <c r="AR232" s="145">
        <v>0</v>
      </c>
      <c r="AS232" s="201">
        <f t="shared" si="96"/>
        <v>660236.44000000006</v>
      </c>
      <c r="AT232" s="201">
        <v>0</v>
      </c>
      <c r="AU232" s="199">
        <f t="shared" si="88"/>
        <v>660236.44000000006</v>
      </c>
      <c r="AV232" s="146">
        <f>IFERROR(VLOOKUP(J232,Maksājumu_pieprasījumu_iesn.!G:BL,57,0),0)</f>
        <v>0</v>
      </c>
      <c r="AW232" s="139">
        <f t="shared" si="94"/>
        <v>-660236.44000000006</v>
      </c>
      <c r="AX232" s="200">
        <f t="shared" si="97"/>
        <v>0</v>
      </c>
      <c r="AY232" s="147"/>
      <c r="AZ232" s="147"/>
      <c r="BA232" s="165"/>
      <c r="BB232" s="144"/>
      <c r="BC232" s="144"/>
      <c r="BD232" s="144"/>
      <c r="BE232" s="144"/>
      <c r="BF232" s="144"/>
      <c r="BG232" s="144"/>
      <c r="BH232" s="149"/>
      <c r="BI232" s="149"/>
      <c r="BJ232" s="149"/>
      <c r="BK232" s="149"/>
      <c r="BL232" s="149"/>
      <c r="BM232" s="149"/>
      <c r="BN232" s="149"/>
    </row>
    <row r="233" spans="1:66" ht="38.25" hidden="1" customHeight="1" x14ac:dyDescent="0.2">
      <c r="A233" s="142" t="s">
        <v>1185</v>
      </c>
      <c r="B233" s="18" t="s">
        <v>57</v>
      </c>
      <c r="C233" s="18" t="s">
        <v>58</v>
      </c>
      <c r="D233" s="19" t="s">
        <v>569</v>
      </c>
      <c r="E233" s="18">
        <v>3</v>
      </c>
      <c r="F233" s="18" t="s">
        <v>35</v>
      </c>
      <c r="G233" s="18" t="s">
        <v>5</v>
      </c>
      <c r="H233" s="18" t="s">
        <v>3</v>
      </c>
      <c r="I233" s="18"/>
      <c r="J233" s="18" t="s">
        <v>667</v>
      </c>
      <c r="K233" s="19" t="s">
        <v>668</v>
      </c>
      <c r="L233" s="19"/>
      <c r="M233" s="19"/>
      <c r="N233" s="19" t="s">
        <v>669</v>
      </c>
      <c r="O233" s="143"/>
      <c r="P233" s="143"/>
      <c r="Q233" s="143"/>
      <c r="R233" s="187" t="s">
        <v>1289</v>
      </c>
      <c r="S233" s="144">
        <v>391226.36</v>
      </c>
      <c r="T233" s="144">
        <v>0</v>
      </c>
      <c r="U233" s="145">
        <v>0</v>
      </c>
      <c r="V233" s="145">
        <v>0</v>
      </c>
      <c r="W233" s="145">
        <v>0</v>
      </c>
      <c r="X233" s="145">
        <f t="shared" si="98"/>
        <v>0</v>
      </c>
      <c r="Y233" s="145">
        <v>0</v>
      </c>
      <c r="Z233" s="145">
        <v>0</v>
      </c>
      <c r="AA233" s="145">
        <v>0</v>
      </c>
      <c r="AB233" s="145">
        <v>0</v>
      </c>
      <c r="AC233" s="145">
        <v>18894.48</v>
      </c>
      <c r="AD233" s="145">
        <v>0</v>
      </c>
      <c r="AE233" s="145">
        <v>0</v>
      </c>
      <c r="AF233" s="145">
        <v>0</v>
      </c>
      <c r="AG233" s="145">
        <v>0</v>
      </c>
      <c r="AH233" s="145">
        <v>0</v>
      </c>
      <c r="AI233" s="145">
        <v>0</v>
      </c>
      <c r="AJ233" s="145">
        <v>0</v>
      </c>
      <c r="AK233" s="145">
        <f t="shared" si="99"/>
        <v>18894.48</v>
      </c>
      <c r="AL233" s="145">
        <v>372331.88</v>
      </c>
      <c r="AM233" s="145">
        <v>0</v>
      </c>
      <c r="AN233" s="145">
        <v>0</v>
      </c>
      <c r="AO233" s="145">
        <v>0</v>
      </c>
      <c r="AP233" s="145">
        <v>0</v>
      </c>
      <c r="AQ233" s="145">
        <v>0</v>
      </c>
      <c r="AR233" s="145">
        <v>0</v>
      </c>
      <c r="AS233" s="201">
        <f t="shared" si="96"/>
        <v>391226.36</v>
      </c>
      <c r="AT233" s="201">
        <v>0</v>
      </c>
      <c r="AU233" s="199">
        <f t="shared" si="88"/>
        <v>391226.36</v>
      </c>
      <c r="AV233" s="146">
        <f>IFERROR(VLOOKUP(J233,Maksājumu_pieprasījumu_iesn.!G:BL,57,0),0)</f>
        <v>0</v>
      </c>
      <c r="AW233" s="139">
        <f t="shared" si="94"/>
        <v>-391226.36</v>
      </c>
      <c r="AX233" s="200">
        <f t="shared" si="97"/>
        <v>0</v>
      </c>
      <c r="AY233" s="147"/>
      <c r="AZ233" s="147"/>
      <c r="BA233" s="165"/>
      <c r="BB233" s="144"/>
      <c r="BC233" s="144"/>
      <c r="BD233" s="144"/>
      <c r="BE233" s="144"/>
      <c r="BF233" s="144"/>
      <c r="BG233" s="144"/>
      <c r="BH233" s="149"/>
      <c r="BI233" s="149"/>
      <c r="BJ233" s="149"/>
      <c r="BK233" s="149"/>
      <c r="BL233" s="149"/>
      <c r="BM233" s="149"/>
      <c r="BN233" s="149"/>
    </row>
    <row r="234" spans="1:66" ht="51" hidden="1" customHeight="1" x14ac:dyDescent="0.2">
      <c r="A234" s="142" t="s">
        <v>1185</v>
      </c>
      <c r="B234" s="18" t="s">
        <v>57</v>
      </c>
      <c r="C234" s="18" t="s">
        <v>58</v>
      </c>
      <c r="D234" s="19" t="s">
        <v>569</v>
      </c>
      <c r="E234" s="18">
        <v>3</v>
      </c>
      <c r="F234" s="18" t="s">
        <v>35</v>
      </c>
      <c r="G234" s="18" t="s">
        <v>5</v>
      </c>
      <c r="H234" s="18" t="s">
        <v>3</v>
      </c>
      <c r="I234" s="18"/>
      <c r="J234" s="18" t="s">
        <v>670</v>
      </c>
      <c r="K234" s="19" t="s">
        <v>671</v>
      </c>
      <c r="L234" s="19"/>
      <c r="M234" s="19"/>
      <c r="N234" s="19" t="s">
        <v>672</v>
      </c>
      <c r="O234" s="143"/>
      <c r="P234" s="143"/>
      <c r="Q234" s="143"/>
      <c r="R234" s="187" t="s">
        <v>1290</v>
      </c>
      <c r="S234" s="144">
        <v>286059</v>
      </c>
      <c r="T234" s="144">
        <v>0</v>
      </c>
      <c r="U234" s="145">
        <v>0</v>
      </c>
      <c r="V234" s="145">
        <v>0</v>
      </c>
      <c r="W234" s="145">
        <v>0</v>
      </c>
      <c r="X234" s="145">
        <f t="shared" si="98"/>
        <v>0</v>
      </c>
      <c r="Y234" s="145">
        <v>0</v>
      </c>
      <c r="Z234" s="145">
        <v>0</v>
      </c>
      <c r="AA234" s="145">
        <v>0</v>
      </c>
      <c r="AB234" s="145">
        <v>0</v>
      </c>
      <c r="AC234" s="145">
        <v>7935</v>
      </c>
      <c r="AD234" s="145">
        <v>0</v>
      </c>
      <c r="AE234" s="145">
        <v>0</v>
      </c>
      <c r="AF234" s="145">
        <v>0</v>
      </c>
      <c r="AG234" s="145">
        <v>0</v>
      </c>
      <c r="AH234" s="145">
        <v>0</v>
      </c>
      <c r="AI234" s="145">
        <v>0</v>
      </c>
      <c r="AJ234" s="145">
        <v>0</v>
      </c>
      <c r="AK234" s="145">
        <f t="shared" si="99"/>
        <v>7935</v>
      </c>
      <c r="AL234" s="145">
        <v>278124</v>
      </c>
      <c r="AM234" s="145">
        <v>0</v>
      </c>
      <c r="AN234" s="145">
        <v>0</v>
      </c>
      <c r="AO234" s="145">
        <v>0</v>
      </c>
      <c r="AP234" s="145">
        <v>0</v>
      </c>
      <c r="AQ234" s="145">
        <v>0</v>
      </c>
      <c r="AR234" s="145">
        <v>0</v>
      </c>
      <c r="AS234" s="201">
        <f t="shared" si="96"/>
        <v>286059</v>
      </c>
      <c r="AT234" s="201">
        <v>0</v>
      </c>
      <c r="AU234" s="199">
        <f t="shared" si="88"/>
        <v>286059</v>
      </c>
      <c r="AV234" s="146">
        <f>IFERROR(VLOOKUP(J234,Maksājumu_pieprasījumu_iesn.!G:BL,57,0),0)</f>
        <v>0</v>
      </c>
      <c r="AW234" s="139">
        <f t="shared" si="94"/>
        <v>-286059</v>
      </c>
      <c r="AX234" s="200">
        <f t="shared" si="97"/>
        <v>0</v>
      </c>
      <c r="AY234" s="147"/>
      <c r="AZ234" s="147"/>
      <c r="BA234" s="165"/>
      <c r="BB234" s="144"/>
      <c r="BC234" s="144"/>
      <c r="BD234" s="144"/>
      <c r="BE234" s="144"/>
      <c r="BF234" s="144"/>
      <c r="BG234" s="144"/>
      <c r="BH234" s="149"/>
      <c r="BI234" s="149"/>
      <c r="BJ234" s="149"/>
      <c r="BK234" s="149"/>
      <c r="BL234" s="149"/>
      <c r="BM234" s="149"/>
      <c r="BN234" s="149"/>
    </row>
    <row r="235" spans="1:66" s="91" customFormat="1" ht="38.25" hidden="1" customHeight="1" x14ac:dyDescent="0.2">
      <c r="A235" s="150" t="s">
        <v>1185</v>
      </c>
      <c r="B235" s="18" t="s">
        <v>57</v>
      </c>
      <c r="C235" s="18" t="s">
        <v>58</v>
      </c>
      <c r="D235" s="19" t="s">
        <v>569</v>
      </c>
      <c r="E235" s="55">
        <v>3</v>
      </c>
      <c r="F235" s="55" t="s">
        <v>35</v>
      </c>
      <c r="G235" s="55" t="s">
        <v>5</v>
      </c>
      <c r="H235" s="55" t="s">
        <v>3</v>
      </c>
      <c r="I235" s="55"/>
      <c r="J235" s="55"/>
      <c r="K235" s="19" t="s">
        <v>1291</v>
      </c>
      <c r="L235" s="19"/>
      <c r="M235" s="19"/>
      <c r="N235" s="19" t="s">
        <v>1292</v>
      </c>
      <c r="O235" s="151">
        <v>42978</v>
      </c>
      <c r="P235" s="151"/>
      <c r="Q235" s="151"/>
      <c r="R235" s="151"/>
      <c r="S235" s="152">
        <v>45913</v>
      </c>
      <c r="T235" s="152">
        <v>0</v>
      </c>
      <c r="U235" s="145">
        <v>0</v>
      </c>
      <c r="V235" s="145">
        <v>0</v>
      </c>
      <c r="W235" s="145">
        <v>0</v>
      </c>
      <c r="X235" s="145">
        <f t="shared" si="98"/>
        <v>0</v>
      </c>
      <c r="Y235" s="145">
        <v>0</v>
      </c>
      <c r="Z235" s="145">
        <v>0</v>
      </c>
      <c r="AA235" s="145">
        <v>0</v>
      </c>
      <c r="AB235" s="145">
        <v>0</v>
      </c>
      <c r="AC235" s="145">
        <v>0</v>
      </c>
      <c r="AD235" s="145">
        <v>0</v>
      </c>
      <c r="AE235" s="145">
        <v>0</v>
      </c>
      <c r="AF235" s="145">
        <v>0</v>
      </c>
      <c r="AG235" s="145">
        <v>0</v>
      </c>
      <c r="AH235" s="145">
        <v>0</v>
      </c>
      <c r="AI235" s="145">
        <v>0</v>
      </c>
      <c r="AJ235" s="145">
        <v>0</v>
      </c>
      <c r="AK235" s="145">
        <f t="shared" si="99"/>
        <v>0</v>
      </c>
      <c r="AL235" s="145">
        <v>45913</v>
      </c>
      <c r="AM235" s="145">
        <v>0</v>
      </c>
      <c r="AN235" s="145">
        <v>0</v>
      </c>
      <c r="AO235" s="145">
        <v>0</v>
      </c>
      <c r="AP235" s="145">
        <v>0</v>
      </c>
      <c r="AQ235" s="145">
        <v>0</v>
      </c>
      <c r="AR235" s="145">
        <v>0</v>
      </c>
      <c r="AS235" s="201">
        <f t="shared" si="96"/>
        <v>45913</v>
      </c>
      <c r="AT235" s="201"/>
      <c r="AU235" s="199">
        <f t="shared" si="88"/>
        <v>45913</v>
      </c>
      <c r="AV235" s="146">
        <f>IFERROR(VLOOKUP(J235,Maksājumu_pieprasījumu_iesn.!G:BL,57,0),0)</f>
        <v>0</v>
      </c>
      <c r="AW235" s="139">
        <f t="shared" si="94"/>
        <v>-45913</v>
      </c>
      <c r="AX235" s="200">
        <f t="shared" si="97"/>
        <v>0</v>
      </c>
      <c r="AY235" s="153"/>
      <c r="AZ235" s="153"/>
      <c r="BA235" s="136"/>
      <c r="BB235" s="145"/>
      <c r="BC235" s="145"/>
      <c r="BD235" s="145"/>
      <c r="BE235" s="145"/>
      <c r="BF235" s="145"/>
      <c r="BG235" s="145"/>
      <c r="BH235" s="138"/>
      <c r="BI235" s="138"/>
      <c r="BJ235" s="138"/>
      <c r="BK235" s="138"/>
      <c r="BL235" s="138"/>
      <c r="BM235" s="138"/>
      <c r="BN235" s="138"/>
    </row>
    <row r="236" spans="1:66" s="91" customFormat="1" ht="38.25" hidden="1" customHeight="1" x14ac:dyDescent="0.2">
      <c r="A236" s="150" t="s">
        <v>1185</v>
      </c>
      <c r="B236" s="18" t="s">
        <v>57</v>
      </c>
      <c r="C236" s="18" t="s">
        <v>58</v>
      </c>
      <c r="D236" s="19" t="s">
        <v>569</v>
      </c>
      <c r="E236" s="55">
        <v>3</v>
      </c>
      <c r="F236" s="55" t="s">
        <v>35</v>
      </c>
      <c r="G236" s="55" t="s">
        <v>5</v>
      </c>
      <c r="H236" s="55" t="s">
        <v>3</v>
      </c>
      <c r="I236" s="55"/>
      <c r="J236" s="55"/>
      <c r="K236" s="19" t="s">
        <v>1293</v>
      </c>
      <c r="L236" s="19"/>
      <c r="M236" s="19"/>
      <c r="N236" s="19" t="s">
        <v>1294</v>
      </c>
      <c r="O236" s="151">
        <v>42978</v>
      </c>
      <c r="P236" s="151"/>
      <c r="Q236" s="151"/>
      <c r="R236" s="151"/>
      <c r="S236" s="152">
        <v>314500</v>
      </c>
      <c r="T236" s="152">
        <v>0</v>
      </c>
      <c r="U236" s="145">
        <v>0</v>
      </c>
      <c r="V236" s="145">
        <v>0</v>
      </c>
      <c r="W236" s="145">
        <v>0</v>
      </c>
      <c r="X236" s="145">
        <f t="shared" si="98"/>
        <v>0</v>
      </c>
      <c r="Y236" s="145">
        <v>0</v>
      </c>
      <c r="Z236" s="145">
        <v>0</v>
      </c>
      <c r="AA236" s="145">
        <v>0</v>
      </c>
      <c r="AB236" s="145">
        <v>0</v>
      </c>
      <c r="AC236" s="145">
        <v>0</v>
      </c>
      <c r="AD236" s="145">
        <v>0</v>
      </c>
      <c r="AE236" s="145">
        <v>0</v>
      </c>
      <c r="AF236" s="145">
        <v>0</v>
      </c>
      <c r="AG236" s="145">
        <v>0</v>
      </c>
      <c r="AH236" s="145">
        <v>0</v>
      </c>
      <c r="AI236" s="145">
        <v>0</v>
      </c>
      <c r="AJ236" s="145">
        <v>0</v>
      </c>
      <c r="AK236" s="145">
        <f t="shared" si="99"/>
        <v>0</v>
      </c>
      <c r="AL236" s="145">
        <v>314500</v>
      </c>
      <c r="AM236" s="145">
        <v>0</v>
      </c>
      <c r="AN236" s="145">
        <v>0</v>
      </c>
      <c r="AO236" s="145">
        <v>0</v>
      </c>
      <c r="AP236" s="145">
        <v>0</v>
      </c>
      <c r="AQ236" s="145">
        <v>0</v>
      </c>
      <c r="AR236" s="145">
        <v>0</v>
      </c>
      <c r="AS236" s="201">
        <f t="shared" si="96"/>
        <v>314500</v>
      </c>
      <c r="AT236" s="201"/>
      <c r="AU236" s="199">
        <f t="shared" si="88"/>
        <v>314500</v>
      </c>
      <c r="AV236" s="146">
        <f>IFERROR(VLOOKUP(J236,Maksājumu_pieprasījumu_iesn.!G:BL,57,0),0)</f>
        <v>0</v>
      </c>
      <c r="AW236" s="139">
        <f t="shared" si="94"/>
        <v>-314500</v>
      </c>
      <c r="AX236" s="200">
        <f t="shared" si="97"/>
        <v>0</v>
      </c>
      <c r="AY236" s="153"/>
      <c r="AZ236" s="153"/>
      <c r="BA236" s="136"/>
      <c r="BB236" s="145"/>
      <c r="BC236" s="145"/>
      <c r="BD236" s="145"/>
      <c r="BE236" s="145"/>
      <c r="BF236" s="145"/>
      <c r="BG236" s="145"/>
      <c r="BH236" s="138"/>
      <c r="BI236" s="138"/>
      <c r="BJ236" s="138"/>
      <c r="BK236" s="138"/>
      <c r="BL236" s="138"/>
      <c r="BM236" s="138"/>
      <c r="BN236" s="138"/>
    </row>
    <row r="237" spans="1:66" s="91" customFormat="1" ht="51" hidden="1" customHeight="1" x14ac:dyDescent="0.2">
      <c r="A237" s="150" t="s">
        <v>1185</v>
      </c>
      <c r="B237" s="18" t="s">
        <v>57</v>
      </c>
      <c r="C237" s="18" t="s">
        <v>58</v>
      </c>
      <c r="D237" s="19" t="s">
        <v>569</v>
      </c>
      <c r="E237" s="55">
        <v>3</v>
      </c>
      <c r="F237" s="55" t="s">
        <v>35</v>
      </c>
      <c r="G237" s="55" t="s">
        <v>5</v>
      </c>
      <c r="H237" s="55" t="s">
        <v>3</v>
      </c>
      <c r="I237" s="55"/>
      <c r="J237" s="55"/>
      <c r="K237" s="19" t="s">
        <v>1293</v>
      </c>
      <c r="L237" s="19"/>
      <c r="M237" s="19"/>
      <c r="N237" s="19" t="s">
        <v>1295</v>
      </c>
      <c r="O237" s="151">
        <v>42978</v>
      </c>
      <c r="P237" s="151"/>
      <c r="Q237" s="151"/>
      <c r="R237" s="151"/>
      <c r="S237" s="152">
        <v>450500</v>
      </c>
      <c r="T237" s="152">
        <v>0</v>
      </c>
      <c r="U237" s="145">
        <v>0</v>
      </c>
      <c r="V237" s="145">
        <v>0</v>
      </c>
      <c r="W237" s="145">
        <v>0</v>
      </c>
      <c r="X237" s="145">
        <f t="shared" si="98"/>
        <v>0</v>
      </c>
      <c r="Y237" s="145">
        <v>0</v>
      </c>
      <c r="Z237" s="145">
        <v>0</v>
      </c>
      <c r="AA237" s="145">
        <v>0</v>
      </c>
      <c r="AB237" s="145">
        <v>0</v>
      </c>
      <c r="AC237" s="145">
        <v>0</v>
      </c>
      <c r="AD237" s="145">
        <v>0</v>
      </c>
      <c r="AE237" s="145">
        <v>0</v>
      </c>
      <c r="AF237" s="145">
        <v>0</v>
      </c>
      <c r="AG237" s="145">
        <v>0</v>
      </c>
      <c r="AH237" s="145">
        <v>0</v>
      </c>
      <c r="AI237" s="145">
        <v>0</v>
      </c>
      <c r="AJ237" s="145">
        <v>0</v>
      </c>
      <c r="AK237" s="145">
        <f t="shared" si="99"/>
        <v>0</v>
      </c>
      <c r="AL237" s="145">
        <v>450500</v>
      </c>
      <c r="AM237" s="145">
        <v>0</v>
      </c>
      <c r="AN237" s="145">
        <v>0</v>
      </c>
      <c r="AO237" s="145">
        <v>0</v>
      </c>
      <c r="AP237" s="145">
        <v>0</v>
      </c>
      <c r="AQ237" s="145">
        <v>0</v>
      </c>
      <c r="AR237" s="145">
        <v>0</v>
      </c>
      <c r="AS237" s="201">
        <f t="shared" si="96"/>
        <v>450500</v>
      </c>
      <c r="AT237" s="201"/>
      <c r="AU237" s="199">
        <f t="shared" si="88"/>
        <v>450500</v>
      </c>
      <c r="AV237" s="146">
        <f>IFERROR(VLOOKUP(J237,Maksājumu_pieprasījumu_iesn.!G:BL,57,0),0)</f>
        <v>0</v>
      </c>
      <c r="AW237" s="139">
        <f t="shared" si="94"/>
        <v>-450500</v>
      </c>
      <c r="AX237" s="200">
        <f t="shared" si="97"/>
        <v>0</v>
      </c>
      <c r="AY237" s="153"/>
      <c r="AZ237" s="153"/>
      <c r="BA237" s="136"/>
      <c r="BB237" s="145"/>
      <c r="BC237" s="145"/>
      <c r="BD237" s="145"/>
      <c r="BE237" s="145"/>
      <c r="BF237" s="145"/>
      <c r="BG237" s="145"/>
      <c r="BH237" s="138"/>
      <c r="BI237" s="138"/>
      <c r="BJ237" s="138"/>
      <c r="BK237" s="138"/>
      <c r="BL237" s="138"/>
      <c r="BM237" s="138"/>
      <c r="BN237" s="138"/>
    </row>
    <row r="238" spans="1:66" s="91" customFormat="1" ht="38.25" hidden="1" customHeight="1" x14ac:dyDescent="0.2">
      <c r="A238" s="150" t="s">
        <v>1185</v>
      </c>
      <c r="B238" s="18" t="s">
        <v>57</v>
      </c>
      <c r="C238" s="18" t="s">
        <v>58</v>
      </c>
      <c r="D238" s="19" t="s">
        <v>569</v>
      </c>
      <c r="E238" s="55">
        <v>3</v>
      </c>
      <c r="F238" s="55" t="s">
        <v>35</v>
      </c>
      <c r="G238" s="55" t="s">
        <v>5</v>
      </c>
      <c r="H238" s="55" t="s">
        <v>3</v>
      </c>
      <c r="I238" s="55"/>
      <c r="J238" s="55"/>
      <c r="K238" s="19" t="s">
        <v>1293</v>
      </c>
      <c r="L238" s="19"/>
      <c r="M238" s="19"/>
      <c r="N238" s="19" t="s">
        <v>1296</v>
      </c>
      <c r="O238" s="151">
        <v>42978</v>
      </c>
      <c r="P238" s="151"/>
      <c r="Q238" s="151"/>
      <c r="R238" s="151"/>
      <c r="S238" s="152">
        <v>650250</v>
      </c>
      <c r="T238" s="152">
        <v>0</v>
      </c>
      <c r="U238" s="145">
        <v>0</v>
      </c>
      <c r="V238" s="145">
        <v>0</v>
      </c>
      <c r="W238" s="145">
        <v>0</v>
      </c>
      <c r="X238" s="145">
        <f t="shared" si="98"/>
        <v>0</v>
      </c>
      <c r="Y238" s="145">
        <v>0</v>
      </c>
      <c r="Z238" s="145">
        <v>0</v>
      </c>
      <c r="AA238" s="145">
        <v>0</v>
      </c>
      <c r="AB238" s="145">
        <v>0</v>
      </c>
      <c r="AC238" s="145">
        <v>0</v>
      </c>
      <c r="AD238" s="145">
        <v>0</v>
      </c>
      <c r="AE238" s="145">
        <v>0</v>
      </c>
      <c r="AF238" s="145">
        <v>0</v>
      </c>
      <c r="AG238" s="145">
        <v>0</v>
      </c>
      <c r="AH238" s="145">
        <v>0</v>
      </c>
      <c r="AI238" s="145">
        <v>0</v>
      </c>
      <c r="AJ238" s="145">
        <v>0</v>
      </c>
      <c r="AK238" s="145">
        <f t="shared" si="99"/>
        <v>0</v>
      </c>
      <c r="AL238" s="145">
        <v>0</v>
      </c>
      <c r="AM238" s="145">
        <v>650250</v>
      </c>
      <c r="AN238" s="145">
        <v>0</v>
      </c>
      <c r="AO238" s="145">
        <v>0</v>
      </c>
      <c r="AP238" s="145">
        <v>0</v>
      </c>
      <c r="AQ238" s="145">
        <v>0</v>
      </c>
      <c r="AR238" s="145">
        <v>0</v>
      </c>
      <c r="AS238" s="201">
        <f t="shared" si="96"/>
        <v>650250</v>
      </c>
      <c r="AT238" s="201"/>
      <c r="AU238" s="199">
        <f t="shared" si="88"/>
        <v>650250</v>
      </c>
      <c r="AV238" s="146">
        <f>IFERROR(VLOOKUP(J238,Maksājumu_pieprasījumu_iesn.!G:BL,57,0),0)</f>
        <v>0</v>
      </c>
      <c r="AW238" s="139">
        <f t="shared" si="94"/>
        <v>-650250</v>
      </c>
      <c r="AX238" s="200">
        <f t="shared" si="97"/>
        <v>0</v>
      </c>
      <c r="AY238" s="153"/>
      <c r="AZ238" s="153"/>
      <c r="BA238" s="136"/>
      <c r="BB238" s="145"/>
      <c r="BC238" s="145"/>
      <c r="BD238" s="145"/>
      <c r="BE238" s="145"/>
      <c r="BF238" s="145"/>
      <c r="BG238" s="145"/>
      <c r="BH238" s="138"/>
      <c r="BI238" s="138"/>
      <c r="BJ238" s="138"/>
      <c r="BK238" s="138"/>
      <c r="BL238" s="138"/>
      <c r="BM238" s="138"/>
      <c r="BN238" s="138"/>
    </row>
    <row r="239" spans="1:66" s="91" customFormat="1" ht="25.5" hidden="1" customHeight="1" x14ac:dyDescent="0.2">
      <c r="A239" s="150" t="s">
        <v>1185</v>
      </c>
      <c r="B239" s="18" t="s">
        <v>57</v>
      </c>
      <c r="C239" s="18" t="s">
        <v>58</v>
      </c>
      <c r="D239" s="19" t="s">
        <v>569</v>
      </c>
      <c r="E239" s="55">
        <v>3</v>
      </c>
      <c r="F239" s="55" t="s">
        <v>35</v>
      </c>
      <c r="G239" s="55" t="s">
        <v>5</v>
      </c>
      <c r="H239" s="55" t="s">
        <v>3</v>
      </c>
      <c r="I239" s="55"/>
      <c r="J239" s="55"/>
      <c r="K239" s="19" t="s">
        <v>1297</v>
      </c>
      <c r="L239" s="19"/>
      <c r="M239" s="19"/>
      <c r="N239" s="19" t="s">
        <v>1298</v>
      </c>
      <c r="O239" s="151">
        <v>42947</v>
      </c>
      <c r="P239" s="151"/>
      <c r="Q239" s="151"/>
      <c r="R239" s="151"/>
      <c r="S239" s="152">
        <v>225250</v>
      </c>
      <c r="T239" s="152">
        <v>0</v>
      </c>
      <c r="U239" s="145">
        <v>0</v>
      </c>
      <c r="V239" s="145">
        <v>0</v>
      </c>
      <c r="W239" s="145">
        <v>0</v>
      </c>
      <c r="X239" s="145">
        <f t="shared" si="98"/>
        <v>0</v>
      </c>
      <c r="Y239" s="145">
        <v>0</v>
      </c>
      <c r="Z239" s="145">
        <v>0</v>
      </c>
      <c r="AA239" s="145">
        <v>0</v>
      </c>
      <c r="AB239" s="145">
        <v>0</v>
      </c>
      <c r="AC239" s="145">
        <v>0</v>
      </c>
      <c r="AD239" s="145">
        <v>0</v>
      </c>
      <c r="AE239" s="145">
        <v>0</v>
      </c>
      <c r="AF239" s="145">
        <v>0</v>
      </c>
      <c r="AG239" s="145">
        <v>0</v>
      </c>
      <c r="AH239" s="145">
        <v>0</v>
      </c>
      <c r="AI239" s="145">
        <v>0</v>
      </c>
      <c r="AJ239" s="145">
        <v>0</v>
      </c>
      <c r="AK239" s="145">
        <f t="shared" si="99"/>
        <v>0</v>
      </c>
      <c r="AL239" s="145">
        <v>225250</v>
      </c>
      <c r="AM239" s="145">
        <v>0</v>
      </c>
      <c r="AN239" s="145">
        <v>0</v>
      </c>
      <c r="AO239" s="145">
        <v>0</v>
      </c>
      <c r="AP239" s="145">
        <v>0</v>
      </c>
      <c r="AQ239" s="145">
        <v>0</v>
      </c>
      <c r="AR239" s="145">
        <v>0</v>
      </c>
      <c r="AS239" s="201">
        <f t="shared" si="96"/>
        <v>225250</v>
      </c>
      <c r="AT239" s="201"/>
      <c r="AU239" s="199">
        <f t="shared" si="88"/>
        <v>225250</v>
      </c>
      <c r="AV239" s="146">
        <f>IFERROR(VLOOKUP(J239,Maksājumu_pieprasījumu_iesn.!G:BL,57,0),0)</f>
        <v>0</v>
      </c>
      <c r="AW239" s="139">
        <f t="shared" si="94"/>
        <v>-225250</v>
      </c>
      <c r="AX239" s="200">
        <f t="shared" si="97"/>
        <v>0</v>
      </c>
      <c r="AY239" s="153"/>
      <c r="AZ239" s="153"/>
      <c r="BA239" s="136"/>
      <c r="BB239" s="145"/>
      <c r="BC239" s="145"/>
      <c r="BD239" s="145"/>
      <c r="BE239" s="145"/>
      <c r="BF239" s="145"/>
      <c r="BG239" s="145"/>
      <c r="BH239" s="138"/>
      <c r="BI239" s="138"/>
      <c r="BJ239" s="138"/>
      <c r="BK239" s="138"/>
      <c r="BL239" s="138"/>
      <c r="BM239" s="138"/>
      <c r="BN239" s="138"/>
    </row>
    <row r="240" spans="1:66" ht="38.25" hidden="1" customHeight="1" x14ac:dyDescent="0.2">
      <c r="A240" s="142" t="s">
        <v>1185</v>
      </c>
      <c r="B240" s="18" t="s">
        <v>57</v>
      </c>
      <c r="C240" s="18" t="s">
        <v>58</v>
      </c>
      <c r="D240" s="19" t="s">
        <v>569</v>
      </c>
      <c r="E240" s="18">
        <v>3</v>
      </c>
      <c r="F240" s="18" t="s">
        <v>35</v>
      </c>
      <c r="G240" s="18" t="s">
        <v>5</v>
      </c>
      <c r="H240" s="18" t="s">
        <v>3</v>
      </c>
      <c r="I240" s="18"/>
      <c r="J240" s="18" t="s">
        <v>673</v>
      </c>
      <c r="K240" s="19" t="s">
        <v>674</v>
      </c>
      <c r="L240" s="19"/>
      <c r="M240" s="19"/>
      <c r="N240" s="19" t="s">
        <v>675</v>
      </c>
      <c r="O240" s="143"/>
      <c r="P240" s="143"/>
      <c r="Q240" s="143"/>
      <c r="R240" s="187" t="s">
        <v>1289</v>
      </c>
      <c r="S240" s="144">
        <v>220575</v>
      </c>
      <c r="T240" s="144">
        <v>0</v>
      </c>
      <c r="U240" s="145">
        <v>0</v>
      </c>
      <c r="V240" s="145">
        <v>0</v>
      </c>
      <c r="W240" s="145">
        <v>0</v>
      </c>
      <c r="X240" s="145">
        <f t="shared" si="98"/>
        <v>0</v>
      </c>
      <c r="Y240" s="145">
        <v>0</v>
      </c>
      <c r="Z240" s="145">
        <v>0</v>
      </c>
      <c r="AA240" s="145">
        <v>0</v>
      </c>
      <c r="AB240" s="145">
        <v>0</v>
      </c>
      <c r="AC240" s="145">
        <v>4738.8</v>
      </c>
      <c r="AD240" s="145">
        <v>0</v>
      </c>
      <c r="AE240" s="145">
        <v>0</v>
      </c>
      <c r="AF240" s="145">
        <v>0</v>
      </c>
      <c r="AG240" s="145">
        <v>0</v>
      </c>
      <c r="AH240" s="145">
        <v>0</v>
      </c>
      <c r="AI240" s="145">
        <v>0</v>
      </c>
      <c r="AJ240" s="145">
        <v>0</v>
      </c>
      <c r="AK240" s="145">
        <f t="shared" si="99"/>
        <v>4738.8</v>
      </c>
      <c r="AL240" s="145">
        <v>215836.2</v>
      </c>
      <c r="AM240" s="145">
        <v>0</v>
      </c>
      <c r="AN240" s="145">
        <v>0</v>
      </c>
      <c r="AO240" s="145">
        <v>0</v>
      </c>
      <c r="AP240" s="145">
        <v>0</v>
      </c>
      <c r="AQ240" s="145">
        <v>0</v>
      </c>
      <c r="AR240" s="145">
        <v>0</v>
      </c>
      <c r="AS240" s="201">
        <f t="shared" si="96"/>
        <v>220575</v>
      </c>
      <c r="AT240" s="201">
        <v>0</v>
      </c>
      <c r="AU240" s="199">
        <f t="shared" si="88"/>
        <v>220575</v>
      </c>
      <c r="AV240" s="146">
        <f>IFERROR(VLOOKUP(J240,Maksājumu_pieprasījumu_iesn.!G:BL,57,0),0)</f>
        <v>0</v>
      </c>
      <c r="AW240" s="139">
        <f t="shared" si="94"/>
        <v>-220575</v>
      </c>
      <c r="AX240" s="200">
        <f t="shared" si="97"/>
        <v>0</v>
      </c>
      <c r="AY240" s="147"/>
      <c r="AZ240" s="147"/>
      <c r="BA240" s="165"/>
      <c r="BB240" s="144"/>
      <c r="BC240" s="144"/>
      <c r="BD240" s="144"/>
      <c r="BE240" s="144"/>
      <c r="BF240" s="144"/>
      <c r="BG240" s="144"/>
      <c r="BH240" s="149"/>
      <c r="BI240" s="149"/>
      <c r="BJ240" s="149"/>
      <c r="BK240" s="149"/>
      <c r="BL240" s="149"/>
      <c r="BM240" s="149"/>
      <c r="BN240" s="149"/>
    </row>
    <row r="241" spans="1:66" ht="38.25" hidden="1" customHeight="1" x14ac:dyDescent="0.2">
      <c r="A241" s="142" t="s">
        <v>1185</v>
      </c>
      <c r="B241" s="18" t="s">
        <v>57</v>
      </c>
      <c r="C241" s="18" t="s">
        <v>58</v>
      </c>
      <c r="D241" s="19" t="s">
        <v>569</v>
      </c>
      <c r="E241" s="18">
        <v>3</v>
      </c>
      <c r="F241" s="18" t="s">
        <v>35</v>
      </c>
      <c r="G241" s="18" t="s">
        <v>5</v>
      </c>
      <c r="H241" s="18" t="s">
        <v>3</v>
      </c>
      <c r="I241" s="18"/>
      <c r="J241" s="18" t="s">
        <v>676</v>
      </c>
      <c r="K241" s="19" t="s">
        <v>674</v>
      </c>
      <c r="L241" s="19"/>
      <c r="M241" s="19"/>
      <c r="N241" s="19" t="s">
        <v>677</v>
      </c>
      <c r="O241" s="143"/>
      <c r="P241" s="143"/>
      <c r="Q241" s="143"/>
      <c r="R241" s="187" t="s">
        <v>1289</v>
      </c>
      <c r="S241" s="144">
        <v>276675</v>
      </c>
      <c r="T241" s="144">
        <v>0</v>
      </c>
      <c r="U241" s="145">
        <v>0</v>
      </c>
      <c r="V241" s="145">
        <v>0</v>
      </c>
      <c r="W241" s="145">
        <v>0</v>
      </c>
      <c r="X241" s="145">
        <f t="shared" si="98"/>
        <v>0</v>
      </c>
      <c r="Y241" s="145">
        <v>0</v>
      </c>
      <c r="Z241" s="145">
        <v>0</v>
      </c>
      <c r="AA241" s="145">
        <v>0</v>
      </c>
      <c r="AB241" s="145">
        <v>0</v>
      </c>
      <c r="AC241" s="145">
        <v>4585.79</v>
      </c>
      <c r="AD241" s="145">
        <v>0</v>
      </c>
      <c r="AE241" s="145">
        <v>0</v>
      </c>
      <c r="AF241" s="145">
        <v>0</v>
      </c>
      <c r="AG241" s="145">
        <v>0</v>
      </c>
      <c r="AH241" s="145">
        <v>0</v>
      </c>
      <c r="AI241" s="145">
        <v>0</v>
      </c>
      <c r="AJ241" s="145">
        <v>0</v>
      </c>
      <c r="AK241" s="145">
        <f t="shared" si="99"/>
        <v>4585.79</v>
      </c>
      <c r="AL241" s="145">
        <v>272089.21000000002</v>
      </c>
      <c r="AM241" s="145">
        <v>0</v>
      </c>
      <c r="AN241" s="145">
        <v>0</v>
      </c>
      <c r="AO241" s="145">
        <v>0</v>
      </c>
      <c r="AP241" s="145">
        <v>0</v>
      </c>
      <c r="AQ241" s="145">
        <v>0</v>
      </c>
      <c r="AR241" s="145">
        <v>0</v>
      </c>
      <c r="AS241" s="201">
        <f t="shared" si="96"/>
        <v>276675</v>
      </c>
      <c r="AT241" s="201">
        <v>0</v>
      </c>
      <c r="AU241" s="199">
        <f t="shared" si="88"/>
        <v>276675</v>
      </c>
      <c r="AV241" s="146">
        <f>IFERROR(VLOOKUP(J241,Maksājumu_pieprasījumu_iesn.!G:BL,57,0),0)</f>
        <v>0</v>
      </c>
      <c r="AW241" s="139">
        <f t="shared" si="94"/>
        <v>-276675</v>
      </c>
      <c r="AX241" s="200">
        <f t="shared" si="97"/>
        <v>0</v>
      </c>
      <c r="AY241" s="147"/>
      <c r="AZ241" s="147"/>
      <c r="BA241" s="165"/>
      <c r="BB241" s="144"/>
      <c r="BC241" s="144"/>
      <c r="BD241" s="144"/>
      <c r="BE241" s="144"/>
      <c r="BF241" s="144"/>
      <c r="BG241" s="144"/>
      <c r="BH241" s="149"/>
      <c r="BI241" s="149"/>
      <c r="BJ241" s="149"/>
      <c r="BK241" s="149"/>
      <c r="BL241" s="149"/>
      <c r="BM241" s="149"/>
      <c r="BN241" s="149"/>
    </row>
    <row r="242" spans="1:66" ht="38.25" hidden="1" customHeight="1" x14ac:dyDescent="0.2">
      <c r="A242" s="142" t="s">
        <v>1185</v>
      </c>
      <c r="B242" s="18" t="s">
        <v>57</v>
      </c>
      <c r="C242" s="18" t="s">
        <v>58</v>
      </c>
      <c r="D242" s="19" t="s">
        <v>569</v>
      </c>
      <c r="E242" s="18">
        <v>3</v>
      </c>
      <c r="F242" s="18" t="s">
        <v>35</v>
      </c>
      <c r="G242" s="18" t="s">
        <v>5</v>
      </c>
      <c r="H242" s="18" t="s">
        <v>3</v>
      </c>
      <c r="I242" s="18"/>
      <c r="J242" s="18" t="s">
        <v>678</v>
      </c>
      <c r="K242" s="19" t="s">
        <v>674</v>
      </c>
      <c r="L242" s="19"/>
      <c r="M242" s="19"/>
      <c r="N242" s="19" t="s">
        <v>679</v>
      </c>
      <c r="O242" s="143"/>
      <c r="P242" s="143"/>
      <c r="Q242" s="143"/>
      <c r="R242" s="187" t="s">
        <v>1289</v>
      </c>
      <c r="S242" s="144">
        <v>513200.88</v>
      </c>
      <c r="T242" s="144">
        <v>0</v>
      </c>
      <c r="U242" s="145">
        <v>0</v>
      </c>
      <c r="V242" s="145">
        <v>0</v>
      </c>
      <c r="W242" s="145">
        <v>0</v>
      </c>
      <c r="X242" s="145">
        <f t="shared" si="98"/>
        <v>0</v>
      </c>
      <c r="Y242" s="145">
        <v>0</v>
      </c>
      <c r="Z242" s="145">
        <v>0</v>
      </c>
      <c r="AA242" s="145">
        <v>0</v>
      </c>
      <c r="AB242" s="145">
        <v>0</v>
      </c>
      <c r="AC242" s="145">
        <v>7954.51</v>
      </c>
      <c r="AD242" s="145">
        <v>0</v>
      </c>
      <c r="AE242" s="145">
        <v>0</v>
      </c>
      <c r="AF242" s="145">
        <v>0</v>
      </c>
      <c r="AG242" s="145">
        <v>0</v>
      </c>
      <c r="AH242" s="145">
        <v>0</v>
      </c>
      <c r="AI242" s="145">
        <v>0</v>
      </c>
      <c r="AJ242" s="145">
        <v>0</v>
      </c>
      <c r="AK242" s="145">
        <f t="shared" si="99"/>
        <v>7954.51</v>
      </c>
      <c r="AL242" s="145">
        <v>505246.37</v>
      </c>
      <c r="AM242" s="145">
        <v>0</v>
      </c>
      <c r="AN242" s="145">
        <v>0</v>
      </c>
      <c r="AO242" s="145">
        <v>0</v>
      </c>
      <c r="AP242" s="145">
        <v>0</v>
      </c>
      <c r="AQ242" s="145">
        <v>0</v>
      </c>
      <c r="AR242" s="145">
        <v>0</v>
      </c>
      <c r="AS242" s="201">
        <f t="shared" si="96"/>
        <v>513200.88</v>
      </c>
      <c r="AT242" s="201">
        <v>0</v>
      </c>
      <c r="AU242" s="199">
        <f t="shared" si="88"/>
        <v>513200.88</v>
      </c>
      <c r="AV242" s="146">
        <f>IFERROR(VLOOKUP(J242,Maksājumu_pieprasījumu_iesn.!G:BL,57,0),0)</f>
        <v>0</v>
      </c>
      <c r="AW242" s="139">
        <f t="shared" si="94"/>
        <v>-513200.88</v>
      </c>
      <c r="AX242" s="200">
        <f t="shared" si="97"/>
        <v>0</v>
      </c>
      <c r="AY242" s="147"/>
      <c r="AZ242" s="147"/>
      <c r="BA242" s="165"/>
      <c r="BB242" s="144"/>
      <c r="BC242" s="144"/>
      <c r="BD242" s="144"/>
      <c r="BE242" s="144"/>
      <c r="BF242" s="144"/>
      <c r="BG242" s="144"/>
      <c r="BH242" s="149"/>
      <c r="BI242" s="149"/>
      <c r="BJ242" s="149"/>
      <c r="BK242" s="149"/>
      <c r="BL242" s="149"/>
      <c r="BM242" s="149"/>
      <c r="BN242" s="149"/>
    </row>
    <row r="243" spans="1:66" ht="38.25" hidden="1" customHeight="1" x14ac:dyDescent="0.2">
      <c r="A243" s="142" t="s">
        <v>1185</v>
      </c>
      <c r="B243" s="18" t="s">
        <v>57</v>
      </c>
      <c r="C243" s="18" t="s">
        <v>58</v>
      </c>
      <c r="D243" s="19" t="s">
        <v>569</v>
      </c>
      <c r="E243" s="18">
        <v>3</v>
      </c>
      <c r="F243" s="18" t="s">
        <v>35</v>
      </c>
      <c r="G243" s="18" t="s">
        <v>5</v>
      </c>
      <c r="H243" s="18" t="s">
        <v>3</v>
      </c>
      <c r="I243" s="18"/>
      <c r="J243" s="18" t="s">
        <v>899</v>
      </c>
      <c r="K243" s="19" t="s">
        <v>900</v>
      </c>
      <c r="L243" s="19"/>
      <c r="M243" s="19"/>
      <c r="N243" s="19" t="s">
        <v>901</v>
      </c>
      <c r="O243" s="143"/>
      <c r="P243" s="143"/>
      <c r="Q243" s="143"/>
      <c r="R243" s="187" t="s">
        <v>1299</v>
      </c>
      <c r="S243" s="144">
        <v>1501600</v>
      </c>
      <c r="T243" s="144">
        <v>0</v>
      </c>
      <c r="U243" s="145">
        <v>0</v>
      </c>
      <c r="V243" s="145">
        <v>0</v>
      </c>
      <c r="W243" s="145">
        <v>0</v>
      </c>
      <c r="X243" s="145">
        <f t="shared" si="98"/>
        <v>0</v>
      </c>
      <c r="Y243" s="145">
        <v>0</v>
      </c>
      <c r="Z243" s="145">
        <v>0</v>
      </c>
      <c r="AA243" s="145">
        <v>0</v>
      </c>
      <c r="AB243" s="145">
        <v>0</v>
      </c>
      <c r="AC243" s="145">
        <v>0</v>
      </c>
      <c r="AD243" s="145">
        <v>0</v>
      </c>
      <c r="AE243" s="145">
        <v>0</v>
      </c>
      <c r="AF243" s="145">
        <v>0</v>
      </c>
      <c r="AG243" s="145">
        <v>0</v>
      </c>
      <c r="AH243" s="145">
        <v>0</v>
      </c>
      <c r="AI243" s="145">
        <v>0</v>
      </c>
      <c r="AJ243" s="145">
        <v>0</v>
      </c>
      <c r="AK243" s="145">
        <f t="shared" si="99"/>
        <v>0</v>
      </c>
      <c r="AL243" s="145">
        <v>1501600</v>
      </c>
      <c r="AM243" s="145">
        <v>0</v>
      </c>
      <c r="AN243" s="145">
        <v>0</v>
      </c>
      <c r="AO243" s="145">
        <v>0</v>
      </c>
      <c r="AP243" s="145">
        <v>0</v>
      </c>
      <c r="AQ243" s="145">
        <v>0</v>
      </c>
      <c r="AR243" s="145">
        <v>0</v>
      </c>
      <c r="AS243" s="201">
        <f t="shared" si="96"/>
        <v>1501600</v>
      </c>
      <c r="AT243" s="201">
        <v>0</v>
      </c>
      <c r="AU243" s="199">
        <f t="shared" si="88"/>
        <v>1501600</v>
      </c>
      <c r="AV243" s="146">
        <f>IFERROR(VLOOKUP(J243,Maksājumu_pieprasījumu_iesn.!G:BL,57,0),0)</f>
        <v>0</v>
      </c>
      <c r="AW243" s="139">
        <f t="shared" si="94"/>
        <v>-1501600</v>
      </c>
      <c r="AX243" s="200">
        <f t="shared" si="97"/>
        <v>0</v>
      </c>
      <c r="AY243" s="147"/>
      <c r="AZ243" s="147"/>
      <c r="BA243" s="165"/>
      <c r="BB243" s="144"/>
      <c r="BC243" s="144"/>
      <c r="BD243" s="144"/>
      <c r="BE243" s="144"/>
      <c r="BF243" s="144"/>
      <c r="BG243" s="144"/>
      <c r="BH243" s="149"/>
      <c r="BI243" s="149"/>
      <c r="BJ243" s="149"/>
      <c r="BK243" s="149"/>
      <c r="BL243" s="149"/>
      <c r="BM243" s="149"/>
      <c r="BN243" s="149"/>
    </row>
    <row r="244" spans="1:66" ht="38.25" hidden="1" customHeight="1" x14ac:dyDescent="0.2">
      <c r="A244" s="142" t="s">
        <v>1185</v>
      </c>
      <c r="B244" s="18" t="s">
        <v>57</v>
      </c>
      <c r="C244" s="18" t="s">
        <v>58</v>
      </c>
      <c r="D244" s="19" t="s">
        <v>569</v>
      </c>
      <c r="E244" s="18">
        <v>3</v>
      </c>
      <c r="F244" s="18" t="s">
        <v>35</v>
      </c>
      <c r="G244" s="18" t="s">
        <v>5</v>
      </c>
      <c r="H244" s="18" t="s">
        <v>3</v>
      </c>
      <c r="I244" s="18"/>
      <c r="J244" s="18" t="s">
        <v>680</v>
      </c>
      <c r="K244" s="19" t="s">
        <v>446</v>
      </c>
      <c r="L244" s="19"/>
      <c r="M244" s="19"/>
      <c r="N244" s="19" t="s">
        <v>681</v>
      </c>
      <c r="O244" s="143"/>
      <c r="P244" s="143"/>
      <c r="Q244" s="143"/>
      <c r="R244" s="187" t="s">
        <v>1229</v>
      </c>
      <c r="S244" s="144">
        <v>303450</v>
      </c>
      <c r="T244" s="144">
        <v>0</v>
      </c>
      <c r="U244" s="145">
        <v>0</v>
      </c>
      <c r="V244" s="145">
        <v>0</v>
      </c>
      <c r="W244" s="145">
        <v>0</v>
      </c>
      <c r="X244" s="145">
        <f t="shared" si="98"/>
        <v>0</v>
      </c>
      <c r="Y244" s="145">
        <v>0</v>
      </c>
      <c r="Z244" s="145">
        <v>0</v>
      </c>
      <c r="AA244" s="145">
        <v>0</v>
      </c>
      <c r="AB244" s="145">
        <v>0</v>
      </c>
      <c r="AC244" s="145">
        <v>5878.69</v>
      </c>
      <c r="AD244" s="145">
        <v>0</v>
      </c>
      <c r="AE244" s="145">
        <v>0</v>
      </c>
      <c r="AF244" s="145">
        <v>0</v>
      </c>
      <c r="AG244" s="145">
        <v>0</v>
      </c>
      <c r="AH244" s="145">
        <v>0</v>
      </c>
      <c r="AI244" s="145">
        <v>0</v>
      </c>
      <c r="AJ244" s="145">
        <v>0</v>
      </c>
      <c r="AK244" s="145">
        <f t="shared" si="99"/>
        <v>5878.69</v>
      </c>
      <c r="AL244" s="145">
        <v>297571.31</v>
      </c>
      <c r="AM244" s="145">
        <v>0</v>
      </c>
      <c r="AN244" s="145">
        <v>0</v>
      </c>
      <c r="AO244" s="145">
        <v>0</v>
      </c>
      <c r="AP244" s="145">
        <v>0</v>
      </c>
      <c r="AQ244" s="145">
        <v>0</v>
      </c>
      <c r="AR244" s="145">
        <v>0</v>
      </c>
      <c r="AS244" s="201">
        <f t="shared" ref="AS244:AS265" si="100">U244+V244+W244+AK244+AL244+AM244+AN244+AO244+AP244+AQ244+AR244</f>
        <v>303450</v>
      </c>
      <c r="AT244" s="201">
        <v>0</v>
      </c>
      <c r="AU244" s="199">
        <f t="shared" si="88"/>
        <v>303450</v>
      </c>
      <c r="AV244" s="146">
        <f>IFERROR(VLOOKUP(J244,Maksājumu_pieprasījumu_iesn.!G:BL,57,0),0)</f>
        <v>0</v>
      </c>
      <c r="AW244" s="139">
        <f t="shared" si="94"/>
        <v>-303450</v>
      </c>
      <c r="AX244" s="200">
        <f t="shared" ref="AX244:AX265" si="101">S244-T244-AU244</f>
        <v>0</v>
      </c>
      <c r="AY244" s="147"/>
      <c r="AZ244" s="147"/>
      <c r="BA244" s="165"/>
      <c r="BB244" s="144"/>
      <c r="BC244" s="144"/>
      <c r="BD244" s="144"/>
      <c r="BE244" s="144"/>
      <c r="BF244" s="144"/>
      <c r="BG244" s="144"/>
      <c r="BH244" s="149"/>
      <c r="BI244" s="149"/>
      <c r="BJ244" s="149"/>
      <c r="BK244" s="149"/>
      <c r="BL244" s="149"/>
      <c r="BM244" s="149"/>
      <c r="BN244" s="149"/>
    </row>
    <row r="245" spans="1:66" s="91" customFormat="1" ht="38.25" hidden="1" customHeight="1" x14ac:dyDescent="0.2">
      <c r="A245" s="150" t="s">
        <v>1185</v>
      </c>
      <c r="B245" s="18" t="s">
        <v>57</v>
      </c>
      <c r="C245" s="18" t="s">
        <v>58</v>
      </c>
      <c r="D245" s="19" t="s">
        <v>569</v>
      </c>
      <c r="E245" s="55">
        <v>3</v>
      </c>
      <c r="F245" s="55" t="s">
        <v>35</v>
      </c>
      <c r="G245" s="55" t="s">
        <v>5</v>
      </c>
      <c r="H245" s="55" t="s">
        <v>3</v>
      </c>
      <c r="I245" s="55"/>
      <c r="J245" s="55"/>
      <c r="K245" s="19" t="s">
        <v>1300</v>
      </c>
      <c r="L245" s="19"/>
      <c r="M245" s="19"/>
      <c r="N245" s="19" t="s">
        <v>1301</v>
      </c>
      <c r="O245" s="151">
        <v>42967</v>
      </c>
      <c r="P245" s="151"/>
      <c r="Q245" s="151"/>
      <c r="R245" s="151"/>
      <c r="S245" s="152">
        <v>2336650</v>
      </c>
      <c r="T245" s="152">
        <v>0</v>
      </c>
      <c r="U245" s="145">
        <v>0</v>
      </c>
      <c r="V245" s="145">
        <v>0</v>
      </c>
      <c r="W245" s="145">
        <v>0</v>
      </c>
      <c r="X245" s="145">
        <f t="shared" si="98"/>
        <v>0</v>
      </c>
      <c r="Y245" s="145">
        <v>0</v>
      </c>
      <c r="Z245" s="145">
        <v>0</v>
      </c>
      <c r="AA245" s="145">
        <v>0</v>
      </c>
      <c r="AB245" s="145">
        <v>0</v>
      </c>
      <c r="AC245" s="145">
        <v>0</v>
      </c>
      <c r="AD245" s="145">
        <v>0</v>
      </c>
      <c r="AE245" s="145">
        <v>0</v>
      </c>
      <c r="AF245" s="145">
        <v>0</v>
      </c>
      <c r="AG245" s="145">
        <v>0</v>
      </c>
      <c r="AH245" s="145">
        <v>0</v>
      </c>
      <c r="AI245" s="145">
        <v>0</v>
      </c>
      <c r="AJ245" s="145">
        <v>0</v>
      </c>
      <c r="AK245" s="145">
        <f t="shared" ref="AK245:AK265" si="102">SUM(Y245:AJ245)</f>
        <v>0</v>
      </c>
      <c r="AL245" s="145">
        <v>800000</v>
      </c>
      <c r="AM245" s="145">
        <v>800000</v>
      </c>
      <c r="AN245" s="145">
        <v>500000</v>
      </c>
      <c r="AO245" s="145">
        <v>236650</v>
      </c>
      <c r="AP245" s="145">
        <v>0</v>
      </c>
      <c r="AQ245" s="145">
        <v>0</v>
      </c>
      <c r="AR245" s="145">
        <v>0</v>
      </c>
      <c r="AS245" s="201">
        <f t="shared" si="100"/>
        <v>2336650</v>
      </c>
      <c r="AT245" s="201"/>
      <c r="AU245" s="199">
        <f t="shared" si="88"/>
        <v>2336650</v>
      </c>
      <c r="AV245" s="146">
        <f>IFERROR(VLOOKUP(J245,Maksājumu_pieprasījumu_iesn.!G:BL,57,0),0)</f>
        <v>0</v>
      </c>
      <c r="AW245" s="139">
        <f t="shared" si="94"/>
        <v>-2336650</v>
      </c>
      <c r="AX245" s="200">
        <f t="shared" si="101"/>
        <v>0</v>
      </c>
      <c r="AY245" s="153"/>
      <c r="AZ245" s="153"/>
      <c r="BA245" s="136"/>
      <c r="BB245" s="145"/>
      <c r="BC245" s="145"/>
      <c r="BD245" s="145"/>
      <c r="BE245" s="145"/>
      <c r="BF245" s="145"/>
      <c r="BG245" s="145"/>
      <c r="BH245" s="138"/>
      <c r="BI245" s="138"/>
      <c r="BJ245" s="138"/>
      <c r="BK245" s="138"/>
      <c r="BL245" s="138"/>
      <c r="BM245" s="138"/>
      <c r="BN245" s="138"/>
    </row>
    <row r="246" spans="1:66" s="91" customFormat="1" ht="38.25" hidden="1" customHeight="1" x14ac:dyDescent="0.2">
      <c r="A246" s="150" t="s">
        <v>1185</v>
      </c>
      <c r="B246" s="18" t="s">
        <v>57</v>
      </c>
      <c r="C246" s="18" t="s">
        <v>58</v>
      </c>
      <c r="D246" s="19" t="s">
        <v>569</v>
      </c>
      <c r="E246" s="55">
        <v>3</v>
      </c>
      <c r="F246" s="55" t="s">
        <v>35</v>
      </c>
      <c r="G246" s="55" t="s">
        <v>5</v>
      </c>
      <c r="H246" s="55" t="s">
        <v>3</v>
      </c>
      <c r="I246" s="55"/>
      <c r="J246" s="55"/>
      <c r="K246" s="19" t="s">
        <v>1300</v>
      </c>
      <c r="L246" s="19"/>
      <c r="M246" s="19"/>
      <c r="N246" s="19" t="s">
        <v>1302</v>
      </c>
      <c r="O246" s="151">
        <v>42967</v>
      </c>
      <c r="P246" s="151"/>
      <c r="Q246" s="151"/>
      <c r="R246" s="151"/>
      <c r="S246" s="152">
        <v>663189.55000000005</v>
      </c>
      <c r="T246" s="152">
        <v>0</v>
      </c>
      <c r="U246" s="145">
        <v>0</v>
      </c>
      <c r="V246" s="145">
        <v>0</v>
      </c>
      <c r="W246" s="145">
        <v>0</v>
      </c>
      <c r="X246" s="145">
        <f t="shared" si="98"/>
        <v>0</v>
      </c>
      <c r="Y246" s="145">
        <v>0</v>
      </c>
      <c r="Z246" s="145">
        <v>0</v>
      </c>
      <c r="AA246" s="145">
        <v>0</v>
      </c>
      <c r="AB246" s="145">
        <v>0</v>
      </c>
      <c r="AC246" s="145">
        <v>0</v>
      </c>
      <c r="AD246" s="145">
        <v>0</v>
      </c>
      <c r="AE246" s="145">
        <v>0</v>
      </c>
      <c r="AF246" s="145">
        <v>0</v>
      </c>
      <c r="AG246" s="145">
        <v>0</v>
      </c>
      <c r="AH246" s="145">
        <v>0</v>
      </c>
      <c r="AI246" s="145">
        <v>0</v>
      </c>
      <c r="AJ246" s="145">
        <v>0</v>
      </c>
      <c r="AK246" s="145">
        <f t="shared" si="102"/>
        <v>0</v>
      </c>
      <c r="AL246" s="145">
        <v>613190</v>
      </c>
      <c r="AM246" s="145">
        <v>49999.54999999993</v>
      </c>
      <c r="AN246" s="145">
        <v>0</v>
      </c>
      <c r="AO246" s="145">
        <v>0</v>
      </c>
      <c r="AP246" s="145">
        <v>0</v>
      </c>
      <c r="AQ246" s="145">
        <v>0</v>
      </c>
      <c r="AR246" s="145">
        <v>0</v>
      </c>
      <c r="AS246" s="201">
        <f t="shared" si="100"/>
        <v>663189.54999999993</v>
      </c>
      <c r="AT246" s="201"/>
      <c r="AU246" s="199">
        <f t="shared" si="88"/>
        <v>663189.54999999993</v>
      </c>
      <c r="AV246" s="146">
        <f>IFERROR(VLOOKUP(J246,Maksājumu_pieprasījumu_iesn.!G:BL,57,0),0)</f>
        <v>0</v>
      </c>
      <c r="AW246" s="139">
        <f t="shared" si="94"/>
        <v>-663189.54999999993</v>
      </c>
      <c r="AX246" s="200">
        <f t="shared" si="101"/>
        <v>0</v>
      </c>
      <c r="AY246" s="153"/>
      <c r="AZ246" s="153"/>
      <c r="BA246" s="136"/>
      <c r="BB246" s="145"/>
      <c r="BC246" s="145"/>
      <c r="BD246" s="145"/>
      <c r="BE246" s="145"/>
      <c r="BF246" s="145"/>
      <c r="BG246" s="145"/>
      <c r="BH246" s="138"/>
      <c r="BI246" s="138"/>
      <c r="BJ246" s="138"/>
      <c r="BK246" s="138"/>
      <c r="BL246" s="138"/>
      <c r="BM246" s="138"/>
      <c r="BN246" s="138"/>
    </row>
    <row r="247" spans="1:66" ht="38.25" hidden="1" customHeight="1" x14ac:dyDescent="0.2">
      <c r="A247" s="142" t="s">
        <v>1185</v>
      </c>
      <c r="B247" s="18" t="s">
        <v>57</v>
      </c>
      <c r="C247" s="18" t="s">
        <v>58</v>
      </c>
      <c r="D247" s="19" t="s">
        <v>569</v>
      </c>
      <c r="E247" s="18">
        <v>3</v>
      </c>
      <c r="F247" s="18" t="s">
        <v>35</v>
      </c>
      <c r="G247" s="18" t="s">
        <v>5</v>
      </c>
      <c r="H247" s="18" t="s">
        <v>3</v>
      </c>
      <c r="I247" s="18"/>
      <c r="J247" s="18" t="s">
        <v>1303</v>
      </c>
      <c r="K247" s="19" t="s">
        <v>1304</v>
      </c>
      <c r="L247" s="19"/>
      <c r="M247" s="19"/>
      <c r="N247" s="19" t="s">
        <v>1305</v>
      </c>
      <c r="O247" s="143"/>
      <c r="P247" s="143"/>
      <c r="Q247" s="143"/>
      <c r="R247" s="187" t="s">
        <v>1306</v>
      </c>
      <c r="S247" s="144">
        <v>1592155</v>
      </c>
      <c r="T247" s="144">
        <v>0</v>
      </c>
      <c r="U247" s="145">
        <v>0</v>
      </c>
      <c r="V247" s="145">
        <v>0</v>
      </c>
      <c r="W247" s="145">
        <v>0</v>
      </c>
      <c r="X247" s="145">
        <f t="shared" si="98"/>
        <v>0</v>
      </c>
      <c r="Y247" s="145">
        <v>0</v>
      </c>
      <c r="Z247" s="145">
        <v>0</v>
      </c>
      <c r="AA247" s="145">
        <v>0</v>
      </c>
      <c r="AB247" s="145">
        <v>0</v>
      </c>
      <c r="AC247" s="145">
        <v>0</v>
      </c>
      <c r="AD247" s="145">
        <v>0</v>
      </c>
      <c r="AE247" s="145">
        <v>0</v>
      </c>
      <c r="AF247" s="145">
        <v>0</v>
      </c>
      <c r="AG247" s="145">
        <v>0</v>
      </c>
      <c r="AH247" s="145">
        <v>0</v>
      </c>
      <c r="AI247" s="145">
        <v>0</v>
      </c>
      <c r="AJ247" s="145">
        <v>0</v>
      </c>
      <c r="AK247" s="145">
        <f t="shared" si="102"/>
        <v>0</v>
      </c>
      <c r="AL247" s="145">
        <v>1592155</v>
      </c>
      <c r="AM247" s="145">
        <v>0</v>
      </c>
      <c r="AN247" s="145">
        <v>0</v>
      </c>
      <c r="AO247" s="145">
        <v>0</v>
      </c>
      <c r="AP247" s="145">
        <v>0</v>
      </c>
      <c r="AQ247" s="145">
        <v>0</v>
      </c>
      <c r="AR247" s="145">
        <v>0</v>
      </c>
      <c r="AS247" s="201">
        <f t="shared" si="100"/>
        <v>1592155</v>
      </c>
      <c r="AT247" s="201">
        <v>0</v>
      </c>
      <c r="AU247" s="199">
        <f t="shared" si="88"/>
        <v>1592155</v>
      </c>
      <c r="AV247" s="146">
        <f>IFERROR(VLOOKUP(J247,Maksājumu_pieprasījumu_iesn.!G:BL,57,0),0)</f>
        <v>0</v>
      </c>
      <c r="AW247" s="139">
        <f t="shared" si="94"/>
        <v>-1592155</v>
      </c>
      <c r="AX247" s="200">
        <f t="shared" si="101"/>
        <v>0</v>
      </c>
      <c r="AY247" s="147"/>
      <c r="AZ247" s="147"/>
      <c r="BA247" s="165"/>
      <c r="BB247" s="144"/>
      <c r="BC247" s="144"/>
      <c r="BD247" s="144"/>
      <c r="BE247" s="144"/>
      <c r="BF247" s="144"/>
      <c r="BG247" s="144"/>
      <c r="BH247" s="149"/>
      <c r="BI247" s="149"/>
      <c r="BJ247" s="149"/>
      <c r="BK247" s="149"/>
      <c r="BL247" s="149"/>
      <c r="BM247" s="149"/>
      <c r="BN247" s="149"/>
    </row>
    <row r="248" spans="1:66" ht="38.25" hidden="1" customHeight="1" x14ac:dyDescent="0.2">
      <c r="A248" s="142" t="s">
        <v>1185</v>
      </c>
      <c r="B248" s="18" t="s">
        <v>57</v>
      </c>
      <c r="C248" s="18" t="s">
        <v>58</v>
      </c>
      <c r="D248" s="19" t="s">
        <v>569</v>
      </c>
      <c r="E248" s="18">
        <v>3</v>
      </c>
      <c r="F248" s="18" t="s">
        <v>35</v>
      </c>
      <c r="G248" s="18" t="s">
        <v>5</v>
      </c>
      <c r="H248" s="18" t="s">
        <v>3</v>
      </c>
      <c r="I248" s="18"/>
      <c r="J248" s="18" t="s">
        <v>1307</v>
      </c>
      <c r="K248" s="19" t="s">
        <v>1304</v>
      </c>
      <c r="L248" s="19"/>
      <c r="M248" s="19"/>
      <c r="N248" s="19" t="s">
        <v>1308</v>
      </c>
      <c r="O248" s="143"/>
      <c r="P248" s="143"/>
      <c r="Q248" s="143"/>
      <c r="R248" s="187" t="s">
        <v>1309</v>
      </c>
      <c r="S248" s="144">
        <v>426020</v>
      </c>
      <c r="T248" s="144">
        <v>0</v>
      </c>
      <c r="U248" s="145">
        <v>0</v>
      </c>
      <c r="V248" s="145">
        <v>0</v>
      </c>
      <c r="W248" s="145">
        <v>0</v>
      </c>
      <c r="X248" s="145">
        <f t="shared" si="98"/>
        <v>0</v>
      </c>
      <c r="Y248" s="145">
        <v>0</v>
      </c>
      <c r="Z248" s="145">
        <v>0</v>
      </c>
      <c r="AA248" s="145">
        <v>0</v>
      </c>
      <c r="AB248" s="145">
        <v>0</v>
      </c>
      <c r="AC248" s="145">
        <v>0</v>
      </c>
      <c r="AD248" s="145">
        <v>0</v>
      </c>
      <c r="AE248" s="145">
        <v>0</v>
      </c>
      <c r="AF248" s="145">
        <v>0</v>
      </c>
      <c r="AG248" s="145">
        <v>0</v>
      </c>
      <c r="AH248" s="145">
        <v>0</v>
      </c>
      <c r="AI248" s="145">
        <v>0</v>
      </c>
      <c r="AJ248" s="145">
        <v>0</v>
      </c>
      <c r="AK248" s="145">
        <f t="shared" si="102"/>
        <v>0</v>
      </c>
      <c r="AL248" s="145">
        <v>426020</v>
      </c>
      <c r="AM248" s="145">
        <v>0</v>
      </c>
      <c r="AN248" s="145">
        <v>0</v>
      </c>
      <c r="AO248" s="145">
        <v>0</v>
      </c>
      <c r="AP248" s="145">
        <v>0</v>
      </c>
      <c r="AQ248" s="145">
        <v>0</v>
      </c>
      <c r="AR248" s="145">
        <v>0</v>
      </c>
      <c r="AS248" s="201">
        <f t="shared" si="100"/>
        <v>426020</v>
      </c>
      <c r="AT248" s="201">
        <v>0</v>
      </c>
      <c r="AU248" s="199">
        <f t="shared" si="88"/>
        <v>426020</v>
      </c>
      <c r="AV248" s="146">
        <f>IFERROR(VLOOKUP(J248,Maksājumu_pieprasījumu_iesn.!G:BL,57,0),0)</f>
        <v>0</v>
      </c>
      <c r="AW248" s="139">
        <f t="shared" si="94"/>
        <v>-426020</v>
      </c>
      <c r="AX248" s="200">
        <f t="shared" si="101"/>
        <v>0</v>
      </c>
      <c r="AY248" s="147"/>
      <c r="AZ248" s="147"/>
      <c r="BA248" s="165"/>
      <c r="BB248" s="144"/>
      <c r="BC248" s="144"/>
      <c r="BD248" s="144"/>
      <c r="BE248" s="144"/>
      <c r="BF248" s="144"/>
      <c r="BG248" s="144"/>
      <c r="BH248" s="149"/>
      <c r="BI248" s="149"/>
      <c r="BJ248" s="149"/>
      <c r="BK248" s="149"/>
      <c r="BL248" s="149"/>
      <c r="BM248" s="149"/>
      <c r="BN248" s="149"/>
    </row>
    <row r="249" spans="1:66" ht="51" hidden="1" customHeight="1" x14ac:dyDescent="0.2">
      <c r="A249" s="142" t="s">
        <v>1185</v>
      </c>
      <c r="B249" s="18" t="s">
        <v>57</v>
      </c>
      <c r="C249" s="18" t="s">
        <v>58</v>
      </c>
      <c r="D249" s="19" t="s">
        <v>569</v>
      </c>
      <c r="E249" s="18">
        <v>3</v>
      </c>
      <c r="F249" s="18" t="s">
        <v>35</v>
      </c>
      <c r="G249" s="18" t="s">
        <v>5</v>
      </c>
      <c r="H249" s="18" t="s">
        <v>3</v>
      </c>
      <c r="I249" s="18"/>
      <c r="J249" s="18" t="s">
        <v>1310</v>
      </c>
      <c r="K249" s="19" t="s">
        <v>1311</v>
      </c>
      <c r="L249" s="19"/>
      <c r="M249" s="19"/>
      <c r="N249" s="19" t="s">
        <v>1312</v>
      </c>
      <c r="O249" s="143"/>
      <c r="P249" s="143"/>
      <c r="Q249" s="143"/>
      <c r="R249" s="187" t="s">
        <v>1313</v>
      </c>
      <c r="S249" s="144">
        <v>425000</v>
      </c>
      <c r="T249" s="144">
        <v>0</v>
      </c>
      <c r="U249" s="145">
        <v>0</v>
      </c>
      <c r="V249" s="145">
        <v>0</v>
      </c>
      <c r="W249" s="145">
        <v>0</v>
      </c>
      <c r="X249" s="145">
        <f t="shared" si="98"/>
        <v>0</v>
      </c>
      <c r="Y249" s="145">
        <v>0</v>
      </c>
      <c r="Z249" s="145">
        <v>0</v>
      </c>
      <c r="AA249" s="145">
        <v>0</v>
      </c>
      <c r="AB249" s="145">
        <v>0</v>
      </c>
      <c r="AC249" s="145">
        <v>0</v>
      </c>
      <c r="AD249" s="145">
        <v>0</v>
      </c>
      <c r="AE249" s="145">
        <v>0</v>
      </c>
      <c r="AF249" s="145">
        <v>0</v>
      </c>
      <c r="AG249" s="145">
        <v>0</v>
      </c>
      <c r="AH249" s="145">
        <v>0</v>
      </c>
      <c r="AI249" s="145">
        <v>0</v>
      </c>
      <c r="AJ249" s="145">
        <v>0</v>
      </c>
      <c r="AK249" s="145">
        <f t="shared" si="102"/>
        <v>0</v>
      </c>
      <c r="AL249" s="145">
        <v>425000</v>
      </c>
      <c r="AM249" s="145">
        <v>0</v>
      </c>
      <c r="AN249" s="145">
        <v>0</v>
      </c>
      <c r="AO249" s="145">
        <v>0</v>
      </c>
      <c r="AP249" s="145">
        <v>0</v>
      </c>
      <c r="AQ249" s="145">
        <v>0</v>
      </c>
      <c r="AR249" s="145">
        <v>0</v>
      </c>
      <c r="AS249" s="201">
        <f t="shared" si="100"/>
        <v>425000</v>
      </c>
      <c r="AT249" s="201">
        <v>0</v>
      </c>
      <c r="AU249" s="199">
        <f t="shared" si="88"/>
        <v>425000</v>
      </c>
      <c r="AV249" s="146">
        <f>IFERROR(VLOOKUP(J249,Maksājumu_pieprasījumu_iesn.!G:BL,57,0),0)</f>
        <v>0</v>
      </c>
      <c r="AW249" s="139">
        <f t="shared" si="94"/>
        <v>-425000</v>
      </c>
      <c r="AX249" s="200">
        <f t="shared" si="101"/>
        <v>0</v>
      </c>
      <c r="AY249" s="147"/>
      <c r="AZ249" s="147"/>
      <c r="BA249" s="165"/>
      <c r="BB249" s="144"/>
      <c r="BC249" s="144"/>
      <c r="BD249" s="144"/>
      <c r="BE249" s="144"/>
      <c r="BF249" s="144"/>
      <c r="BG249" s="144"/>
      <c r="BH249" s="149"/>
      <c r="BI249" s="149"/>
      <c r="BJ249" s="149"/>
      <c r="BK249" s="149"/>
      <c r="BL249" s="149"/>
      <c r="BM249" s="149"/>
      <c r="BN249" s="149"/>
    </row>
    <row r="250" spans="1:66" ht="38.25" hidden="1" customHeight="1" x14ac:dyDescent="0.2">
      <c r="A250" s="142" t="s">
        <v>1185</v>
      </c>
      <c r="B250" s="18" t="s">
        <v>57</v>
      </c>
      <c r="C250" s="18" t="s">
        <v>58</v>
      </c>
      <c r="D250" s="19" t="s">
        <v>569</v>
      </c>
      <c r="E250" s="18">
        <v>3</v>
      </c>
      <c r="F250" s="18" t="s">
        <v>35</v>
      </c>
      <c r="G250" s="18" t="s">
        <v>5</v>
      </c>
      <c r="H250" s="18" t="s">
        <v>3</v>
      </c>
      <c r="I250" s="18"/>
      <c r="J250" s="18" t="s">
        <v>1314</v>
      </c>
      <c r="K250" s="19" t="s">
        <v>1315</v>
      </c>
      <c r="L250" s="19"/>
      <c r="M250" s="19"/>
      <c r="N250" s="19" t="s">
        <v>1316</v>
      </c>
      <c r="O250" s="143"/>
      <c r="P250" s="143"/>
      <c r="Q250" s="143"/>
      <c r="R250" s="187" t="s">
        <v>1317</v>
      </c>
      <c r="S250" s="144">
        <v>1500001</v>
      </c>
      <c r="T250" s="144">
        <v>0</v>
      </c>
      <c r="U250" s="145">
        <v>0</v>
      </c>
      <c r="V250" s="145">
        <v>0</v>
      </c>
      <c r="W250" s="145">
        <v>0</v>
      </c>
      <c r="X250" s="145">
        <f t="shared" si="98"/>
        <v>0</v>
      </c>
      <c r="Y250" s="145">
        <v>0</v>
      </c>
      <c r="Z250" s="145">
        <v>0</v>
      </c>
      <c r="AA250" s="145">
        <v>0</v>
      </c>
      <c r="AB250" s="145">
        <v>0</v>
      </c>
      <c r="AC250" s="145">
        <v>0</v>
      </c>
      <c r="AD250" s="145">
        <v>0</v>
      </c>
      <c r="AE250" s="145">
        <v>0</v>
      </c>
      <c r="AF250" s="145">
        <v>0</v>
      </c>
      <c r="AG250" s="145">
        <v>0</v>
      </c>
      <c r="AH250" s="145">
        <v>0</v>
      </c>
      <c r="AI250" s="145">
        <v>0</v>
      </c>
      <c r="AJ250" s="145">
        <v>0</v>
      </c>
      <c r="AK250" s="145">
        <f t="shared" si="102"/>
        <v>0</v>
      </c>
      <c r="AL250" s="145">
        <v>792329</v>
      </c>
      <c r="AM250" s="145">
        <v>353836</v>
      </c>
      <c r="AN250" s="145">
        <v>353836</v>
      </c>
      <c r="AO250" s="145">
        <v>0</v>
      </c>
      <c r="AP250" s="145">
        <v>0</v>
      </c>
      <c r="AQ250" s="145">
        <v>0</v>
      </c>
      <c r="AR250" s="145">
        <v>0</v>
      </c>
      <c r="AS250" s="201">
        <f t="shared" si="100"/>
        <v>1500001</v>
      </c>
      <c r="AT250" s="201">
        <v>0</v>
      </c>
      <c r="AU250" s="199">
        <f t="shared" ref="AU250:AU315" si="103">AS250-AT250</f>
        <v>1500001</v>
      </c>
      <c r="AV250" s="146">
        <f>IFERROR(VLOOKUP(J250,Maksājumu_pieprasījumu_iesn.!G:BL,57,0),0)</f>
        <v>0</v>
      </c>
      <c r="AW250" s="139">
        <f t="shared" si="94"/>
        <v>-1500001</v>
      </c>
      <c r="AX250" s="200">
        <f t="shared" si="101"/>
        <v>0</v>
      </c>
      <c r="AY250" s="147"/>
      <c r="AZ250" s="147"/>
      <c r="BA250" s="165"/>
      <c r="BB250" s="144"/>
      <c r="BC250" s="144"/>
      <c r="BD250" s="144"/>
      <c r="BE250" s="144"/>
      <c r="BF250" s="144"/>
      <c r="BG250" s="144"/>
      <c r="BH250" s="149"/>
      <c r="BI250" s="149"/>
      <c r="BJ250" s="149"/>
      <c r="BK250" s="149"/>
      <c r="BL250" s="149"/>
      <c r="BM250" s="149"/>
      <c r="BN250" s="149"/>
    </row>
    <row r="251" spans="1:66" ht="38.25" hidden="1" customHeight="1" x14ac:dyDescent="0.2">
      <c r="A251" s="142" t="s">
        <v>1185</v>
      </c>
      <c r="B251" s="18" t="s">
        <v>57</v>
      </c>
      <c r="C251" s="18" t="s">
        <v>58</v>
      </c>
      <c r="D251" s="19" t="s">
        <v>569</v>
      </c>
      <c r="E251" s="18">
        <v>3</v>
      </c>
      <c r="F251" s="18" t="s">
        <v>35</v>
      </c>
      <c r="G251" s="18" t="s">
        <v>5</v>
      </c>
      <c r="H251" s="18" t="s">
        <v>3</v>
      </c>
      <c r="I251" s="18"/>
      <c r="J251" s="18" t="s">
        <v>1318</v>
      </c>
      <c r="K251" s="19" t="s">
        <v>1319</v>
      </c>
      <c r="L251" s="19"/>
      <c r="M251" s="19"/>
      <c r="N251" s="19" t="s">
        <v>1320</v>
      </c>
      <c r="O251" s="143"/>
      <c r="P251" s="143"/>
      <c r="Q251" s="143"/>
      <c r="R251" s="187" t="s">
        <v>1257</v>
      </c>
      <c r="S251" s="144">
        <v>130000</v>
      </c>
      <c r="T251" s="144">
        <v>0</v>
      </c>
      <c r="U251" s="145">
        <v>0</v>
      </c>
      <c r="V251" s="145">
        <v>0</v>
      </c>
      <c r="W251" s="145">
        <v>0</v>
      </c>
      <c r="X251" s="145">
        <f t="shared" si="98"/>
        <v>0</v>
      </c>
      <c r="Y251" s="145">
        <v>0</v>
      </c>
      <c r="Z251" s="145">
        <v>0</v>
      </c>
      <c r="AA251" s="145">
        <v>0</v>
      </c>
      <c r="AB251" s="145">
        <v>0</v>
      </c>
      <c r="AC251" s="145">
        <v>0</v>
      </c>
      <c r="AD251" s="145">
        <v>0</v>
      </c>
      <c r="AE251" s="145">
        <v>0</v>
      </c>
      <c r="AF251" s="145">
        <v>0</v>
      </c>
      <c r="AG251" s="145">
        <v>0</v>
      </c>
      <c r="AH251" s="145">
        <v>0</v>
      </c>
      <c r="AI251" s="145">
        <v>0</v>
      </c>
      <c r="AJ251" s="145">
        <v>0</v>
      </c>
      <c r="AK251" s="145">
        <f t="shared" si="102"/>
        <v>0</v>
      </c>
      <c r="AL251" s="145">
        <v>130000</v>
      </c>
      <c r="AM251" s="145">
        <v>0</v>
      </c>
      <c r="AN251" s="145">
        <v>0</v>
      </c>
      <c r="AO251" s="145">
        <v>0</v>
      </c>
      <c r="AP251" s="145">
        <v>0</v>
      </c>
      <c r="AQ251" s="145">
        <v>0</v>
      </c>
      <c r="AR251" s="145">
        <v>0</v>
      </c>
      <c r="AS251" s="201">
        <f t="shared" si="100"/>
        <v>130000</v>
      </c>
      <c r="AT251" s="201">
        <v>0</v>
      </c>
      <c r="AU251" s="199">
        <f t="shared" si="103"/>
        <v>130000</v>
      </c>
      <c r="AV251" s="146">
        <f>IFERROR(VLOOKUP(J251,Maksājumu_pieprasījumu_iesn.!G:BL,57,0),0)</f>
        <v>0</v>
      </c>
      <c r="AW251" s="139">
        <f t="shared" si="94"/>
        <v>-130000</v>
      </c>
      <c r="AX251" s="200">
        <f t="shared" si="101"/>
        <v>0</v>
      </c>
      <c r="AY251" s="147"/>
      <c r="AZ251" s="147"/>
      <c r="BA251" s="165"/>
      <c r="BB251" s="144"/>
      <c r="BC251" s="144"/>
      <c r="BD251" s="144"/>
      <c r="BE251" s="144"/>
      <c r="BF251" s="144"/>
      <c r="BG251" s="144"/>
      <c r="BH251" s="149"/>
      <c r="BI251" s="149"/>
      <c r="BJ251" s="149"/>
      <c r="BK251" s="149"/>
      <c r="BL251" s="149"/>
      <c r="BM251" s="149"/>
      <c r="BN251" s="149"/>
    </row>
    <row r="252" spans="1:66" ht="51" hidden="1" customHeight="1" x14ac:dyDescent="0.2">
      <c r="A252" s="142" t="s">
        <v>1185</v>
      </c>
      <c r="B252" s="18" t="s">
        <v>57</v>
      </c>
      <c r="C252" s="18" t="s">
        <v>58</v>
      </c>
      <c r="D252" s="19" t="s">
        <v>569</v>
      </c>
      <c r="E252" s="18">
        <v>3</v>
      </c>
      <c r="F252" s="18" t="s">
        <v>35</v>
      </c>
      <c r="G252" s="18" t="s">
        <v>5</v>
      </c>
      <c r="H252" s="18" t="s">
        <v>3</v>
      </c>
      <c r="I252" s="18"/>
      <c r="J252" s="18" t="s">
        <v>1321</v>
      </c>
      <c r="K252" s="19" t="s">
        <v>1319</v>
      </c>
      <c r="L252" s="19"/>
      <c r="M252" s="19"/>
      <c r="N252" s="19" t="s">
        <v>1322</v>
      </c>
      <c r="O252" s="143"/>
      <c r="P252" s="143"/>
      <c r="Q252" s="143"/>
      <c r="R252" s="187" t="s">
        <v>1290</v>
      </c>
      <c r="S252" s="144">
        <v>535500</v>
      </c>
      <c r="T252" s="144">
        <v>0</v>
      </c>
      <c r="U252" s="145">
        <v>0</v>
      </c>
      <c r="V252" s="145">
        <v>0</v>
      </c>
      <c r="W252" s="145">
        <v>0</v>
      </c>
      <c r="X252" s="145">
        <f t="shared" si="98"/>
        <v>0</v>
      </c>
      <c r="Y252" s="145">
        <v>0</v>
      </c>
      <c r="Z252" s="145">
        <v>0</v>
      </c>
      <c r="AA252" s="145">
        <v>0</v>
      </c>
      <c r="AB252" s="145">
        <v>0</v>
      </c>
      <c r="AC252" s="145">
        <v>0</v>
      </c>
      <c r="AD252" s="145">
        <v>0</v>
      </c>
      <c r="AE252" s="145">
        <v>0</v>
      </c>
      <c r="AF252" s="145">
        <v>0</v>
      </c>
      <c r="AG252" s="145">
        <v>0</v>
      </c>
      <c r="AH252" s="145">
        <v>0</v>
      </c>
      <c r="AI252" s="145">
        <v>0</v>
      </c>
      <c r="AJ252" s="145">
        <v>0</v>
      </c>
      <c r="AK252" s="145">
        <f t="shared" si="102"/>
        <v>0</v>
      </c>
      <c r="AL252" s="145">
        <v>535500</v>
      </c>
      <c r="AM252" s="145">
        <v>0</v>
      </c>
      <c r="AN252" s="145">
        <v>0</v>
      </c>
      <c r="AO252" s="145">
        <v>0</v>
      </c>
      <c r="AP252" s="145">
        <v>0</v>
      </c>
      <c r="AQ252" s="145">
        <v>0</v>
      </c>
      <c r="AR252" s="145">
        <v>0</v>
      </c>
      <c r="AS252" s="201">
        <f t="shared" si="100"/>
        <v>535500</v>
      </c>
      <c r="AT252" s="201">
        <v>0</v>
      </c>
      <c r="AU252" s="199">
        <f t="shared" si="103"/>
        <v>535500</v>
      </c>
      <c r="AV252" s="146">
        <f>IFERROR(VLOOKUP(J252,Maksājumu_pieprasījumu_iesn.!G:BL,57,0),0)</f>
        <v>0</v>
      </c>
      <c r="AW252" s="139">
        <f t="shared" si="94"/>
        <v>-535500</v>
      </c>
      <c r="AX252" s="200">
        <f t="shared" si="101"/>
        <v>0</v>
      </c>
      <c r="AY252" s="147"/>
      <c r="AZ252" s="147"/>
      <c r="BA252" s="165"/>
      <c r="BB252" s="144"/>
      <c r="BC252" s="144"/>
      <c r="BD252" s="144"/>
      <c r="BE252" s="144"/>
      <c r="BF252" s="144"/>
      <c r="BG252" s="144"/>
      <c r="BH252" s="149"/>
      <c r="BI252" s="149"/>
      <c r="BJ252" s="149"/>
      <c r="BK252" s="149"/>
      <c r="BL252" s="149"/>
      <c r="BM252" s="149"/>
      <c r="BN252" s="149"/>
    </row>
    <row r="253" spans="1:66" s="91" customFormat="1" ht="38.25" hidden="1" customHeight="1" x14ac:dyDescent="0.2">
      <c r="A253" s="150" t="s">
        <v>1185</v>
      </c>
      <c r="B253" s="18" t="s">
        <v>57</v>
      </c>
      <c r="C253" s="18" t="s">
        <v>58</v>
      </c>
      <c r="D253" s="19" t="s">
        <v>569</v>
      </c>
      <c r="E253" s="55">
        <v>3</v>
      </c>
      <c r="F253" s="55" t="s">
        <v>35</v>
      </c>
      <c r="G253" s="55" t="s">
        <v>5</v>
      </c>
      <c r="H253" s="55" t="s">
        <v>3</v>
      </c>
      <c r="I253" s="55"/>
      <c r="J253" s="55"/>
      <c r="K253" s="19" t="s">
        <v>882</v>
      </c>
      <c r="L253" s="19"/>
      <c r="M253" s="19"/>
      <c r="N253" s="19" t="s">
        <v>1323</v>
      </c>
      <c r="O253" s="151">
        <v>42979</v>
      </c>
      <c r="P253" s="151"/>
      <c r="Q253" s="151"/>
      <c r="R253" s="151"/>
      <c r="S253" s="152">
        <v>739075</v>
      </c>
      <c r="T253" s="152">
        <v>0</v>
      </c>
      <c r="U253" s="145">
        <v>0</v>
      </c>
      <c r="V253" s="145">
        <v>0</v>
      </c>
      <c r="W253" s="145">
        <v>0</v>
      </c>
      <c r="X253" s="145">
        <f t="shared" si="98"/>
        <v>0</v>
      </c>
      <c r="Y253" s="145">
        <v>0</v>
      </c>
      <c r="Z253" s="145">
        <v>0</v>
      </c>
      <c r="AA253" s="145">
        <v>0</v>
      </c>
      <c r="AB253" s="145">
        <v>0</v>
      </c>
      <c r="AC253" s="145">
        <v>0</v>
      </c>
      <c r="AD253" s="145">
        <v>0</v>
      </c>
      <c r="AE253" s="145">
        <v>0</v>
      </c>
      <c r="AF253" s="145">
        <v>0</v>
      </c>
      <c r="AG253" s="145">
        <v>0</v>
      </c>
      <c r="AH253" s="145">
        <v>0</v>
      </c>
      <c r="AI253" s="145">
        <v>0</v>
      </c>
      <c r="AJ253" s="145">
        <v>0</v>
      </c>
      <c r="AK253" s="145">
        <f t="shared" si="102"/>
        <v>0</v>
      </c>
      <c r="AL253" s="145">
        <v>739075</v>
      </c>
      <c r="AM253" s="145">
        <v>0</v>
      </c>
      <c r="AN253" s="145">
        <v>0</v>
      </c>
      <c r="AO253" s="145">
        <v>0</v>
      </c>
      <c r="AP253" s="145">
        <v>0</v>
      </c>
      <c r="AQ253" s="145">
        <v>0</v>
      </c>
      <c r="AR253" s="145">
        <v>0</v>
      </c>
      <c r="AS253" s="201">
        <f t="shared" si="100"/>
        <v>739075</v>
      </c>
      <c r="AT253" s="201"/>
      <c r="AU253" s="199">
        <f t="shared" si="103"/>
        <v>739075</v>
      </c>
      <c r="AV253" s="146">
        <f>IFERROR(VLOOKUP(J253,Maksājumu_pieprasījumu_iesn.!G:BL,57,0),0)</f>
        <v>0</v>
      </c>
      <c r="AW253" s="139">
        <f t="shared" si="94"/>
        <v>-739075</v>
      </c>
      <c r="AX253" s="200">
        <f t="shared" si="101"/>
        <v>0</v>
      </c>
      <c r="AY253" s="153"/>
      <c r="AZ253" s="153"/>
      <c r="BA253" s="136"/>
      <c r="BB253" s="145"/>
      <c r="BC253" s="145"/>
      <c r="BD253" s="145"/>
      <c r="BE253" s="145"/>
      <c r="BF253" s="145"/>
      <c r="BG253" s="145"/>
      <c r="BH253" s="138"/>
      <c r="BI253" s="138"/>
      <c r="BJ253" s="138"/>
      <c r="BK253" s="138"/>
      <c r="BL253" s="138"/>
      <c r="BM253" s="138"/>
      <c r="BN253" s="138"/>
    </row>
    <row r="254" spans="1:66" s="91" customFormat="1" ht="38.25" hidden="1" customHeight="1" x14ac:dyDescent="0.2">
      <c r="A254" s="150" t="s">
        <v>1185</v>
      </c>
      <c r="B254" s="18" t="s">
        <v>57</v>
      </c>
      <c r="C254" s="18" t="s">
        <v>58</v>
      </c>
      <c r="D254" s="19" t="s">
        <v>569</v>
      </c>
      <c r="E254" s="55">
        <v>3</v>
      </c>
      <c r="F254" s="55" t="s">
        <v>35</v>
      </c>
      <c r="G254" s="55" t="s">
        <v>5</v>
      </c>
      <c r="H254" s="55" t="s">
        <v>3</v>
      </c>
      <c r="I254" s="55"/>
      <c r="J254" s="55"/>
      <c r="K254" s="19" t="s">
        <v>882</v>
      </c>
      <c r="L254" s="19"/>
      <c r="M254" s="19"/>
      <c r="N254" s="19" t="s">
        <v>1324</v>
      </c>
      <c r="O254" s="151">
        <v>42979</v>
      </c>
      <c r="P254" s="151"/>
      <c r="Q254" s="151"/>
      <c r="R254" s="151"/>
      <c r="S254" s="152">
        <v>407671</v>
      </c>
      <c r="T254" s="152">
        <v>0</v>
      </c>
      <c r="U254" s="145">
        <v>0</v>
      </c>
      <c r="V254" s="145">
        <v>0</v>
      </c>
      <c r="W254" s="145">
        <v>0</v>
      </c>
      <c r="X254" s="145">
        <f t="shared" si="98"/>
        <v>0</v>
      </c>
      <c r="Y254" s="145">
        <v>0</v>
      </c>
      <c r="Z254" s="145">
        <v>0</v>
      </c>
      <c r="AA254" s="145">
        <v>0</v>
      </c>
      <c r="AB254" s="145">
        <v>0</v>
      </c>
      <c r="AC254" s="145">
        <v>0</v>
      </c>
      <c r="AD254" s="145">
        <v>0</v>
      </c>
      <c r="AE254" s="145">
        <v>0</v>
      </c>
      <c r="AF254" s="145">
        <v>0</v>
      </c>
      <c r="AG254" s="145">
        <v>0</v>
      </c>
      <c r="AH254" s="145">
        <v>0</v>
      </c>
      <c r="AI254" s="145">
        <v>0</v>
      </c>
      <c r="AJ254" s="145">
        <v>0</v>
      </c>
      <c r="AK254" s="145">
        <f t="shared" si="102"/>
        <v>0</v>
      </c>
      <c r="AL254" s="145">
        <v>407671</v>
      </c>
      <c r="AM254" s="145">
        <v>0</v>
      </c>
      <c r="AN254" s="145">
        <v>0</v>
      </c>
      <c r="AO254" s="145">
        <v>0</v>
      </c>
      <c r="AP254" s="145">
        <v>0</v>
      </c>
      <c r="AQ254" s="145">
        <v>0</v>
      </c>
      <c r="AR254" s="145">
        <v>0</v>
      </c>
      <c r="AS254" s="201">
        <f t="shared" si="100"/>
        <v>407671</v>
      </c>
      <c r="AT254" s="201"/>
      <c r="AU254" s="199">
        <f t="shared" si="103"/>
        <v>407671</v>
      </c>
      <c r="AV254" s="146">
        <f>IFERROR(VLOOKUP(J254,Maksājumu_pieprasījumu_iesn.!G:BL,57,0),0)</f>
        <v>0</v>
      </c>
      <c r="AW254" s="139">
        <f t="shared" si="94"/>
        <v>-407671</v>
      </c>
      <c r="AX254" s="200">
        <f t="shared" si="101"/>
        <v>0</v>
      </c>
      <c r="AY254" s="153"/>
      <c r="AZ254" s="153"/>
      <c r="BA254" s="136"/>
      <c r="BB254" s="145"/>
      <c r="BC254" s="145"/>
      <c r="BD254" s="145"/>
      <c r="BE254" s="145"/>
      <c r="BF254" s="145"/>
      <c r="BG254" s="145"/>
      <c r="BH254" s="138"/>
      <c r="BI254" s="138"/>
      <c r="BJ254" s="138"/>
      <c r="BK254" s="138"/>
      <c r="BL254" s="138"/>
      <c r="BM254" s="138"/>
      <c r="BN254" s="138"/>
    </row>
    <row r="255" spans="1:66" s="91" customFormat="1" ht="38.25" hidden="1" customHeight="1" x14ac:dyDescent="0.2">
      <c r="A255" s="150" t="s">
        <v>1185</v>
      </c>
      <c r="B255" s="18" t="s">
        <v>57</v>
      </c>
      <c r="C255" s="18" t="s">
        <v>58</v>
      </c>
      <c r="D255" s="19" t="s">
        <v>569</v>
      </c>
      <c r="E255" s="55">
        <v>3</v>
      </c>
      <c r="F255" s="55" t="s">
        <v>35</v>
      </c>
      <c r="G255" s="55" t="s">
        <v>5</v>
      </c>
      <c r="H255" s="55" t="s">
        <v>3</v>
      </c>
      <c r="I255" s="55"/>
      <c r="J255" s="55"/>
      <c r="K255" s="19" t="s">
        <v>1325</v>
      </c>
      <c r="L255" s="19"/>
      <c r="M255" s="19"/>
      <c r="N255" s="19" t="s">
        <v>1326</v>
      </c>
      <c r="O255" s="151">
        <v>42916</v>
      </c>
      <c r="P255" s="151"/>
      <c r="Q255" s="151"/>
      <c r="R255" s="151"/>
      <c r="S255" s="152">
        <v>313749</v>
      </c>
      <c r="T255" s="152">
        <v>0</v>
      </c>
      <c r="U255" s="145">
        <v>0</v>
      </c>
      <c r="V255" s="145">
        <v>0</v>
      </c>
      <c r="W255" s="145">
        <v>0</v>
      </c>
      <c r="X255" s="145">
        <f t="shared" si="98"/>
        <v>0</v>
      </c>
      <c r="Y255" s="145">
        <v>0</v>
      </c>
      <c r="Z255" s="145">
        <v>0</v>
      </c>
      <c r="AA255" s="145">
        <v>0</v>
      </c>
      <c r="AB255" s="145">
        <v>0</v>
      </c>
      <c r="AC255" s="145">
        <v>0</v>
      </c>
      <c r="AD255" s="145">
        <v>0</v>
      </c>
      <c r="AE255" s="145">
        <v>0</v>
      </c>
      <c r="AF255" s="145">
        <v>0</v>
      </c>
      <c r="AG255" s="145">
        <v>0</v>
      </c>
      <c r="AH255" s="145">
        <v>0</v>
      </c>
      <c r="AI255" s="145">
        <v>0</v>
      </c>
      <c r="AJ255" s="145">
        <v>0</v>
      </c>
      <c r="AK255" s="145">
        <f t="shared" si="102"/>
        <v>0</v>
      </c>
      <c r="AL255" s="145">
        <v>313749</v>
      </c>
      <c r="AM255" s="145">
        <v>0</v>
      </c>
      <c r="AN255" s="145">
        <v>0</v>
      </c>
      <c r="AO255" s="145">
        <v>0</v>
      </c>
      <c r="AP255" s="145">
        <v>0</v>
      </c>
      <c r="AQ255" s="145">
        <v>0</v>
      </c>
      <c r="AR255" s="145">
        <v>0</v>
      </c>
      <c r="AS255" s="201">
        <f t="shared" si="100"/>
        <v>313749</v>
      </c>
      <c r="AT255" s="201"/>
      <c r="AU255" s="199">
        <f t="shared" si="103"/>
        <v>313749</v>
      </c>
      <c r="AV255" s="146">
        <f>IFERROR(VLOOKUP(J255,Maksājumu_pieprasījumu_iesn.!G:BL,57,0),0)</f>
        <v>0</v>
      </c>
      <c r="AW255" s="139">
        <f t="shared" si="94"/>
        <v>-313749</v>
      </c>
      <c r="AX255" s="200">
        <f t="shared" si="101"/>
        <v>0</v>
      </c>
      <c r="AY255" s="153"/>
      <c r="AZ255" s="153"/>
      <c r="BA255" s="136"/>
      <c r="BB255" s="145"/>
      <c r="BC255" s="145"/>
      <c r="BD255" s="145"/>
      <c r="BE255" s="145"/>
      <c r="BF255" s="145"/>
      <c r="BG255" s="145"/>
      <c r="BH255" s="138"/>
      <c r="BI255" s="138"/>
      <c r="BJ255" s="138"/>
      <c r="BK255" s="138"/>
      <c r="BL255" s="138"/>
      <c r="BM255" s="138"/>
      <c r="BN255" s="138"/>
    </row>
    <row r="256" spans="1:66" s="91" customFormat="1" ht="38.25" hidden="1" customHeight="1" x14ac:dyDescent="0.2">
      <c r="A256" s="150" t="s">
        <v>1185</v>
      </c>
      <c r="B256" s="18" t="s">
        <v>57</v>
      </c>
      <c r="C256" s="18" t="s">
        <v>58</v>
      </c>
      <c r="D256" s="19" t="s">
        <v>569</v>
      </c>
      <c r="E256" s="55">
        <v>3</v>
      </c>
      <c r="F256" s="55" t="s">
        <v>35</v>
      </c>
      <c r="G256" s="55" t="s">
        <v>5</v>
      </c>
      <c r="H256" s="55" t="s">
        <v>3</v>
      </c>
      <c r="I256" s="55"/>
      <c r="J256" s="55"/>
      <c r="K256" s="19" t="s">
        <v>1325</v>
      </c>
      <c r="L256" s="19"/>
      <c r="M256" s="19"/>
      <c r="N256" s="19" t="s">
        <v>1327</v>
      </c>
      <c r="O256" s="151">
        <v>42916</v>
      </c>
      <c r="P256" s="151"/>
      <c r="Q256" s="151"/>
      <c r="R256" s="151"/>
      <c r="S256" s="152">
        <v>161577</v>
      </c>
      <c r="T256" s="152">
        <v>0</v>
      </c>
      <c r="U256" s="145">
        <v>0</v>
      </c>
      <c r="V256" s="145">
        <v>0</v>
      </c>
      <c r="W256" s="145">
        <v>0</v>
      </c>
      <c r="X256" s="145">
        <f t="shared" si="98"/>
        <v>0</v>
      </c>
      <c r="Y256" s="145">
        <v>0</v>
      </c>
      <c r="Z256" s="145">
        <v>0</v>
      </c>
      <c r="AA256" s="145">
        <v>0</v>
      </c>
      <c r="AB256" s="145">
        <v>0</v>
      </c>
      <c r="AC256" s="145">
        <v>0</v>
      </c>
      <c r="AD256" s="145">
        <v>0</v>
      </c>
      <c r="AE256" s="145">
        <v>0</v>
      </c>
      <c r="AF256" s="145">
        <v>0</v>
      </c>
      <c r="AG256" s="145">
        <v>0</v>
      </c>
      <c r="AH256" s="145">
        <v>0</v>
      </c>
      <c r="AI256" s="145">
        <v>0</v>
      </c>
      <c r="AJ256" s="145">
        <v>0</v>
      </c>
      <c r="AK256" s="145">
        <f t="shared" si="102"/>
        <v>0</v>
      </c>
      <c r="AL256" s="145">
        <v>161577</v>
      </c>
      <c r="AM256" s="145">
        <v>0</v>
      </c>
      <c r="AN256" s="145">
        <v>0</v>
      </c>
      <c r="AO256" s="145">
        <v>0</v>
      </c>
      <c r="AP256" s="145">
        <v>0</v>
      </c>
      <c r="AQ256" s="145">
        <v>0</v>
      </c>
      <c r="AR256" s="145">
        <v>0</v>
      </c>
      <c r="AS256" s="201">
        <f t="shared" si="100"/>
        <v>161577</v>
      </c>
      <c r="AT256" s="201"/>
      <c r="AU256" s="199">
        <f t="shared" si="103"/>
        <v>161577</v>
      </c>
      <c r="AV256" s="146">
        <f>IFERROR(VLOOKUP(J256,Maksājumu_pieprasījumu_iesn.!G:BL,57,0),0)</f>
        <v>0</v>
      </c>
      <c r="AW256" s="139">
        <f t="shared" si="94"/>
        <v>-161577</v>
      </c>
      <c r="AX256" s="200">
        <f t="shared" si="101"/>
        <v>0</v>
      </c>
      <c r="AY256" s="153"/>
      <c r="AZ256" s="153"/>
      <c r="BA256" s="136"/>
      <c r="BB256" s="145"/>
      <c r="BC256" s="145"/>
      <c r="BD256" s="145"/>
      <c r="BE256" s="145"/>
      <c r="BF256" s="145"/>
      <c r="BG256" s="145"/>
      <c r="BH256" s="138"/>
      <c r="BI256" s="138"/>
      <c r="BJ256" s="138"/>
      <c r="BK256" s="138"/>
      <c r="BL256" s="138"/>
      <c r="BM256" s="138"/>
      <c r="BN256" s="138"/>
    </row>
    <row r="257" spans="1:66" s="91" customFormat="1" ht="38.25" hidden="1" customHeight="1" x14ac:dyDescent="0.2">
      <c r="A257" s="150" t="s">
        <v>1185</v>
      </c>
      <c r="B257" s="18" t="s">
        <v>57</v>
      </c>
      <c r="C257" s="18" t="s">
        <v>58</v>
      </c>
      <c r="D257" s="19" t="s">
        <v>569</v>
      </c>
      <c r="E257" s="55">
        <v>3</v>
      </c>
      <c r="F257" s="55" t="s">
        <v>35</v>
      </c>
      <c r="G257" s="55" t="s">
        <v>5</v>
      </c>
      <c r="H257" s="55" t="s">
        <v>3</v>
      </c>
      <c r="I257" s="55"/>
      <c r="J257" s="55"/>
      <c r="K257" s="19" t="s">
        <v>1328</v>
      </c>
      <c r="L257" s="19"/>
      <c r="M257" s="19"/>
      <c r="N257" s="19" t="s">
        <v>1329</v>
      </c>
      <c r="O257" s="151">
        <v>42916</v>
      </c>
      <c r="P257" s="151"/>
      <c r="Q257" s="151"/>
      <c r="R257" s="151"/>
      <c r="S257" s="152">
        <v>1688762</v>
      </c>
      <c r="T257" s="152">
        <v>0</v>
      </c>
      <c r="U257" s="145">
        <v>0</v>
      </c>
      <c r="V257" s="145">
        <v>0</v>
      </c>
      <c r="W257" s="145">
        <v>0</v>
      </c>
      <c r="X257" s="145">
        <f t="shared" si="98"/>
        <v>0</v>
      </c>
      <c r="Y257" s="145">
        <v>0</v>
      </c>
      <c r="Z257" s="145">
        <v>0</v>
      </c>
      <c r="AA257" s="145">
        <v>0</v>
      </c>
      <c r="AB257" s="145">
        <v>0</v>
      </c>
      <c r="AC257" s="145">
        <v>0</v>
      </c>
      <c r="AD257" s="145">
        <v>0</v>
      </c>
      <c r="AE257" s="145">
        <v>0</v>
      </c>
      <c r="AF257" s="145">
        <v>0</v>
      </c>
      <c r="AG257" s="145">
        <v>0</v>
      </c>
      <c r="AH257" s="145">
        <v>0</v>
      </c>
      <c r="AI257" s="145">
        <v>0</v>
      </c>
      <c r="AJ257" s="145">
        <v>0</v>
      </c>
      <c r="AK257" s="145">
        <f t="shared" si="102"/>
        <v>0</v>
      </c>
      <c r="AL257" s="145">
        <v>1688762</v>
      </c>
      <c r="AM257" s="145">
        <v>0</v>
      </c>
      <c r="AN257" s="145">
        <v>0</v>
      </c>
      <c r="AO257" s="145">
        <v>0</v>
      </c>
      <c r="AP257" s="145">
        <v>0</v>
      </c>
      <c r="AQ257" s="145">
        <v>0</v>
      </c>
      <c r="AR257" s="145">
        <v>0</v>
      </c>
      <c r="AS257" s="201">
        <f t="shared" si="100"/>
        <v>1688762</v>
      </c>
      <c r="AT257" s="201"/>
      <c r="AU257" s="199">
        <f t="shared" si="103"/>
        <v>1688762</v>
      </c>
      <c r="AV257" s="146">
        <f>IFERROR(VLOOKUP(J257,Maksājumu_pieprasījumu_iesn.!G:BL,57,0),0)</f>
        <v>0</v>
      </c>
      <c r="AW257" s="139">
        <f t="shared" si="94"/>
        <v>-1688762</v>
      </c>
      <c r="AX257" s="200">
        <f t="shared" si="101"/>
        <v>0</v>
      </c>
      <c r="AY257" s="153"/>
      <c r="AZ257" s="153"/>
      <c r="BA257" s="136"/>
      <c r="BB257" s="145"/>
      <c r="BC257" s="145"/>
      <c r="BD257" s="145"/>
      <c r="BE257" s="145"/>
      <c r="BF257" s="145"/>
      <c r="BG257" s="145"/>
      <c r="BH257" s="138"/>
      <c r="BI257" s="138"/>
      <c r="BJ257" s="138"/>
      <c r="BK257" s="138"/>
      <c r="BL257" s="138"/>
      <c r="BM257" s="138"/>
      <c r="BN257" s="138"/>
    </row>
    <row r="258" spans="1:66" s="91" customFormat="1" ht="51" hidden="1" customHeight="1" x14ac:dyDescent="0.2">
      <c r="A258" s="150" t="s">
        <v>1185</v>
      </c>
      <c r="B258" s="18" t="s">
        <v>57</v>
      </c>
      <c r="C258" s="18" t="s">
        <v>58</v>
      </c>
      <c r="D258" s="19" t="s">
        <v>569</v>
      </c>
      <c r="E258" s="55">
        <v>3</v>
      </c>
      <c r="F258" s="55" t="s">
        <v>35</v>
      </c>
      <c r="G258" s="55" t="s">
        <v>5</v>
      </c>
      <c r="H258" s="55" t="s">
        <v>3</v>
      </c>
      <c r="I258" s="55"/>
      <c r="J258" s="55"/>
      <c r="K258" s="19" t="s">
        <v>1330</v>
      </c>
      <c r="L258" s="19"/>
      <c r="M258" s="19"/>
      <c r="N258" s="19" t="s">
        <v>1331</v>
      </c>
      <c r="O258" s="151">
        <v>42947</v>
      </c>
      <c r="P258" s="151"/>
      <c r="Q258" s="151"/>
      <c r="R258" s="151"/>
      <c r="S258" s="152">
        <v>1273782</v>
      </c>
      <c r="T258" s="152">
        <v>0</v>
      </c>
      <c r="U258" s="145">
        <v>0</v>
      </c>
      <c r="V258" s="145">
        <v>0</v>
      </c>
      <c r="W258" s="145">
        <v>0</v>
      </c>
      <c r="X258" s="145">
        <f t="shared" si="98"/>
        <v>0</v>
      </c>
      <c r="Y258" s="145">
        <v>0</v>
      </c>
      <c r="Z258" s="145">
        <v>0</v>
      </c>
      <c r="AA258" s="145">
        <v>0</v>
      </c>
      <c r="AB258" s="145">
        <v>0</v>
      </c>
      <c r="AC258" s="145">
        <v>0</v>
      </c>
      <c r="AD258" s="145">
        <v>0</v>
      </c>
      <c r="AE258" s="145">
        <v>0</v>
      </c>
      <c r="AF258" s="145">
        <v>0</v>
      </c>
      <c r="AG258" s="145">
        <v>0</v>
      </c>
      <c r="AH258" s="145">
        <v>0</v>
      </c>
      <c r="AI258" s="145">
        <v>0</v>
      </c>
      <c r="AJ258" s="145">
        <v>300000</v>
      </c>
      <c r="AK258" s="145">
        <f t="shared" si="102"/>
        <v>300000</v>
      </c>
      <c r="AL258" s="145">
        <v>973782</v>
      </c>
      <c r="AM258" s="145">
        <v>0</v>
      </c>
      <c r="AN258" s="145">
        <v>0</v>
      </c>
      <c r="AO258" s="145">
        <v>0</v>
      </c>
      <c r="AP258" s="145">
        <v>0</v>
      </c>
      <c r="AQ258" s="145">
        <v>0</v>
      </c>
      <c r="AR258" s="145">
        <v>0</v>
      </c>
      <c r="AS258" s="201">
        <f t="shared" si="100"/>
        <v>1273782</v>
      </c>
      <c r="AT258" s="201"/>
      <c r="AU258" s="199">
        <f t="shared" si="103"/>
        <v>1273782</v>
      </c>
      <c r="AV258" s="146">
        <f>IFERROR(VLOOKUP(J258,Maksājumu_pieprasījumu_iesn.!G:BL,57,0),0)</f>
        <v>0</v>
      </c>
      <c r="AW258" s="139">
        <f t="shared" si="94"/>
        <v>-1273782</v>
      </c>
      <c r="AX258" s="200">
        <f t="shared" si="101"/>
        <v>0</v>
      </c>
      <c r="AY258" s="153"/>
      <c r="AZ258" s="153"/>
      <c r="BA258" s="136"/>
      <c r="BB258" s="145"/>
      <c r="BC258" s="145"/>
      <c r="BD258" s="145"/>
      <c r="BE258" s="145"/>
      <c r="BF258" s="145"/>
      <c r="BG258" s="145"/>
      <c r="BH258" s="138"/>
      <c r="BI258" s="138"/>
      <c r="BJ258" s="138"/>
      <c r="BK258" s="138"/>
      <c r="BL258" s="138"/>
      <c r="BM258" s="138"/>
      <c r="BN258" s="138"/>
    </row>
    <row r="259" spans="1:66" s="91" customFormat="1" ht="25.5" hidden="1" customHeight="1" x14ac:dyDescent="0.2">
      <c r="A259" s="150" t="s">
        <v>1185</v>
      </c>
      <c r="B259" s="18" t="s">
        <v>57</v>
      </c>
      <c r="C259" s="18" t="s">
        <v>58</v>
      </c>
      <c r="D259" s="19" t="s">
        <v>569</v>
      </c>
      <c r="E259" s="55">
        <v>3</v>
      </c>
      <c r="F259" s="55" t="s">
        <v>35</v>
      </c>
      <c r="G259" s="55" t="s">
        <v>5</v>
      </c>
      <c r="H259" s="55" t="s">
        <v>3</v>
      </c>
      <c r="I259" s="55"/>
      <c r="J259" s="55"/>
      <c r="K259" s="19" t="s">
        <v>1332</v>
      </c>
      <c r="L259" s="19"/>
      <c r="M259" s="19"/>
      <c r="N259" s="19" t="s">
        <v>1333</v>
      </c>
      <c r="O259" s="151">
        <v>42886</v>
      </c>
      <c r="P259" s="151"/>
      <c r="Q259" s="151"/>
      <c r="R259" s="151"/>
      <c r="S259" s="152">
        <v>170000</v>
      </c>
      <c r="T259" s="152">
        <v>0</v>
      </c>
      <c r="U259" s="145">
        <v>0</v>
      </c>
      <c r="V259" s="145">
        <v>0</v>
      </c>
      <c r="W259" s="145">
        <v>0</v>
      </c>
      <c r="X259" s="145">
        <f t="shared" si="98"/>
        <v>0</v>
      </c>
      <c r="Y259" s="145">
        <v>0</v>
      </c>
      <c r="Z259" s="145">
        <v>0</v>
      </c>
      <c r="AA259" s="145">
        <v>0</v>
      </c>
      <c r="AB259" s="145">
        <v>0</v>
      </c>
      <c r="AC259" s="145">
        <v>0</v>
      </c>
      <c r="AD259" s="145">
        <v>0</v>
      </c>
      <c r="AE259" s="145">
        <v>0</v>
      </c>
      <c r="AF259" s="145">
        <v>0</v>
      </c>
      <c r="AG259" s="145">
        <v>0</v>
      </c>
      <c r="AH259" s="145">
        <v>0</v>
      </c>
      <c r="AI259" s="145">
        <v>0</v>
      </c>
      <c r="AJ259" s="145">
        <v>0</v>
      </c>
      <c r="AK259" s="145">
        <f t="shared" si="102"/>
        <v>0</v>
      </c>
      <c r="AL259" s="145">
        <v>170000</v>
      </c>
      <c r="AM259" s="145">
        <v>0</v>
      </c>
      <c r="AN259" s="145">
        <v>0</v>
      </c>
      <c r="AO259" s="145">
        <v>0</v>
      </c>
      <c r="AP259" s="145">
        <v>0</v>
      </c>
      <c r="AQ259" s="145">
        <v>0</v>
      </c>
      <c r="AR259" s="145">
        <v>0</v>
      </c>
      <c r="AS259" s="201">
        <f t="shared" si="100"/>
        <v>170000</v>
      </c>
      <c r="AT259" s="201"/>
      <c r="AU259" s="199">
        <f t="shared" si="103"/>
        <v>170000</v>
      </c>
      <c r="AV259" s="146">
        <f>IFERROR(VLOOKUP(J259,Maksājumu_pieprasījumu_iesn.!G:BL,57,0),0)</f>
        <v>0</v>
      </c>
      <c r="AW259" s="139">
        <f t="shared" si="94"/>
        <v>-170000</v>
      </c>
      <c r="AX259" s="200">
        <f t="shared" si="101"/>
        <v>0</v>
      </c>
      <c r="AY259" s="153"/>
      <c r="AZ259" s="153"/>
      <c r="BA259" s="136"/>
      <c r="BB259" s="145"/>
      <c r="BC259" s="145"/>
      <c r="BD259" s="145"/>
      <c r="BE259" s="145"/>
      <c r="BF259" s="145"/>
      <c r="BG259" s="145"/>
      <c r="BH259" s="138"/>
      <c r="BI259" s="138"/>
      <c r="BJ259" s="138"/>
      <c r="BK259" s="138"/>
      <c r="BL259" s="138"/>
      <c r="BM259" s="138"/>
      <c r="BN259" s="138"/>
    </row>
    <row r="260" spans="1:66" ht="38.25" hidden="1" customHeight="1" x14ac:dyDescent="0.2">
      <c r="A260" s="142" t="s">
        <v>1185</v>
      </c>
      <c r="B260" s="18" t="s">
        <v>57</v>
      </c>
      <c r="C260" s="18" t="s">
        <v>58</v>
      </c>
      <c r="D260" s="19" t="s">
        <v>569</v>
      </c>
      <c r="E260" s="18">
        <v>3</v>
      </c>
      <c r="F260" s="18" t="s">
        <v>35</v>
      </c>
      <c r="G260" s="18" t="s">
        <v>5</v>
      </c>
      <c r="H260" s="18" t="s">
        <v>3</v>
      </c>
      <c r="I260" s="18"/>
      <c r="J260" s="18" t="s">
        <v>682</v>
      </c>
      <c r="K260" s="19" t="s">
        <v>683</v>
      </c>
      <c r="L260" s="19"/>
      <c r="M260" s="19"/>
      <c r="N260" s="19" t="s">
        <v>684</v>
      </c>
      <c r="O260" s="143"/>
      <c r="P260" s="143"/>
      <c r="Q260" s="143"/>
      <c r="R260" s="187" t="s">
        <v>1289</v>
      </c>
      <c r="S260" s="144">
        <v>347225</v>
      </c>
      <c r="T260" s="144">
        <v>0</v>
      </c>
      <c r="U260" s="145">
        <v>0</v>
      </c>
      <c r="V260" s="145">
        <v>0</v>
      </c>
      <c r="W260" s="145">
        <v>0</v>
      </c>
      <c r="X260" s="145">
        <f t="shared" si="98"/>
        <v>0</v>
      </c>
      <c r="Y260" s="145">
        <v>0</v>
      </c>
      <c r="Z260" s="145">
        <v>0</v>
      </c>
      <c r="AA260" s="145">
        <v>0</v>
      </c>
      <c r="AB260" s="145">
        <v>0</v>
      </c>
      <c r="AC260" s="145">
        <v>16043.75</v>
      </c>
      <c r="AD260" s="145">
        <v>0</v>
      </c>
      <c r="AE260" s="145">
        <v>0</v>
      </c>
      <c r="AF260" s="145">
        <v>0</v>
      </c>
      <c r="AG260" s="145">
        <v>0</v>
      </c>
      <c r="AH260" s="145">
        <v>0</v>
      </c>
      <c r="AI260" s="145">
        <v>0</v>
      </c>
      <c r="AJ260" s="145">
        <v>0</v>
      </c>
      <c r="AK260" s="145">
        <f t="shared" si="102"/>
        <v>16043.75</v>
      </c>
      <c r="AL260" s="145">
        <v>331181.25</v>
      </c>
      <c r="AM260" s="145">
        <v>0</v>
      </c>
      <c r="AN260" s="145">
        <v>0</v>
      </c>
      <c r="AO260" s="145">
        <v>0</v>
      </c>
      <c r="AP260" s="145">
        <v>0</v>
      </c>
      <c r="AQ260" s="145">
        <v>0</v>
      </c>
      <c r="AR260" s="145">
        <v>0</v>
      </c>
      <c r="AS260" s="201">
        <f t="shared" si="100"/>
        <v>347225</v>
      </c>
      <c r="AT260" s="201">
        <v>0</v>
      </c>
      <c r="AU260" s="199">
        <f t="shared" si="103"/>
        <v>347225</v>
      </c>
      <c r="AV260" s="146">
        <f>IFERROR(VLOOKUP(J260,Maksājumu_pieprasījumu_iesn.!G:BL,57,0),0)</f>
        <v>0</v>
      </c>
      <c r="AW260" s="139">
        <f t="shared" si="94"/>
        <v>-347225</v>
      </c>
      <c r="AX260" s="200">
        <f t="shared" si="101"/>
        <v>0</v>
      </c>
      <c r="AY260" s="147"/>
      <c r="AZ260" s="147"/>
      <c r="BA260" s="165"/>
      <c r="BB260" s="144"/>
      <c r="BC260" s="144"/>
      <c r="BD260" s="144"/>
      <c r="BE260" s="144"/>
      <c r="BF260" s="144"/>
      <c r="BG260" s="144"/>
      <c r="BH260" s="149"/>
      <c r="BI260" s="149"/>
      <c r="BJ260" s="149"/>
      <c r="BK260" s="149"/>
      <c r="BL260" s="149"/>
      <c r="BM260" s="149"/>
      <c r="BN260" s="149"/>
    </row>
    <row r="261" spans="1:66" ht="51" hidden="1" customHeight="1" x14ac:dyDescent="0.2">
      <c r="A261" s="142" t="s">
        <v>1185</v>
      </c>
      <c r="B261" s="18" t="s">
        <v>57</v>
      </c>
      <c r="C261" s="18" t="s">
        <v>58</v>
      </c>
      <c r="D261" s="19" t="s">
        <v>569</v>
      </c>
      <c r="E261" s="18">
        <v>3</v>
      </c>
      <c r="F261" s="18" t="s">
        <v>35</v>
      </c>
      <c r="G261" s="18" t="s">
        <v>5</v>
      </c>
      <c r="H261" s="18" t="s">
        <v>3</v>
      </c>
      <c r="I261" s="18"/>
      <c r="J261" s="18" t="s">
        <v>685</v>
      </c>
      <c r="K261" s="19" t="s">
        <v>683</v>
      </c>
      <c r="L261" s="19"/>
      <c r="M261" s="19"/>
      <c r="N261" s="19" t="s">
        <v>686</v>
      </c>
      <c r="O261" s="143"/>
      <c r="P261" s="143"/>
      <c r="Q261" s="143"/>
      <c r="R261" s="187" t="s">
        <v>1289</v>
      </c>
      <c r="S261" s="144">
        <v>448800</v>
      </c>
      <c r="T261" s="144">
        <v>0</v>
      </c>
      <c r="U261" s="145">
        <v>0</v>
      </c>
      <c r="V261" s="145">
        <v>0</v>
      </c>
      <c r="W261" s="145">
        <v>0</v>
      </c>
      <c r="X261" s="145">
        <f t="shared" si="98"/>
        <v>0</v>
      </c>
      <c r="Y261" s="145">
        <v>0</v>
      </c>
      <c r="Z261" s="145">
        <v>0</v>
      </c>
      <c r="AA261" s="145">
        <v>0</v>
      </c>
      <c r="AB261" s="145">
        <v>0</v>
      </c>
      <c r="AC261" s="145">
        <v>5041.78</v>
      </c>
      <c r="AD261" s="145">
        <v>0</v>
      </c>
      <c r="AE261" s="145">
        <v>0</v>
      </c>
      <c r="AF261" s="145">
        <v>0</v>
      </c>
      <c r="AG261" s="145">
        <v>0</v>
      </c>
      <c r="AH261" s="145">
        <v>0</v>
      </c>
      <c r="AI261" s="145">
        <v>0</v>
      </c>
      <c r="AJ261" s="145">
        <v>0</v>
      </c>
      <c r="AK261" s="145">
        <f t="shared" si="102"/>
        <v>5041.78</v>
      </c>
      <c r="AL261" s="145">
        <v>443758.22</v>
      </c>
      <c r="AM261" s="145">
        <v>0</v>
      </c>
      <c r="AN261" s="145">
        <v>0</v>
      </c>
      <c r="AO261" s="145">
        <v>0</v>
      </c>
      <c r="AP261" s="145">
        <v>0</v>
      </c>
      <c r="AQ261" s="145">
        <v>0</v>
      </c>
      <c r="AR261" s="145">
        <v>0</v>
      </c>
      <c r="AS261" s="201">
        <f t="shared" si="100"/>
        <v>448800</v>
      </c>
      <c r="AT261" s="201">
        <v>0</v>
      </c>
      <c r="AU261" s="199">
        <f t="shared" si="103"/>
        <v>448800</v>
      </c>
      <c r="AV261" s="146">
        <f>IFERROR(VLOOKUP(J261,Maksājumu_pieprasījumu_iesn.!G:BL,57,0),0)</f>
        <v>0</v>
      </c>
      <c r="AW261" s="139">
        <f t="shared" si="94"/>
        <v>-448800</v>
      </c>
      <c r="AX261" s="200">
        <f t="shared" si="101"/>
        <v>0</v>
      </c>
      <c r="AY261" s="147"/>
      <c r="AZ261" s="147"/>
      <c r="BA261" s="165"/>
      <c r="BB261" s="144"/>
      <c r="BC261" s="144"/>
      <c r="BD261" s="144"/>
      <c r="BE261" s="144"/>
      <c r="BF261" s="144"/>
      <c r="BG261" s="144"/>
      <c r="BH261" s="149"/>
      <c r="BI261" s="149"/>
      <c r="BJ261" s="149"/>
      <c r="BK261" s="149"/>
      <c r="BL261" s="149"/>
      <c r="BM261" s="149"/>
      <c r="BN261" s="149"/>
    </row>
    <row r="262" spans="1:66" ht="38.25" hidden="1" customHeight="1" x14ac:dyDescent="0.2">
      <c r="A262" s="142" t="s">
        <v>1185</v>
      </c>
      <c r="B262" s="18" t="s">
        <v>57</v>
      </c>
      <c r="C262" s="18" t="s">
        <v>58</v>
      </c>
      <c r="D262" s="19" t="s">
        <v>569</v>
      </c>
      <c r="E262" s="18">
        <v>3</v>
      </c>
      <c r="F262" s="18" t="s">
        <v>35</v>
      </c>
      <c r="G262" s="18" t="s">
        <v>5</v>
      </c>
      <c r="H262" s="18" t="s">
        <v>3</v>
      </c>
      <c r="I262" s="18"/>
      <c r="J262" s="18" t="s">
        <v>687</v>
      </c>
      <c r="K262" s="19" t="s">
        <v>683</v>
      </c>
      <c r="L262" s="19"/>
      <c r="M262" s="19"/>
      <c r="N262" s="19" t="s">
        <v>688</v>
      </c>
      <c r="O262" s="143"/>
      <c r="P262" s="143"/>
      <c r="Q262" s="143"/>
      <c r="R262" s="187" t="s">
        <v>1334</v>
      </c>
      <c r="S262" s="144">
        <v>391000</v>
      </c>
      <c r="T262" s="144">
        <v>0</v>
      </c>
      <c r="U262" s="145">
        <v>0</v>
      </c>
      <c r="V262" s="145">
        <v>0</v>
      </c>
      <c r="W262" s="145">
        <v>0</v>
      </c>
      <c r="X262" s="145">
        <f t="shared" si="98"/>
        <v>0</v>
      </c>
      <c r="Y262" s="145">
        <v>0</v>
      </c>
      <c r="Z262" s="145">
        <v>0</v>
      </c>
      <c r="AA262" s="145">
        <v>0</v>
      </c>
      <c r="AB262" s="145">
        <v>0</v>
      </c>
      <c r="AC262" s="145">
        <v>3840.78</v>
      </c>
      <c r="AD262" s="145">
        <v>0</v>
      </c>
      <c r="AE262" s="145">
        <v>0</v>
      </c>
      <c r="AF262" s="145">
        <v>0</v>
      </c>
      <c r="AG262" s="145">
        <v>0</v>
      </c>
      <c r="AH262" s="145">
        <v>0</v>
      </c>
      <c r="AI262" s="145">
        <v>0</v>
      </c>
      <c r="AJ262" s="145">
        <v>0</v>
      </c>
      <c r="AK262" s="145">
        <f t="shared" si="102"/>
        <v>3840.78</v>
      </c>
      <c r="AL262" s="145">
        <v>387159.22</v>
      </c>
      <c r="AM262" s="145">
        <v>0</v>
      </c>
      <c r="AN262" s="145">
        <v>0</v>
      </c>
      <c r="AO262" s="145">
        <v>0</v>
      </c>
      <c r="AP262" s="145">
        <v>0</v>
      </c>
      <c r="AQ262" s="145">
        <v>0</v>
      </c>
      <c r="AR262" s="145">
        <v>0</v>
      </c>
      <c r="AS262" s="201">
        <f t="shared" si="100"/>
        <v>391000</v>
      </c>
      <c r="AT262" s="201">
        <v>0</v>
      </c>
      <c r="AU262" s="199">
        <f t="shared" si="103"/>
        <v>391000</v>
      </c>
      <c r="AV262" s="146">
        <f>IFERROR(VLOOKUP(J262,Maksājumu_pieprasījumu_iesn.!G:BL,57,0),0)</f>
        <v>0</v>
      </c>
      <c r="AW262" s="139">
        <f t="shared" si="94"/>
        <v>-391000</v>
      </c>
      <c r="AX262" s="200">
        <f t="shared" si="101"/>
        <v>0</v>
      </c>
      <c r="AY262" s="147"/>
      <c r="AZ262" s="147"/>
      <c r="BA262" s="165"/>
      <c r="BB262" s="144"/>
      <c r="BC262" s="144"/>
      <c r="BD262" s="144"/>
      <c r="BE262" s="144"/>
      <c r="BF262" s="144"/>
      <c r="BG262" s="144"/>
      <c r="BH262" s="149"/>
      <c r="BI262" s="149"/>
      <c r="BJ262" s="149"/>
      <c r="BK262" s="149"/>
      <c r="BL262" s="149"/>
      <c r="BM262" s="149"/>
      <c r="BN262" s="149"/>
    </row>
    <row r="263" spans="1:66" s="91" customFormat="1" ht="51" hidden="1" customHeight="1" x14ac:dyDescent="0.2">
      <c r="A263" s="150" t="s">
        <v>1185</v>
      </c>
      <c r="B263" s="18" t="s">
        <v>57</v>
      </c>
      <c r="C263" s="18" t="s">
        <v>58</v>
      </c>
      <c r="D263" s="19" t="s">
        <v>569</v>
      </c>
      <c r="E263" s="55">
        <v>3</v>
      </c>
      <c r="F263" s="55" t="s">
        <v>35</v>
      </c>
      <c r="G263" s="55" t="s">
        <v>5</v>
      </c>
      <c r="H263" s="55" t="s">
        <v>3</v>
      </c>
      <c r="I263" s="55"/>
      <c r="J263" s="55"/>
      <c r="K263" s="19" t="s">
        <v>838</v>
      </c>
      <c r="L263" s="19"/>
      <c r="M263" s="19"/>
      <c r="N263" s="19" t="s">
        <v>1335</v>
      </c>
      <c r="O263" s="151">
        <v>42947</v>
      </c>
      <c r="P263" s="151"/>
      <c r="Q263" s="151"/>
      <c r="R263" s="151"/>
      <c r="S263" s="152">
        <v>340000</v>
      </c>
      <c r="T263" s="152">
        <v>0</v>
      </c>
      <c r="U263" s="145">
        <v>0</v>
      </c>
      <c r="V263" s="145">
        <v>0</v>
      </c>
      <c r="W263" s="145">
        <v>0</v>
      </c>
      <c r="X263" s="145">
        <f t="shared" si="98"/>
        <v>0</v>
      </c>
      <c r="Y263" s="145">
        <v>0</v>
      </c>
      <c r="Z263" s="145">
        <v>0</v>
      </c>
      <c r="AA263" s="145">
        <v>0</v>
      </c>
      <c r="AB263" s="145">
        <v>0</v>
      </c>
      <c r="AC263" s="145">
        <v>0</v>
      </c>
      <c r="AD263" s="145">
        <v>0</v>
      </c>
      <c r="AE263" s="145">
        <v>0</v>
      </c>
      <c r="AF263" s="145">
        <v>0</v>
      </c>
      <c r="AG263" s="145">
        <v>0</v>
      </c>
      <c r="AH263" s="145">
        <v>0</v>
      </c>
      <c r="AI263" s="145">
        <v>0</v>
      </c>
      <c r="AJ263" s="145">
        <v>0</v>
      </c>
      <c r="AK263" s="145">
        <f t="shared" si="102"/>
        <v>0</v>
      </c>
      <c r="AL263" s="145">
        <v>340000</v>
      </c>
      <c r="AM263" s="145">
        <v>0</v>
      </c>
      <c r="AN263" s="145">
        <v>0</v>
      </c>
      <c r="AO263" s="145">
        <v>0</v>
      </c>
      <c r="AP263" s="145">
        <v>0</v>
      </c>
      <c r="AQ263" s="145">
        <v>0</v>
      </c>
      <c r="AR263" s="145">
        <v>0</v>
      </c>
      <c r="AS263" s="201">
        <f t="shared" si="100"/>
        <v>340000</v>
      </c>
      <c r="AT263" s="201"/>
      <c r="AU263" s="199">
        <f t="shared" si="103"/>
        <v>340000</v>
      </c>
      <c r="AV263" s="146">
        <f>IFERROR(VLOOKUP(J263,Maksājumu_pieprasījumu_iesn.!G:BL,57,0),0)</f>
        <v>0</v>
      </c>
      <c r="AW263" s="139">
        <f t="shared" si="94"/>
        <v>-340000</v>
      </c>
      <c r="AX263" s="200">
        <f t="shared" si="101"/>
        <v>0</v>
      </c>
      <c r="AY263" s="153"/>
      <c r="AZ263" s="153"/>
      <c r="BA263" s="136"/>
      <c r="BB263" s="145"/>
      <c r="BC263" s="145"/>
      <c r="BD263" s="145"/>
      <c r="BE263" s="145"/>
      <c r="BF263" s="145"/>
      <c r="BG263" s="145"/>
      <c r="BH263" s="138"/>
      <c r="BI263" s="138"/>
      <c r="BJ263" s="138"/>
      <c r="BK263" s="138"/>
      <c r="BL263" s="138"/>
      <c r="BM263" s="138"/>
      <c r="BN263" s="138"/>
    </row>
    <row r="264" spans="1:66" ht="38.25" hidden="1" customHeight="1" x14ac:dyDescent="0.2">
      <c r="A264" s="142" t="s">
        <v>1185</v>
      </c>
      <c r="B264" s="18" t="s">
        <v>57</v>
      </c>
      <c r="C264" s="18" t="s">
        <v>58</v>
      </c>
      <c r="D264" s="19" t="s">
        <v>569</v>
      </c>
      <c r="E264" s="18">
        <v>3</v>
      </c>
      <c r="F264" s="18" t="s">
        <v>35</v>
      </c>
      <c r="G264" s="18" t="s">
        <v>5</v>
      </c>
      <c r="H264" s="18" t="s">
        <v>3</v>
      </c>
      <c r="I264" s="18"/>
      <c r="J264" s="18" t="s">
        <v>1336</v>
      </c>
      <c r="K264" s="19" t="s">
        <v>1337</v>
      </c>
      <c r="L264" s="19"/>
      <c r="M264" s="19"/>
      <c r="N264" s="19" t="s">
        <v>1338</v>
      </c>
      <c r="O264" s="143"/>
      <c r="P264" s="143"/>
      <c r="Q264" s="143"/>
      <c r="R264" s="187" t="s">
        <v>1339</v>
      </c>
      <c r="S264" s="144">
        <v>426909</v>
      </c>
      <c r="T264" s="144">
        <v>0</v>
      </c>
      <c r="U264" s="145">
        <v>0</v>
      </c>
      <c r="V264" s="145">
        <v>0</v>
      </c>
      <c r="W264" s="145">
        <v>0</v>
      </c>
      <c r="X264" s="145">
        <f t="shared" si="98"/>
        <v>0</v>
      </c>
      <c r="Y264" s="145">
        <v>0</v>
      </c>
      <c r="Z264" s="145">
        <v>0</v>
      </c>
      <c r="AA264" s="145">
        <v>0</v>
      </c>
      <c r="AB264" s="145">
        <v>0</v>
      </c>
      <c r="AC264" s="145">
        <v>0</v>
      </c>
      <c r="AD264" s="145">
        <v>0</v>
      </c>
      <c r="AE264" s="145">
        <v>0</v>
      </c>
      <c r="AF264" s="145">
        <v>0</v>
      </c>
      <c r="AG264" s="145">
        <v>0</v>
      </c>
      <c r="AH264" s="145">
        <v>0</v>
      </c>
      <c r="AI264" s="145">
        <v>0</v>
      </c>
      <c r="AJ264" s="145">
        <v>0</v>
      </c>
      <c r="AK264" s="145">
        <f t="shared" si="102"/>
        <v>0</v>
      </c>
      <c r="AL264" s="145">
        <v>426909</v>
      </c>
      <c r="AM264" s="145">
        <v>0</v>
      </c>
      <c r="AN264" s="145">
        <v>0</v>
      </c>
      <c r="AO264" s="145">
        <v>0</v>
      </c>
      <c r="AP264" s="145">
        <v>0</v>
      </c>
      <c r="AQ264" s="145">
        <v>0</v>
      </c>
      <c r="AR264" s="145">
        <v>0</v>
      </c>
      <c r="AS264" s="201">
        <f t="shared" si="100"/>
        <v>426909</v>
      </c>
      <c r="AT264" s="201">
        <v>0</v>
      </c>
      <c r="AU264" s="199">
        <f t="shared" si="103"/>
        <v>426909</v>
      </c>
      <c r="AV264" s="146">
        <f>IFERROR(VLOOKUP(J264,Maksājumu_pieprasījumu_iesn.!G:BL,57,0),0)</f>
        <v>0</v>
      </c>
      <c r="AW264" s="139">
        <f t="shared" si="94"/>
        <v>-426909</v>
      </c>
      <c r="AX264" s="200">
        <f t="shared" si="101"/>
        <v>0</v>
      </c>
      <c r="AY264" s="147"/>
      <c r="AZ264" s="147"/>
      <c r="BA264" s="165"/>
      <c r="BB264" s="144"/>
      <c r="BC264" s="144"/>
      <c r="BD264" s="144"/>
      <c r="BE264" s="144"/>
      <c r="BF264" s="144"/>
      <c r="BG264" s="144"/>
      <c r="BH264" s="149"/>
      <c r="BI264" s="149"/>
      <c r="BJ264" s="149"/>
      <c r="BK264" s="149"/>
      <c r="BL264" s="149"/>
      <c r="BM264" s="149"/>
      <c r="BN264" s="149"/>
    </row>
    <row r="265" spans="1:66" s="91" customFormat="1" ht="38.25" hidden="1" customHeight="1" x14ac:dyDescent="0.2">
      <c r="A265" s="150" t="s">
        <v>1185</v>
      </c>
      <c r="B265" s="18" t="s">
        <v>57</v>
      </c>
      <c r="C265" s="18" t="s">
        <v>58</v>
      </c>
      <c r="D265" s="19" t="s">
        <v>569</v>
      </c>
      <c r="E265" s="55">
        <v>3</v>
      </c>
      <c r="F265" s="55" t="s">
        <v>35</v>
      </c>
      <c r="G265" s="55" t="s">
        <v>5</v>
      </c>
      <c r="H265" s="55" t="s">
        <v>3</v>
      </c>
      <c r="I265" s="55"/>
      <c r="J265" s="55"/>
      <c r="K265" s="19" t="s">
        <v>1337</v>
      </c>
      <c r="L265" s="19"/>
      <c r="M265" s="19"/>
      <c r="N265" s="19" t="s">
        <v>1340</v>
      </c>
      <c r="O265" s="151">
        <v>42981</v>
      </c>
      <c r="P265" s="151"/>
      <c r="Q265" s="151"/>
      <c r="R265" s="151"/>
      <c r="S265" s="152">
        <v>99600</v>
      </c>
      <c r="T265" s="152">
        <v>0</v>
      </c>
      <c r="U265" s="145">
        <v>0</v>
      </c>
      <c r="V265" s="145">
        <v>0</v>
      </c>
      <c r="W265" s="145">
        <v>0</v>
      </c>
      <c r="X265" s="145">
        <f t="shared" si="98"/>
        <v>0</v>
      </c>
      <c r="Y265" s="145">
        <v>0</v>
      </c>
      <c r="Z265" s="145">
        <v>0</v>
      </c>
      <c r="AA265" s="145">
        <v>0</v>
      </c>
      <c r="AB265" s="145">
        <v>0</v>
      </c>
      <c r="AC265" s="145">
        <v>0</v>
      </c>
      <c r="AD265" s="145">
        <v>0</v>
      </c>
      <c r="AE265" s="145">
        <v>0</v>
      </c>
      <c r="AF265" s="145">
        <v>0</v>
      </c>
      <c r="AG265" s="145">
        <v>0</v>
      </c>
      <c r="AH265" s="145">
        <v>0</v>
      </c>
      <c r="AI265" s="145">
        <v>0</v>
      </c>
      <c r="AJ265" s="145">
        <v>0</v>
      </c>
      <c r="AK265" s="145">
        <f t="shared" si="102"/>
        <v>0</v>
      </c>
      <c r="AL265" s="145">
        <v>99600</v>
      </c>
      <c r="AM265" s="145">
        <v>0</v>
      </c>
      <c r="AN265" s="145">
        <v>0</v>
      </c>
      <c r="AO265" s="145">
        <v>0</v>
      </c>
      <c r="AP265" s="145">
        <v>0</v>
      </c>
      <c r="AQ265" s="145">
        <v>0</v>
      </c>
      <c r="AR265" s="145">
        <v>0</v>
      </c>
      <c r="AS265" s="201">
        <f t="shared" si="100"/>
        <v>99600</v>
      </c>
      <c r="AT265" s="201"/>
      <c r="AU265" s="199">
        <f t="shared" si="103"/>
        <v>99600</v>
      </c>
      <c r="AV265" s="146">
        <f>IFERROR(VLOOKUP(J265,Maksājumu_pieprasījumu_iesn.!G:BL,57,0),0)</f>
        <v>0</v>
      </c>
      <c r="AW265" s="139">
        <f t="shared" si="94"/>
        <v>-99600</v>
      </c>
      <c r="AX265" s="200">
        <f t="shared" si="101"/>
        <v>0</v>
      </c>
      <c r="AY265" s="153"/>
      <c r="AZ265" s="153"/>
      <c r="BA265" s="136"/>
      <c r="BB265" s="145"/>
      <c r="BC265" s="145"/>
      <c r="BD265" s="145"/>
      <c r="BE265" s="145"/>
      <c r="BF265" s="145"/>
      <c r="BG265" s="145"/>
      <c r="BH265" s="138"/>
      <c r="BI265" s="138"/>
      <c r="BJ265" s="138"/>
      <c r="BK265" s="138"/>
      <c r="BL265" s="138"/>
      <c r="BM265" s="138"/>
      <c r="BN265" s="138"/>
    </row>
    <row r="266" spans="1:66" s="91" customFormat="1" ht="25.5" hidden="1" customHeight="1" x14ac:dyDescent="0.2">
      <c r="A266" s="150" t="s">
        <v>1185</v>
      </c>
      <c r="B266" s="18" t="s">
        <v>57</v>
      </c>
      <c r="C266" s="18" t="s">
        <v>58</v>
      </c>
      <c r="D266" s="19" t="s">
        <v>569</v>
      </c>
      <c r="E266" s="55">
        <v>3</v>
      </c>
      <c r="F266" s="55" t="s">
        <v>35</v>
      </c>
      <c r="G266" s="55" t="s">
        <v>5</v>
      </c>
      <c r="H266" s="55" t="s">
        <v>3</v>
      </c>
      <c r="I266" s="55"/>
      <c r="J266" s="55" t="s">
        <v>1081</v>
      </c>
      <c r="K266" s="19"/>
      <c r="L266" s="19"/>
      <c r="M266" s="19"/>
      <c r="N266" s="19"/>
      <c r="O266" s="151"/>
      <c r="P266" s="151"/>
      <c r="Q266" s="151"/>
      <c r="R266" s="151"/>
      <c r="S266" s="152">
        <f>S212-T212-SUM(S213:S265)</f>
        <v>772730.8599999994</v>
      </c>
      <c r="T266" s="152"/>
      <c r="U266" s="145"/>
      <c r="V266" s="145"/>
      <c r="W266" s="145"/>
      <c r="X266" s="145"/>
      <c r="Y266" s="145"/>
      <c r="Z266" s="145"/>
      <c r="AA266" s="145"/>
      <c r="AB266" s="145"/>
      <c r="AC266" s="145"/>
      <c r="AD266" s="145"/>
      <c r="AE266" s="145"/>
      <c r="AF266" s="145"/>
      <c r="AG266" s="145"/>
      <c r="AH266" s="145"/>
      <c r="AI266" s="145"/>
      <c r="AJ266" s="145"/>
      <c r="AK266" s="145"/>
      <c r="AL266" s="145"/>
      <c r="AM266" s="145"/>
      <c r="AN266" s="145"/>
      <c r="AO266" s="145"/>
      <c r="AP266" s="145"/>
      <c r="AQ266" s="145"/>
      <c r="AR266" s="145"/>
      <c r="AS266" s="201"/>
      <c r="AT266" s="201"/>
      <c r="AU266" s="199"/>
      <c r="AV266" s="146">
        <f>IFERROR(VLOOKUP(J266,Maksājumu_pieprasījumu_iesn.!G:BL,57,0),0)</f>
        <v>0</v>
      </c>
      <c r="AW266" s="139">
        <f t="shared" si="94"/>
        <v>0</v>
      </c>
      <c r="AX266" s="200"/>
      <c r="AY266" s="153">
        <f>S266-T266</f>
        <v>772730.8599999994</v>
      </c>
      <c r="AZ266" s="153"/>
      <c r="BA266" s="138" t="s">
        <v>1341</v>
      </c>
      <c r="BB266" s="145"/>
      <c r="BC266" s="145"/>
      <c r="BD266" s="145"/>
      <c r="BE266" s="145"/>
      <c r="BF266" s="145"/>
      <c r="BG266" s="145"/>
      <c r="BH266" s="138"/>
      <c r="BI266" s="138"/>
      <c r="BJ266" s="138"/>
      <c r="BK266" s="138"/>
      <c r="BL266" s="138"/>
      <c r="BM266" s="138"/>
      <c r="BN266" s="138"/>
    </row>
    <row r="267" spans="1:66" s="91" customFormat="1" hidden="1" x14ac:dyDescent="0.2">
      <c r="A267" s="127" t="s">
        <v>1185</v>
      </c>
      <c r="B267" s="127" t="s">
        <v>612</v>
      </c>
      <c r="C267" s="127" t="s">
        <v>1023</v>
      </c>
      <c r="D267" s="128" t="s">
        <v>614</v>
      </c>
      <c r="E267" s="127"/>
      <c r="F267" s="127"/>
      <c r="G267" s="127" t="s">
        <v>77</v>
      </c>
      <c r="H267" s="127"/>
      <c r="I267" s="127"/>
      <c r="J267" s="127"/>
      <c r="K267" s="128"/>
      <c r="L267" s="128"/>
      <c r="M267" s="128"/>
      <c r="N267" s="128"/>
      <c r="O267" s="163"/>
      <c r="P267" s="163"/>
      <c r="Q267" s="163"/>
      <c r="R267" s="163"/>
      <c r="S267" s="164">
        <f>S268</f>
        <v>9493984</v>
      </c>
      <c r="T267" s="164">
        <f>T268</f>
        <v>590385</v>
      </c>
      <c r="U267" s="164">
        <f>U268</f>
        <v>0</v>
      </c>
      <c r="V267" s="164">
        <f>V268</f>
        <v>0</v>
      </c>
      <c r="W267" s="164">
        <f>W268</f>
        <v>90684.13</v>
      </c>
      <c r="X267" s="129">
        <f>U267+V267+W267</f>
        <v>90684.13</v>
      </c>
      <c r="Y267" s="164">
        <f t="shared" ref="Y267:AT267" si="104">Y268</f>
        <v>97731.3</v>
      </c>
      <c r="Z267" s="164">
        <f t="shared" si="104"/>
        <v>0</v>
      </c>
      <c r="AA267" s="164">
        <f t="shared" si="104"/>
        <v>0</v>
      </c>
      <c r="AB267" s="164">
        <f t="shared" si="104"/>
        <v>0</v>
      </c>
      <c r="AC267" s="164">
        <f t="shared" si="104"/>
        <v>92440.48</v>
      </c>
      <c r="AD267" s="164">
        <f t="shared" si="104"/>
        <v>0</v>
      </c>
      <c r="AE267" s="164">
        <f t="shared" si="104"/>
        <v>311745.46000000002</v>
      </c>
      <c r="AF267" s="164">
        <f t="shared" si="104"/>
        <v>0</v>
      </c>
      <c r="AG267" s="164">
        <f t="shared" si="104"/>
        <v>0</v>
      </c>
      <c r="AH267" s="164">
        <f t="shared" si="104"/>
        <v>566407.87</v>
      </c>
      <c r="AI267" s="164">
        <f t="shared" si="104"/>
        <v>0</v>
      </c>
      <c r="AJ267" s="164">
        <f t="shared" si="104"/>
        <v>0</v>
      </c>
      <c r="AK267" s="164">
        <f t="shared" si="104"/>
        <v>1068325.1099999999</v>
      </c>
      <c r="AL267" s="164">
        <f t="shared" si="104"/>
        <v>2708091.0999999996</v>
      </c>
      <c r="AM267" s="164">
        <f t="shared" si="104"/>
        <v>1534544.32</v>
      </c>
      <c r="AN267" s="164">
        <f t="shared" si="104"/>
        <v>1352232.17</v>
      </c>
      <c r="AO267" s="164">
        <f t="shared" si="104"/>
        <v>1308388.1600000001</v>
      </c>
      <c r="AP267" s="164">
        <f t="shared" si="104"/>
        <v>733692.38</v>
      </c>
      <c r="AQ267" s="164">
        <f t="shared" si="104"/>
        <v>107641.63</v>
      </c>
      <c r="AR267" s="164">
        <f t="shared" si="104"/>
        <v>0</v>
      </c>
      <c r="AS267" s="164">
        <f t="shared" si="104"/>
        <v>8903599</v>
      </c>
      <c r="AT267" s="164">
        <f t="shared" si="104"/>
        <v>0</v>
      </c>
      <c r="AU267" s="183">
        <f t="shared" si="103"/>
        <v>8903599</v>
      </c>
      <c r="AV267" s="146">
        <f>IFERROR(VLOOKUP(J267,Maksājumu_pieprasījumu_iesn.!G:BL,57,0),0)</f>
        <v>0</v>
      </c>
      <c r="AW267" s="139">
        <f t="shared" si="94"/>
        <v>-8903599</v>
      </c>
      <c r="AX267" s="164">
        <f>AX268</f>
        <v>0</v>
      </c>
      <c r="AY267" s="164"/>
      <c r="AZ267" s="164"/>
      <c r="BA267" s="129"/>
      <c r="BB267" s="164">
        <f>BB268</f>
        <v>0</v>
      </c>
      <c r="BC267" s="164">
        <f>BC268</f>
        <v>2513054.7899999996</v>
      </c>
      <c r="BD267" s="164">
        <f>BC267*0.94</f>
        <v>2362271.5025999993</v>
      </c>
      <c r="BE267" s="129">
        <f>BD267/0.85</f>
        <v>2779142.9442352932</v>
      </c>
      <c r="BF267" s="164">
        <f>BF268</f>
        <v>0</v>
      </c>
      <c r="BG267" s="164">
        <f>BG268</f>
        <v>0</v>
      </c>
      <c r="BH267" s="129">
        <f>BH268</f>
        <v>62093.95</v>
      </c>
      <c r="BI267" s="129">
        <f>BI268</f>
        <v>1701845</v>
      </c>
      <c r="BJ267" s="129">
        <f>AK267*0.94</f>
        <v>1004225.6033999998</v>
      </c>
      <c r="BK267" s="129">
        <f>BJ267-BI267</f>
        <v>-697619.39660000021</v>
      </c>
      <c r="BL267" s="129">
        <f>BL268</f>
        <v>2119617.4527578601</v>
      </c>
      <c r="BM267" s="129">
        <f>AL267*0.94</f>
        <v>2545605.6339999996</v>
      </c>
      <c r="BN267" s="129">
        <f>BM267-BL267</f>
        <v>425988.18124213954</v>
      </c>
    </row>
    <row r="268" spans="1:66" s="91" customFormat="1" ht="12.75" hidden="1" customHeight="1" x14ac:dyDescent="0.2">
      <c r="A268" s="131" t="s">
        <v>1185</v>
      </c>
      <c r="B268" s="132" t="s">
        <v>612</v>
      </c>
      <c r="C268" s="132" t="s">
        <v>613</v>
      </c>
      <c r="D268" s="133" t="s">
        <v>614</v>
      </c>
      <c r="E268" s="22" t="s">
        <v>3</v>
      </c>
      <c r="F268" s="22" t="s">
        <v>342</v>
      </c>
      <c r="G268" s="22" t="s">
        <v>77</v>
      </c>
      <c r="H268" s="22" t="s">
        <v>3</v>
      </c>
      <c r="I268" s="22" t="s">
        <v>1022</v>
      </c>
      <c r="J268" s="134" t="s">
        <v>1026</v>
      </c>
      <c r="K268" s="133"/>
      <c r="L268" s="133"/>
      <c r="M268" s="133"/>
      <c r="N268" s="133"/>
      <c r="O268" s="135"/>
      <c r="P268" s="135"/>
      <c r="Q268" s="135"/>
      <c r="R268" s="135"/>
      <c r="S268" s="136">
        <v>9493984</v>
      </c>
      <c r="T268" s="136">
        <v>590385</v>
      </c>
      <c r="U268" s="137">
        <f>SUM(U269)</f>
        <v>0</v>
      </c>
      <c r="V268" s="137">
        <f>SUM(V269)</f>
        <v>0</v>
      </c>
      <c r="W268" s="137">
        <f>SUM(W269)</f>
        <v>90684.13</v>
      </c>
      <c r="X268" s="138">
        <f>U268+V268+W268</f>
        <v>90684.13</v>
      </c>
      <c r="Y268" s="137">
        <f t="shared" ref="Y268:AR268" si="105">SUM(Y269)</f>
        <v>97731.3</v>
      </c>
      <c r="Z268" s="137">
        <f t="shared" si="105"/>
        <v>0</v>
      </c>
      <c r="AA268" s="137">
        <f t="shared" si="105"/>
        <v>0</v>
      </c>
      <c r="AB268" s="137">
        <f t="shared" si="105"/>
        <v>0</v>
      </c>
      <c r="AC268" s="137">
        <f t="shared" si="105"/>
        <v>92440.48</v>
      </c>
      <c r="AD268" s="137">
        <f t="shared" si="105"/>
        <v>0</v>
      </c>
      <c r="AE268" s="137">
        <f t="shared" si="105"/>
        <v>311745.46000000002</v>
      </c>
      <c r="AF268" s="137">
        <f t="shared" si="105"/>
        <v>0</v>
      </c>
      <c r="AG268" s="137">
        <f t="shared" si="105"/>
        <v>0</v>
      </c>
      <c r="AH268" s="137">
        <f t="shared" si="105"/>
        <v>566407.87</v>
      </c>
      <c r="AI268" s="137">
        <f t="shared" si="105"/>
        <v>0</v>
      </c>
      <c r="AJ268" s="137">
        <f t="shared" si="105"/>
        <v>0</v>
      </c>
      <c r="AK268" s="137">
        <f t="shared" si="105"/>
        <v>1068325.1099999999</v>
      </c>
      <c r="AL268" s="137">
        <f t="shared" si="105"/>
        <v>2708091.0999999996</v>
      </c>
      <c r="AM268" s="137">
        <f t="shared" si="105"/>
        <v>1534544.32</v>
      </c>
      <c r="AN268" s="137">
        <f t="shared" si="105"/>
        <v>1352232.17</v>
      </c>
      <c r="AO268" s="137">
        <f t="shared" si="105"/>
        <v>1308388.1600000001</v>
      </c>
      <c r="AP268" s="137">
        <f t="shared" si="105"/>
        <v>733692.38</v>
      </c>
      <c r="AQ268" s="137">
        <f t="shared" si="105"/>
        <v>107641.63</v>
      </c>
      <c r="AR268" s="137">
        <f t="shared" si="105"/>
        <v>0</v>
      </c>
      <c r="AS268" s="137">
        <f>U268+V268+W268+AK268+AL268+AM268+AN268+AO268+AP268+AQ268+AR268</f>
        <v>8903599</v>
      </c>
      <c r="AT268" s="137">
        <f>AT269</f>
        <v>0</v>
      </c>
      <c r="AU268" s="139">
        <f t="shared" si="103"/>
        <v>8903599</v>
      </c>
      <c r="AV268" s="146">
        <f>IFERROR(VLOOKUP(J268,Maksājumu_pieprasījumu_iesn.!G:BL,57,0),0)</f>
        <v>0</v>
      </c>
      <c r="AW268" s="139">
        <f t="shared" si="94"/>
        <v>-8903599</v>
      </c>
      <c r="AX268" s="140">
        <f>S268-T268-AU268</f>
        <v>0</v>
      </c>
      <c r="AY268" s="137"/>
      <c r="AZ268" s="137"/>
      <c r="BA268" s="138"/>
      <c r="BB268" s="140"/>
      <c r="BC268" s="140">
        <f>X268+AK268+AL268/2</f>
        <v>2513054.7899999996</v>
      </c>
      <c r="BD268" s="140"/>
      <c r="BE268" s="140">
        <f>BC268/0.85</f>
        <v>2956535.0470588231</v>
      </c>
      <c r="BF268" s="137"/>
      <c r="BG268" s="137"/>
      <c r="BH268" s="138">
        <v>62093.95</v>
      </c>
      <c r="BI268" s="138">
        <v>1701845</v>
      </c>
      <c r="BJ268" s="138"/>
      <c r="BK268" s="138"/>
      <c r="BL268" s="138">
        <v>2119617.4527578601</v>
      </c>
      <c r="BM268" s="138"/>
      <c r="BN268" s="138"/>
    </row>
    <row r="269" spans="1:66" ht="12.75" hidden="1" customHeight="1" x14ac:dyDescent="0.2">
      <c r="A269" s="142" t="s">
        <v>1185</v>
      </c>
      <c r="B269" s="18" t="s">
        <v>612</v>
      </c>
      <c r="C269" s="18" t="s">
        <v>613</v>
      </c>
      <c r="D269" s="19" t="s">
        <v>614</v>
      </c>
      <c r="E269" s="18">
        <v>1</v>
      </c>
      <c r="F269" s="18" t="s">
        <v>342</v>
      </c>
      <c r="G269" s="18" t="s">
        <v>77</v>
      </c>
      <c r="H269" s="18" t="s">
        <v>3</v>
      </c>
      <c r="I269" s="18"/>
      <c r="J269" s="18" t="s">
        <v>615</v>
      </c>
      <c r="K269" s="19" t="s">
        <v>616</v>
      </c>
      <c r="L269" s="19"/>
      <c r="M269" s="19"/>
      <c r="N269" s="19" t="s">
        <v>617</v>
      </c>
      <c r="O269" s="143"/>
      <c r="P269" s="143"/>
      <c r="Q269" s="143"/>
      <c r="R269" s="143">
        <v>42528</v>
      </c>
      <c r="S269" s="144">
        <v>8903599</v>
      </c>
      <c r="T269" s="144"/>
      <c r="U269" s="224">
        <v>0</v>
      </c>
      <c r="V269" s="224">
        <v>0</v>
      </c>
      <c r="W269" s="224">
        <v>90684.13</v>
      </c>
      <c r="X269" s="145">
        <f>W269+V269+U269</f>
        <v>90684.13</v>
      </c>
      <c r="Y269" s="224">
        <v>97731.3</v>
      </c>
      <c r="Z269" s="224">
        <v>0</v>
      </c>
      <c r="AA269" s="224">
        <v>0</v>
      </c>
      <c r="AB269" s="224">
        <v>0</v>
      </c>
      <c r="AC269" s="224">
        <v>92440.48</v>
      </c>
      <c r="AD269" s="225">
        <v>0</v>
      </c>
      <c r="AE269" s="225">
        <v>311745.46000000002</v>
      </c>
      <c r="AF269" s="224">
        <v>0</v>
      </c>
      <c r="AG269" s="224">
        <v>0</v>
      </c>
      <c r="AH269" s="224">
        <v>566407.87</v>
      </c>
      <c r="AI269" s="224">
        <v>0</v>
      </c>
      <c r="AJ269" s="224">
        <v>0</v>
      </c>
      <c r="AK269" s="224">
        <f>SUM(Y269:AJ269)</f>
        <v>1068325.1099999999</v>
      </c>
      <c r="AL269" s="224">
        <v>2708091.0999999996</v>
      </c>
      <c r="AM269" s="224">
        <v>1534544.32</v>
      </c>
      <c r="AN269" s="224">
        <v>1352232.17</v>
      </c>
      <c r="AO269" s="224">
        <v>1308388.1600000001</v>
      </c>
      <c r="AP269" s="224">
        <v>733692.38</v>
      </c>
      <c r="AQ269" s="224">
        <v>107641.63</v>
      </c>
      <c r="AR269" s="224">
        <v>0</v>
      </c>
      <c r="AS269" s="144">
        <v>8903599</v>
      </c>
      <c r="AT269" s="226">
        <v>0</v>
      </c>
      <c r="AU269" s="146">
        <f t="shared" si="103"/>
        <v>8903599</v>
      </c>
      <c r="AV269" s="146">
        <f>IFERROR(VLOOKUP(J269,Maksājumu_pieprasījumu_iesn.!G:BL,57,0),0)</f>
        <v>0</v>
      </c>
      <c r="AW269" s="139">
        <f t="shared" si="94"/>
        <v>-8903599</v>
      </c>
      <c r="AX269" s="227"/>
      <c r="AY269" s="227"/>
      <c r="AZ269" s="227"/>
      <c r="BA269" s="165"/>
      <c r="BB269" s="226"/>
      <c r="BC269" s="226"/>
      <c r="BD269" s="226"/>
      <c r="BE269" s="226"/>
      <c r="BF269" s="226"/>
      <c r="BG269" s="226"/>
      <c r="BH269" s="149"/>
      <c r="BI269" s="149"/>
      <c r="BJ269" s="149"/>
      <c r="BK269" s="149"/>
      <c r="BL269" s="149"/>
      <c r="BM269" s="149"/>
      <c r="BN269" s="149"/>
    </row>
    <row r="270" spans="1:66" s="91" customFormat="1" ht="25.5" hidden="1" x14ac:dyDescent="0.2">
      <c r="A270" s="127" t="s">
        <v>1185</v>
      </c>
      <c r="B270" s="127" t="s">
        <v>74</v>
      </c>
      <c r="C270" s="127" t="s">
        <v>1023</v>
      </c>
      <c r="D270" s="128" t="s">
        <v>1342</v>
      </c>
      <c r="E270" s="127"/>
      <c r="F270" s="127"/>
      <c r="G270" s="127" t="s">
        <v>77</v>
      </c>
      <c r="H270" s="127"/>
      <c r="I270" s="127"/>
      <c r="J270" s="127"/>
      <c r="K270" s="128"/>
      <c r="L270" s="128"/>
      <c r="M270" s="128"/>
      <c r="N270" s="128"/>
      <c r="O270" s="163"/>
      <c r="P270" s="163"/>
      <c r="Q270" s="163"/>
      <c r="R270" s="163"/>
      <c r="S270" s="164">
        <f>S271+S276</f>
        <v>8569373</v>
      </c>
      <c r="T270" s="164">
        <f>T271+T276</f>
        <v>532888.16757117736</v>
      </c>
      <c r="U270" s="164">
        <f>U271+U276</f>
        <v>0</v>
      </c>
      <c r="V270" s="164">
        <f>V271+V276</f>
        <v>0</v>
      </c>
      <c r="W270" s="164">
        <f>W271+W276</f>
        <v>211512.24000000002</v>
      </c>
      <c r="X270" s="129">
        <f>U270+V270+W270</f>
        <v>211512.24000000002</v>
      </c>
      <c r="Y270" s="164">
        <f t="shared" ref="Y270:AT270" si="106">Y271+Y276</f>
        <v>161463.72999999998</v>
      </c>
      <c r="Z270" s="164">
        <f t="shared" si="106"/>
        <v>97597.98</v>
      </c>
      <c r="AA270" s="164">
        <f t="shared" si="106"/>
        <v>0</v>
      </c>
      <c r="AB270" s="164">
        <f t="shared" si="106"/>
        <v>103535.07</v>
      </c>
      <c r="AC270" s="164">
        <f t="shared" si="106"/>
        <v>54272.12</v>
      </c>
      <c r="AD270" s="164">
        <f t="shared" si="106"/>
        <v>0</v>
      </c>
      <c r="AE270" s="164">
        <f t="shared" si="106"/>
        <v>183836.34000000003</v>
      </c>
      <c r="AF270" s="164">
        <f t="shared" si="106"/>
        <v>116879.25</v>
      </c>
      <c r="AG270" s="164">
        <f t="shared" si="106"/>
        <v>0</v>
      </c>
      <c r="AH270" s="164">
        <f t="shared" si="106"/>
        <v>242399.11999999997</v>
      </c>
      <c r="AI270" s="164">
        <f t="shared" si="106"/>
        <v>128378.05</v>
      </c>
      <c r="AJ270" s="164">
        <f t="shared" si="106"/>
        <v>0</v>
      </c>
      <c r="AK270" s="164">
        <f>AK271+AK276</f>
        <v>1088361.6599999999</v>
      </c>
      <c r="AL270" s="164">
        <f t="shared" si="106"/>
        <v>2743660.86</v>
      </c>
      <c r="AM270" s="164">
        <f t="shared" si="106"/>
        <v>1475540.8900000001</v>
      </c>
      <c r="AN270" s="164">
        <f t="shared" si="106"/>
        <v>1302512.9600000002</v>
      </c>
      <c r="AO270" s="164">
        <f t="shared" si="106"/>
        <v>753357.2</v>
      </c>
      <c r="AP270" s="164">
        <f t="shared" si="106"/>
        <v>458761.33</v>
      </c>
      <c r="AQ270" s="164">
        <f t="shared" si="106"/>
        <v>0</v>
      </c>
      <c r="AR270" s="164">
        <f t="shared" si="106"/>
        <v>0</v>
      </c>
      <c r="AS270" s="164">
        <f>AS271+AS276</f>
        <v>8033707.1400000006</v>
      </c>
      <c r="AT270" s="164">
        <f t="shared" si="106"/>
        <v>0</v>
      </c>
      <c r="AU270" s="183">
        <f>AS270-AT270</f>
        <v>8033707.1400000006</v>
      </c>
      <c r="AV270" s="146">
        <f>IFERROR(VLOOKUP(J270,Maksājumu_pieprasījumu_iesn.!G:BL,57,0),0)</f>
        <v>0</v>
      </c>
      <c r="AW270" s="139">
        <f t="shared" si="94"/>
        <v>-8033707.1400000006</v>
      </c>
      <c r="AX270" s="164">
        <f>AX271+AX276</f>
        <v>2777.6924288219307</v>
      </c>
      <c r="AY270" s="164">
        <f>AY271+AY276</f>
        <v>2778</v>
      </c>
      <c r="AZ270" s="164"/>
      <c r="BA270" s="164"/>
      <c r="BB270" s="164">
        <f>BB271+BB276</f>
        <v>0</v>
      </c>
      <c r="BC270" s="164">
        <f>BC271+BC276</f>
        <v>2671704.33</v>
      </c>
      <c r="BD270" s="164">
        <f>BC270*0.94</f>
        <v>2511402.0702</v>
      </c>
      <c r="BE270" s="129">
        <f>BD270/0.85</f>
        <v>2954590.6708235294</v>
      </c>
      <c r="BF270" s="164">
        <f>BF271+BF276</f>
        <v>0</v>
      </c>
      <c r="BG270" s="164">
        <f>BG271+BG276</f>
        <v>0</v>
      </c>
      <c r="BH270" s="129">
        <f>BH271+BH276</f>
        <v>152014.24</v>
      </c>
      <c r="BI270" s="129">
        <f>BI271+BI276</f>
        <v>1227011.97</v>
      </c>
      <c r="BJ270" s="129">
        <f>AK270*0.94</f>
        <v>1023059.9603999999</v>
      </c>
      <c r="BK270" s="129">
        <f>BJ270-BI270</f>
        <v>-203952.00960000011</v>
      </c>
      <c r="BL270" s="129">
        <f>BL271+BL276</f>
        <v>1588396.986796861</v>
      </c>
      <c r="BM270" s="129">
        <f>AL270*0.94</f>
        <v>2579041.2083999999</v>
      </c>
      <c r="BN270" s="129">
        <f>BM270-BL270</f>
        <v>990644.22160313884</v>
      </c>
    </row>
    <row r="271" spans="1:66" s="91" customFormat="1" ht="63.75" hidden="1" customHeight="1" x14ac:dyDescent="0.2">
      <c r="A271" s="131" t="s">
        <v>1185</v>
      </c>
      <c r="B271" s="132" t="s">
        <v>74</v>
      </c>
      <c r="C271" s="132" t="s">
        <v>75</v>
      </c>
      <c r="D271" s="133" t="s">
        <v>570</v>
      </c>
      <c r="E271" s="22">
        <v>1</v>
      </c>
      <c r="F271" s="22" t="s">
        <v>76</v>
      </c>
      <c r="G271" s="22" t="s">
        <v>77</v>
      </c>
      <c r="H271" s="22" t="s">
        <v>3</v>
      </c>
      <c r="I271" s="22" t="s">
        <v>1022</v>
      </c>
      <c r="J271" s="134" t="s">
        <v>1026</v>
      </c>
      <c r="K271" s="133"/>
      <c r="L271" s="133"/>
      <c r="M271" s="133"/>
      <c r="N271" s="133"/>
      <c r="O271" s="135"/>
      <c r="P271" s="135"/>
      <c r="Q271" s="135"/>
      <c r="R271" s="135"/>
      <c r="S271" s="136">
        <v>7294373</v>
      </c>
      <c r="T271" s="136">
        <v>453602</v>
      </c>
      <c r="U271" s="137">
        <f>SUM(U272:U275)</f>
        <v>0</v>
      </c>
      <c r="V271" s="137">
        <f>SUM(V272:V275)</f>
        <v>0</v>
      </c>
      <c r="W271" s="137">
        <f>SUM(W272:W275)</f>
        <v>211512.24000000002</v>
      </c>
      <c r="X271" s="138">
        <f>U271+V271+W271</f>
        <v>211512.24000000002</v>
      </c>
      <c r="Y271" s="137">
        <f t="shared" ref="Y271:AR271" si="107">SUM(Y272:Y275)</f>
        <v>161463.72999999998</v>
      </c>
      <c r="Z271" s="137">
        <f t="shared" si="107"/>
        <v>97597.98</v>
      </c>
      <c r="AA271" s="137">
        <f t="shared" si="107"/>
        <v>0</v>
      </c>
      <c r="AB271" s="137">
        <f t="shared" si="107"/>
        <v>103535.07</v>
      </c>
      <c r="AC271" s="137">
        <f t="shared" si="107"/>
        <v>54272.12</v>
      </c>
      <c r="AD271" s="137">
        <f t="shared" si="107"/>
        <v>0</v>
      </c>
      <c r="AE271" s="137">
        <f t="shared" si="107"/>
        <v>183836.34000000003</v>
      </c>
      <c r="AF271" s="137">
        <f t="shared" si="107"/>
        <v>116879.25</v>
      </c>
      <c r="AG271" s="137">
        <f t="shared" si="107"/>
        <v>0</v>
      </c>
      <c r="AH271" s="137">
        <f t="shared" si="107"/>
        <v>242399.11999999997</v>
      </c>
      <c r="AI271" s="137">
        <f t="shared" si="107"/>
        <v>128378.05</v>
      </c>
      <c r="AJ271" s="137">
        <f t="shared" si="107"/>
        <v>0</v>
      </c>
      <c r="AK271" s="137">
        <f>SUM(AK272:AK275)</f>
        <v>1088361.6599999999</v>
      </c>
      <c r="AL271" s="137">
        <f t="shared" si="107"/>
        <v>2163828.92</v>
      </c>
      <c r="AM271" s="137">
        <f t="shared" si="107"/>
        <v>1229818.3400000001</v>
      </c>
      <c r="AN271" s="137">
        <f t="shared" si="107"/>
        <v>1056790.4100000001</v>
      </c>
      <c r="AO271" s="137">
        <f t="shared" si="107"/>
        <v>628920.24</v>
      </c>
      <c r="AP271" s="137">
        <f t="shared" si="107"/>
        <v>458761.33</v>
      </c>
      <c r="AQ271" s="137">
        <f t="shared" si="107"/>
        <v>0</v>
      </c>
      <c r="AR271" s="137">
        <f t="shared" si="107"/>
        <v>0</v>
      </c>
      <c r="AS271" s="137">
        <f t="shared" ref="AS271:AS278" si="108">U271+V271+W271+AK271+AL271+AM271+AN271+AO271+AP271+AQ271+AR271</f>
        <v>6837993.1400000006</v>
      </c>
      <c r="AT271" s="137">
        <f>AT272+AT273+AT274+AT275</f>
        <v>0</v>
      </c>
      <c r="AU271" s="139">
        <f>AS271-AT271</f>
        <v>6837993.1400000006</v>
      </c>
      <c r="AV271" s="146">
        <f>IFERROR(VLOOKUP(J271,Maksājumu_pieprasījumu_iesn.!G:BL,57,0),0)</f>
        <v>0</v>
      </c>
      <c r="AW271" s="139">
        <f t="shared" si="94"/>
        <v>-6837993.1400000006</v>
      </c>
      <c r="AX271" s="140">
        <f>S271-T271-AU271</f>
        <v>2777.859999999404</v>
      </c>
      <c r="AY271" s="137">
        <v>2778</v>
      </c>
      <c r="AZ271" s="137"/>
      <c r="BA271" s="138" t="s">
        <v>1343</v>
      </c>
      <c r="BB271" s="140"/>
      <c r="BC271" s="140">
        <f>X271+AK271+AL271/2</f>
        <v>2381788.36</v>
      </c>
      <c r="BD271" s="140"/>
      <c r="BE271" s="140">
        <f>BC271/0.85</f>
        <v>2802103.9529411765</v>
      </c>
      <c r="BF271" s="137"/>
      <c r="BG271" s="137"/>
      <c r="BH271" s="138">
        <v>152014.24</v>
      </c>
      <c r="BI271" s="138">
        <v>1046386.97</v>
      </c>
      <c r="BJ271" s="138"/>
      <c r="BK271" s="138"/>
      <c r="BL271" s="138">
        <v>1342008.61906703</v>
      </c>
      <c r="BM271" s="138"/>
      <c r="BN271" s="138"/>
    </row>
    <row r="272" spans="1:66" s="161" customFormat="1" ht="51" hidden="1" customHeight="1" x14ac:dyDescent="0.2">
      <c r="A272" s="158" t="s">
        <v>1185</v>
      </c>
      <c r="B272" s="20" t="s">
        <v>74</v>
      </c>
      <c r="C272" s="20" t="s">
        <v>75</v>
      </c>
      <c r="D272" s="21" t="s">
        <v>570</v>
      </c>
      <c r="E272" s="20">
        <v>1</v>
      </c>
      <c r="F272" s="20" t="s">
        <v>76</v>
      </c>
      <c r="G272" s="20" t="s">
        <v>77</v>
      </c>
      <c r="H272" s="20" t="s">
        <v>3</v>
      </c>
      <c r="I272" s="20"/>
      <c r="J272" s="20" t="s">
        <v>78</v>
      </c>
      <c r="K272" s="21" t="s">
        <v>79</v>
      </c>
      <c r="L272" s="21"/>
      <c r="M272" s="21"/>
      <c r="N272" s="21" t="s">
        <v>80</v>
      </c>
      <c r="O272" s="159"/>
      <c r="P272" s="159"/>
      <c r="Q272" s="159"/>
      <c r="R272" s="159">
        <v>42375</v>
      </c>
      <c r="S272" s="147">
        <v>3194466.58</v>
      </c>
      <c r="T272" s="147"/>
      <c r="U272" s="153">
        <v>0</v>
      </c>
      <c r="V272" s="153">
        <v>0</v>
      </c>
      <c r="W272" s="153">
        <v>94394.14</v>
      </c>
      <c r="X272" s="153">
        <f>W272+V272+U272</f>
        <v>94394.14</v>
      </c>
      <c r="Y272" s="153">
        <v>107105.81</v>
      </c>
      <c r="Z272" s="153">
        <v>0</v>
      </c>
      <c r="AA272" s="153">
        <v>0</v>
      </c>
      <c r="AB272" s="153">
        <v>55515.86</v>
      </c>
      <c r="AC272" s="153">
        <v>0</v>
      </c>
      <c r="AD272" s="166">
        <v>0</v>
      </c>
      <c r="AE272" s="166">
        <v>128072.09</v>
      </c>
      <c r="AF272" s="153">
        <v>0</v>
      </c>
      <c r="AG272" s="153">
        <v>0</v>
      </c>
      <c r="AH272" s="153">
        <v>139701.26999999999</v>
      </c>
      <c r="AI272" s="153">
        <v>0</v>
      </c>
      <c r="AJ272" s="153">
        <v>0</v>
      </c>
      <c r="AK272" s="153">
        <f>SUM(Y272:AJ272)</f>
        <v>430395.03</v>
      </c>
      <c r="AL272" s="153">
        <v>1107675.8</v>
      </c>
      <c r="AM272" s="153">
        <v>604288.9</v>
      </c>
      <c r="AN272" s="153">
        <v>444469.94</v>
      </c>
      <c r="AO272" s="153">
        <v>311608.39</v>
      </c>
      <c r="AP272" s="153">
        <v>199365.91</v>
      </c>
      <c r="AQ272" s="153">
        <v>0</v>
      </c>
      <c r="AR272" s="153">
        <v>0</v>
      </c>
      <c r="AS272" s="147">
        <f t="shared" si="108"/>
        <v>3192198.1100000003</v>
      </c>
      <c r="AT272" s="147"/>
      <c r="AU272" s="146">
        <f t="shared" si="103"/>
        <v>3192198.1100000003</v>
      </c>
      <c r="AV272" s="146">
        <f>IFERROR(VLOOKUP(J272,Maksājumu_pieprasījumu_iesn.!G:BL,57,0),0)</f>
        <v>0</v>
      </c>
      <c r="AW272" s="139">
        <f t="shared" ref="AW272:AW335" si="109">AV272-AU272</f>
        <v>-3192198.1100000003</v>
      </c>
      <c r="AX272" s="147"/>
      <c r="AY272" s="147"/>
      <c r="AZ272" s="147"/>
      <c r="BA272" s="165" t="s">
        <v>1344</v>
      </c>
      <c r="BB272" s="147"/>
      <c r="BC272" s="147"/>
      <c r="BD272" s="147"/>
      <c r="BE272" s="147"/>
      <c r="BF272" s="147"/>
      <c r="BG272" s="147"/>
      <c r="BH272" s="149"/>
      <c r="BI272" s="149"/>
      <c r="BJ272" s="149"/>
      <c r="BK272" s="149"/>
      <c r="BL272" s="149"/>
      <c r="BM272" s="149"/>
      <c r="BN272" s="149"/>
    </row>
    <row r="273" spans="1:66" s="161" customFormat="1" ht="51" hidden="1" customHeight="1" x14ac:dyDescent="0.2">
      <c r="A273" s="158" t="s">
        <v>1185</v>
      </c>
      <c r="B273" s="20" t="s">
        <v>74</v>
      </c>
      <c r="C273" s="20" t="s">
        <v>75</v>
      </c>
      <c r="D273" s="21" t="s">
        <v>570</v>
      </c>
      <c r="E273" s="20">
        <v>1</v>
      </c>
      <c r="F273" s="20" t="s">
        <v>76</v>
      </c>
      <c r="G273" s="20" t="s">
        <v>77</v>
      </c>
      <c r="H273" s="20" t="s">
        <v>3</v>
      </c>
      <c r="I273" s="20"/>
      <c r="J273" s="20" t="s">
        <v>81</v>
      </c>
      <c r="K273" s="21" t="s">
        <v>79</v>
      </c>
      <c r="L273" s="21"/>
      <c r="M273" s="21"/>
      <c r="N273" s="21" t="s">
        <v>82</v>
      </c>
      <c r="O273" s="159"/>
      <c r="P273" s="159"/>
      <c r="Q273" s="159"/>
      <c r="R273" s="159">
        <v>42375</v>
      </c>
      <c r="S273" s="147">
        <v>2603615.38</v>
      </c>
      <c r="T273" s="147"/>
      <c r="U273" s="153">
        <v>0</v>
      </c>
      <c r="V273" s="153">
        <v>0</v>
      </c>
      <c r="W273" s="153">
        <v>110962.13</v>
      </c>
      <c r="X273" s="153">
        <f>W273+V273+U273</f>
        <v>110962.13</v>
      </c>
      <c r="Y273" s="153">
        <v>0</v>
      </c>
      <c r="Z273" s="153">
        <v>97597.98</v>
      </c>
      <c r="AA273" s="153">
        <v>0</v>
      </c>
      <c r="AB273" s="153">
        <v>0</v>
      </c>
      <c r="AC273" s="153">
        <v>54272.12</v>
      </c>
      <c r="AD273" s="153">
        <v>0</v>
      </c>
      <c r="AE273" s="153">
        <v>0</v>
      </c>
      <c r="AF273" s="420">
        <v>116879.25</v>
      </c>
      <c r="AG273" s="153">
        <v>0</v>
      </c>
      <c r="AH273" s="153">
        <v>0</v>
      </c>
      <c r="AI273" s="153">
        <v>128378.05</v>
      </c>
      <c r="AJ273" s="153">
        <v>0</v>
      </c>
      <c r="AK273" s="153">
        <f>SUM(Y273:AJ273)</f>
        <v>397127.39999999997</v>
      </c>
      <c r="AL273" s="153">
        <v>805342.77</v>
      </c>
      <c r="AM273" s="153">
        <v>447681.39</v>
      </c>
      <c r="AN273" s="153">
        <v>479530.92</v>
      </c>
      <c r="AO273" s="153">
        <v>179192.8</v>
      </c>
      <c r="AP273" s="153">
        <v>183777.72</v>
      </c>
      <c r="AQ273" s="153">
        <v>0</v>
      </c>
      <c r="AR273" s="153">
        <v>0</v>
      </c>
      <c r="AS273" s="147">
        <f t="shared" si="108"/>
        <v>2603615.13</v>
      </c>
      <c r="AT273" s="147">
        <v>0</v>
      </c>
      <c r="AU273" s="146">
        <f>AS273-AT273</f>
        <v>2603615.13</v>
      </c>
      <c r="AV273" s="146">
        <f>IFERROR(VLOOKUP(J273,Maksājumu_pieprasījumu_iesn.!G:BL,57,0),0)</f>
        <v>0</v>
      </c>
      <c r="AW273" s="139">
        <f t="shared" si="109"/>
        <v>-2603615.13</v>
      </c>
      <c r="AX273" s="147"/>
      <c r="AY273" s="147"/>
      <c r="AZ273" s="147"/>
      <c r="BA273" s="165"/>
      <c r="BB273" s="147"/>
      <c r="BC273" s="147"/>
      <c r="BD273" s="147"/>
      <c r="BE273" s="147"/>
      <c r="BF273" s="147"/>
      <c r="BG273" s="147"/>
      <c r="BH273" s="149"/>
      <c r="BI273" s="149"/>
      <c r="BJ273" s="149"/>
      <c r="BK273" s="149"/>
      <c r="BL273" s="149"/>
      <c r="BM273" s="149"/>
      <c r="BN273" s="149"/>
    </row>
    <row r="274" spans="1:66" s="161" customFormat="1" ht="25.5" hidden="1" customHeight="1" x14ac:dyDescent="0.2">
      <c r="A274" s="158" t="s">
        <v>1185</v>
      </c>
      <c r="B274" s="20" t="s">
        <v>74</v>
      </c>
      <c r="C274" s="20" t="s">
        <v>75</v>
      </c>
      <c r="D274" s="21" t="s">
        <v>570</v>
      </c>
      <c r="E274" s="20">
        <v>1</v>
      </c>
      <c r="F274" s="20" t="s">
        <v>76</v>
      </c>
      <c r="G274" s="20" t="s">
        <v>77</v>
      </c>
      <c r="H274" s="20" t="s">
        <v>3</v>
      </c>
      <c r="I274" s="20"/>
      <c r="J274" s="20" t="s">
        <v>83</v>
      </c>
      <c r="K274" s="21" t="s">
        <v>84</v>
      </c>
      <c r="L274" s="21"/>
      <c r="M274" s="21"/>
      <c r="N274" s="21" t="s">
        <v>85</v>
      </c>
      <c r="O274" s="159"/>
      <c r="P274" s="159"/>
      <c r="Q274" s="159"/>
      <c r="R274" s="159">
        <v>42395</v>
      </c>
      <c r="S274" s="147">
        <v>787179.9</v>
      </c>
      <c r="T274" s="147"/>
      <c r="U274" s="153">
        <v>0</v>
      </c>
      <c r="V274" s="153">
        <v>0</v>
      </c>
      <c r="W274" s="153">
        <v>6155.97</v>
      </c>
      <c r="X274" s="153">
        <f>W274+V274+U274</f>
        <v>6155.97</v>
      </c>
      <c r="Y274" s="153">
        <v>54357.919999999998</v>
      </c>
      <c r="Z274" s="153">
        <v>0</v>
      </c>
      <c r="AA274" s="153">
        <v>0</v>
      </c>
      <c r="AB274" s="153">
        <v>48005.61</v>
      </c>
      <c r="AC274" s="153">
        <v>0</v>
      </c>
      <c r="AD274" s="166">
        <v>0</v>
      </c>
      <c r="AE274" s="166">
        <v>36777.800000000003</v>
      </c>
      <c r="AF274" s="153">
        <v>0</v>
      </c>
      <c r="AG274" s="153">
        <v>0</v>
      </c>
      <c r="AH274" s="153">
        <v>72697.95</v>
      </c>
      <c r="AI274" s="153">
        <v>0</v>
      </c>
      <c r="AJ274" s="153">
        <v>0</v>
      </c>
      <c r="AK274" s="153">
        <f>SUM(Y274:AJ274)</f>
        <v>211839.28000000003</v>
      </c>
      <c r="AL274" s="153">
        <v>114510.29999999999</v>
      </c>
      <c r="AM274" s="153">
        <v>121833.05</v>
      </c>
      <c r="AN274" s="153">
        <v>119104.55</v>
      </c>
      <c r="AO274" s="153">
        <v>138119.04999999999</v>
      </c>
      <c r="AP274" s="153">
        <v>75617.7</v>
      </c>
      <c r="AQ274" s="153">
        <v>0</v>
      </c>
      <c r="AR274" s="153">
        <v>0</v>
      </c>
      <c r="AS274" s="147">
        <f t="shared" si="108"/>
        <v>787179.89999999991</v>
      </c>
      <c r="AT274" s="147"/>
      <c r="AU274" s="146">
        <f t="shared" si="103"/>
        <v>787179.89999999991</v>
      </c>
      <c r="AV274" s="146">
        <f>IFERROR(VLOOKUP(J274,Maksājumu_pieprasījumu_iesn.!G:BL,57,0),0)</f>
        <v>0</v>
      </c>
      <c r="AW274" s="139">
        <f t="shared" si="109"/>
        <v>-787179.89999999991</v>
      </c>
      <c r="AX274" s="147"/>
      <c r="AY274" s="147"/>
      <c r="AZ274" s="147"/>
      <c r="BA274" s="165"/>
      <c r="BB274" s="147"/>
      <c r="BC274" s="147"/>
      <c r="BD274" s="147"/>
      <c r="BE274" s="147"/>
      <c r="BF274" s="147"/>
      <c r="BG274" s="147"/>
      <c r="BH274" s="149"/>
      <c r="BI274" s="149"/>
      <c r="BJ274" s="149"/>
      <c r="BK274" s="149"/>
      <c r="BL274" s="149"/>
      <c r="BM274" s="149"/>
      <c r="BN274" s="149"/>
    </row>
    <row r="275" spans="1:66" s="161" customFormat="1" ht="51" hidden="1" customHeight="1" x14ac:dyDescent="0.2">
      <c r="A275" s="158" t="s">
        <v>1185</v>
      </c>
      <c r="B275" s="20" t="s">
        <v>74</v>
      </c>
      <c r="C275" s="20" t="s">
        <v>75</v>
      </c>
      <c r="D275" s="21" t="s">
        <v>570</v>
      </c>
      <c r="E275" s="20">
        <v>1</v>
      </c>
      <c r="F275" s="20" t="s">
        <v>76</v>
      </c>
      <c r="G275" s="20" t="s">
        <v>77</v>
      </c>
      <c r="H275" s="20" t="s">
        <v>3</v>
      </c>
      <c r="I275" s="20"/>
      <c r="J275" s="20" t="s">
        <v>86</v>
      </c>
      <c r="K275" s="21" t="s">
        <v>87</v>
      </c>
      <c r="L275" s="21"/>
      <c r="M275" s="21"/>
      <c r="N275" s="21" t="s">
        <v>88</v>
      </c>
      <c r="O275" s="159"/>
      <c r="P275" s="159"/>
      <c r="Q275" s="159"/>
      <c r="R275" s="159">
        <v>42684</v>
      </c>
      <c r="S275" s="147">
        <v>255000</v>
      </c>
      <c r="T275" s="147"/>
      <c r="U275" s="153">
        <v>0</v>
      </c>
      <c r="V275" s="153">
        <v>0</v>
      </c>
      <c r="W275" s="153">
        <v>0</v>
      </c>
      <c r="X275" s="153">
        <f>W275+V275+U275</f>
        <v>0</v>
      </c>
      <c r="Y275" s="153">
        <v>0</v>
      </c>
      <c r="Z275" s="153">
        <v>0</v>
      </c>
      <c r="AA275" s="153">
        <v>0</v>
      </c>
      <c r="AB275" s="153">
        <v>13.6</v>
      </c>
      <c r="AC275" s="153">
        <v>0</v>
      </c>
      <c r="AD275" s="166">
        <v>0</v>
      </c>
      <c r="AE275" s="166">
        <v>18986.45</v>
      </c>
      <c r="AF275" s="153">
        <v>0</v>
      </c>
      <c r="AG275" s="153">
        <v>0</v>
      </c>
      <c r="AH275" s="153">
        <v>29999.9</v>
      </c>
      <c r="AI275" s="153">
        <v>0</v>
      </c>
      <c r="AJ275" s="153">
        <v>0</v>
      </c>
      <c r="AK275" s="153">
        <f>SUM(Y275:AJ275)</f>
        <v>48999.95</v>
      </c>
      <c r="AL275" s="153">
        <v>136300.04999999999</v>
      </c>
      <c r="AM275" s="153">
        <v>56015</v>
      </c>
      <c r="AN275" s="153">
        <v>13685</v>
      </c>
      <c r="AO275" s="153">
        <v>0</v>
      </c>
      <c r="AP275" s="153">
        <v>0</v>
      </c>
      <c r="AQ275" s="153">
        <v>0</v>
      </c>
      <c r="AR275" s="153">
        <v>0</v>
      </c>
      <c r="AS275" s="147">
        <f t="shared" si="108"/>
        <v>255000</v>
      </c>
      <c r="AT275" s="147"/>
      <c r="AU275" s="146">
        <f t="shared" si="103"/>
        <v>255000</v>
      </c>
      <c r="AV275" s="146">
        <f>IFERROR(VLOOKUP(J275,Maksājumu_pieprasījumu_iesn.!G:BL,57,0),0)</f>
        <v>0</v>
      </c>
      <c r="AW275" s="139">
        <f t="shared" si="109"/>
        <v>-255000</v>
      </c>
      <c r="AX275" s="147"/>
      <c r="AY275" s="147"/>
      <c r="AZ275" s="147"/>
      <c r="BA275" s="165"/>
      <c r="BB275" s="147"/>
      <c r="BC275" s="147"/>
      <c r="BD275" s="147"/>
      <c r="BE275" s="147"/>
      <c r="BF275" s="147"/>
      <c r="BG275" s="147"/>
      <c r="BH275" s="149"/>
      <c r="BI275" s="149"/>
      <c r="BJ275" s="149"/>
      <c r="BK275" s="149"/>
      <c r="BL275" s="149"/>
      <c r="BM275" s="149"/>
      <c r="BN275" s="149"/>
    </row>
    <row r="276" spans="1:66" s="91" customFormat="1" ht="12.75" hidden="1" customHeight="1" x14ac:dyDescent="0.2">
      <c r="A276" s="131" t="s">
        <v>1185</v>
      </c>
      <c r="B276" s="132" t="s">
        <v>74</v>
      </c>
      <c r="C276" s="132" t="s">
        <v>852</v>
      </c>
      <c r="D276" s="133" t="s">
        <v>853</v>
      </c>
      <c r="E276" s="22">
        <v>1</v>
      </c>
      <c r="F276" s="22" t="s">
        <v>76</v>
      </c>
      <c r="G276" s="22" t="s">
        <v>77</v>
      </c>
      <c r="H276" s="22" t="s">
        <v>3</v>
      </c>
      <c r="I276" s="22" t="s">
        <v>1022</v>
      </c>
      <c r="J276" s="134" t="s">
        <v>1026</v>
      </c>
      <c r="K276" s="133"/>
      <c r="L276" s="133"/>
      <c r="M276" s="133"/>
      <c r="N276" s="133"/>
      <c r="O276" s="135"/>
      <c r="P276" s="135"/>
      <c r="Q276" s="135"/>
      <c r="R276" s="135"/>
      <c r="S276" s="136">
        <v>1275000</v>
      </c>
      <c r="T276" s="136">
        <v>79286.167571177386</v>
      </c>
      <c r="U276" s="137">
        <f>SUM(U277:U278)</f>
        <v>0</v>
      </c>
      <c r="V276" s="137">
        <f>SUM(V277:V278)</f>
        <v>0</v>
      </c>
      <c r="W276" s="137">
        <f>SUM(W277:W278)</f>
        <v>0</v>
      </c>
      <c r="X276" s="138">
        <f>U276+V276+W276</f>
        <v>0</v>
      </c>
      <c r="Y276" s="137">
        <f t="shared" ref="Y276:AR276" si="110">SUM(Y277:Y278)</f>
        <v>0</v>
      </c>
      <c r="Z276" s="137">
        <f t="shared" si="110"/>
        <v>0</v>
      </c>
      <c r="AA276" s="137">
        <f t="shared" si="110"/>
        <v>0</v>
      </c>
      <c r="AB276" s="137">
        <f t="shared" si="110"/>
        <v>0</v>
      </c>
      <c r="AC276" s="137">
        <f t="shared" si="110"/>
        <v>0</v>
      </c>
      <c r="AD276" s="137">
        <f t="shared" si="110"/>
        <v>0</v>
      </c>
      <c r="AE276" s="137">
        <f t="shared" si="110"/>
        <v>0</v>
      </c>
      <c r="AF276" s="137">
        <f t="shared" si="110"/>
        <v>0</v>
      </c>
      <c r="AG276" s="137">
        <f t="shared" si="110"/>
        <v>0</v>
      </c>
      <c r="AH276" s="137">
        <f t="shared" si="110"/>
        <v>0</v>
      </c>
      <c r="AI276" s="137">
        <f t="shared" si="110"/>
        <v>0</v>
      </c>
      <c r="AJ276" s="137">
        <f t="shared" si="110"/>
        <v>0</v>
      </c>
      <c r="AK276" s="137">
        <f t="shared" si="110"/>
        <v>0</v>
      </c>
      <c r="AL276" s="137">
        <f t="shared" si="110"/>
        <v>579831.93999999994</v>
      </c>
      <c r="AM276" s="137">
        <f t="shared" si="110"/>
        <v>245722.55</v>
      </c>
      <c r="AN276" s="137">
        <f t="shared" si="110"/>
        <v>245722.55</v>
      </c>
      <c r="AO276" s="137">
        <f t="shared" si="110"/>
        <v>124436.95999999999</v>
      </c>
      <c r="AP276" s="137">
        <f t="shared" si="110"/>
        <v>0</v>
      </c>
      <c r="AQ276" s="137">
        <f t="shared" si="110"/>
        <v>0</v>
      </c>
      <c r="AR276" s="137">
        <f t="shared" si="110"/>
        <v>0</v>
      </c>
      <c r="AS276" s="137">
        <f t="shared" si="108"/>
        <v>1195714</v>
      </c>
      <c r="AT276" s="137">
        <f>AT277+AT278</f>
        <v>0</v>
      </c>
      <c r="AU276" s="139">
        <f t="shared" si="103"/>
        <v>1195714</v>
      </c>
      <c r="AV276" s="146">
        <f>IFERROR(VLOOKUP(J276,Maksājumu_pieprasījumu_iesn.!G:BL,57,0),0)</f>
        <v>0</v>
      </c>
      <c r="AW276" s="139">
        <f t="shared" si="109"/>
        <v>-1195714</v>
      </c>
      <c r="AX276" s="140">
        <f>S276-T276-AU276</f>
        <v>-0.16757117747329175</v>
      </c>
      <c r="AY276" s="137"/>
      <c r="AZ276" s="137"/>
      <c r="BA276" s="138"/>
      <c r="BB276" s="140"/>
      <c r="BC276" s="140">
        <f>X276+AK276+AL276/2</f>
        <v>289915.96999999997</v>
      </c>
      <c r="BD276" s="140"/>
      <c r="BE276" s="140">
        <f>BC276/0.85</f>
        <v>341077.61176470586</v>
      </c>
      <c r="BF276" s="137"/>
      <c r="BG276" s="137"/>
      <c r="BH276" s="138">
        <v>0</v>
      </c>
      <c r="BI276" s="138">
        <v>180625</v>
      </c>
      <c r="BJ276" s="138"/>
      <c r="BK276" s="138"/>
      <c r="BL276" s="138">
        <v>246388.36772983099</v>
      </c>
      <c r="BM276" s="138"/>
      <c r="BN276" s="138"/>
    </row>
    <row r="277" spans="1:66" ht="25.5" hidden="1" customHeight="1" x14ac:dyDescent="0.2">
      <c r="A277" s="142" t="s">
        <v>1185</v>
      </c>
      <c r="B277" s="18" t="s">
        <v>74</v>
      </c>
      <c r="C277" s="18" t="s">
        <v>852</v>
      </c>
      <c r="D277" s="19" t="s">
        <v>853</v>
      </c>
      <c r="E277" s="18">
        <v>1</v>
      </c>
      <c r="F277" s="18" t="s">
        <v>76</v>
      </c>
      <c r="G277" s="18" t="s">
        <v>77</v>
      </c>
      <c r="H277" s="18" t="s">
        <v>3</v>
      </c>
      <c r="I277" s="18"/>
      <c r="J277" s="18" t="s">
        <v>1345</v>
      </c>
      <c r="K277" s="19" t="s">
        <v>320</v>
      </c>
      <c r="L277" s="19"/>
      <c r="M277" s="19"/>
      <c r="N277" s="19" t="s">
        <v>1346</v>
      </c>
      <c r="O277" s="143"/>
      <c r="P277" s="143"/>
      <c r="Q277" s="143"/>
      <c r="R277" s="187" t="s">
        <v>1347</v>
      </c>
      <c r="S277" s="144">
        <v>597857</v>
      </c>
      <c r="T277" s="172"/>
      <c r="U277" s="145">
        <v>0</v>
      </c>
      <c r="V277" s="145">
        <v>0</v>
      </c>
      <c r="W277" s="145">
        <v>0</v>
      </c>
      <c r="X277" s="145">
        <f>W277+V277+U277</f>
        <v>0</v>
      </c>
      <c r="Y277" s="145">
        <v>0</v>
      </c>
      <c r="Z277" s="145">
        <v>0</v>
      </c>
      <c r="AA277" s="145">
        <v>0</v>
      </c>
      <c r="AB277" s="145">
        <v>0</v>
      </c>
      <c r="AC277" s="145">
        <v>0</v>
      </c>
      <c r="AD277" s="145">
        <v>0</v>
      </c>
      <c r="AE277" s="145">
        <v>0</v>
      </c>
      <c r="AF277" s="145">
        <v>0</v>
      </c>
      <c r="AG277" s="145">
        <v>0</v>
      </c>
      <c r="AH277" s="145">
        <v>0</v>
      </c>
      <c r="AI277" s="145">
        <v>0</v>
      </c>
      <c r="AJ277" s="145">
        <v>0</v>
      </c>
      <c r="AK277" s="145">
        <f>SUM(Y277:AJ277)</f>
        <v>0</v>
      </c>
      <c r="AL277" s="145">
        <v>280903.09999999998</v>
      </c>
      <c r="AM277" s="145">
        <v>126151.32</v>
      </c>
      <c r="AN277" s="145">
        <v>126151.32</v>
      </c>
      <c r="AO277" s="145">
        <v>64651.26</v>
      </c>
      <c r="AP277" s="145">
        <v>0</v>
      </c>
      <c r="AQ277" s="145">
        <v>0</v>
      </c>
      <c r="AR277" s="145">
        <v>0</v>
      </c>
      <c r="AS277" s="144">
        <f t="shared" si="108"/>
        <v>597857</v>
      </c>
      <c r="AT277" s="144"/>
      <c r="AU277" s="146">
        <f t="shared" si="103"/>
        <v>597857</v>
      </c>
      <c r="AV277" s="146">
        <f>IFERROR(VLOOKUP(J277,Maksājumu_pieprasījumu_iesn.!G:BL,57,0),0)</f>
        <v>0</v>
      </c>
      <c r="AW277" s="139">
        <f t="shared" si="109"/>
        <v>-597857</v>
      </c>
      <c r="AX277" s="147"/>
      <c r="AY277" s="147"/>
      <c r="AZ277" s="147"/>
      <c r="BA277" s="165"/>
      <c r="BB277" s="144"/>
      <c r="BC277" s="144"/>
      <c r="BD277" s="144"/>
      <c r="BE277" s="144"/>
      <c r="BF277" s="144"/>
      <c r="BG277" s="144"/>
      <c r="BH277" s="149"/>
      <c r="BI277" s="149"/>
      <c r="BJ277" s="149"/>
      <c r="BK277" s="149"/>
      <c r="BL277" s="149"/>
      <c r="BM277" s="149"/>
      <c r="BN277" s="149"/>
    </row>
    <row r="278" spans="1:66" ht="51" hidden="1" customHeight="1" x14ac:dyDescent="0.2">
      <c r="A278" s="142" t="s">
        <v>1185</v>
      </c>
      <c r="B278" s="18" t="s">
        <v>74</v>
      </c>
      <c r="C278" s="18" t="s">
        <v>852</v>
      </c>
      <c r="D278" s="19" t="s">
        <v>853</v>
      </c>
      <c r="E278" s="18">
        <v>1</v>
      </c>
      <c r="F278" s="18" t="s">
        <v>76</v>
      </c>
      <c r="G278" s="18" t="s">
        <v>77</v>
      </c>
      <c r="H278" s="18" t="s">
        <v>3</v>
      </c>
      <c r="I278" s="18"/>
      <c r="J278" s="18" t="s">
        <v>772</v>
      </c>
      <c r="K278" s="19" t="s">
        <v>854</v>
      </c>
      <c r="L278" s="19"/>
      <c r="M278" s="19"/>
      <c r="N278" s="19" t="s">
        <v>855</v>
      </c>
      <c r="O278" s="143"/>
      <c r="P278" s="143"/>
      <c r="Q278" s="143"/>
      <c r="R278" s="187" t="s">
        <v>1347</v>
      </c>
      <c r="S278" s="144">
        <v>597857</v>
      </c>
      <c r="T278" s="172"/>
      <c r="U278" s="145">
        <v>0</v>
      </c>
      <c r="V278" s="145">
        <v>0</v>
      </c>
      <c r="W278" s="145">
        <v>0</v>
      </c>
      <c r="X278" s="145">
        <f>W278+V278+U278</f>
        <v>0</v>
      </c>
      <c r="Y278" s="145">
        <v>0</v>
      </c>
      <c r="Z278" s="145">
        <v>0</v>
      </c>
      <c r="AA278" s="145">
        <v>0</v>
      </c>
      <c r="AB278" s="145">
        <v>0</v>
      </c>
      <c r="AC278" s="145">
        <v>0</v>
      </c>
      <c r="AD278" s="145">
        <v>0</v>
      </c>
      <c r="AE278" s="145">
        <v>0</v>
      </c>
      <c r="AF278" s="145">
        <v>0</v>
      </c>
      <c r="AG278" s="145">
        <v>0</v>
      </c>
      <c r="AH278" s="145">
        <v>0</v>
      </c>
      <c r="AI278" s="145">
        <v>0</v>
      </c>
      <c r="AJ278" s="145">
        <v>0</v>
      </c>
      <c r="AK278" s="145">
        <f>SUM(Y278:AJ278)</f>
        <v>0</v>
      </c>
      <c r="AL278" s="145">
        <v>298928.84000000003</v>
      </c>
      <c r="AM278" s="145">
        <v>119571.23</v>
      </c>
      <c r="AN278" s="145">
        <v>119571.23</v>
      </c>
      <c r="AO278" s="145">
        <v>59785.7</v>
      </c>
      <c r="AP278" s="145">
        <v>0</v>
      </c>
      <c r="AQ278" s="145">
        <v>0</v>
      </c>
      <c r="AR278" s="145">
        <v>0</v>
      </c>
      <c r="AS278" s="144">
        <f t="shared" si="108"/>
        <v>597857</v>
      </c>
      <c r="AT278" s="144"/>
      <c r="AU278" s="146">
        <f t="shared" si="103"/>
        <v>597857</v>
      </c>
      <c r="AV278" s="146">
        <f>IFERROR(VLOOKUP(J278,Maksājumu_pieprasījumu_iesn.!G:BL,57,0),0)</f>
        <v>0</v>
      </c>
      <c r="AW278" s="139">
        <f t="shared" si="109"/>
        <v>-597857</v>
      </c>
      <c r="AX278" s="147"/>
      <c r="AY278" s="147"/>
      <c r="AZ278" s="147"/>
      <c r="BA278" s="165"/>
      <c r="BB278" s="144"/>
      <c r="BC278" s="144"/>
      <c r="BD278" s="144"/>
      <c r="BE278" s="144"/>
      <c r="BF278" s="144"/>
      <c r="BG278" s="144"/>
      <c r="BH278" s="149"/>
      <c r="BI278" s="149"/>
      <c r="BJ278" s="149"/>
      <c r="BK278" s="149"/>
      <c r="BL278" s="149"/>
      <c r="BM278" s="149"/>
      <c r="BN278" s="149"/>
    </row>
    <row r="279" spans="1:66" s="91" customFormat="1" ht="12.75" hidden="1" customHeight="1" x14ac:dyDescent="0.2">
      <c r="A279" s="190" t="s">
        <v>1348</v>
      </c>
      <c r="B279" s="120" t="s">
        <v>1020</v>
      </c>
      <c r="C279" s="121" t="s">
        <v>5</v>
      </c>
      <c r="D279" s="122" t="s">
        <v>1349</v>
      </c>
      <c r="E279" s="121"/>
      <c r="F279" s="121"/>
      <c r="G279" s="121" t="s">
        <v>5</v>
      </c>
      <c r="H279" s="121"/>
      <c r="I279" s="121"/>
      <c r="J279" s="123"/>
      <c r="K279" s="191"/>
      <c r="L279" s="191"/>
      <c r="M279" s="191"/>
      <c r="N279" s="191"/>
      <c r="O279" s="192"/>
      <c r="P279" s="192"/>
      <c r="Q279" s="192"/>
      <c r="R279" s="228"/>
      <c r="S279" s="125">
        <f>S281+S348+S503</f>
        <v>301649077.61000001</v>
      </c>
      <c r="T279" s="125">
        <f>T281+T348+T503</f>
        <v>16947849.460685808</v>
      </c>
      <c r="U279" s="125">
        <f>U281+U348+U503</f>
        <v>0</v>
      </c>
      <c r="V279" s="125">
        <f>V281+V348+V503</f>
        <v>0</v>
      </c>
      <c r="W279" s="125">
        <f>W281+W348+W503</f>
        <v>17789.87</v>
      </c>
      <c r="X279" s="125">
        <f>U279+V279+W279</f>
        <v>17789.87</v>
      </c>
      <c r="Y279" s="125">
        <f t="shared" ref="Y279:AY279" si="111">Y281+Y348+Y503</f>
        <v>0</v>
      </c>
      <c r="Z279" s="125">
        <f t="shared" si="111"/>
        <v>0</v>
      </c>
      <c r="AA279" s="125">
        <f t="shared" si="111"/>
        <v>0</v>
      </c>
      <c r="AB279" s="125">
        <f t="shared" si="111"/>
        <v>11050</v>
      </c>
      <c r="AC279" s="125">
        <f t="shared" si="111"/>
        <v>0</v>
      </c>
      <c r="AD279" s="125">
        <f t="shared" si="111"/>
        <v>404552.17000000004</v>
      </c>
      <c r="AE279" s="125">
        <f t="shared" si="111"/>
        <v>599157.80999999994</v>
      </c>
      <c r="AF279" s="125">
        <f t="shared" si="111"/>
        <v>31533.75</v>
      </c>
      <c r="AG279" s="125">
        <f t="shared" si="111"/>
        <v>1015866.8200000001</v>
      </c>
      <c r="AH279" s="125">
        <f t="shared" si="111"/>
        <v>786823.99</v>
      </c>
      <c r="AI279" s="125">
        <f t="shared" si="111"/>
        <v>5716773</v>
      </c>
      <c r="AJ279" s="125">
        <f t="shared" si="111"/>
        <v>1514740.76</v>
      </c>
      <c r="AK279" s="125">
        <f>AK281+AK348+AK503</f>
        <v>10080498.300000001</v>
      </c>
      <c r="AL279" s="125">
        <f t="shared" si="111"/>
        <v>63692030.299999997</v>
      </c>
      <c r="AM279" s="125">
        <f t="shared" si="111"/>
        <v>22774560.57</v>
      </c>
      <c r="AN279" s="125">
        <f t="shared" si="111"/>
        <v>33781718.769999996</v>
      </c>
      <c r="AO279" s="125">
        <f t="shared" si="111"/>
        <v>32238425.990000002</v>
      </c>
      <c r="AP279" s="125">
        <f t="shared" si="111"/>
        <v>14393282.550000001</v>
      </c>
      <c r="AQ279" s="125">
        <f t="shared" si="111"/>
        <v>14646177.16</v>
      </c>
      <c r="AR279" s="125">
        <f t="shared" si="111"/>
        <v>790</v>
      </c>
      <c r="AS279" s="125">
        <f>AS281+AS348+AS503</f>
        <v>191625273.50999999</v>
      </c>
      <c r="AT279" s="125">
        <f t="shared" si="111"/>
        <v>1757487</v>
      </c>
      <c r="AU279" s="125">
        <f>AU281+AU348+AU503</f>
        <v>189867786.50999999</v>
      </c>
      <c r="AV279" s="146">
        <f>IFERROR(VLOOKUP(J279,Maksājumu_pieprasījumu_iesn.!G:BL,57,0),0)</f>
        <v>0</v>
      </c>
      <c r="AW279" s="139">
        <f t="shared" si="109"/>
        <v>-189867786.50999999</v>
      </c>
      <c r="AX279" s="125">
        <f>AX281+AX348+AX503</f>
        <v>94833441.639314204</v>
      </c>
      <c r="AY279" s="125">
        <f t="shared" si="111"/>
        <v>93924306.190105438</v>
      </c>
      <c r="AZ279" s="125"/>
      <c r="BA279" s="179"/>
      <c r="BB279" s="125">
        <v>83872951</v>
      </c>
      <c r="BC279" s="125">
        <f>BC281+BC348+BC503</f>
        <v>41944303.319999993</v>
      </c>
      <c r="BD279" s="125">
        <f>BD281+BD348+BD503</f>
        <v>36072100.8552</v>
      </c>
      <c r="BE279" s="125">
        <f>BE281+BE348+BE503</f>
        <v>42437765.711999997</v>
      </c>
      <c r="BF279" s="125">
        <f t="shared" ref="BF279:BN279" si="112">BF281+BF348+BF503</f>
        <v>0</v>
      </c>
      <c r="BG279" s="125">
        <f t="shared" si="112"/>
        <v>0</v>
      </c>
      <c r="BH279" s="125">
        <f t="shared" si="112"/>
        <v>4731810.26</v>
      </c>
      <c r="BI279" s="125">
        <f t="shared" si="112"/>
        <v>21144110.98620389</v>
      </c>
      <c r="BJ279" s="125">
        <f>BJ281+BJ348+BJ503</f>
        <v>8669228.5379999988</v>
      </c>
      <c r="BK279" s="125">
        <f>BK281+BK348+BK503</f>
        <v>-12474882.448203892</v>
      </c>
      <c r="BL279" s="125">
        <f t="shared" si="112"/>
        <v>49548526.700473219</v>
      </c>
      <c r="BM279" s="125">
        <f t="shared" si="112"/>
        <v>54775146.057999991</v>
      </c>
      <c r="BN279" s="125">
        <f t="shared" si="112"/>
        <v>5226619.3575267727</v>
      </c>
    </row>
    <row r="280" spans="1:66" s="91" customFormat="1" ht="12.75" hidden="1" customHeight="1" x14ac:dyDescent="0.2">
      <c r="A280" s="190" t="s">
        <v>1348</v>
      </c>
      <c r="B280" s="120" t="s">
        <v>1020</v>
      </c>
      <c r="C280" s="121" t="s">
        <v>102</v>
      </c>
      <c r="D280" s="122" t="s">
        <v>1349</v>
      </c>
      <c r="E280" s="121"/>
      <c r="F280" s="121"/>
      <c r="G280" s="121" t="s">
        <v>102</v>
      </c>
      <c r="H280" s="121"/>
      <c r="I280" s="121"/>
      <c r="J280" s="123"/>
      <c r="K280" s="191"/>
      <c r="L280" s="191"/>
      <c r="M280" s="191"/>
      <c r="N280" s="191"/>
      <c r="O280" s="192"/>
      <c r="P280" s="192"/>
      <c r="Q280" s="192"/>
      <c r="R280" s="228"/>
      <c r="S280" s="125">
        <f>S506</f>
        <v>108516768</v>
      </c>
      <c r="T280" s="125">
        <f t="shared" ref="T280:AY280" si="113">T506</f>
        <v>6713574.1033218056</v>
      </c>
      <c r="U280" s="125">
        <f t="shared" si="113"/>
        <v>0</v>
      </c>
      <c r="V280" s="125">
        <f t="shared" si="113"/>
        <v>0</v>
      </c>
      <c r="W280" s="125">
        <f t="shared" si="113"/>
        <v>0</v>
      </c>
      <c r="X280" s="125">
        <f t="shared" si="113"/>
        <v>0</v>
      </c>
      <c r="Y280" s="125">
        <f t="shared" si="113"/>
        <v>0</v>
      </c>
      <c r="Z280" s="125">
        <f t="shared" si="113"/>
        <v>0</v>
      </c>
      <c r="AA280" s="125">
        <f t="shared" si="113"/>
        <v>0</v>
      </c>
      <c r="AB280" s="125">
        <f t="shared" si="113"/>
        <v>0</v>
      </c>
      <c r="AC280" s="125">
        <f t="shared" si="113"/>
        <v>0</v>
      </c>
      <c r="AD280" s="125">
        <f t="shared" si="113"/>
        <v>0</v>
      </c>
      <c r="AE280" s="125">
        <f t="shared" si="113"/>
        <v>737452.41</v>
      </c>
      <c r="AF280" s="125">
        <f t="shared" si="113"/>
        <v>0</v>
      </c>
      <c r="AG280" s="125">
        <f t="shared" si="113"/>
        <v>625959</v>
      </c>
      <c r="AH280" s="125">
        <f t="shared" si="113"/>
        <v>947797.13</v>
      </c>
      <c r="AI280" s="125">
        <f t="shared" si="113"/>
        <v>717660</v>
      </c>
      <c r="AJ280" s="125">
        <f t="shared" si="113"/>
        <v>2188693</v>
      </c>
      <c r="AK280" s="125">
        <f t="shared" si="113"/>
        <v>5217561.54</v>
      </c>
      <c r="AL280" s="125">
        <f t="shared" si="113"/>
        <v>32365324.859999999</v>
      </c>
      <c r="AM280" s="125">
        <f t="shared" si="113"/>
        <v>23565309.599999998</v>
      </c>
      <c r="AN280" s="125">
        <f t="shared" si="113"/>
        <v>20172945.419999998</v>
      </c>
      <c r="AO280" s="125">
        <f t="shared" si="113"/>
        <v>16161192.699999999</v>
      </c>
      <c r="AP280" s="125">
        <f t="shared" si="113"/>
        <v>4320452.7</v>
      </c>
      <c r="AQ280" s="125">
        <f t="shared" si="113"/>
        <v>0</v>
      </c>
      <c r="AR280" s="125">
        <f t="shared" si="113"/>
        <v>0</v>
      </c>
      <c r="AS280" s="125">
        <f t="shared" si="113"/>
        <v>101802786.82000001</v>
      </c>
      <c r="AT280" s="125">
        <f t="shared" si="113"/>
        <v>5023293.6500000004</v>
      </c>
      <c r="AU280" s="125">
        <f t="shared" si="113"/>
        <v>96779493.170000002</v>
      </c>
      <c r="AV280" s="146">
        <f>IFERROR(VLOOKUP(J280,Maksājumu_pieprasījumu_iesn.!G:BL,57,0),0)</f>
        <v>0</v>
      </c>
      <c r="AW280" s="139">
        <f t="shared" si="109"/>
        <v>-96779493.170000002</v>
      </c>
      <c r="AX280" s="125">
        <f t="shared" si="113"/>
        <v>5023700.7266781926</v>
      </c>
      <c r="AY280" s="125">
        <f t="shared" si="113"/>
        <v>407.18126257508993</v>
      </c>
      <c r="AZ280" s="125"/>
      <c r="BA280" s="179"/>
      <c r="BB280" s="125">
        <v>31678051</v>
      </c>
      <c r="BC280" s="125">
        <f>BC506</f>
        <v>21400223.969999999</v>
      </c>
      <c r="BD280" s="125">
        <f t="shared" ref="BD280:BN280" si="114">BD506</f>
        <v>17762185.895099998</v>
      </c>
      <c r="BE280" s="125">
        <f t="shared" si="114"/>
        <v>20896689.28835294</v>
      </c>
      <c r="BF280" s="125">
        <f t="shared" si="114"/>
        <v>0</v>
      </c>
      <c r="BG280" s="125">
        <f t="shared" si="114"/>
        <v>0</v>
      </c>
      <c r="BH280" s="125">
        <f>BH506</f>
        <v>0</v>
      </c>
      <c r="BI280" s="125">
        <f t="shared" si="114"/>
        <v>3700000</v>
      </c>
      <c r="BJ280" s="125">
        <f t="shared" si="114"/>
        <v>4330576.0781999994</v>
      </c>
      <c r="BK280" s="125">
        <f t="shared" si="114"/>
        <v>630576.07819999941</v>
      </c>
      <c r="BL280" s="125">
        <f t="shared" si="114"/>
        <v>26301738.836611021</v>
      </c>
      <c r="BM280" s="125">
        <f t="shared" si="114"/>
        <v>26863219.6338</v>
      </c>
      <c r="BN280" s="125">
        <f t="shared" si="114"/>
        <v>561480.79718897864</v>
      </c>
    </row>
    <row r="281" spans="1:66" s="91" customFormat="1" ht="25.5" hidden="1" x14ac:dyDescent="0.2">
      <c r="A281" s="127" t="s">
        <v>1348</v>
      </c>
      <c r="B281" s="127" t="s">
        <v>89</v>
      </c>
      <c r="C281" s="127" t="s">
        <v>1023</v>
      </c>
      <c r="D281" s="128" t="s">
        <v>1350</v>
      </c>
      <c r="E281" s="127"/>
      <c r="F281" s="127"/>
      <c r="G281" s="127" t="s">
        <v>5</v>
      </c>
      <c r="H281" s="127"/>
      <c r="I281" s="127"/>
      <c r="J281" s="127"/>
      <c r="K281" s="128"/>
      <c r="L281" s="128"/>
      <c r="M281" s="128"/>
      <c r="N281" s="128"/>
      <c r="O281" s="163"/>
      <c r="P281" s="163"/>
      <c r="Q281" s="163"/>
      <c r="R281" s="229"/>
      <c r="S281" s="129">
        <f>S282+S288</f>
        <v>247857972</v>
      </c>
      <c r="T281" s="129">
        <f>T282+T288</f>
        <v>14600370.839894567</v>
      </c>
      <c r="U281" s="129">
        <f>U282+U288</f>
        <v>0</v>
      </c>
      <c r="V281" s="129">
        <f>V282+V288</f>
        <v>0</v>
      </c>
      <c r="W281" s="129">
        <f>W282+W288</f>
        <v>0</v>
      </c>
      <c r="X281" s="129">
        <f>U281+V281+W281</f>
        <v>0</v>
      </c>
      <c r="Y281" s="129">
        <f t="shared" ref="Y281:AT281" si="115">Y282+Y288</f>
        <v>0</v>
      </c>
      <c r="Z281" s="129">
        <f t="shared" si="115"/>
        <v>0</v>
      </c>
      <c r="AA281" s="129">
        <f t="shared" si="115"/>
        <v>0</v>
      </c>
      <c r="AB281" s="129">
        <f t="shared" si="115"/>
        <v>0</v>
      </c>
      <c r="AC281" s="129">
        <f t="shared" si="115"/>
        <v>0</v>
      </c>
      <c r="AD281" s="129">
        <f t="shared" si="115"/>
        <v>404552.17000000004</v>
      </c>
      <c r="AE281" s="129">
        <f t="shared" si="115"/>
        <v>128057.20999999999</v>
      </c>
      <c r="AF281" s="129">
        <f t="shared" si="115"/>
        <v>31533.75</v>
      </c>
      <c r="AG281" s="129">
        <f t="shared" si="115"/>
        <v>0</v>
      </c>
      <c r="AH281" s="129">
        <f t="shared" si="115"/>
        <v>518074.62</v>
      </c>
      <c r="AI281" s="129">
        <f t="shared" si="115"/>
        <v>0</v>
      </c>
      <c r="AJ281" s="129">
        <f t="shared" si="115"/>
        <v>0</v>
      </c>
      <c r="AK281" s="129">
        <f>AK282+AK288</f>
        <v>1082217.75</v>
      </c>
      <c r="AL281" s="129">
        <f t="shared" si="115"/>
        <v>31653810.259999998</v>
      </c>
      <c r="AM281" s="129">
        <f t="shared" si="115"/>
        <v>13204189.060000001</v>
      </c>
      <c r="AN281" s="129">
        <f t="shared" si="115"/>
        <v>32230433.550000001</v>
      </c>
      <c r="AO281" s="129">
        <f t="shared" si="115"/>
        <v>32129075.48</v>
      </c>
      <c r="AP281" s="129">
        <f t="shared" si="115"/>
        <v>14393282.550000001</v>
      </c>
      <c r="AQ281" s="129">
        <f t="shared" si="115"/>
        <v>14646177.16</v>
      </c>
      <c r="AR281" s="129">
        <f t="shared" si="115"/>
        <v>790</v>
      </c>
      <c r="AS281" s="129">
        <f>AS282+AS288</f>
        <v>139339975.81</v>
      </c>
      <c r="AT281" s="129">
        <f t="shared" si="115"/>
        <v>0</v>
      </c>
      <c r="AU281" s="183">
        <f>AS281-AT281</f>
        <v>139339975.81</v>
      </c>
      <c r="AV281" s="146">
        <f>IFERROR(VLOOKUP(J281,Maksājumu_pieprasījumu_iesn.!G:BL,57,0),0)</f>
        <v>0</v>
      </c>
      <c r="AW281" s="139">
        <f t="shared" si="109"/>
        <v>-139339975.81</v>
      </c>
      <c r="AX281" s="129">
        <f>AX282+AX288</f>
        <v>93917625.350105435</v>
      </c>
      <c r="AY281" s="129">
        <f>AY282+AY288</f>
        <v>93924306.190105438</v>
      </c>
      <c r="AZ281" s="129"/>
      <c r="BA281" s="164"/>
      <c r="BB281" s="129">
        <f>BB282+BB288</f>
        <v>0</v>
      </c>
      <c r="BC281" s="129">
        <f>BC282+BC288</f>
        <v>16909122.879999999</v>
      </c>
      <c r="BD281" s="164">
        <f>BC281*0.86</f>
        <v>14541845.6768</v>
      </c>
      <c r="BE281" s="129">
        <f>BD281/0.85</f>
        <v>17108053.737411764</v>
      </c>
      <c r="BF281" s="129">
        <f>BF282+BF288</f>
        <v>0</v>
      </c>
      <c r="BG281" s="129">
        <f>BG282+BG288</f>
        <v>0</v>
      </c>
      <c r="BH281" s="129">
        <f>BH282+BH288</f>
        <v>4714020.3899999997</v>
      </c>
      <c r="BI281" s="129">
        <f>BI282+BI288</f>
        <v>15265220.58678226</v>
      </c>
      <c r="BJ281" s="129">
        <f>AK281*0.86</f>
        <v>930707.26500000001</v>
      </c>
      <c r="BK281" s="129">
        <f>BJ281-BI281</f>
        <v>-14334513.321782259</v>
      </c>
      <c r="BL281" s="129">
        <f>BL282+BL288</f>
        <v>39277591.711412996</v>
      </c>
      <c r="BM281" s="129">
        <f>AL281*0.86</f>
        <v>27222276.823599998</v>
      </c>
      <c r="BN281" s="129">
        <f>BM281-BL281</f>
        <v>-12055314.887812998</v>
      </c>
    </row>
    <row r="282" spans="1:66" s="91" customFormat="1" ht="76.5" hidden="1" customHeight="1" x14ac:dyDescent="0.2">
      <c r="A282" s="131" t="s">
        <v>1348</v>
      </c>
      <c r="B282" s="132" t="s">
        <v>89</v>
      </c>
      <c r="C282" s="132" t="s">
        <v>90</v>
      </c>
      <c r="D282" s="133" t="s">
        <v>571</v>
      </c>
      <c r="E282" s="22" t="s">
        <v>3</v>
      </c>
      <c r="F282" s="22" t="s">
        <v>11</v>
      </c>
      <c r="G282" s="22" t="s">
        <v>5</v>
      </c>
      <c r="H282" s="22" t="s">
        <v>3</v>
      </c>
      <c r="I282" s="22" t="s">
        <v>1022</v>
      </c>
      <c r="J282" s="134" t="s">
        <v>1026</v>
      </c>
      <c r="K282" s="133"/>
      <c r="L282" s="133"/>
      <c r="M282" s="133"/>
      <c r="N282" s="133"/>
      <c r="O282" s="135"/>
      <c r="P282" s="135"/>
      <c r="Q282" s="135"/>
      <c r="R282" s="135"/>
      <c r="S282" s="136">
        <v>150000000</v>
      </c>
      <c r="T282" s="136">
        <v>8631500</v>
      </c>
      <c r="U282" s="137">
        <f t="shared" ref="U282:AR282" si="116">U284+U286</f>
        <v>0</v>
      </c>
      <c r="V282" s="137">
        <f t="shared" si="116"/>
        <v>0</v>
      </c>
      <c r="W282" s="137">
        <f t="shared" si="116"/>
        <v>0</v>
      </c>
      <c r="X282" s="137">
        <f t="shared" si="116"/>
        <v>0</v>
      </c>
      <c r="Y282" s="137">
        <f t="shared" si="116"/>
        <v>0</v>
      </c>
      <c r="Z282" s="137">
        <f t="shared" si="116"/>
        <v>0</v>
      </c>
      <c r="AA282" s="137">
        <f t="shared" si="116"/>
        <v>0</v>
      </c>
      <c r="AB282" s="137">
        <f t="shared" si="116"/>
        <v>0</v>
      </c>
      <c r="AC282" s="137">
        <f t="shared" si="116"/>
        <v>0</v>
      </c>
      <c r="AD282" s="137">
        <f t="shared" si="116"/>
        <v>404552.17000000004</v>
      </c>
      <c r="AE282" s="137">
        <f t="shared" si="116"/>
        <v>128057.20999999999</v>
      </c>
      <c r="AF282" s="137">
        <f t="shared" si="116"/>
        <v>0</v>
      </c>
      <c r="AG282" s="137">
        <f t="shared" si="116"/>
        <v>0</v>
      </c>
      <c r="AH282" s="137">
        <f t="shared" si="116"/>
        <v>518074.62</v>
      </c>
      <c r="AI282" s="137">
        <f t="shared" si="116"/>
        <v>0</v>
      </c>
      <c r="AJ282" s="137">
        <f t="shared" si="116"/>
        <v>0</v>
      </c>
      <c r="AK282" s="137">
        <f t="shared" si="116"/>
        <v>1050684</v>
      </c>
      <c r="AL282" s="137">
        <f t="shared" si="116"/>
        <v>26150984.52</v>
      </c>
      <c r="AM282" s="137">
        <f t="shared" si="116"/>
        <v>12737519.84</v>
      </c>
      <c r="AN282" s="137">
        <f t="shared" si="116"/>
        <v>31753303.039999999</v>
      </c>
      <c r="AO282" s="137">
        <f t="shared" si="116"/>
        <v>32129075.48</v>
      </c>
      <c r="AP282" s="137">
        <f t="shared" si="116"/>
        <v>14393282.550000001</v>
      </c>
      <c r="AQ282" s="137">
        <f t="shared" si="116"/>
        <v>14646177.16</v>
      </c>
      <c r="AR282" s="137">
        <f t="shared" si="116"/>
        <v>790</v>
      </c>
      <c r="AS282" s="137">
        <f>U282+V282+W282+AK282+AL282+AM282+AN282+AO282+AP282+AQ282+AR282</f>
        <v>132861816.59</v>
      </c>
      <c r="AT282" s="137">
        <f>AT284+AT286</f>
        <v>0</v>
      </c>
      <c r="AU282" s="139">
        <f t="shared" si="103"/>
        <v>132861816.59</v>
      </c>
      <c r="AV282" s="146">
        <f>IFERROR(VLOOKUP(J282,Maksājumu_pieprasījumu_iesn.!G:BL,57,0),0)</f>
        <v>0</v>
      </c>
      <c r="AW282" s="139">
        <f t="shared" si="109"/>
        <v>-132861816.59</v>
      </c>
      <c r="AX282" s="140">
        <f>S282-T282-AU282</f>
        <v>8506683.4099999964</v>
      </c>
      <c r="AY282" s="137">
        <f>SUM(AY283:AY286)</f>
        <v>8513365</v>
      </c>
      <c r="AZ282" s="137"/>
      <c r="BA282" s="138" t="s">
        <v>1351</v>
      </c>
      <c r="BB282" s="140"/>
      <c r="BC282" s="140">
        <f>X282+AK282+AL282/2</f>
        <v>14126176.26</v>
      </c>
      <c r="BD282" s="140"/>
      <c r="BE282" s="140">
        <f>BC282/0.85</f>
        <v>16619030.894117648</v>
      </c>
      <c r="BF282" s="137"/>
      <c r="BG282" s="137"/>
      <c r="BH282" s="138">
        <v>4714020.3899999997</v>
      </c>
      <c r="BI282" s="138">
        <v>11978928.3787395</v>
      </c>
      <c r="BJ282" s="138"/>
      <c r="BK282" s="138"/>
      <c r="BL282" s="138">
        <v>21129529.4325433</v>
      </c>
      <c r="BM282" s="138"/>
      <c r="BN282" s="138"/>
    </row>
    <row r="283" spans="1:66" ht="25.5" hidden="1" customHeight="1" x14ac:dyDescent="0.2">
      <c r="A283" s="131" t="s">
        <v>1348</v>
      </c>
      <c r="B283" s="132" t="s">
        <v>89</v>
      </c>
      <c r="C283" s="132" t="s">
        <v>90</v>
      </c>
      <c r="D283" s="133" t="s">
        <v>571</v>
      </c>
      <c r="E283" s="22" t="s">
        <v>3</v>
      </c>
      <c r="F283" s="22" t="s">
        <v>11</v>
      </c>
      <c r="G283" s="22" t="s">
        <v>5</v>
      </c>
      <c r="H283" s="22" t="s">
        <v>3</v>
      </c>
      <c r="I283" s="22" t="s">
        <v>1022</v>
      </c>
      <c r="J283" s="132" t="s">
        <v>1081</v>
      </c>
      <c r="K283" s="133"/>
      <c r="L283" s="133"/>
      <c r="M283" s="133"/>
      <c r="N283" s="133"/>
      <c r="O283" s="230"/>
      <c r="P283" s="230"/>
      <c r="Q283" s="230"/>
      <c r="R283" s="230"/>
      <c r="S283" s="165">
        <f>S282-S284-S286</f>
        <v>17138183.409999996</v>
      </c>
      <c r="T283" s="165">
        <f>T282</f>
        <v>8631500</v>
      </c>
      <c r="U283" s="137"/>
      <c r="V283" s="137"/>
      <c r="W283" s="137"/>
      <c r="X283" s="145">
        <f>W283+V283+U283</f>
        <v>0</v>
      </c>
      <c r="Y283" s="137"/>
      <c r="Z283" s="137"/>
      <c r="AA283" s="137"/>
      <c r="AB283" s="137"/>
      <c r="AC283" s="137"/>
      <c r="AD283" s="137"/>
      <c r="AE283" s="137"/>
      <c r="AF283" s="137"/>
      <c r="AG283" s="137"/>
      <c r="AH283" s="137"/>
      <c r="AI283" s="137"/>
      <c r="AJ283" s="137"/>
      <c r="AK283" s="137"/>
      <c r="AL283" s="137"/>
      <c r="AM283" s="137"/>
      <c r="AN283" s="137"/>
      <c r="AO283" s="137"/>
      <c r="AP283" s="137"/>
      <c r="AQ283" s="137"/>
      <c r="AR283" s="137"/>
      <c r="AS283" s="165"/>
      <c r="AT283" s="165"/>
      <c r="AU283" s="146">
        <f t="shared" si="103"/>
        <v>0</v>
      </c>
      <c r="AV283" s="146">
        <f>IFERROR(VLOOKUP(J283,Maksājumu_pieprasījumu_iesn.!G:BL,57,0),0)</f>
        <v>0</v>
      </c>
      <c r="AW283" s="139">
        <f t="shared" si="109"/>
        <v>0</v>
      </c>
      <c r="AX283" s="165"/>
      <c r="AY283" s="165">
        <v>8506683</v>
      </c>
      <c r="AZ283" s="165"/>
      <c r="BA283" s="149" t="s">
        <v>1352</v>
      </c>
      <c r="BB283" s="231"/>
      <c r="BC283" s="231"/>
      <c r="BD283" s="231"/>
      <c r="BE283" s="231"/>
      <c r="BF283" s="165"/>
      <c r="BG283" s="165"/>
      <c r="BH283" s="149"/>
      <c r="BI283" s="149"/>
      <c r="BJ283" s="149"/>
      <c r="BK283" s="149"/>
      <c r="BL283" s="149"/>
      <c r="BM283" s="149"/>
      <c r="BN283" s="149"/>
    </row>
    <row r="284" spans="1:66" ht="38.25" hidden="1" customHeight="1" x14ac:dyDescent="0.2">
      <c r="A284" s="142" t="s">
        <v>1348</v>
      </c>
      <c r="B284" s="18" t="s">
        <v>89</v>
      </c>
      <c r="C284" s="18" t="s">
        <v>90</v>
      </c>
      <c r="D284" s="19" t="s">
        <v>571</v>
      </c>
      <c r="E284" s="18" t="s">
        <v>3</v>
      </c>
      <c r="F284" s="18" t="s">
        <v>11</v>
      </c>
      <c r="G284" s="18" t="s">
        <v>5</v>
      </c>
      <c r="H284" s="18" t="s">
        <v>3</v>
      </c>
      <c r="I284" s="18"/>
      <c r="J284" s="18" t="s">
        <v>91</v>
      </c>
      <c r="K284" s="19" t="s">
        <v>49</v>
      </c>
      <c r="L284" s="19"/>
      <c r="M284" s="19"/>
      <c r="N284" s="19" t="s">
        <v>92</v>
      </c>
      <c r="O284" s="143"/>
      <c r="P284" s="143"/>
      <c r="Q284" s="143"/>
      <c r="R284" s="143">
        <v>42627</v>
      </c>
      <c r="S284" s="144">
        <v>25500000</v>
      </c>
      <c r="T284" s="144"/>
      <c r="U284" s="145">
        <v>0</v>
      </c>
      <c r="V284" s="145">
        <v>0</v>
      </c>
      <c r="W284" s="145">
        <v>0</v>
      </c>
      <c r="X284" s="145">
        <f>W284+V284+U284</f>
        <v>0</v>
      </c>
      <c r="Y284" s="145">
        <v>0</v>
      </c>
      <c r="Z284" s="145">
        <v>0</v>
      </c>
      <c r="AA284" s="145">
        <v>0</v>
      </c>
      <c r="AB284" s="145">
        <v>0</v>
      </c>
      <c r="AC284" s="145">
        <v>0</v>
      </c>
      <c r="AD284" s="153">
        <v>55457.89</v>
      </c>
      <c r="AE284" s="153">
        <v>34658.67</v>
      </c>
      <c r="AF284" s="145">
        <v>0</v>
      </c>
      <c r="AG284" s="145">
        <v>0</v>
      </c>
      <c r="AH284" s="145">
        <v>182087.62</v>
      </c>
      <c r="AI284" s="145">
        <v>0</v>
      </c>
      <c r="AJ284" s="145">
        <v>0</v>
      </c>
      <c r="AK284" s="145">
        <f>SUM(Y284:AJ284)</f>
        <v>272204.18</v>
      </c>
      <c r="AL284" s="145">
        <v>3258148.77</v>
      </c>
      <c r="AM284" s="145">
        <v>1832037.28</v>
      </c>
      <c r="AN284" s="145">
        <v>3072134.29</v>
      </c>
      <c r="AO284" s="145">
        <v>2762110.48</v>
      </c>
      <c r="AP284" s="145">
        <v>579538.55000000005</v>
      </c>
      <c r="AQ284" s="145">
        <v>13723036.449999999</v>
      </c>
      <c r="AR284" s="145">
        <v>790</v>
      </c>
      <c r="AS284" s="144">
        <f>U284+V284+W284+AK284+AL284+AM284+AN284+AO284+AP284+AQ284+AR284</f>
        <v>25500000</v>
      </c>
      <c r="AT284" s="144">
        <v>0</v>
      </c>
      <c r="AU284" s="146">
        <f t="shared" si="103"/>
        <v>25500000</v>
      </c>
      <c r="AV284" s="146" t="str">
        <f>IFERROR(VLOOKUP(J284,Maksājumu_pieprasījumu_iesn.!G:BL,57,0),0)</f>
        <v xml:space="preserve">Š.g. septembrī Altum iesniedza precizētas prognozes, ar kurām samazināti izpildes plāni. Kavējuma iemesli ir skatāmi kopā ar ALTUM īstenotā projekta "Atbalsts daudzdzīvokļu dzīvojamo māju energoefektivitātes paaugstināšanas pasākumu īstenošanai daudzdzīvokļu māju dzīvokļu īpašniekiem" īstenošanu kavējošiem faktoriem. Kā arī aizdevumu  izsniegšanā nav sākotnēji prognozētās intensitātes, jo  komercbankas aktīvi  kreditē  lielāko daļu projektu.  Aizdevumiem plānotais finansējums varētu tikt novirzīts garantijām vai grantiem gadījumā, ja bankas turpina kreditēt  projektus un Altum aizdevumi nebūs nepieciešami.  </v>
      </c>
      <c r="AW284" s="139" t="e">
        <f t="shared" si="109"/>
        <v>#VALUE!</v>
      </c>
      <c r="AX284" s="147">
        <f>S284-T284-(AS284-AT284)</f>
        <v>0</v>
      </c>
      <c r="AY284" s="147"/>
      <c r="AZ284" s="147"/>
      <c r="BA284" s="165"/>
      <c r="BB284" s="144"/>
      <c r="BC284" s="194">
        <v>4713874.3499999996</v>
      </c>
      <c r="BD284" s="144"/>
      <c r="BE284" s="144"/>
      <c r="BF284" s="144"/>
      <c r="BG284" s="144"/>
      <c r="BH284" s="149"/>
      <c r="BI284" s="149"/>
      <c r="BJ284" s="149"/>
      <c r="BK284" s="149"/>
      <c r="BL284" s="149"/>
      <c r="BM284" s="149"/>
      <c r="BN284" s="149"/>
    </row>
    <row r="285" spans="1:66" ht="38.25" hidden="1" customHeight="1" x14ac:dyDescent="0.2">
      <c r="A285" s="142" t="s">
        <v>1348</v>
      </c>
      <c r="B285" s="18" t="s">
        <v>89</v>
      </c>
      <c r="C285" s="18" t="s">
        <v>90</v>
      </c>
      <c r="D285" s="19" t="s">
        <v>571</v>
      </c>
      <c r="E285" s="18" t="s">
        <v>3</v>
      </c>
      <c r="F285" s="18" t="s">
        <v>11</v>
      </c>
      <c r="G285" s="18" t="s">
        <v>5</v>
      </c>
      <c r="H285" s="18" t="s">
        <v>3</v>
      </c>
      <c r="I285" s="18"/>
      <c r="J285" s="18" t="s">
        <v>91</v>
      </c>
      <c r="K285" s="19" t="s">
        <v>49</v>
      </c>
      <c r="L285" s="19"/>
      <c r="M285" s="19"/>
      <c r="N285" s="19" t="s">
        <v>92</v>
      </c>
      <c r="O285" s="143"/>
      <c r="P285" s="143"/>
      <c r="Q285" s="143"/>
      <c r="R285" s="143" t="s">
        <v>880</v>
      </c>
      <c r="S285" s="144"/>
      <c r="T285" s="144"/>
      <c r="U285" s="145"/>
      <c r="V285" s="145"/>
      <c r="W285" s="145">
        <v>4713874.3499999996</v>
      </c>
      <c r="X285" s="145">
        <v>4713874.3499999996</v>
      </c>
      <c r="Y285" s="145"/>
      <c r="Z285" s="145"/>
      <c r="AA285" s="145"/>
      <c r="AB285" s="145"/>
      <c r="AC285" s="145"/>
      <c r="AD285" s="145"/>
      <c r="AE285" s="145"/>
      <c r="AF285" s="145"/>
      <c r="AG285" s="145"/>
      <c r="AH285" s="145"/>
      <c r="AI285" s="145"/>
      <c r="AJ285" s="145"/>
      <c r="AK285" s="145"/>
      <c r="AL285" s="145">
        <v>6355500</v>
      </c>
      <c r="AM285" s="145"/>
      <c r="AN285" s="145"/>
      <c r="AO285" s="145">
        <v>6355500</v>
      </c>
      <c r="AP285" s="145">
        <v>0</v>
      </c>
      <c r="AQ285" s="145"/>
      <c r="AR285" s="145"/>
      <c r="AS285" s="86">
        <v>0</v>
      </c>
      <c r="AT285" s="144">
        <f>U285+V285+W285+AK285+AL285+AM285+AN285+AO285+AP285+AQ285+AR285</f>
        <v>17424874.350000001</v>
      </c>
      <c r="AU285" s="146"/>
      <c r="AV285" s="146" t="str">
        <f>IFERROR(VLOOKUP(J285,Maksājumu_pieprasījumu_iesn.!G:BL,57,0),0)</f>
        <v xml:space="preserve">Š.g. septembrī Altum iesniedza precizētas prognozes, ar kurām samazināti izpildes plāni. Kavējuma iemesli ir skatāmi kopā ar ALTUM īstenotā projekta "Atbalsts daudzdzīvokļu dzīvojamo māju energoefektivitātes paaugstināšanas pasākumu īstenošanai daudzdzīvokļu māju dzīvokļu īpašniekiem" īstenošanu kavējošiem faktoriem. Kā arī aizdevumu  izsniegšanā nav sākotnēji prognozētās intensitātes, jo  komercbankas aktīvi  kreditē  lielāko daļu projektu.  Aizdevumiem plānotais finansējums varētu tikt novirzīts garantijām vai grantiem gadījumā, ja bankas turpina kreditēt  projektus un Altum aizdevumi nebūs nepieciešami.  </v>
      </c>
      <c r="AW285" s="139" t="e">
        <f t="shared" si="109"/>
        <v>#VALUE!</v>
      </c>
      <c r="AX285" s="147"/>
      <c r="AY285" s="147"/>
      <c r="AZ285" s="147"/>
      <c r="BA285" s="165"/>
      <c r="BB285" s="144"/>
      <c r="BC285" s="194"/>
      <c r="BD285" s="144"/>
      <c r="BE285" s="144"/>
      <c r="BF285" s="144"/>
      <c r="BG285" s="144"/>
      <c r="BH285" s="149"/>
      <c r="BI285" s="149"/>
      <c r="BJ285" s="149"/>
      <c r="BK285" s="149"/>
      <c r="BL285" s="149"/>
      <c r="BM285" s="149"/>
      <c r="BN285" s="149"/>
    </row>
    <row r="286" spans="1:66" ht="63.75" hidden="1" customHeight="1" x14ac:dyDescent="0.2">
      <c r="A286" s="142" t="s">
        <v>1348</v>
      </c>
      <c r="B286" s="18" t="s">
        <v>89</v>
      </c>
      <c r="C286" s="18" t="s">
        <v>90</v>
      </c>
      <c r="D286" s="19" t="s">
        <v>571</v>
      </c>
      <c r="E286" s="18" t="s">
        <v>3</v>
      </c>
      <c r="F286" s="18" t="s">
        <v>11</v>
      </c>
      <c r="G286" s="18" t="s">
        <v>5</v>
      </c>
      <c r="H286" s="18" t="s">
        <v>3</v>
      </c>
      <c r="I286" s="18"/>
      <c r="J286" s="18" t="s">
        <v>93</v>
      </c>
      <c r="K286" s="19" t="s">
        <v>49</v>
      </c>
      <c r="L286" s="19"/>
      <c r="M286" s="19"/>
      <c r="N286" s="19" t="s">
        <v>94</v>
      </c>
      <c r="O286" s="143"/>
      <c r="P286" s="143"/>
      <c r="Q286" s="143"/>
      <c r="R286" s="143">
        <v>42627</v>
      </c>
      <c r="S286" s="144">
        <v>107361816.59</v>
      </c>
      <c r="T286" s="144"/>
      <c r="U286" s="145">
        <v>0</v>
      </c>
      <c r="V286" s="145">
        <v>0</v>
      </c>
      <c r="W286" s="145">
        <v>0</v>
      </c>
      <c r="X286" s="145">
        <f>W286+V286+U286</f>
        <v>0</v>
      </c>
      <c r="Y286" s="145">
        <v>0</v>
      </c>
      <c r="Z286" s="145">
        <v>0</v>
      </c>
      <c r="AA286" s="145"/>
      <c r="AB286" s="145">
        <v>0</v>
      </c>
      <c r="AC286" s="145">
        <v>0</v>
      </c>
      <c r="AD286" s="153">
        <v>349094.28</v>
      </c>
      <c r="AE286" s="153">
        <v>93398.54</v>
      </c>
      <c r="AF286" s="145">
        <v>0</v>
      </c>
      <c r="AG286" s="145">
        <v>0</v>
      </c>
      <c r="AH286" s="145">
        <v>335987</v>
      </c>
      <c r="AI286" s="145">
        <v>0</v>
      </c>
      <c r="AJ286" s="145">
        <v>0</v>
      </c>
      <c r="AK286" s="145">
        <f>SUM(Y286:AJ286)</f>
        <v>778479.82000000007</v>
      </c>
      <c r="AL286" s="145">
        <v>22892835.75</v>
      </c>
      <c r="AM286" s="145">
        <v>10905482.560000001</v>
      </c>
      <c r="AN286" s="145">
        <v>28681168.75</v>
      </c>
      <c r="AO286" s="145">
        <v>29366965</v>
      </c>
      <c r="AP286" s="145">
        <v>13813744</v>
      </c>
      <c r="AQ286" s="145">
        <v>923140.71</v>
      </c>
      <c r="AR286" s="145">
        <v>0</v>
      </c>
      <c r="AS286" s="144">
        <f>U286+V286+W286+AK286+AL286+AM286+AN286+AO286+AP286+AQ286+AR286</f>
        <v>107361816.58999999</v>
      </c>
      <c r="AT286" s="144"/>
      <c r="AU286" s="146">
        <f t="shared" si="103"/>
        <v>107361816.58999999</v>
      </c>
      <c r="AV286" s="146" t="str">
        <f>IFERROR(VLOOKUP(J286,Maksājumu_pieprasījumu_iesn.!G:BL,57,0),0)</f>
        <v>Š.g. 1.septembrī ALTUM ir iesniedzis precizētu plānoto maksājumu plūsmas prognozi - 2017.gada mērķi netiks sasniegti, kā arī ir risks snieguma mērķa sasniegšanai 2018.gadā. ALTUM skaidro, ka snieguma rezerves apjoms tika noteikts un iekļauts sākotnējā biznesa plānā, nerēķinoties ar to, ka faktiskā aizkavēšanās programmas MK noteikumu izstrādē bija 2 gadi. Atbilstoši pašreizējai pieredzei periods līdz būvkomersanta rēķinu apmaksas pabeigšanai ir vidēji 12 mēneši no pozitīva ALTUM atzinuma saņemšanas. Ņemot vērā šobrīd iesniegto projektu, kuriem sniegts pozitīvs atzinums, skaitu un aktuālo projektu realizācijas pieredzi, tika aktualizēta maksājumu pieprasījumos iekļauto izmaksu prognoze.
Pēdējo mēnešu laikā veikta būtiska programma realizācijas uzlabošana, kas saistīta gan ar projektu pieteicēju izglītošanu, kas rezultējas kvalitatīvākos pieteikumos, gan dokumentu procesa vienkāršošanu, tomēr arī turpmāk kopā ar Ekonomikas ministriju, Finanšu ministriju un Centrālo finanšu un līgumu aģentūru tiek analizētas iespējas uzlabot programmas realizāciju.</v>
      </c>
      <c r="AW286" s="139" t="e">
        <f t="shared" si="109"/>
        <v>#VALUE!</v>
      </c>
      <c r="AX286" s="147">
        <f>S286-T286-(AS286-AT286)</f>
        <v>0</v>
      </c>
      <c r="AY286" s="147">
        <v>6682</v>
      </c>
      <c r="AZ286" s="147"/>
      <c r="BA286" s="149" t="s">
        <v>1353</v>
      </c>
      <c r="BB286" s="144"/>
      <c r="BC286" s="140">
        <f>X286+AK286+AL286/2</f>
        <v>12224897.695</v>
      </c>
      <c r="BD286" s="144"/>
      <c r="BE286" s="144"/>
      <c r="BF286" s="144"/>
      <c r="BG286" s="144"/>
      <c r="BH286" s="149"/>
      <c r="BI286" s="149"/>
      <c r="BJ286" s="149"/>
      <c r="BK286" s="149"/>
      <c r="BL286" s="149"/>
      <c r="BM286" s="149"/>
      <c r="BN286" s="149"/>
    </row>
    <row r="287" spans="1:66" ht="63.75" hidden="1" customHeight="1" x14ac:dyDescent="0.2">
      <c r="A287" s="142" t="s">
        <v>1348</v>
      </c>
      <c r="B287" s="18" t="s">
        <v>89</v>
      </c>
      <c r="C287" s="18" t="s">
        <v>90</v>
      </c>
      <c r="D287" s="19" t="s">
        <v>571</v>
      </c>
      <c r="E287" s="18" t="s">
        <v>3</v>
      </c>
      <c r="F287" s="18" t="s">
        <v>11</v>
      </c>
      <c r="G287" s="18" t="s">
        <v>5</v>
      </c>
      <c r="H287" s="18" t="s">
        <v>3</v>
      </c>
      <c r="I287" s="18"/>
      <c r="J287" s="18" t="s">
        <v>93</v>
      </c>
      <c r="K287" s="19" t="s">
        <v>49</v>
      </c>
      <c r="L287" s="19"/>
      <c r="M287" s="19"/>
      <c r="N287" s="19" t="s">
        <v>94</v>
      </c>
      <c r="O287" s="143"/>
      <c r="P287" s="143"/>
      <c r="Q287" s="143"/>
      <c r="R287" s="143" t="s">
        <v>880</v>
      </c>
      <c r="S287" s="144"/>
      <c r="T287" s="144"/>
      <c r="U287" s="145"/>
      <c r="V287" s="145"/>
      <c r="W287" s="145"/>
      <c r="X287" s="145">
        <f>W287+V287+U287</f>
        <v>0</v>
      </c>
      <c r="Y287" s="145"/>
      <c r="Z287" s="145"/>
      <c r="AA287" s="145"/>
      <c r="AB287" s="145"/>
      <c r="AC287" s="145">
        <v>0</v>
      </c>
      <c r="AD287" s="145"/>
      <c r="AE287" s="145"/>
      <c r="AF287" s="145"/>
      <c r="AG287" s="145">
        <v>1791576.25</v>
      </c>
      <c r="AH287" s="145">
        <v>0</v>
      </c>
      <c r="AI287" s="144"/>
      <c r="AJ287" s="145"/>
      <c r="AK287" s="145">
        <f>SUM(Y287:AJ287)</f>
        <v>1791576.25</v>
      </c>
      <c r="AL287" s="145">
        <v>21437246.5</v>
      </c>
      <c r="AM287" s="145">
        <v>14777839.060000001</v>
      </c>
      <c r="AN287" s="145">
        <v>31918765</v>
      </c>
      <c r="AO287" s="145">
        <v>27740192.5</v>
      </c>
      <c r="AP287" s="145">
        <v>9154582.5</v>
      </c>
      <c r="AQ287" s="145">
        <v>41058.46</v>
      </c>
      <c r="AR287" s="145"/>
      <c r="AS287" s="82">
        <f>SUBTOTAL(9,AK287:AR287)</f>
        <v>0</v>
      </c>
      <c r="AT287" s="144">
        <f>U287+V287+W287+AK287+AL287+AM287+AN287+AO287+AP287+AQ287+AR287</f>
        <v>106861260.27</v>
      </c>
      <c r="AU287" s="146"/>
      <c r="AV287" s="146" t="str">
        <f>IFERROR(VLOOKUP(J287,Maksājumu_pieprasījumu_iesn.!G:BL,57,0),0)</f>
        <v>Š.g. 1.septembrī ALTUM ir iesniedzis precizētu plānoto maksājumu plūsmas prognozi - 2017.gada mērķi netiks sasniegti, kā arī ir risks snieguma mērķa sasniegšanai 2018.gadā. ALTUM skaidro, ka snieguma rezerves apjoms tika noteikts un iekļauts sākotnējā biznesa plānā, nerēķinoties ar to, ka faktiskā aizkavēšanās programmas MK noteikumu izstrādē bija 2 gadi. Atbilstoši pašreizējai pieredzei periods līdz būvkomersanta rēķinu apmaksas pabeigšanai ir vidēji 12 mēneši no pozitīva ALTUM atzinuma saņemšanas. Ņemot vērā šobrīd iesniegto projektu, kuriem sniegts pozitīvs atzinums, skaitu un aktuālo projektu realizācijas pieredzi, tika aktualizēta maksājumu pieprasījumos iekļauto izmaksu prognoze.
Pēdējo mēnešu laikā veikta būtiska programma realizācijas uzlabošana, kas saistīta gan ar projektu pieteicēju izglītošanu, kas rezultējas kvalitatīvākos pieteikumos, gan dokumentu procesa vienkāršošanu, tomēr arī turpmāk kopā ar Ekonomikas ministriju, Finanšu ministriju un Centrālo finanšu un līgumu aģentūru tiek analizētas iespējas uzlabot programmas realizāciju.</v>
      </c>
      <c r="AW287" s="139" t="e">
        <f t="shared" si="109"/>
        <v>#VALUE!</v>
      </c>
      <c r="AX287" s="147"/>
      <c r="AY287" s="147"/>
      <c r="AZ287" s="147"/>
      <c r="BA287" s="149"/>
      <c r="BB287" s="144"/>
      <c r="BC287" s="140"/>
      <c r="BD287" s="144"/>
      <c r="BE287" s="144"/>
      <c r="BF287" s="144"/>
      <c r="BG287" s="144"/>
      <c r="BH287" s="149"/>
      <c r="BI287" s="149"/>
      <c r="BJ287" s="149"/>
      <c r="BK287" s="149"/>
      <c r="BL287" s="149"/>
      <c r="BM287" s="149"/>
      <c r="BN287" s="149"/>
    </row>
    <row r="288" spans="1:66" s="91" customFormat="1" ht="25.5" hidden="1" customHeight="1" x14ac:dyDescent="0.2">
      <c r="A288" s="131" t="s">
        <v>1348</v>
      </c>
      <c r="B288" s="132" t="s">
        <v>89</v>
      </c>
      <c r="C288" s="132" t="s">
        <v>846</v>
      </c>
      <c r="D288" s="133" t="s">
        <v>847</v>
      </c>
      <c r="E288" s="22" t="s">
        <v>3</v>
      </c>
      <c r="F288" s="22" t="s">
        <v>11</v>
      </c>
      <c r="G288" s="22" t="s">
        <v>5</v>
      </c>
      <c r="H288" s="22" t="s">
        <v>3</v>
      </c>
      <c r="I288" s="22" t="s">
        <v>1022</v>
      </c>
      <c r="J288" s="134" t="s">
        <v>1026</v>
      </c>
      <c r="K288" s="133"/>
      <c r="L288" s="133"/>
      <c r="M288" s="133"/>
      <c r="N288" s="133"/>
      <c r="O288" s="135"/>
      <c r="P288" s="135"/>
      <c r="Q288" s="135"/>
      <c r="R288" s="135"/>
      <c r="S288" s="136">
        <v>97857972</v>
      </c>
      <c r="T288" s="136">
        <v>5968870.8398945658</v>
      </c>
      <c r="U288" s="137">
        <f>SUM(U289:U346)</f>
        <v>0</v>
      </c>
      <c r="V288" s="137">
        <f>SUM(V289:V346)</f>
        <v>0</v>
      </c>
      <c r="W288" s="137">
        <f>SUM(W289:W346)</f>
        <v>0</v>
      </c>
      <c r="X288" s="138">
        <f>U288+V288+W288</f>
        <v>0</v>
      </c>
      <c r="Y288" s="137">
        <f t="shared" ref="Y288:AJ288" si="117">SUM(Y289:Y346)</f>
        <v>0</v>
      </c>
      <c r="Z288" s="137">
        <f t="shared" si="117"/>
        <v>0</v>
      </c>
      <c r="AA288" s="137">
        <f t="shared" si="117"/>
        <v>0</v>
      </c>
      <c r="AB288" s="137">
        <f t="shared" si="117"/>
        <v>0</v>
      </c>
      <c r="AC288" s="137">
        <f t="shared" si="117"/>
        <v>0</v>
      </c>
      <c r="AD288" s="137">
        <f t="shared" si="117"/>
        <v>0</v>
      </c>
      <c r="AE288" s="137">
        <f t="shared" si="117"/>
        <v>0</v>
      </c>
      <c r="AF288" s="137">
        <f t="shared" si="117"/>
        <v>31533.75</v>
      </c>
      <c r="AG288" s="137">
        <f t="shared" si="117"/>
        <v>0</v>
      </c>
      <c r="AH288" s="137">
        <f t="shared" si="117"/>
        <v>0</v>
      </c>
      <c r="AI288" s="137">
        <f t="shared" si="117"/>
        <v>0</v>
      </c>
      <c r="AJ288" s="137">
        <f t="shared" si="117"/>
        <v>0</v>
      </c>
      <c r="AK288" s="137">
        <f t="shared" ref="AK288:AR288" si="118">SUM(AK289:AK346)</f>
        <v>31533.75</v>
      </c>
      <c r="AL288" s="137">
        <f t="shared" si="118"/>
        <v>5502825.7400000002</v>
      </c>
      <c r="AM288" s="137">
        <f t="shared" si="118"/>
        <v>466669.22</v>
      </c>
      <c r="AN288" s="137">
        <f t="shared" si="118"/>
        <v>477130.51</v>
      </c>
      <c r="AO288" s="137">
        <f t="shared" si="118"/>
        <v>0</v>
      </c>
      <c r="AP288" s="137">
        <f t="shared" si="118"/>
        <v>0</v>
      </c>
      <c r="AQ288" s="137">
        <f t="shared" si="118"/>
        <v>0</v>
      </c>
      <c r="AR288" s="137">
        <f t="shared" si="118"/>
        <v>0</v>
      </c>
      <c r="AS288" s="137">
        <f t="shared" ref="AS288:AS319" si="119">U288+V288+W288+AK288+AL288+AM288+AN288+AO288+AP288+AQ288+AR288</f>
        <v>6478159.2199999997</v>
      </c>
      <c r="AT288" s="137">
        <f>SUM(AT289:AT346)</f>
        <v>0</v>
      </c>
      <c r="AU288" s="139">
        <f>AS288-AT288</f>
        <v>6478159.2199999997</v>
      </c>
      <c r="AV288" s="146">
        <f>IFERROR(VLOOKUP(J288,Maksājumu_pieprasījumu_iesn.!G:BL,57,0),0)</f>
        <v>0</v>
      </c>
      <c r="AW288" s="139">
        <f t="shared" si="109"/>
        <v>-6478159.2199999997</v>
      </c>
      <c r="AX288" s="140">
        <f>S288-T288-AU288</f>
        <v>85410941.940105438</v>
      </c>
      <c r="AY288" s="137">
        <f>AY347</f>
        <v>85410941.190105438</v>
      </c>
      <c r="AZ288" s="138" t="s">
        <v>1354</v>
      </c>
      <c r="BA288" s="138" t="s">
        <v>1354</v>
      </c>
      <c r="BB288" s="140"/>
      <c r="BC288" s="140">
        <f>X288+AK288+AL288/2</f>
        <v>2782946.62</v>
      </c>
      <c r="BD288" s="140"/>
      <c r="BE288" s="140">
        <f>BC288/0.85</f>
        <v>3274054.8470588238</v>
      </c>
      <c r="BF288" s="137"/>
      <c r="BG288" s="137"/>
      <c r="BH288" s="138">
        <v>0</v>
      </c>
      <c r="BI288" s="138">
        <v>3286292.2080427599</v>
      </c>
      <c r="BJ288" s="138"/>
      <c r="BK288" s="138"/>
      <c r="BL288" s="138">
        <v>18148062.2788697</v>
      </c>
      <c r="BM288" s="138"/>
      <c r="BN288" s="138"/>
    </row>
    <row r="289" spans="1:66" ht="63.75" hidden="1" customHeight="1" x14ac:dyDescent="0.2">
      <c r="A289" s="142" t="s">
        <v>1348</v>
      </c>
      <c r="B289" s="18" t="s">
        <v>89</v>
      </c>
      <c r="C289" s="18" t="s">
        <v>846</v>
      </c>
      <c r="D289" s="19" t="s">
        <v>847</v>
      </c>
      <c r="E289" s="18" t="s">
        <v>3</v>
      </c>
      <c r="F289" s="18" t="s">
        <v>11</v>
      </c>
      <c r="G289" s="18" t="s">
        <v>5</v>
      </c>
      <c r="H289" s="18" t="s">
        <v>3</v>
      </c>
      <c r="I289" s="18"/>
      <c r="J289" s="18" t="s">
        <v>1355</v>
      </c>
      <c r="K289" s="19" t="s">
        <v>1356</v>
      </c>
      <c r="L289" s="19"/>
      <c r="M289" s="19"/>
      <c r="N289" s="19" t="s">
        <v>1357</v>
      </c>
      <c r="O289" s="143"/>
      <c r="P289" s="143"/>
      <c r="Q289" s="143"/>
      <c r="R289" s="187" t="s">
        <v>1358</v>
      </c>
      <c r="S289" s="144">
        <v>476000</v>
      </c>
      <c r="T289" s="172"/>
      <c r="U289" s="145">
        <v>0</v>
      </c>
      <c r="V289" s="145">
        <v>0</v>
      </c>
      <c r="W289" s="145">
        <v>0</v>
      </c>
      <c r="X289" s="145">
        <f t="shared" ref="X289:X346" si="120">W289+V289+U289</f>
        <v>0</v>
      </c>
      <c r="Y289" s="145">
        <v>0</v>
      </c>
      <c r="Z289" s="145">
        <v>0</v>
      </c>
      <c r="AA289" s="145">
        <v>0</v>
      </c>
      <c r="AB289" s="145">
        <v>0</v>
      </c>
      <c r="AC289" s="145">
        <v>0</v>
      </c>
      <c r="AD289" s="145">
        <v>0</v>
      </c>
      <c r="AE289" s="145">
        <v>0</v>
      </c>
      <c r="AF289" s="145">
        <v>0</v>
      </c>
      <c r="AG289" s="145">
        <v>0</v>
      </c>
      <c r="AH289" s="145">
        <v>0</v>
      </c>
      <c r="AI289" s="145">
        <v>0</v>
      </c>
      <c r="AJ289" s="145">
        <v>0</v>
      </c>
      <c r="AK289" s="145">
        <f>SUM(Y289:AJ289)</f>
        <v>0</v>
      </c>
      <c r="AL289" s="145">
        <v>476000</v>
      </c>
      <c r="AM289" s="145">
        <v>0</v>
      </c>
      <c r="AN289" s="145">
        <v>0</v>
      </c>
      <c r="AO289" s="145">
        <v>0</v>
      </c>
      <c r="AP289" s="145">
        <v>0</v>
      </c>
      <c r="AQ289" s="145">
        <v>0</v>
      </c>
      <c r="AR289" s="145">
        <v>0</v>
      </c>
      <c r="AS289" s="144">
        <f t="shared" si="119"/>
        <v>476000</v>
      </c>
      <c r="AT289" s="144"/>
      <c r="AU289" s="146">
        <f t="shared" si="103"/>
        <v>476000</v>
      </c>
      <c r="AV289" s="146">
        <f>IFERROR(VLOOKUP(J289,Maksājumu_pieprasījumu_iesn.!G:BL,57,0),0)</f>
        <v>0</v>
      </c>
      <c r="AW289" s="139">
        <f t="shared" si="109"/>
        <v>-476000</v>
      </c>
      <c r="AX289" s="147">
        <f t="shared" ref="AX289:AX307" si="121">S289-T289-(AS289-AT289)</f>
        <v>0</v>
      </c>
      <c r="AY289" s="147"/>
      <c r="AZ289" s="147"/>
      <c r="BA289" s="165"/>
      <c r="BB289" s="144"/>
      <c r="BC289" s="144"/>
      <c r="BD289" s="144"/>
      <c r="BE289" s="144"/>
      <c r="BF289" s="144"/>
      <c r="BG289" s="144"/>
      <c r="BH289" s="149"/>
      <c r="BI289" s="149"/>
      <c r="BJ289" s="149"/>
      <c r="BK289" s="149"/>
      <c r="BL289" s="149"/>
      <c r="BM289" s="149"/>
      <c r="BN289" s="149"/>
    </row>
    <row r="290" spans="1:66" ht="38.25" hidden="1" customHeight="1" x14ac:dyDescent="0.2">
      <c r="A290" s="142" t="s">
        <v>1348</v>
      </c>
      <c r="B290" s="18" t="s">
        <v>89</v>
      </c>
      <c r="C290" s="18" t="s">
        <v>846</v>
      </c>
      <c r="D290" s="19" t="s">
        <v>847</v>
      </c>
      <c r="E290" s="18" t="s">
        <v>3</v>
      </c>
      <c r="F290" s="18" t="s">
        <v>11</v>
      </c>
      <c r="G290" s="18" t="s">
        <v>5</v>
      </c>
      <c r="H290" s="18" t="s">
        <v>3</v>
      </c>
      <c r="I290" s="18"/>
      <c r="J290" s="18" t="s">
        <v>773</v>
      </c>
      <c r="K290" s="19" t="s">
        <v>848</v>
      </c>
      <c r="L290" s="19"/>
      <c r="M290" s="19"/>
      <c r="N290" s="19" t="s">
        <v>849</v>
      </c>
      <c r="O290" s="143"/>
      <c r="P290" s="143"/>
      <c r="Q290" s="143"/>
      <c r="R290" s="187" t="s">
        <v>1359</v>
      </c>
      <c r="S290" s="144">
        <v>116669.97</v>
      </c>
      <c r="T290" s="172"/>
      <c r="U290" s="145">
        <v>0</v>
      </c>
      <c r="V290" s="145">
        <v>0</v>
      </c>
      <c r="W290" s="145">
        <v>0</v>
      </c>
      <c r="X290" s="145">
        <f t="shared" si="120"/>
        <v>0</v>
      </c>
      <c r="Y290" s="145">
        <v>0</v>
      </c>
      <c r="Z290" s="145">
        <v>0</v>
      </c>
      <c r="AA290" s="145">
        <v>0</v>
      </c>
      <c r="AB290" s="145">
        <v>0</v>
      </c>
      <c r="AC290" s="145">
        <v>0</v>
      </c>
      <c r="AD290" s="145">
        <v>0</v>
      </c>
      <c r="AE290" s="145">
        <v>0</v>
      </c>
      <c r="AF290" s="145">
        <v>0</v>
      </c>
      <c r="AG290" s="145">
        <v>0</v>
      </c>
      <c r="AH290" s="145">
        <v>0</v>
      </c>
      <c r="AI290" s="145">
        <v>0</v>
      </c>
      <c r="AJ290" s="145">
        <v>0</v>
      </c>
      <c r="AK290" s="145">
        <v>0</v>
      </c>
      <c r="AL290" s="145">
        <v>116669.97</v>
      </c>
      <c r="AM290" s="145">
        <v>0</v>
      </c>
      <c r="AN290" s="145">
        <v>0</v>
      </c>
      <c r="AO290" s="145">
        <v>0</v>
      </c>
      <c r="AP290" s="145">
        <v>0</v>
      </c>
      <c r="AQ290" s="145">
        <v>0</v>
      </c>
      <c r="AR290" s="145">
        <v>0</v>
      </c>
      <c r="AS290" s="144">
        <f t="shared" si="119"/>
        <v>116669.97</v>
      </c>
      <c r="AT290" s="144"/>
      <c r="AU290" s="146">
        <f t="shared" si="103"/>
        <v>116669.97</v>
      </c>
      <c r="AV290" s="146">
        <f>IFERROR(VLOOKUP(J290,Maksājumu_pieprasījumu_iesn.!G:BL,57,0),0)</f>
        <v>0</v>
      </c>
      <c r="AW290" s="139">
        <f t="shared" si="109"/>
        <v>-116669.97</v>
      </c>
      <c r="AX290" s="147">
        <f t="shared" si="121"/>
        <v>0</v>
      </c>
      <c r="AY290" s="147"/>
      <c r="AZ290" s="147"/>
      <c r="BA290" s="165"/>
      <c r="BB290" s="144"/>
      <c r="BC290" s="144"/>
      <c r="BD290" s="144"/>
      <c r="BE290" s="144"/>
      <c r="BF290" s="144"/>
      <c r="BG290" s="144"/>
      <c r="BH290" s="149"/>
      <c r="BI290" s="149"/>
      <c r="BJ290" s="149"/>
      <c r="BK290" s="149"/>
      <c r="BL290" s="149"/>
      <c r="BM290" s="149"/>
      <c r="BN290" s="149"/>
    </row>
    <row r="291" spans="1:66" ht="63.75" hidden="1" customHeight="1" x14ac:dyDescent="0.2">
      <c r="A291" s="142" t="s">
        <v>1348</v>
      </c>
      <c r="B291" s="18" t="s">
        <v>89</v>
      </c>
      <c r="C291" s="18" t="s">
        <v>846</v>
      </c>
      <c r="D291" s="19" t="s">
        <v>847</v>
      </c>
      <c r="E291" s="18" t="s">
        <v>3</v>
      </c>
      <c r="F291" s="18" t="s">
        <v>11</v>
      </c>
      <c r="G291" s="18" t="s">
        <v>5</v>
      </c>
      <c r="H291" s="18" t="s">
        <v>3</v>
      </c>
      <c r="I291" s="18"/>
      <c r="J291" s="18" t="s">
        <v>1360</v>
      </c>
      <c r="K291" s="19" t="s">
        <v>1356</v>
      </c>
      <c r="L291" s="19"/>
      <c r="M291" s="19"/>
      <c r="N291" s="19" t="s">
        <v>1361</v>
      </c>
      <c r="O291" s="143"/>
      <c r="P291" s="143"/>
      <c r="Q291" s="143"/>
      <c r="R291" s="187" t="s">
        <v>1362</v>
      </c>
      <c r="S291" s="144">
        <v>268600</v>
      </c>
      <c r="T291" s="172"/>
      <c r="U291" s="145">
        <v>0</v>
      </c>
      <c r="V291" s="145">
        <v>0</v>
      </c>
      <c r="W291" s="145">
        <v>0</v>
      </c>
      <c r="X291" s="145">
        <f t="shared" si="120"/>
        <v>0</v>
      </c>
      <c r="Y291" s="145">
        <v>0</v>
      </c>
      <c r="Z291" s="145">
        <v>0</v>
      </c>
      <c r="AA291" s="145">
        <v>0</v>
      </c>
      <c r="AB291" s="145">
        <v>0</v>
      </c>
      <c r="AC291" s="145">
        <v>0</v>
      </c>
      <c r="AD291" s="145">
        <v>0</v>
      </c>
      <c r="AE291" s="145">
        <v>0</v>
      </c>
      <c r="AF291" s="145">
        <v>0</v>
      </c>
      <c r="AG291" s="145">
        <v>0</v>
      </c>
      <c r="AH291" s="145">
        <v>0</v>
      </c>
      <c r="AI291" s="145">
        <v>0</v>
      </c>
      <c r="AJ291" s="145">
        <v>0</v>
      </c>
      <c r="AK291" s="145">
        <f t="shared" ref="AK291:AK322" si="122">SUM(Y291:AJ291)</f>
        <v>0</v>
      </c>
      <c r="AL291" s="145">
        <v>268600</v>
      </c>
      <c r="AM291" s="145">
        <v>0</v>
      </c>
      <c r="AN291" s="145">
        <v>0</v>
      </c>
      <c r="AO291" s="145">
        <v>0</v>
      </c>
      <c r="AP291" s="145">
        <v>0</v>
      </c>
      <c r="AQ291" s="145">
        <v>0</v>
      </c>
      <c r="AR291" s="145">
        <v>0</v>
      </c>
      <c r="AS291" s="144">
        <f t="shared" si="119"/>
        <v>268600</v>
      </c>
      <c r="AT291" s="144"/>
      <c r="AU291" s="146">
        <f t="shared" si="103"/>
        <v>268600</v>
      </c>
      <c r="AV291" s="146">
        <f>IFERROR(VLOOKUP(J291,Maksājumu_pieprasījumu_iesn.!G:BL,57,0),0)</f>
        <v>0</v>
      </c>
      <c r="AW291" s="139">
        <f t="shared" si="109"/>
        <v>-268600</v>
      </c>
      <c r="AX291" s="147">
        <f t="shared" si="121"/>
        <v>0</v>
      </c>
      <c r="AY291" s="147"/>
      <c r="AZ291" s="147"/>
      <c r="BA291" s="165"/>
      <c r="BB291" s="144"/>
      <c r="BC291" s="144"/>
      <c r="BD291" s="144"/>
      <c r="BE291" s="144"/>
      <c r="BF291" s="144"/>
      <c r="BG291" s="144"/>
      <c r="BH291" s="149"/>
      <c r="BI291" s="149"/>
      <c r="BJ291" s="149"/>
      <c r="BK291" s="149"/>
      <c r="BL291" s="149"/>
      <c r="BM291" s="149"/>
      <c r="BN291" s="149"/>
    </row>
    <row r="292" spans="1:66" ht="38.25" hidden="1" customHeight="1" x14ac:dyDescent="0.2">
      <c r="A292" s="142" t="s">
        <v>1348</v>
      </c>
      <c r="B292" s="18" t="s">
        <v>89</v>
      </c>
      <c r="C292" s="18" t="s">
        <v>846</v>
      </c>
      <c r="D292" s="19" t="s">
        <v>847</v>
      </c>
      <c r="E292" s="18" t="s">
        <v>3</v>
      </c>
      <c r="F292" s="18" t="s">
        <v>11</v>
      </c>
      <c r="G292" s="18" t="s">
        <v>5</v>
      </c>
      <c r="H292" s="18" t="s">
        <v>3</v>
      </c>
      <c r="I292" s="18"/>
      <c r="J292" s="56" t="s">
        <v>1363</v>
      </c>
      <c r="K292" s="19" t="s">
        <v>1030</v>
      </c>
      <c r="L292" s="19"/>
      <c r="M292" s="19"/>
      <c r="N292" s="19" t="s">
        <v>1364</v>
      </c>
      <c r="O292" s="143"/>
      <c r="P292" s="143"/>
      <c r="Q292" s="143"/>
      <c r="R292" s="187" t="s">
        <v>1365</v>
      </c>
      <c r="S292" s="144">
        <v>681284</v>
      </c>
      <c r="T292" s="172"/>
      <c r="U292" s="145">
        <v>0</v>
      </c>
      <c r="V292" s="145">
        <v>0</v>
      </c>
      <c r="W292" s="145">
        <v>0</v>
      </c>
      <c r="X292" s="145">
        <f t="shared" si="120"/>
        <v>0</v>
      </c>
      <c r="Y292" s="145">
        <v>0</v>
      </c>
      <c r="Z292" s="145">
        <v>0</v>
      </c>
      <c r="AA292" s="145">
        <v>0</v>
      </c>
      <c r="AB292" s="145">
        <v>0</v>
      </c>
      <c r="AC292" s="145">
        <v>0</v>
      </c>
      <c r="AD292" s="145">
        <v>0</v>
      </c>
      <c r="AE292" s="145">
        <v>0</v>
      </c>
      <c r="AF292" s="145">
        <v>0</v>
      </c>
      <c r="AG292" s="145">
        <v>0</v>
      </c>
      <c r="AH292" s="145">
        <v>0</v>
      </c>
      <c r="AI292" s="145">
        <v>0</v>
      </c>
      <c r="AJ292" s="145">
        <v>0</v>
      </c>
      <c r="AK292" s="145">
        <f t="shared" si="122"/>
        <v>0</v>
      </c>
      <c r="AL292" s="145">
        <v>681283.5</v>
      </c>
      <c r="AM292" s="145">
        <v>0</v>
      </c>
      <c r="AN292" s="145">
        <v>0</v>
      </c>
      <c r="AO292" s="145">
        <v>0</v>
      </c>
      <c r="AP292" s="145">
        <v>0</v>
      </c>
      <c r="AQ292" s="145">
        <v>0</v>
      </c>
      <c r="AR292" s="145">
        <v>0</v>
      </c>
      <c r="AS292" s="144">
        <f t="shared" si="119"/>
        <v>681283.5</v>
      </c>
      <c r="AT292" s="144"/>
      <c r="AU292" s="146">
        <f t="shared" si="103"/>
        <v>681283.5</v>
      </c>
      <c r="AV292" s="146">
        <f>IFERROR(VLOOKUP(J292,Maksājumu_pieprasījumu_iesn.!G:BL,57,0),0)</f>
        <v>0</v>
      </c>
      <c r="AW292" s="139">
        <f t="shared" si="109"/>
        <v>-681283.5</v>
      </c>
      <c r="AX292" s="147">
        <f t="shared" si="121"/>
        <v>0.5</v>
      </c>
      <c r="AY292" s="147"/>
      <c r="AZ292" s="147"/>
      <c r="BA292" s="165"/>
      <c r="BB292" s="144"/>
      <c r="BC292" s="144"/>
      <c r="BD292" s="144"/>
      <c r="BE292" s="144"/>
      <c r="BF292" s="144"/>
      <c r="BG292" s="144"/>
      <c r="BH292" s="149"/>
      <c r="BI292" s="149"/>
      <c r="BJ292" s="149"/>
      <c r="BK292" s="149"/>
      <c r="BL292" s="149"/>
      <c r="BM292" s="149"/>
      <c r="BN292" s="149"/>
    </row>
    <row r="293" spans="1:66" ht="51" hidden="1" customHeight="1" x14ac:dyDescent="0.2">
      <c r="A293" s="142" t="s">
        <v>1348</v>
      </c>
      <c r="B293" s="18" t="s">
        <v>89</v>
      </c>
      <c r="C293" s="18" t="s">
        <v>846</v>
      </c>
      <c r="D293" s="19" t="s">
        <v>847</v>
      </c>
      <c r="E293" s="18" t="s">
        <v>3</v>
      </c>
      <c r="F293" s="18" t="s">
        <v>11</v>
      </c>
      <c r="G293" s="18" t="s">
        <v>5</v>
      </c>
      <c r="H293" s="18" t="s">
        <v>3</v>
      </c>
      <c r="I293" s="18"/>
      <c r="J293" s="18" t="s">
        <v>1366</v>
      </c>
      <c r="K293" s="19" t="s">
        <v>1032</v>
      </c>
      <c r="L293" s="19"/>
      <c r="M293" s="19"/>
      <c r="N293" s="19" t="s">
        <v>1367</v>
      </c>
      <c r="O293" s="143"/>
      <c r="P293" s="143"/>
      <c r="Q293" s="143"/>
      <c r="R293" s="187" t="s">
        <v>1368</v>
      </c>
      <c r="S293" s="144">
        <v>367200</v>
      </c>
      <c r="T293" s="172"/>
      <c r="U293" s="145">
        <v>0</v>
      </c>
      <c r="V293" s="145">
        <v>0</v>
      </c>
      <c r="W293" s="145">
        <v>0</v>
      </c>
      <c r="X293" s="145">
        <f t="shared" si="120"/>
        <v>0</v>
      </c>
      <c r="Y293" s="145">
        <v>0</v>
      </c>
      <c r="Z293" s="145">
        <v>0</v>
      </c>
      <c r="AA293" s="145">
        <v>0</v>
      </c>
      <c r="AB293" s="145">
        <v>0</v>
      </c>
      <c r="AC293" s="145">
        <v>0</v>
      </c>
      <c r="AD293" s="145">
        <v>0</v>
      </c>
      <c r="AE293" s="145">
        <v>0</v>
      </c>
      <c r="AF293" s="420">
        <v>10638.78</v>
      </c>
      <c r="AG293" s="145">
        <v>0</v>
      </c>
      <c r="AH293" s="145">
        <v>0</v>
      </c>
      <c r="AI293" s="145">
        <v>0</v>
      </c>
      <c r="AJ293" s="145">
        <v>0</v>
      </c>
      <c r="AK293" s="145">
        <f t="shared" si="122"/>
        <v>10638.78</v>
      </c>
      <c r="AL293" s="145">
        <v>356561.22</v>
      </c>
      <c r="AM293" s="145">
        <v>0</v>
      </c>
      <c r="AN293" s="145">
        <v>0</v>
      </c>
      <c r="AO293" s="145">
        <v>0</v>
      </c>
      <c r="AP293" s="145">
        <v>0</v>
      </c>
      <c r="AQ293" s="145">
        <v>0</v>
      </c>
      <c r="AR293" s="145">
        <v>0</v>
      </c>
      <c r="AS293" s="144">
        <f t="shared" si="119"/>
        <v>367200</v>
      </c>
      <c r="AT293" s="144"/>
      <c r="AU293" s="146">
        <f>AS293-AT293</f>
        <v>367200</v>
      </c>
      <c r="AV293" s="146">
        <f>IFERROR(VLOOKUP(J293,Maksājumu_pieprasījumu_iesn.!G:BL,57,0),0)</f>
        <v>0</v>
      </c>
      <c r="AW293" s="139">
        <f t="shared" si="109"/>
        <v>-367200</v>
      </c>
      <c r="AX293" s="147">
        <f t="shared" si="121"/>
        <v>0</v>
      </c>
      <c r="AY293" s="147"/>
      <c r="AZ293" s="147"/>
      <c r="BA293" s="165"/>
      <c r="BB293" s="144"/>
      <c r="BC293" s="144"/>
      <c r="BD293" s="144"/>
      <c r="BE293" s="144"/>
      <c r="BF293" s="144"/>
      <c r="BG293" s="144"/>
      <c r="BH293" s="149"/>
      <c r="BI293" s="149"/>
      <c r="BJ293" s="149"/>
      <c r="BK293" s="149"/>
      <c r="BL293" s="149"/>
      <c r="BM293" s="149"/>
      <c r="BN293" s="149"/>
    </row>
    <row r="294" spans="1:66" ht="38.25" hidden="1" customHeight="1" x14ac:dyDescent="0.2">
      <c r="A294" s="142" t="s">
        <v>1348</v>
      </c>
      <c r="B294" s="18" t="s">
        <v>89</v>
      </c>
      <c r="C294" s="18" t="s">
        <v>846</v>
      </c>
      <c r="D294" s="19" t="s">
        <v>847</v>
      </c>
      <c r="E294" s="18" t="s">
        <v>3</v>
      </c>
      <c r="F294" s="18" t="s">
        <v>11</v>
      </c>
      <c r="G294" s="18" t="s">
        <v>5</v>
      </c>
      <c r="H294" s="18" t="s">
        <v>3</v>
      </c>
      <c r="I294" s="18"/>
      <c r="J294" s="18" t="s">
        <v>1369</v>
      </c>
      <c r="K294" s="19" t="s">
        <v>1032</v>
      </c>
      <c r="L294" s="19"/>
      <c r="M294" s="19"/>
      <c r="N294" s="19" t="s">
        <v>1370</v>
      </c>
      <c r="O294" s="143"/>
      <c r="P294" s="143"/>
      <c r="Q294" s="143"/>
      <c r="R294" s="187" t="s">
        <v>1368</v>
      </c>
      <c r="S294" s="144">
        <v>232900</v>
      </c>
      <c r="T294" s="172"/>
      <c r="U294" s="145">
        <v>0</v>
      </c>
      <c r="V294" s="145">
        <v>0</v>
      </c>
      <c r="W294" s="145">
        <v>0</v>
      </c>
      <c r="X294" s="145">
        <f t="shared" si="120"/>
        <v>0</v>
      </c>
      <c r="Y294" s="145">
        <v>0</v>
      </c>
      <c r="Z294" s="145">
        <v>0</v>
      </c>
      <c r="AA294" s="145">
        <v>0</v>
      </c>
      <c r="AB294" s="145">
        <v>0</v>
      </c>
      <c r="AC294" s="145">
        <v>0</v>
      </c>
      <c r="AD294" s="145">
        <v>0</v>
      </c>
      <c r="AE294" s="145">
        <v>0</v>
      </c>
      <c r="AF294" s="420">
        <v>8259.2199999999993</v>
      </c>
      <c r="AG294" s="145">
        <v>0</v>
      </c>
      <c r="AH294" s="145">
        <v>0</v>
      </c>
      <c r="AI294" s="145">
        <v>0</v>
      </c>
      <c r="AJ294" s="145">
        <v>0</v>
      </c>
      <c r="AK294" s="145">
        <f t="shared" si="122"/>
        <v>8259.2199999999993</v>
      </c>
      <c r="AL294" s="145">
        <v>224640.78</v>
      </c>
      <c r="AM294" s="145">
        <v>0</v>
      </c>
      <c r="AN294" s="145">
        <v>0</v>
      </c>
      <c r="AO294" s="145">
        <v>0</v>
      </c>
      <c r="AP294" s="145">
        <v>0</v>
      </c>
      <c r="AQ294" s="145">
        <v>0</v>
      </c>
      <c r="AR294" s="145">
        <v>0</v>
      </c>
      <c r="AS294" s="144">
        <f t="shared" si="119"/>
        <v>232900</v>
      </c>
      <c r="AT294" s="144"/>
      <c r="AU294" s="146">
        <f>AS294-AT294</f>
        <v>232900</v>
      </c>
      <c r="AV294" s="146">
        <f>IFERROR(VLOOKUP(J294,Maksājumu_pieprasījumu_iesn.!G:BL,57,0),0)</f>
        <v>0</v>
      </c>
      <c r="AW294" s="139">
        <f t="shared" si="109"/>
        <v>-232900</v>
      </c>
      <c r="AX294" s="147">
        <f t="shared" si="121"/>
        <v>0</v>
      </c>
      <c r="AY294" s="147"/>
      <c r="AZ294" s="147"/>
      <c r="BA294" s="165"/>
      <c r="BB294" s="144"/>
      <c r="BC294" s="144"/>
      <c r="BD294" s="144"/>
      <c r="BE294" s="144"/>
      <c r="BF294" s="144"/>
      <c r="BG294" s="144"/>
      <c r="BH294" s="149"/>
      <c r="BI294" s="149"/>
      <c r="BJ294" s="149"/>
      <c r="BK294" s="149"/>
      <c r="BL294" s="149"/>
      <c r="BM294" s="149"/>
      <c r="BN294" s="149"/>
    </row>
    <row r="295" spans="1:66" ht="38.25" hidden="1" customHeight="1" x14ac:dyDescent="0.2">
      <c r="A295" s="142" t="s">
        <v>1348</v>
      </c>
      <c r="B295" s="18" t="s">
        <v>89</v>
      </c>
      <c r="C295" s="18" t="s">
        <v>846</v>
      </c>
      <c r="D295" s="19" t="s">
        <v>847</v>
      </c>
      <c r="E295" s="18" t="s">
        <v>3</v>
      </c>
      <c r="F295" s="18" t="s">
        <v>11</v>
      </c>
      <c r="G295" s="18" t="s">
        <v>5</v>
      </c>
      <c r="H295" s="18" t="s">
        <v>3</v>
      </c>
      <c r="I295" s="18"/>
      <c r="J295" s="18" t="s">
        <v>1371</v>
      </c>
      <c r="K295" s="19" t="s">
        <v>1032</v>
      </c>
      <c r="L295" s="19"/>
      <c r="M295" s="19"/>
      <c r="N295" s="19" t="s">
        <v>1372</v>
      </c>
      <c r="O295" s="143"/>
      <c r="P295" s="143"/>
      <c r="Q295" s="143"/>
      <c r="R295" s="187" t="s">
        <v>1368</v>
      </c>
      <c r="S295" s="144">
        <v>421600</v>
      </c>
      <c r="T295" s="172"/>
      <c r="U295" s="145">
        <v>0</v>
      </c>
      <c r="V295" s="145">
        <v>0</v>
      </c>
      <c r="W295" s="145">
        <v>0</v>
      </c>
      <c r="X295" s="145">
        <f t="shared" si="120"/>
        <v>0</v>
      </c>
      <c r="Y295" s="145">
        <v>0</v>
      </c>
      <c r="Z295" s="145">
        <v>0</v>
      </c>
      <c r="AA295" s="145">
        <v>0</v>
      </c>
      <c r="AB295" s="145">
        <v>0</v>
      </c>
      <c r="AC295" s="145">
        <v>0</v>
      </c>
      <c r="AD295" s="145">
        <v>0</v>
      </c>
      <c r="AE295" s="145">
        <v>0</v>
      </c>
      <c r="AF295" s="420">
        <v>12635.75</v>
      </c>
      <c r="AG295" s="145">
        <v>0</v>
      </c>
      <c r="AH295" s="145">
        <v>0</v>
      </c>
      <c r="AI295" s="145">
        <v>0</v>
      </c>
      <c r="AJ295" s="145">
        <v>0</v>
      </c>
      <c r="AK295" s="145">
        <f t="shared" si="122"/>
        <v>12635.75</v>
      </c>
      <c r="AL295" s="145">
        <v>349076.64</v>
      </c>
      <c r="AM295" s="145">
        <v>59887.61</v>
      </c>
      <c r="AN295" s="145">
        <v>0</v>
      </c>
      <c r="AO295" s="145">
        <v>0</v>
      </c>
      <c r="AP295" s="145">
        <v>0</v>
      </c>
      <c r="AQ295" s="145">
        <v>0</v>
      </c>
      <c r="AR295" s="145">
        <v>0</v>
      </c>
      <c r="AS295" s="144">
        <f t="shared" si="119"/>
        <v>421600</v>
      </c>
      <c r="AT295" s="144"/>
      <c r="AU295" s="146">
        <f>AS295-AT295</f>
        <v>421600</v>
      </c>
      <c r="AV295" s="146">
        <f>IFERROR(VLOOKUP(J295,Maksājumu_pieprasījumu_iesn.!G:BL,57,0),0)</f>
        <v>0</v>
      </c>
      <c r="AW295" s="139">
        <f t="shared" si="109"/>
        <v>-421600</v>
      </c>
      <c r="AX295" s="147">
        <f t="shared" si="121"/>
        <v>0</v>
      </c>
      <c r="AY295" s="147"/>
      <c r="AZ295" s="147"/>
      <c r="BA295" s="165"/>
      <c r="BB295" s="144"/>
      <c r="BC295" s="144"/>
      <c r="BD295" s="144"/>
      <c r="BE295" s="144"/>
      <c r="BF295" s="144"/>
      <c r="BG295" s="144"/>
      <c r="BH295" s="149"/>
      <c r="BI295" s="149"/>
      <c r="BJ295" s="149"/>
      <c r="BK295" s="149"/>
      <c r="BL295" s="149"/>
      <c r="BM295" s="149"/>
      <c r="BN295" s="149"/>
    </row>
    <row r="296" spans="1:66" ht="38.25" hidden="1" customHeight="1" x14ac:dyDescent="0.2">
      <c r="A296" s="142" t="s">
        <v>1348</v>
      </c>
      <c r="B296" s="18" t="s">
        <v>89</v>
      </c>
      <c r="C296" s="18" t="s">
        <v>846</v>
      </c>
      <c r="D296" s="19" t="s">
        <v>847</v>
      </c>
      <c r="E296" s="18" t="s">
        <v>3</v>
      </c>
      <c r="F296" s="18" t="s">
        <v>11</v>
      </c>
      <c r="G296" s="18" t="s">
        <v>5</v>
      </c>
      <c r="H296" s="18" t="s">
        <v>3</v>
      </c>
      <c r="I296" s="18"/>
      <c r="J296" s="18" t="s">
        <v>902</v>
      </c>
      <c r="K296" s="19" t="s">
        <v>892</v>
      </c>
      <c r="L296" s="19"/>
      <c r="M296" s="19"/>
      <c r="N296" s="19" t="s">
        <v>903</v>
      </c>
      <c r="O296" s="143"/>
      <c r="P296" s="143"/>
      <c r="Q296" s="143"/>
      <c r="R296" s="187" t="s">
        <v>1373</v>
      </c>
      <c r="S296" s="144">
        <v>45254</v>
      </c>
      <c r="T296" s="172"/>
      <c r="U296" s="145">
        <v>0</v>
      </c>
      <c r="V296" s="145">
        <v>0</v>
      </c>
      <c r="W296" s="145">
        <v>0</v>
      </c>
      <c r="X296" s="145">
        <f t="shared" si="120"/>
        <v>0</v>
      </c>
      <c r="Y296" s="145">
        <v>0</v>
      </c>
      <c r="Z296" s="145">
        <v>0</v>
      </c>
      <c r="AA296" s="145">
        <v>0</v>
      </c>
      <c r="AB296" s="145">
        <v>0</v>
      </c>
      <c r="AC296" s="145">
        <v>0</v>
      </c>
      <c r="AD296" s="145">
        <v>0</v>
      </c>
      <c r="AE296" s="145">
        <v>0</v>
      </c>
      <c r="AF296" s="145">
        <v>0</v>
      </c>
      <c r="AG296" s="145">
        <v>0</v>
      </c>
      <c r="AH296" s="145">
        <v>0</v>
      </c>
      <c r="AI296" s="145">
        <v>0</v>
      </c>
      <c r="AJ296" s="145">
        <v>0</v>
      </c>
      <c r="AK296" s="145">
        <f t="shared" si="122"/>
        <v>0</v>
      </c>
      <c r="AL296" s="145">
        <v>45254</v>
      </c>
      <c r="AM296" s="145">
        <v>0</v>
      </c>
      <c r="AN296" s="145">
        <v>0</v>
      </c>
      <c r="AO296" s="145">
        <v>0</v>
      </c>
      <c r="AP296" s="145">
        <v>0</v>
      </c>
      <c r="AQ296" s="145">
        <v>0</v>
      </c>
      <c r="AR296" s="145">
        <v>0</v>
      </c>
      <c r="AS296" s="144">
        <f t="shared" si="119"/>
        <v>45254</v>
      </c>
      <c r="AT296" s="144"/>
      <c r="AU296" s="146">
        <f t="shared" si="103"/>
        <v>45254</v>
      </c>
      <c r="AV296" s="146">
        <f>IFERROR(VLOOKUP(J296,Maksājumu_pieprasījumu_iesn.!G:BL,57,0),0)</f>
        <v>0</v>
      </c>
      <c r="AW296" s="139">
        <f t="shared" si="109"/>
        <v>-45254</v>
      </c>
      <c r="AX296" s="147">
        <f t="shared" si="121"/>
        <v>0</v>
      </c>
      <c r="AY296" s="147"/>
      <c r="AZ296" s="147"/>
      <c r="BA296" s="165"/>
      <c r="BB296" s="144"/>
      <c r="BC296" s="144"/>
      <c r="BD296" s="144"/>
      <c r="BE296" s="144"/>
      <c r="BF296" s="144"/>
      <c r="BG296" s="144"/>
      <c r="BH296" s="149"/>
      <c r="BI296" s="149"/>
      <c r="BJ296" s="149"/>
      <c r="BK296" s="149"/>
      <c r="BL296" s="149"/>
      <c r="BM296" s="149"/>
      <c r="BN296" s="149"/>
    </row>
    <row r="297" spans="1:66" ht="38.25" hidden="1" customHeight="1" x14ac:dyDescent="0.2">
      <c r="A297" s="142" t="s">
        <v>1348</v>
      </c>
      <c r="B297" s="18" t="s">
        <v>89</v>
      </c>
      <c r="C297" s="18" t="s">
        <v>846</v>
      </c>
      <c r="D297" s="19" t="s">
        <v>847</v>
      </c>
      <c r="E297" s="18" t="s">
        <v>3</v>
      </c>
      <c r="F297" s="18" t="s">
        <v>11</v>
      </c>
      <c r="G297" s="18" t="s">
        <v>5</v>
      </c>
      <c r="H297" s="18" t="s">
        <v>3</v>
      </c>
      <c r="I297" s="18"/>
      <c r="J297" s="56" t="s">
        <v>1374</v>
      </c>
      <c r="K297" s="19" t="s">
        <v>1030</v>
      </c>
      <c r="L297" s="19"/>
      <c r="M297" s="19"/>
      <c r="N297" s="19" t="s">
        <v>1375</v>
      </c>
      <c r="O297" s="143"/>
      <c r="P297" s="143"/>
      <c r="Q297" s="143"/>
      <c r="R297" s="187" t="s">
        <v>1376</v>
      </c>
      <c r="S297" s="144">
        <v>472859</v>
      </c>
      <c r="T297" s="172"/>
      <c r="U297" s="145">
        <v>0</v>
      </c>
      <c r="V297" s="145">
        <v>0</v>
      </c>
      <c r="W297" s="145">
        <v>0</v>
      </c>
      <c r="X297" s="145">
        <f t="shared" si="120"/>
        <v>0</v>
      </c>
      <c r="Y297" s="145">
        <v>0</v>
      </c>
      <c r="Z297" s="145">
        <v>0</v>
      </c>
      <c r="AA297" s="145">
        <v>0</v>
      </c>
      <c r="AB297" s="145">
        <v>0</v>
      </c>
      <c r="AC297" s="145">
        <v>0</v>
      </c>
      <c r="AD297" s="145">
        <v>0</v>
      </c>
      <c r="AE297" s="145">
        <v>0</v>
      </c>
      <c r="AF297" s="145">
        <v>0</v>
      </c>
      <c r="AG297" s="145">
        <v>0</v>
      </c>
      <c r="AH297" s="145">
        <v>0</v>
      </c>
      <c r="AI297" s="145">
        <v>0</v>
      </c>
      <c r="AJ297" s="145">
        <v>0</v>
      </c>
      <c r="AK297" s="145">
        <f t="shared" si="122"/>
        <v>0</v>
      </c>
      <c r="AL297" s="145">
        <v>472859.25</v>
      </c>
      <c r="AM297" s="145">
        <v>0</v>
      </c>
      <c r="AN297" s="145">
        <v>0</v>
      </c>
      <c r="AO297" s="145">
        <v>0</v>
      </c>
      <c r="AP297" s="145">
        <v>0</v>
      </c>
      <c r="AQ297" s="145">
        <v>0</v>
      </c>
      <c r="AR297" s="145">
        <v>0</v>
      </c>
      <c r="AS297" s="144">
        <f t="shared" si="119"/>
        <v>472859.25</v>
      </c>
      <c r="AT297" s="144"/>
      <c r="AU297" s="146">
        <f t="shared" si="103"/>
        <v>472859.25</v>
      </c>
      <c r="AV297" s="146">
        <f>IFERROR(VLOOKUP(J297,Maksājumu_pieprasījumu_iesn.!G:BL,57,0),0)</f>
        <v>0</v>
      </c>
      <c r="AW297" s="139">
        <f t="shared" si="109"/>
        <v>-472859.25</v>
      </c>
      <c r="AX297" s="147">
        <f t="shared" si="121"/>
        <v>-0.25</v>
      </c>
      <c r="AY297" s="147"/>
      <c r="AZ297" s="147"/>
      <c r="BA297" s="165"/>
      <c r="BB297" s="144"/>
      <c r="BC297" s="144"/>
      <c r="BD297" s="144"/>
      <c r="BE297" s="144"/>
      <c r="BF297" s="144"/>
      <c r="BG297" s="144"/>
      <c r="BH297" s="149"/>
      <c r="BI297" s="149"/>
      <c r="BJ297" s="149"/>
      <c r="BK297" s="149"/>
      <c r="BL297" s="149"/>
      <c r="BM297" s="149"/>
      <c r="BN297" s="149"/>
    </row>
    <row r="298" spans="1:66" ht="38.25" hidden="1" customHeight="1" x14ac:dyDescent="0.2">
      <c r="A298" s="142" t="s">
        <v>1348</v>
      </c>
      <c r="B298" s="18" t="s">
        <v>89</v>
      </c>
      <c r="C298" s="18" t="s">
        <v>846</v>
      </c>
      <c r="D298" s="19" t="s">
        <v>847</v>
      </c>
      <c r="E298" s="18" t="s">
        <v>3</v>
      </c>
      <c r="F298" s="18" t="s">
        <v>11</v>
      </c>
      <c r="G298" s="18" t="s">
        <v>5</v>
      </c>
      <c r="H298" s="18" t="s">
        <v>3</v>
      </c>
      <c r="I298" s="18"/>
      <c r="J298" s="56" t="s">
        <v>1377</v>
      </c>
      <c r="K298" s="19" t="s">
        <v>1030</v>
      </c>
      <c r="L298" s="19"/>
      <c r="M298" s="19"/>
      <c r="N298" s="19" t="s">
        <v>1378</v>
      </c>
      <c r="O298" s="143"/>
      <c r="P298" s="143"/>
      <c r="Q298" s="143"/>
      <c r="R298" s="187" t="s">
        <v>1379</v>
      </c>
      <c r="S298" s="144">
        <v>433755</v>
      </c>
      <c r="T298" s="172"/>
      <c r="U298" s="145">
        <v>0</v>
      </c>
      <c r="V298" s="145">
        <v>0</v>
      </c>
      <c r="W298" s="145">
        <v>0</v>
      </c>
      <c r="X298" s="145">
        <f t="shared" si="120"/>
        <v>0</v>
      </c>
      <c r="Y298" s="145">
        <v>0</v>
      </c>
      <c r="Z298" s="145">
        <v>0</v>
      </c>
      <c r="AA298" s="145">
        <v>0</v>
      </c>
      <c r="AB298" s="145">
        <v>0</v>
      </c>
      <c r="AC298" s="145">
        <v>0</v>
      </c>
      <c r="AD298" s="145">
        <v>0</v>
      </c>
      <c r="AE298" s="145">
        <v>0</v>
      </c>
      <c r="AF298" s="145">
        <v>0</v>
      </c>
      <c r="AG298" s="145">
        <v>0</v>
      </c>
      <c r="AH298" s="145">
        <v>0</v>
      </c>
      <c r="AI298" s="145">
        <v>0</v>
      </c>
      <c r="AJ298" s="145">
        <v>0</v>
      </c>
      <c r="AK298" s="145">
        <f t="shared" si="122"/>
        <v>0</v>
      </c>
      <c r="AL298" s="145">
        <v>381747.18000000005</v>
      </c>
      <c r="AM298" s="145">
        <v>52007.82</v>
      </c>
      <c r="AN298" s="145">
        <v>0</v>
      </c>
      <c r="AO298" s="145">
        <v>0</v>
      </c>
      <c r="AP298" s="145">
        <v>0</v>
      </c>
      <c r="AQ298" s="145">
        <v>0</v>
      </c>
      <c r="AR298" s="145">
        <v>0</v>
      </c>
      <c r="AS298" s="144">
        <f t="shared" si="119"/>
        <v>433755.00000000006</v>
      </c>
      <c r="AT298" s="144"/>
      <c r="AU298" s="146">
        <f t="shared" si="103"/>
        <v>433755.00000000006</v>
      </c>
      <c r="AV298" s="146">
        <f>IFERROR(VLOOKUP(J298,Maksājumu_pieprasījumu_iesn.!G:BL,57,0),0)</f>
        <v>0</v>
      </c>
      <c r="AW298" s="139">
        <f t="shared" si="109"/>
        <v>-433755.00000000006</v>
      </c>
      <c r="AX298" s="147">
        <f t="shared" si="121"/>
        <v>0</v>
      </c>
      <c r="AY298" s="147"/>
      <c r="AZ298" s="147"/>
      <c r="BA298" s="165"/>
      <c r="BB298" s="144"/>
      <c r="BC298" s="144"/>
      <c r="BD298" s="144"/>
      <c r="BE298" s="144"/>
      <c r="BF298" s="144"/>
      <c r="BG298" s="144"/>
      <c r="BH298" s="149"/>
      <c r="BI298" s="149"/>
      <c r="BJ298" s="149"/>
      <c r="BK298" s="149"/>
      <c r="BL298" s="149"/>
      <c r="BM298" s="149"/>
      <c r="BN298" s="149"/>
    </row>
    <row r="299" spans="1:66" ht="25.5" hidden="1" customHeight="1" x14ac:dyDescent="0.2">
      <c r="A299" s="142" t="s">
        <v>1348</v>
      </c>
      <c r="B299" s="18" t="s">
        <v>89</v>
      </c>
      <c r="C299" s="18" t="s">
        <v>846</v>
      </c>
      <c r="D299" s="19" t="s">
        <v>847</v>
      </c>
      <c r="E299" s="18" t="s">
        <v>3</v>
      </c>
      <c r="F299" s="18" t="s">
        <v>11</v>
      </c>
      <c r="G299" s="18" t="s">
        <v>5</v>
      </c>
      <c r="H299" s="18" t="s">
        <v>3</v>
      </c>
      <c r="I299" s="18"/>
      <c r="J299" s="18" t="s">
        <v>774</v>
      </c>
      <c r="K299" s="19" t="s">
        <v>850</v>
      </c>
      <c r="L299" s="19"/>
      <c r="M299" s="19"/>
      <c r="N299" s="19" t="s">
        <v>851</v>
      </c>
      <c r="O299" s="143"/>
      <c r="P299" s="143"/>
      <c r="Q299" s="143"/>
      <c r="R299" s="187" t="s">
        <v>1380</v>
      </c>
      <c r="S299" s="144">
        <v>637500</v>
      </c>
      <c r="T299" s="172"/>
      <c r="U299" s="145">
        <v>0</v>
      </c>
      <c r="V299" s="145">
        <v>0</v>
      </c>
      <c r="W299" s="145">
        <v>0</v>
      </c>
      <c r="X299" s="145">
        <f t="shared" si="120"/>
        <v>0</v>
      </c>
      <c r="Y299" s="145">
        <v>0</v>
      </c>
      <c r="Z299" s="145">
        <v>0</v>
      </c>
      <c r="AA299" s="145">
        <v>0</v>
      </c>
      <c r="AB299" s="145">
        <v>0</v>
      </c>
      <c r="AC299" s="145">
        <v>0</v>
      </c>
      <c r="AD299" s="145">
        <v>0</v>
      </c>
      <c r="AE299" s="145">
        <v>0</v>
      </c>
      <c r="AF299" s="145">
        <v>0</v>
      </c>
      <c r="AG299" s="145">
        <v>0</v>
      </c>
      <c r="AH299" s="145">
        <v>0</v>
      </c>
      <c r="AI299" s="145">
        <v>0</v>
      </c>
      <c r="AJ299" s="145">
        <v>0</v>
      </c>
      <c r="AK299" s="145">
        <f t="shared" si="122"/>
        <v>0</v>
      </c>
      <c r="AL299" s="145">
        <v>637500</v>
      </c>
      <c r="AM299" s="145">
        <v>0</v>
      </c>
      <c r="AN299" s="145">
        <v>0</v>
      </c>
      <c r="AO299" s="145">
        <v>0</v>
      </c>
      <c r="AP299" s="145">
        <v>0</v>
      </c>
      <c r="AQ299" s="145">
        <v>0</v>
      </c>
      <c r="AR299" s="145">
        <v>0</v>
      </c>
      <c r="AS299" s="144">
        <f t="shared" si="119"/>
        <v>637500</v>
      </c>
      <c r="AT299" s="144"/>
      <c r="AU299" s="146">
        <f t="shared" si="103"/>
        <v>637500</v>
      </c>
      <c r="AV299" s="146">
        <f>IFERROR(VLOOKUP(J299,Maksājumu_pieprasījumu_iesn.!G:BL,57,0),0)</f>
        <v>0</v>
      </c>
      <c r="AW299" s="139">
        <f t="shared" si="109"/>
        <v>-637500</v>
      </c>
      <c r="AX299" s="147">
        <f t="shared" si="121"/>
        <v>0</v>
      </c>
      <c r="AY299" s="147"/>
      <c r="AZ299" s="147"/>
      <c r="BA299" s="165"/>
      <c r="BB299" s="144"/>
      <c r="BC299" s="144"/>
      <c r="BD299" s="144"/>
      <c r="BE299" s="144"/>
      <c r="BF299" s="144"/>
      <c r="BG299" s="144"/>
      <c r="BH299" s="149"/>
      <c r="BI299" s="149"/>
      <c r="BJ299" s="149"/>
      <c r="BK299" s="149"/>
      <c r="BL299" s="149"/>
      <c r="BM299" s="149"/>
      <c r="BN299" s="149"/>
    </row>
    <row r="300" spans="1:66" ht="51" hidden="1" customHeight="1" x14ac:dyDescent="0.2">
      <c r="A300" s="142" t="s">
        <v>1348</v>
      </c>
      <c r="B300" s="18" t="s">
        <v>89</v>
      </c>
      <c r="C300" s="18" t="s">
        <v>846</v>
      </c>
      <c r="D300" s="19" t="s">
        <v>847</v>
      </c>
      <c r="E300" s="18" t="s">
        <v>3</v>
      </c>
      <c r="F300" s="18" t="s">
        <v>11</v>
      </c>
      <c r="G300" s="18" t="s">
        <v>5</v>
      </c>
      <c r="H300" s="18" t="s">
        <v>3</v>
      </c>
      <c r="I300" s="18"/>
      <c r="J300" s="56" t="s">
        <v>1381</v>
      </c>
      <c r="K300" s="19" t="s">
        <v>1030</v>
      </c>
      <c r="L300" s="19"/>
      <c r="M300" s="19"/>
      <c r="N300" s="19" t="s">
        <v>1382</v>
      </c>
      <c r="O300" s="143"/>
      <c r="P300" s="143"/>
      <c r="Q300" s="143"/>
      <c r="R300" s="187" t="s">
        <v>1383</v>
      </c>
      <c r="S300" s="144">
        <v>303476</v>
      </c>
      <c r="T300" s="172"/>
      <c r="U300" s="145">
        <v>0</v>
      </c>
      <c r="V300" s="145">
        <v>0</v>
      </c>
      <c r="W300" s="145">
        <v>0</v>
      </c>
      <c r="X300" s="145">
        <f t="shared" si="120"/>
        <v>0</v>
      </c>
      <c r="Y300" s="145">
        <v>0</v>
      </c>
      <c r="Z300" s="145">
        <v>0</v>
      </c>
      <c r="AA300" s="145">
        <v>0</v>
      </c>
      <c r="AB300" s="145">
        <v>0</v>
      </c>
      <c r="AC300" s="145">
        <v>0</v>
      </c>
      <c r="AD300" s="145">
        <v>0</v>
      </c>
      <c r="AE300" s="145">
        <v>0</v>
      </c>
      <c r="AF300" s="145">
        <v>0</v>
      </c>
      <c r="AG300" s="145">
        <v>0</v>
      </c>
      <c r="AH300" s="145">
        <v>0</v>
      </c>
      <c r="AI300" s="145">
        <v>0</v>
      </c>
      <c r="AJ300" s="145">
        <v>0</v>
      </c>
      <c r="AK300" s="145">
        <f t="shared" si="122"/>
        <v>0</v>
      </c>
      <c r="AL300" s="145">
        <v>130501.97</v>
      </c>
      <c r="AM300" s="145">
        <v>160835.04</v>
      </c>
      <c r="AN300" s="145">
        <v>12138.49</v>
      </c>
      <c r="AO300" s="145">
        <v>0</v>
      </c>
      <c r="AP300" s="145">
        <v>0</v>
      </c>
      <c r="AQ300" s="145">
        <v>0</v>
      </c>
      <c r="AR300" s="145">
        <v>0</v>
      </c>
      <c r="AS300" s="144">
        <f t="shared" si="119"/>
        <v>303475.5</v>
      </c>
      <c r="AT300" s="144"/>
      <c r="AU300" s="146">
        <f t="shared" si="103"/>
        <v>303475.5</v>
      </c>
      <c r="AV300" s="146">
        <f>IFERROR(VLOOKUP(J300,Maksājumu_pieprasījumu_iesn.!G:BL,57,0),0)</f>
        <v>0</v>
      </c>
      <c r="AW300" s="139">
        <f t="shared" si="109"/>
        <v>-303475.5</v>
      </c>
      <c r="AX300" s="147">
        <f t="shared" si="121"/>
        <v>0.5</v>
      </c>
      <c r="AY300" s="147"/>
      <c r="AZ300" s="147"/>
      <c r="BA300" s="165"/>
      <c r="BB300" s="144"/>
      <c r="BC300" s="144"/>
      <c r="BD300" s="144"/>
      <c r="BE300" s="144"/>
      <c r="BF300" s="144"/>
      <c r="BG300" s="144"/>
      <c r="BH300" s="149"/>
      <c r="BI300" s="149"/>
      <c r="BJ300" s="149"/>
      <c r="BK300" s="149"/>
      <c r="BL300" s="149"/>
      <c r="BM300" s="149"/>
      <c r="BN300" s="149"/>
    </row>
    <row r="301" spans="1:66" ht="38.25" hidden="1" customHeight="1" x14ac:dyDescent="0.2">
      <c r="A301" s="142" t="s">
        <v>1348</v>
      </c>
      <c r="B301" s="18" t="s">
        <v>89</v>
      </c>
      <c r="C301" s="18" t="s">
        <v>846</v>
      </c>
      <c r="D301" s="19" t="s">
        <v>847</v>
      </c>
      <c r="E301" s="18" t="s">
        <v>3</v>
      </c>
      <c r="F301" s="18" t="s">
        <v>11</v>
      </c>
      <c r="G301" s="18" t="s">
        <v>5</v>
      </c>
      <c r="H301" s="18" t="s">
        <v>3</v>
      </c>
      <c r="I301" s="18"/>
      <c r="J301" s="56" t="s">
        <v>1384</v>
      </c>
      <c r="K301" s="19" t="s">
        <v>1385</v>
      </c>
      <c r="L301" s="19"/>
      <c r="M301" s="19"/>
      <c r="N301" s="19" t="s">
        <v>1386</v>
      </c>
      <c r="O301" s="143"/>
      <c r="P301" s="143"/>
      <c r="Q301" s="143"/>
      <c r="R301" s="187" t="s">
        <v>1383</v>
      </c>
      <c r="S301" s="144">
        <v>175355</v>
      </c>
      <c r="T301" s="172"/>
      <c r="U301" s="145">
        <v>0</v>
      </c>
      <c r="V301" s="145">
        <v>0</v>
      </c>
      <c r="W301" s="145">
        <v>0</v>
      </c>
      <c r="X301" s="145">
        <f t="shared" si="120"/>
        <v>0</v>
      </c>
      <c r="Y301" s="145">
        <v>0</v>
      </c>
      <c r="Z301" s="145">
        <v>0</v>
      </c>
      <c r="AA301" s="145">
        <v>0</v>
      </c>
      <c r="AB301" s="145">
        <v>0</v>
      </c>
      <c r="AC301" s="145">
        <v>0</v>
      </c>
      <c r="AD301" s="145">
        <v>0</v>
      </c>
      <c r="AE301" s="145">
        <v>0</v>
      </c>
      <c r="AF301" s="145">
        <v>0</v>
      </c>
      <c r="AG301" s="145">
        <v>0</v>
      </c>
      <c r="AH301" s="145">
        <v>0</v>
      </c>
      <c r="AI301" s="145">
        <v>0</v>
      </c>
      <c r="AJ301" s="145">
        <v>0</v>
      </c>
      <c r="AK301" s="145">
        <f t="shared" si="122"/>
        <v>0</v>
      </c>
      <c r="AL301" s="145">
        <v>175355</v>
      </c>
      <c r="AM301" s="145">
        <v>0</v>
      </c>
      <c r="AN301" s="145">
        <v>0</v>
      </c>
      <c r="AO301" s="145">
        <v>0</v>
      </c>
      <c r="AP301" s="145">
        <v>0</v>
      </c>
      <c r="AQ301" s="145">
        <v>0</v>
      </c>
      <c r="AR301" s="145">
        <v>0</v>
      </c>
      <c r="AS301" s="144">
        <f t="shared" si="119"/>
        <v>175355</v>
      </c>
      <c r="AT301" s="144"/>
      <c r="AU301" s="146">
        <f t="shared" si="103"/>
        <v>175355</v>
      </c>
      <c r="AV301" s="146">
        <f>IFERROR(VLOOKUP(J301,Maksājumu_pieprasījumu_iesn.!G:BL,57,0),0)</f>
        <v>0</v>
      </c>
      <c r="AW301" s="139">
        <f t="shared" si="109"/>
        <v>-175355</v>
      </c>
      <c r="AX301" s="147">
        <f t="shared" si="121"/>
        <v>0</v>
      </c>
      <c r="AY301" s="147"/>
      <c r="AZ301" s="147"/>
      <c r="BA301" s="165"/>
      <c r="BB301" s="144"/>
      <c r="BC301" s="144"/>
      <c r="BD301" s="144"/>
      <c r="BE301" s="144"/>
      <c r="BF301" s="144"/>
      <c r="BG301" s="144"/>
      <c r="BH301" s="149"/>
      <c r="BI301" s="149"/>
      <c r="BJ301" s="149"/>
      <c r="BK301" s="149"/>
      <c r="BL301" s="149"/>
      <c r="BM301" s="149"/>
      <c r="BN301" s="149"/>
    </row>
    <row r="302" spans="1:66" ht="51" hidden="1" customHeight="1" x14ac:dyDescent="0.2">
      <c r="A302" s="142" t="s">
        <v>1348</v>
      </c>
      <c r="B302" s="18" t="s">
        <v>89</v>
      </c>
      <c r="C302" s="18" t="s">
        <v>846</v>
      </c>
      <c r="D302" s="19" t="s">
        <v>847</v>
      </c>
      <c r="E302" s="18" t="s">
        <v>3</v>
      </c>
      <c r="F302" s="18" t="s">
        <v>11</v>
      </c>
      <c r="G302" s="18" t="s">
        <v>5</v>
      </c>
      <c r="H302" s="18" t="s">
        <v>3</v>
      </c>
      <c r="I302" s="18"/>
      <c r="J302" s="56" t="s">
        <v>1387</v>
      </c>
      <c r="K302" s="19" t="s">
        <v>1388</v>
      </c>
      <c r="L302" s="19"/>
      <c r="M302" s="19"/>
      <c r="N302" s="19" t="s">
        <v>1389</v>
      </c>
      <c r="O302" s="143"/>
      <c r="P302" s="143"/>
      <c r="Q302" s="143"/>
      <c r="R302" s="187" t="s">
        <v>1390</v>
      </c>
      <c r="S302" s="144">
        <v>510000</v>
      </c>
      <c r="T302" s="172"/>
      <c r="U302" s="145">
        <v>0</v>
      </c>
      <c r="V302" s="145">
        <v>0</v>
      </c>
      <c r="W302" s="145">
        <v>0</v>
      </c>
      <c r="X302" s="145">
        <f t="shared" si="120"/>
        <v>0</v>
      </c>
      <c r="Y302" s="145">
        <v>0</v>
      </c>
      <c r="Z302" s="145">
        <v>0</v>
      </c>
      <c r="AA302" s="145">
        <v>0</v>
      </c>
      <c r="AB302" s="145">
        <v>0</v>
      </c>
      <c r="AC302" s="145">
        <v>0</v>
      </c>
      <c r="AD302" s="145">
        <v>0</v>
      </c>
      <c r="AE302" s="145">
        <v>0</v>
      </c>
      <c r="AF302" s="145">
        <v>0</v>
      </c>
      <c r="AG302" s="145">
        <v>0</v>
      </c>
      <c r="AH302" s="145">
        <v>0</v>
      </c>
      <c r="AI302" s="145">
        <v>0</v>
      </c>
      <c r="AJ302" s="145">
        <v>0</v>
      </c>
      <c r="AK302" s="145">
        <f t="shared" si="122"/>
        <v>0</v>
      </c>
      <c r="AL302" s="145">
        <v>510000</v>
      </c>
      <c r="AM302" s="145">
        <v>0</v>
      </c>
      <c r="AN302" s="145">
        <v>0</v>
      </c>
      <c r="AO302" s="145">
        <v>0</v>
      </c>
      <c r="AP302" s="145">
        <v>0</v>
      </c>
      <c r="AQ302" s="145">
        <v>0</v>
      </c>
      <c r="AR302" s="145">
        <v>0</v>
      </c>
      <c r="AS302" s="144">
        <f t="shared" si="119"/>
        <v>510000</v>
      </c>
      <c r="AT302" s="144"/>
      <c r="AU302" s="146">
        <f t="shared" si="103"/>
        <v>510000</v>
      </c>
      <c r="AV302" s="146">
        <f>IFERROR(VLOOKUP(J302,Maksājumu_pieprasījumu_iesn.!G:BL,57,0),0)</f>
        <v>0</v>
      </c>
      <c r="AW302" s="139">
        <f t="shared" si="109"/>
        <v>-510000</v>
      </c>
      <c r="AX302" s="147">
        <f t="shared" si="121"/>
        <v>0</v>
      </c>
      <c r="AY302" s="147"/>
      <c r="AZ302" s="147"/>
      <c r="BA302" s="165"/>
      <c r="BB302" s="144"/>
      <c r="BC302" s="144"/>
      <c r="BD302" s="144"/>
      <c r="BE302" s="144"/>
      <c r="BF302" s="144"/>
      <c r="BG302" s="144"/>
      <c r="BH302" s="149"/>
      <c r="BI302" s="149"/>
      <c r="BJ302" s="149"/>
      <c r="BK302" s="149"/>
      <c r="BL302" s="149"/>
      <c r="BM302" s="149"/>
      <c r="BN302" s="149"/>
    </row>
    <row r="303" spans="1:66" ht="25.5" hidden="1" customHeight="1" x14ac:dyDescent="0.2">
      <c r="A303" s="142" t="s">
        <v>1348</v>
      </c>
      <c r="B303" s="18" t="s">
        <v>89</v>
      </c>
      <c r="C303" s="18" t="s">
        <v>846</v>
      </c>
      <c r="D303" s="19" t="s">
        <v>847</v>
      </c>
      <c r="E303" s="18" t="s">
        <v>3</v>
      </c>
      <c r="F303" s="18" t="s">
        <v>11</v>
      </c>
      <c r="G303" s="18" t="s">
        <v>5</v>
      </c>
      <c r="H303" s="18" t="s">
        <v>3</v>
      </c>
      <c r="I303" s="18"/>
      <c r="J303" s="56" t="s">
        <v>1391</v>
      </c>
      <c r="K303" s="19" t="s">
        <v>1392</v>
      </c>
      <c r="L303" s="19"/>
      <c r="M303" s="19"/>
      <c r="N303" s="19" t="s">
        <v>1393</v>
      </c>
      <c r="O303" s="143"/>
      <c r="P303" s="143"/>
      <c r="Q303" s="143"/>
      <c r="R303" s="187" t="s">
        <v>1394</v>
      </c>
      <c r="S303" s="144">
        <v>436050</v>
      </c>
      <c r="T303" s="172"/>
      <c r="U303" s="145">
        <v>0</v>
      </c>
      <c r="V303" s="145">
        <v>0</v>
      </c>
      <c r="W303" s="145">
        <v>0</v>
      </c>
      <c r="X303" s="145">
        <f t="shared" si="120"/>
        <v>0</v>
      </c>
      <c r="Y303" s="145">
        <v>0</v>
      </c>
      <c r="Z303" s="145">
        <v>0</v>
      </c>
      <c r="AA303" s="145">
        <v>0</v>
      </c>
      <c r="AB303" s="145">
        <v>0</v>
      </c>
      <c r="AC303" s="145">
        <v>0</v>
      </c>
      <c r="AD303" s="145">
        <v>0</v>
      </c>
      <c r="AE303" s="145">
        <v>0</v>
      </c>
      <c r="AF303" s="145">
        <v>0</v>
      </c>
      <c r="AG303" s="145">
        <v>0</v>
      </c>
      <c r="AH303" s="145">
        <v>0</v>
      </c>
      <c r="AI303" s="145">
        <v>0</v>
      </c>
      <c r="AJ303" s="145">
        <v>0</v>
      </c>
      <c r="AK303" s="145">
        <f t="shared" si="122"/>
        <v>0</v>
      </c>
      <c r="AL303" s="145">
        <v>436050</v>
      </c>
      <c r="AM303" s="145">
        <v>0</v>
      </c>
      <c r="AN303" s="145">
        <v>0</v>
      </c>
      <c r="AO303" s="145">
        <v>0</v>
      </c>
      <c r="AP303" s="145">
        <v>0</v>
      </c>
      <c r="AQ303" s="145">
        <v>0</v>
      </c>
      <c r="AR303" s="145">
        <v>0</v>
      </c>
      <c r="AS303" s="144">
        <f t="shared" si="119"/>
        <v>436050</v>
      </c>
      <c r="AT303" s="144"/>
      <c r="AU303" s="146">
        <f t="shared" si="103"/>
        <v>436050</v>
      </c>
      <c r="AV303" s="146">
        <f>IFERROR(VLOOKUP(J303,Maksājumu_pieprasījumu_iesn.!G:BL,57,0),0)</f>
        <v>0</v>
      </c>
      <c r="AW303" s="139">
        <f t="shared" si="109"/>
        <v>-436050</v>
      </c>
      <c r="AX303" s="147">
        <f t="shared" si="121"/>
        <v>0</v>
      </c>
      <c r="AY303" s="147"/>
      <c r="AZ303" s="147"/>
      <c r="BA303" s="165"/>
      <c r="BB303" s="144"/>
      <c r="BC303" s="144"/>
      <c r="BD303" s="144"/>
      <c r="BE303" s="144"/>
      <c r="BF303" s="144"/>
      <c r="BG303" s="144"/>
      <c r="BH303" s="149"/>
      <c r="BI303" s="149"/>
      <c r="BJ303" s="149"/>
      <c r="BK303" s="149"/>
      <c r="BL303" s="149"/>
      <c r="BM303" s="149"/>
      <c r="BN303" s="149"/>
    </row>
    <row r="304" spans="1:66" ht="38.25" hidden="1" customHeight="1" x14ac:dyDescent="0.2">
      <c r="A304" s="142" t="s">
        <v>1348</v>
      </c>
      <c r="B304" s="18" t="s">
        <v>89</v>
      </c>
      <c r="C304" s="18" t="s">
        <v>846</v>
      </c>
      <c r="D304" s="19" t="s">
        <v>847</v>
      </c>
      <c r="E304" s="18" t="s">
        <v>3</v>
      </c>
      <c r="F304" s="18" t="s">
        <v>11</v>
      </c>
      <c r="G304" s="18" t="s">
        <v>5</v>
      </c>
      <c r="H304" s="18" t="s">
        <v>3</v>
      </c>
      <c r="I304" s="18"/>
      <c r="J304" s="56" t="s">
        <v>1395</v>
      </c>
      <c r="K304" s="19" t="s">
        <v>1030</v>
      </c>
      <c r="L304" s="19"/>
      <c r="M304" s="19"/>
      <c r="N304" s="19" t="s">
        <v>1396</v>
      </c>
      <c r="O304" s="143"/>
      <c r="P304" s="143"/>
      <c r="Q304" s="143"/>
      <c r="R304" s="187" t="s">
        <v>1397</v>
      </c>
      <c r="S304" s="144">
        <v>574107</v>
      </c>
      <c r="T304" s="172"/>
      <c r="U304" s="145">
        <v>0</v>
      </c>
      <c r="V304" s="145">
        <v>0</v>
      </c>
      <c r="W304" s="145">
        <v>0</v>
      </c>
      <c r="X304" s="145">
        <f t="shared" si="120"/>
        <v>0</v>
      </c>
      <c r="Y304" s="145">
        <v>0</v>
      </c>
      <c r="Z304" s="145">
        <v>0</v>
      </c>
      <c r="AA304" s="145">
        <v>0</v>
      </c>
      <c r="AB304" s="145">
        <v>0</v>
      </c>
      <c r="AC304" s="145">
        <v>0</v>
      </c>
      <c r="AD304" s="145">
        <v>0</v>
      </c>
      <c r="AE304" s="145">
        <v>0</v>
      </c>
      <c r="AF304" s="145">
        <v>0</v>
      </c>
      <c r="AG304" s="145">
        <v>0</v>
      </c>
      <c r="AH304" s="145">
        <v>0</v>
      </c>
      <c r="AI304" s="145">
        <v>0</v>
      </c>
      <c r="AJ304" s="145">
        <v>0</v>
      </c>
      <c r="AK304" s="145">
        <f t="shared" si="122"/>
        <v>0</v>
      </c>
      <c r="AL304" s="145">
        <v>42.78</v>
      </c>
      <c r="AM304" s="145">
        <v>109072.2</v>
      </c>
      <c r="AN304" s="145">
        <v>464992.02</v>
      </c>
      <c r="AO304" s="145">
        <v>0</v>
      </c>
      <c r="AP304" s="145">
        <v>0</v>
      </c>
      <c r="AQ304" s="145">
        <v>0</v>
      </c>
      <c r="AR304" s="145">
        <v>0</v>
      </c>
      <c r="AS304" s="144">
        <f t="shared" si="119"/>
        <v>574107</v>
      </c>
      <c r="AT304" s="144"/>
      <c r="AU304" s="146">
        <f t="shared" si="103"/>
        <v>574107</v>
      </c>
      <c r="AV304" s="146">
        <f>IFERROR(VLOOKUP(J304,Maksājumu_pieprasījumu_iesn.!G:BL,57,0),0)</f>
        <v>0</v>
      </c>
      <c r="AW304" s="139">
        <f t="shared" si="109"/>
        <v>-574107</v>
      </c>
      <c r="AX304" s="147">
        <f t="shared" si="121"/>
        <v>0</v>
      </c>
      <c r="AY304" s="147"/>
      <c r="AZ304" s="147"/>
      <c r="BA304" s="165"/>
      <c r="BB304" s="144"/>
      <c r="BC304" s="144"/>
      <c r="BD304" s="144"/>
      <c r="BE304" s="144"/>
      <c r="BF304" s="144"/>
      <c r="BG304" s="144"/>
      <c r="BH304" s="149"/>
      <c r="BI304" s="149"/>
      <c r="BJ304" s="149"/>
      <c r="BK304" s="149"/>
      <c r="BL304" s="149"/>
      <c r="BM304" s="149"/>
      <c r="BN304" s="149"/>
    </row>
    <row r="305" spans="1:66" ht="51" hidden="1" customHeight="1" x14ac:dyDescent="0.2">
      <c r="A305" s="142" t="s">
        <v>1348</v>
      </c>
      <c r="B305" s="18" t="s">
        <v>89</v>
      </c>
      <c r="C305" s="18" t="s">
        <v>846</v>
      </c>
      <c r="D305" s="19" t="s">
        <v>847</v>
      </c>
      <c r="E305" s="18" t="s">
        <v>3</v>
      </c>
      <c r="F305" s="18" t="s">
        <v>11</v>
      </c>
      <c r="G305" s="18" t="s">
        <v>5</v>
      </c>
      <c r="H305" s="18" t="s">
        <v>3</v>
      </c>
      <c r="I305" s="18"/>
      <c r="J305" s="56" t="s">
        <v>1398</v>
      </c>
      <c r="K305" s="19" t="s">
        <v>1399</v>
      </c>
      <c r="L305" s="19"/>
      <c r="M305" s="19"/>
      <c r="N305" s="19" t="s">
        <v>1400</v>
      </c>
      <c r="O305" s="143"/>
      <c r="P305" s="143"/>
      <c r="Q305" s="143"/>
      <c r="R305" s="187" t="s">
        <v>1401</v>
      </c>
      <c r="S305" s="144">
        <v>187000</v>
      </c>
      <c r="T305" s="172"/>
      <c r="U305" s="145">
        <v>0</v>
      </c>
      <c r="V305" s="145">
        <v>0</v>
      </c>
      <c r="W305" s="145">
        <v>0</v>
      </c>
      <c r="X305" s="145">
        <f t="shared" si="120"/>
        <v>0</v>
      </c>
      <c r="Y305" s="145">
        <v>0</v>
      </c>
      <c r="Z305" s="145">
        <v>0</v>
      </c>
      <c r="AA305" s="145">
        <v>0</v>
      </c>
      <c r="AB305" s="145">
        <v>0</v>
      </c>
      <c r="AC305" s="145">
        <v>0</v>
      </c>
      <c r="AD305" s="145">
        <v>0</v>
      </c>
      <c r="AE305" s="145">
        <v>0</v>
      </c>
      <c r="AF305" s="145">
        <v>0</v>
      </c>
      <c r="AG305" s="145">
        <v>0</v>
      </c>
      <c r="AH305" s="145">
        <v>0</v>
      </c>
      <c r="AI305" s="145">
        <v>0</v>
      </c>
      <c r="AJ305" s="145">
        <v>0</v>
      </c>
      <c r="AK305" s="145">
        <f t="shared" si="122"/>
        <v>0</v>
      </c>
      <c r="AL305" s="145">
        <v>102133.45</v>
      </c>
      <c r="AM305" s="145">
        <v>84866.55</v>
      </c>
      <c r="AN305" s="145">
        <v>0</v>
      </c>
      <c r="AO305" s="145">
        <v>0</v>
      </c>
      <c r="AP305" s="145">
        <v>0</v>
      </c>
      <c r="AQ305" s="145">
        <v>0</v>
      </c>
      <c r="AR305" s="145">
        <v>0</v>
      </c>
      <c r="AS305" s="144">
        <f t="shared" si="119"/>
        <v>187000</v>
      </c>
      <c r="AT305" s="144"/>
      <c r="AU305" s="146">
        <f t="shared" si="103"/>
        <v>187000</v>
      </c>
      <c r="AV305" s="146">
        <f>IFERROR(VLOOKUP(J305,Maksājumu_pieprasījumu_iesn.!G:BL,57,0),0)</f>
        <v>0</v>
      </c>
      <c r="AW305" s="139">
        <f t="shared" si="109"/>
        <v>-187000</v>
      </c>
      <c r="AX305" s="147">
        <f t="shared" si="121"/>
        <v>0</v>
      </c>
      <c r="AY305" s="147"/>
      <c r="AZ305" s="147"/>
      <c r="BA305" s="165"/>
      <c r="BB305" s="144"/>
      <c r="BC305" s="144"/>
      <c r="BD305" s="144"/>
      <c r="BE305" s="144"/>
      <c r="BF305" s="144"/>
      <c r="BG305" s="144"/>
      <c r="BH305" s="149"/>
      <c r="BI305" s="149"/>
      <c r="BJ305" s="149"/>
      <c r="BK305" s="149"/>
      <c r="BL305" s="149"/>
      <c r="BM305" s="149"/>
      <c r="BN305" s="149"/>
    </row>
    <row r="306" spans="1:66" ht="38.25" hidden="1" customHeight="1" x14ac:dyDescent="0.2">
      <c r="A306" s="142" t="s">
        <v>1348</v>
      </c>
      <c r="B306" s="18" t="s">
        <v>89</v>
      </c>
      <c r="C306" s="18" t="s">
        <v>846</v>
      </c>
      <c r="D306" s="19" t="s">
        <v>847</v>
      </c>
      <c r="E306" s="18" t="s">
        <v>3</v>
      </c>
      <c r="F306" s="18" t="s">
        <v>11</v>
      </c>
      <c r="G306" s="18" t="s">
        <v>5</v>
      </c>
      <c r="H306" s="18" t="s">
        <v>3</v>
      </c>
      <c r="I306" s="18"/>
      <c r="J306" s="56" t="s">
        <v>1402</v>
      </c>
      <c r="K306" s="19" t="s">
        <v>1403</v>
      </c>
      <c r="L306" s="19"/>
      <c r="M306" s="19"/>
      <c r="N306" s="19" t="s">
        <v>1404</v>
      </c>
      <c r="O306" s="143"/>
      <c r="P306" s="143"/>
      <c r="Q306" s="143"/>
      <c r="R306" s="187" t="s">
        <v>1397</v>
      </c>
      <c r="S306" s="144">
        <v>138550</v>
      </c>
      <c r="T306" s="172"/>
      <c r="U306" s="145">
        <v>0</v>
      </c>
      <c r="V306" s="145">
        <v>0</v>
      </c>
      <c r="W306" s="145">
        <v>0</v>
      </c>
      <c r="X306" s="145">
        <f t="shared" si="120"/>
        <v>0</v>
      </c>
      <c r="Y306" s="145">
        <v>0</v>
      </c>
      <c r="Z306" s="145">
        <v>0</v>
      </c>
      <c r="AA306" s="145">
        <v>0</v>
      </c>
      <c r="AB306" s="145">
        <v>0</v>
      </c>
      <c r="AC306" s="145">
        <v>0</v>
      </c>
      <c r="AD306" s="145">
        <v>0</v>
      </c>
      <c r="AE306" s="145">
        <v>0</v>
      </c>
      <c r="AF306" s="145">
        <v>0</v>
      </c>
      <c r="AG306" s="145">
        <v>0</v>
      </c>
      <c r="AH306" s="145">
        <v>0</v>
      </c>
      <c r="AI306" s="145">
        <v>0</v>
      </c>
      <c r="AJ306" s="145">
        <v>0</v>
      </c>
      <c r="AK306" s="145">
        <f t="shared" si="122"/>
        <v>0</v>
      </c>
      <c r="AL306" s="145">
        <v>138550</v>
      </c>
      <c r="AM306" s="145">
        <v>0</v>
      </c>
      <c r="AN306" s="145">
        <v>0</v>
      </c>
      <c r="AO306" s="145">
        <v>0</v>
      </c>
      <c r="AP306" s="145">
        <v>0</v>
      </c>
      <c r="AQ306" s="145">
        <v>0</v>
      </c>
      <c r="AR306" s="145">
        <v>0</v>
      </c>
      <c r="AS306" s="144">
        <f t="shared" si="119"/>
        <v>138550</v>
      </c>
      <c r="AT306" s="144"/>
      <c r="AU306" s="146">
        <f t="shared" si="103"/>
        <v>138550</v>
      </c>
      <c r="AV306" s="146">
        <f>IFERROR(VLOOKUP(J306,Maksājumu_pieprasījumu_iesn.!G:BL,57,0),0)</f>
        <v>0</v>
      </c>
      <c r="AW306" s="139">
        <f t="shared" si="109"/>
        <v>-138550</v>
      </c>
      <c r="AX306" s="147">
        <f t="shared" si="121"/>
        <v>0</v>
      </c>
      <c r="AY306" s="147"/>
      <c r="AZ306" s="147"/>
      <c r="BA306" s="165"/>
      <c r="BB306" s="144"/>
      <c r="BC306" s="144"/>
      <c r="BD306" s="144"/>
      <c r="BE306" s="144"/>
      <c r="BF306" s="144"/>
      <c r="BG306" s="144"/>
      <c r="BH306" s="149"/>
      <c r="BI306" s="149"/>
      <c r="BJ306" s="149"/>
      <c r="BK306" s="149"/>
      <c r="BL306" s="149"/>
      <c r="BM306" s="149"/>
      <c r="BN306" s="149"/>
    </row>
    <row r="307" spans="1:66" s="91" customFormat="1" ht="12.75" hidden="1" customHeight="1" outlineLevel="1" x14ac:dyDescent="0.2">
      <c r="A307" s="150" t="s">
        <v>1348</v>
      </c>
      <c r="B307" s="18" t="s">
        <v>89</v>
      </c>
      <c r="C307" s="18" t="s">
        <v>846</v>
      </c>
      <c r="D307" s="19" t="s">
        <v>847</v>
      </c>
      <c r="E307" s="55" t="s">
        <v>3</v>
      </c>
      <c r="F307" s="55" t="s">
        <v>11</v>
      </c>
      <c r="G307" s="55" t="s">
        <v>5</v>
      </c>
      <c r="H307" s="55" t="s">
        <v>3</v>
      </c>
      <c r="I307" s="55"/>
      <c r="J307" s="55"/>
      <c r="K307" s="19"/>
      <c r="L307" s="19"/>
      <c r="M307" s="19"/>
      <c r="N307" s="19"/>
      <c r="O307" s="151"/>
      <c r="P307" s="151"/>
      <c r="Q307" s="151"/>
      <c r="R307" s="151"/>
      <c r="S307" s="152"/>
      <c r="T307" s="152"/>
      <c r="U307" s="145">
        <v>0</v>
      </c>
      <c r="V307" s="145">
        <v>0</v>
      </c>
      <c r="W307" s="145">
        <v>0</v>
      </c>
      <c r="X307" s="145">
        <f t="shared" si="120"/>
        <v>0</v>
      </c>
      <c r="Y307" s="145">
        <v>0</v>
      </c>
      <c r="Z307" s="145">
        <v>0</v>
      </c>
      <c r="AA307" s="145">
        <v>0</v>
      </c>
      <c r="AB307" s="145">
        <v>0</v>
      </c>
      <c r="AC307" s="145">
        <v>0</v>
      </c>
      <c r="AD307" s="145">
        <v>0</v>
      </c>
      <c r="AE307" s="145">
        <v>0</v>
      </c>
      <c r="AF307" s="145">
        <v>0</v>
      </c>
      <c r="AG307" s="145">
        <v>0</v>
      </c>
      <c r="AH307" s="145">
        <v>0</v>
      </c>
      <c r="AI307" s="145">
        <v>0</v>
      </c>
      <c r="AJ307" s="145">
        <v>0</v>
      </c>
      <c r="AK307" s="145">
        <f t="shared" si="122"/>
        <v>0</v>
      </c>
      <c r="AL307" s="145">
        <v>0</v>
      </c>
      <c r="AM307" s="145">
        <v>0</v>
      </c>
      <c r="AN307" s="145">
        <v>0</v>
      </c>
      <c r="AO307" s="145">
        <v>0</v>
      </c>
      <c r="AP307" s="145">
        <v>0</v>
      </c>
      <c r="AQ307" s="145">
        <v>0</v>
      </c>
      <c r="AR307" s="145">
        <v>0</v>
      </c>
      <c r="AS307" s="145">
        <f t="shared" si="119"/>
        <v>0</v>
      </c>
      <c r="AT307" s="145"/>
      <c r="AU307" s="139">
        <f t="shared" si="103"/>
        <v>0</v>
      </c>
      <c r="AV307" s="146">
        <f>IFERROR(VLOOKUP(J307,Maksājumu_pieprasījumu_iesn.!G:BL,57,0),0)</f>
        <v>0</v>
      </c>
      <c r="AW307" s="139">
        <f t="shared" si="109"/>
        <v>0</v>
      </c>
      <c r="AX307" s="153">
        <f t="shared" si="121"/>
        <v>0</v>
      </c>
      <c r="AY307" s="153"/>
      <c r="AZ307" s="153"/>
      <c r="BA307" s="136"/>
      <c r="BB307" s="145"/>
      <c r="BC307" s="145"/>
      <c r="BD307" s="145"/>
      <c r="BE307" s="145"/>
      <c r="BF307" s="145"/>
      <c r="BG307" s="145"/>
      <c r="BH307" s="138"/>
      <c r="BI307" s="138"/>
      <c r="BJ307" s="138"/>
      <c r="BK307" s="138"/>
      <c r="BL307" s="138"/>
      <c r="BM307" s="138"/>
      <c r="BN307" s="138"/>
    </row>
    <row r="308" spans="1:66" s="91" customFormat="1" ht="12.75" hidden="1" customHeight="1" outlineLevel="1" x14ac:dyDescent="0.2">
      <c r="A308" s="150" t="s">
        <v>1348</v>
      </c>
      <c r="B308" s="18" t="s">
        <v>89</v>
      </c>
      <c r="C308" s="18" t="s">
        <v>846</v>
      </c>
      <c r="D308" s="19" t="s">
        <v>847</v>
      </c>
      <c r="E308" s="55" t="s">
        <v>3</v>
      </c>
      <c r="F308" s="55" t="s">
        <v>11</v>
      </c>
      <c r="G308" s="55" t="s">
        <v>5</v>
      </c>
      <c r="H308" s="55" t="s">
        <v>3</v>
      </c>
      <c r="I308" s="55"/>
      <c r="J308" s="55"/>
      <c r="K308" s="19"/>
      <c r="L308" s="19"/>
      <c r="M308" s="19"/>
      <c r="N308" s="19"/>
      <c r="O308" s="151"/>
      <c r="P308" s="151"/>
      <c r="Q308" s="151"/>
      <c r="R308" s="151"/>
      <c r="S308" s="152"/>
      <c r="T308" s="152"/>
      <c r="U308" s="145">
        <v>0</v>
      </c>
      <c r="V308" s="145">
        <v>0</v>
      </c>
      <c r="W308" s="145">
        <v>0</v>
      </c>
      <c r="X308" s="145">
        <f t="shared" si="120"/>
        <v>0</v>
      </c>
      <c r="Y308" s="145">
        <v>0</v>
      </c>
      <c r="Z308" s="145">
        <v>0</v>
      </c>
      <c r="AA308" s="145">
        <v>0</v>
      </c>
      <c r="AB308" s="145">
        <v>0</v>
      </c>
      <c r="AC308" s="145">
        <v>0</v>
      </c>
      <c r="AD308" s="145">
        <v>0</v>
      </c>
      <c r="AE308" s="145">
        <v>0</v>
      </c>
      <c r="AF308" s="145">
        <v>0</v>
      </c>
      <c r="AG308" s="145">
        <v>0</v>
      </c>
      <c r="AH308" s="145">
        <v>0</v>
      </c>
      <c r="AI308" s="145">
        <v>0</v>
      </c>
      <c r="AJ308" s="145">
        <v>0</v>
      </c>
      <c r="AK308" s="145">
        <f t="shared" si="122"/>
        <v>0</v>
      </c>
      <c r="AL308" s="145">
        <v>0</v>
      </c>
      <c r="AM308" s="145">
        <v>0</v>
      </c>
      <c r="AN308" s="145">
        <v>0</v>
      </c>
      <c r="AO308" s="145">
        <v>0</v>
      </c>
      <c r="AP308" s="145">
        <v>0</v>
      </c>
      <c r="AQ308" s="145">
        <v>0</v>
      </c>
      <c r="AR308" s="145">
        <v>0</v>
      </c>
      <c r="AS308" s="145">
        <f t="shared" si="119"/>
        <v>0</v>
      </c>
      <c r="AT308" s="145"/>
      <c r="AU308" s="139">
        <f t="shared" si="103"/>
        <v>0</v>
      </c>
      <c r="AV308" s="146">
        <f>IFERROR(VLOOKUP(J308,Maksājumu_pieprasījumu_iesn.!G:BL,57,0),0)</f>
        <v>0</v>
      </c>
      <c r="AW308" s="139">
        <f t="shared" si="109"/>
        <v>0</v>
      </c>
      <c r="AX308" s="153"/>
      <c r="AY308" s="153"/>
      <c r="AZ308" s="153"/>
      <c r="BA308" s="136"/>
      <c r="BB308" s="145"/>
      <c r="BC308" s="145"/>
      <c r="BD308" s="145"/>
      <c r="BE308" s="145"/>
      <c r="BF308" s="145"/>
      <c r="BG308" s="145"/>
      <c r="BH308" s="138"/>
      <c r="BI308" s="138"/>
      <c r="BJ308" s="138"/>
      <c r="BK308" s="138"/>
      <c r="BL308" s="138"/>
      <c r="BM308" s="138"/>
      <c r="BN308" s="138"/>
    </row>
    <row r="309" spans="1:66" s="91" customFormat="1" ht="12.75" hidden="1" customHeight="1" outlineLevel="1" x14ac:dyDescent="0.2">
      <c r="A309" s="150" t="s">
        <v>1348</v>
      </c>
      <c r="B309" s="18" t="s">
        <v>89</v>
      </c>
      <c r="C309" s="18" t="s">
        <v>846</v>
      </c>
      <c r="D309" s="19" t="s">
        <v>847</v>
      </c>
      <c r="E309" s="55" t="s">
        <v>3</v>
      </c>
      <c r="F309" s="55" t="s">
        <v>11</v>
      </c>
      <c r="G309" s="55" t="s">
        <v>5</v>
      </c>
      <c r="H309" s="55" t="s">
        <v>3</v>
      </c>
      <c r="I309" s="55"/>
      <c r="J309" s="55"/>
      <c r="K309" s="19"/>
      <c r="L309" s="19"/>
      <c r="M309" s="19"/>
      <c r="N309" s="19"/>
      <c r="O309" s="151"/>
      <c r="P309" s="151"/>
      <c r="Q309" s="151"/>
      <c r="R309" s="151"/>
      <c r="S309" s="152"/>
      <c r="T309" s="152"/>
      <c r="U309" s="145">
        <v>0</v>
      </c>
      <c r="V309" s="145">
        <v>0</v>
      </c>
      <c r="W309" s="145">
        <v>0</v>
      </c>
      <c r="X309" s="145">
        <f t="shared" si="120"/>
        <v>0</v>
      </c>
      <c r="Y309" s="145">
        <v>0</v>
      </c>
      <c r="Z309" s="145">
        <v>0</v>
      </c>
      <c r="AA309" s="145">
        <v>0</v>
      </c>
      <c r="AB309" s="145">
        <v>0</v>
      </c>
      <c r="AC309" s="145">
        <v>0</v>
      </c>
      <c r="AD309" s="145">
        <v>0</v>
      </c>
      <c r="AE309" s="145">
        <v>0</v>
      </c>
      <c r="AF309" s="145">
        <v>0</v>
      </c>
      <c r="AG309" s="145">
        <v>0</v>
      </c>
      <c r="AH309" s="145">
        <v>0</v>
      </c>
      <c r="AI309" s="145">
        <v>0</v>
      </c>
      <c r="AJ309" s="145">
        <v>0</v>
      </c>
      <c r="AK309" s="145">
        <f t="shared" si="122"/>
        <v>0</v>
      </c>
      <c r="AL309" s="145">
        <v>0</v>
      </c>
      <c r="AM309" s="145">
        <v>0</v>
      </c>
      <c r="AN309" s="145">
        <v>0</v>
      </c>
      <c r="AO309" s="145">
        <v>0</v>
      </c>
      <c r="AP309" s="145">
        <v>0</v>
      </c>
      <c r="AQ309" s="145">
        <v>0</v>
      </c>
      <c r="AR309" s="145">
        <v>0</v>
      </c>
      <c r="AS309" s="145">
        <f t="shared" si="119"/>
        <v>0</v>
      </c>
      <c r="AT309" s="145"/>
      <c r="AU309" s="139">
        <f t="shared" si="103"/>
        <v>0</v>
      </c>
      <c r="AV309" s="146">
        <f>IFERROR(VLOOKUP(J309,Maksājumu_pieprasījumu_iesn.!G:BL,57,0),0)</f>
        <v>0</v>
      </c>
      <c r="AW309" s="139">
        <f t="shared" si="109"/>
        <v>0</v>
      </c>
      <c r="AX309" s="153"/>
      <c r="AY309" s="153"/>
      <c r="AZ309" s="153"/>
      <c r="BA309" s="136"/>
      <c r="BB309" s="145"/>
      <c r="BC309" s="145"/>
      <c r="BD309" s="145"/>
      <c r="BE309" s="145"/>
      <c r="BF309" s="145"/>
      <c r="BG309" s="145"/>
      <c r="BH309" s="138"/>
      <c r="BI309" s="138"/>
      <c r="BJ309" s="138"/>
      <c r="BK309" s="138"/>
      <c r="BL309" s="138"/>
      <c r="BM309" s="138"/>
      <c r="BN309" s="138"/>
    </row>
    <row r="310" spans="1:66" s="91" customFormat="1" ht="12.75" hidden="1" customHeight="1" outlineLevel="1" x14ac:dyDescent="0.2">
      <c r="A310" s="150" t="s">
        <v>1348</v>
      </c>
      <c r="B310" s="18" t="s">
        <v>89</v>
      </c>
      <c r="C310" s="18" t="s">
        <v>846</v>
      </c>
      <c r="D310" s="19" t="s">
        <v>847</v>
      </c>
      <c r="E310" s="55" t="s">
        <v>3</v>
      </c>
      <c r="F310" s="55" t="s">
        <v>11</v>
      </c>
      <c r="G310" s="55" t="s">
        <v>5</v>
      </c>
      <c r="H310" s="55" t="s">
        <v>3</v>
      </c>
      <c r="I310" s="55"/>
      <c r="J310" s="55"/>
      <c r="K310" s="19"/>
      <c r="L310" s="19"/>
      <c r="M310" s="19"/>
      <c r="N310" s="19"/>
      <c r="O310" s="151"/>
      <c r="P310" s="151"/>
      <c r="Q310" s="151"/>
      <c r="R310" s="151"/>
      <c r="S310" s="152"/>
      <c r="T310" s="152"/>
      <c r="U310" s="145">
        <v>0</v>
      </c>
      <c r="V310" s="145">
        <v>0</v>
      </c>
      <c r="W310" s="145">
        <v>0</v>
      </c>
      <c r="X310" s="145">
        <f t="shared" si="120"/>
        <v>0</v>
      </c>
      <c r="Y310" s="145">
        <v>0</v>
      </c>
      <c r="Z310" s="145">
        <v>0</v>
      </c>
      <c r="AA310" s="145">
        <v>0</v>
      </c>
      <c r="AB310" s="145">
        <v>0</v>
      </c>
      <c r="AC310" s="145">
        <v>0</v>
      </c>
      <c r="AD310" s="145">
        <v>0</v>
      </c>
      <c r="AE310" s="145">
        <v>0</v>
      </c>
      <c r="AF310" s="145">
        <v>0</v>
      </c>
      <c r="AG310" s="145">
        <v>0</v>
      </c>
      <c r="AH310" s="145">
        <v>0</v>
      </c>
      <c r="AI310" s="145">
        <v>0</v>
      </c>
      <c r="AJ310" s="145">
        <v>0</v>
      </c>
      <c r="AK310" s="145">
        <f t="shared" si="122"/>
        <v>0</v>
      </c>
      <c r="AL310" s="145">
        <v>0</v>
      </c>
      <c r="AM310" s="145">
        <v>0</v>
      </c>
      <c r="AN310" s="145">
        <v>0</v>
      </c>
      <c r="AO310" s="145">
        <v>0</v>
      </c>
      <c r="AP310" s="145">
        <v>0</v>
      </c>
      <c r="AQ310" s="145">
        <v>0</v>
      </c>
      <c r="AR310" s="145">
        <v>0</v>
      </c>
      <c r="AS310" s="145">
        <f t="shared" si="119"/>
        <v>0</v>
      </c>
      <c r="AT310" s="145"/>
      <c r="AU310" s="139">
        <f t="shared" si="103"/>
        <v>0</v>
      </c>
      <c r="AV310" s="146">
        <f>IFERROR(VLOOKUP(J310,Maksājumu_pieprasījumu_iesn.!G:BL,57,0),0)</f>
        <v>0</v>
      </c>
      <c r="AW310" s="139">
        <f t="shared" si="109"/>
        <v>0</v>
      </c>
      <c r="AX310" s="153"/>
      <c r="AY310" s="153"/>
      <c r="AZ310" s="153"/>
      <c r="BA310" s="136"/>
      <c r="BB310" s="145"/>
      <c r="BC310" s="145"/>
      <c r="BD310" s="145"/>
      <c r="BE310" s="145"/>
      <c r="BF310" s="145"/>
      <c r="BG310" s="145"/>
      <c r="BH310" s="138"/>
      <c r="BI310" s="138"/>
      <c r="BJ310" s="138"/>
      <c r="BK310" s="138"/>
      <c r="BL310" s="138"/>
      <c r="BM310" s="138"/>
      <c r="BN310" s="138"/>
    </row>
    <row r="311" spans="1:66" s="91" customFormat="1" ht="12.75" hidden="1" customHeight="1" outlineLevel="1" x14ac:dyDescent="0.2">
      <c r="A311" s="150" t="s">
        <v>1348</v>
      </c>
      <c r="B311" s="18" t="s">
        <v>89</v>
      </c>
      <c r="C311" s="18" t="s">
        <v>846</v>
      </c>
      <c r="D311" s="19" t="s">
        <v>847</v>
      </c>
      <c r="E311" s="55" t="s">
        <v>3</v>
      </c>
      <c r="F311" s="55" t="s">
        <v>11</v>
      </c>
      <c r="G311" s="55" t="s">
        <v>5</v>
      </c>
      <c r="H311" s="55" t="s">
        <v>3</v>
      </c>
      <c r="I311" s="55"/>
      <c r="J311" s="55"/>
      <c r="K311" s="19"/>
      <c r="L311" s="19"/>
      <c r="M311" s="19"/>
      <c r="N311" s="19"/>
      <c r="O311" s="151"/>
      <c r="P311" s="151"/>
      <c r="Q311" s="151"/>
      <c r="R311" s="151"/>
      <c r="S311" s="152"/>
      <c r="T311" s="152"/>
      <c r="U311" s="145">
        <v>0</v>
      </c>
      <c r="V311" s="145">
        <v>0</v>
      </c>
      <c r="W311" s="145">
        <v>0</v>
      </c>
      <c r="X311" s="145">
        <f t="shared" si="120"/>
        <v>0</v>
      </c>
      <c r="Y311" s="145">
        <v>0</v>
      </c>
      <c r="Z311" s="145">
        <v>0</v>
      </c>
      <c r="AA311" s="145">
        <v>0</v>
      </c>
      <c r="AB311" s="145">
        <v>0</v>
      </c>
      <c r="AC311" s="145">
        <v>0</v>
      </c>
      <c r="AD311" s="145">
        <v>0</v>
      </c>
      <c r="AE311" s="145">
        <v>0</v>
      </c>
      <c r="AF311" s="145">
        <v>0</v>
      </c>
      <c r="AG311" s="145">
        <v>0</v>
      </c>
      <c r="AH311" s="145">
        <v>0</v>
      </c>
      <c r="AI311" s="145">
        <v>0</v>
      </c>
      <c r="AJ311" s="145">
        <v>0</v>
      </c>
      <c r="AK311" s="145">
        <f t="shared" si="122"/>
        <v>0</v>
      </c>
      <c r="AL311" s="145">
        <v>0</v>
      </c>
      <c r="AM311" s="145">
        <v>0</v>
      </c>
      <c r="AN311" s="145">
        <v>0</v>
      </c>
      <c r="AO311" s="145">
        <v>0</v>
      </c>
      <c r="AP311" s="145">
        <v>0</v>
      </c>
      <c r="AQ311" s="145">
        <v>0</v>
      </c>
      <c r="AR311" s="145">
        <v>0</v>
      </c>
      <c r="AS311" s="145">
        <f t="shared" si="119"/>
        <v>0</v>
      </c>
      <c r="AT311" s="145"/>
      <c r="AU311" s="139">
        <f t="shared" si="103"/>
        <v>0</v>
      </c>
      <c r="AV311" s="146">
        <f>IFERROR(VLOOKUP(J311,Maksājumu_pieprasījumu_iesn.!G:BL,57,0),0)</f>
        <v>0</v>
      </c>
      <c r="AW311" s="139">
        <f t="shared" si="109"/>
        <v>0</v>
      </c>
      <c r="AX311" s="153"/>
      <c r="AY311" s="153"/>
      <c r="AZ311" s="153"/>
      <c r="BA311" s="136"/>
      <c r="BB311" s="145"/>
      <c r="BC311" s="145"/>
      <c r="BD311" s="145"/>
      <c r="BE311" s="145"/>
      <c r="BF311" s="145"/>
      <c r="BG311" s="145"/>
      <c r="BH311" s="138"/>
      <c r="BI311" s="138"/>
      <c r="BJ311" s="138"/>
      <c r="BK311" s="138"/>
      <c r="BL311" s="138"/>
      <c r="BM311" s="138"/>
      <c r="BN311" s="138"/>
    </row>
    <row r="312" spans="1:66" s="91" customFormat="1" ht="12.75" hidden="1" customHeight="1" outlineLevel="1" x14ac:dyDescent="0.2">
      <c r="A312" s="150" t="s">
        <v>1348</v>
      </c>
      <c r="B312" s="18" t="s">
        <v>89</v>
      </c>
      <c r="C312" s="18" t="s">
        <v>846</v>
      </c>
      <c r="D312" s="19" t="s">
        <v>847</v>
      </c>
      <c r="E312" s="55" t="s">
        <v>3</v>
      </c>
      <c r="F312" s="55" t="s">
        <v>11</v>
      </c>
      <c r="G312" s="55" t="s">
        <v>5</v>
      </c>
      <c r="H312" s="55" t="s">
        <v>3</v>
      </c>
      <c r="I312" s="55"/>
      <c r="J312" s="55"/>
      <c r="K312" s="19"/>
      <c r="L312" s="19"/>
      <c r="M312" s="19"/>
      <c r="N312" s="19"/>
      <c r="O312" s="151"/>
      <c r="P312" s="151"/>
      <c r="Q312" s="151"/>
      <c r="R312" s="151"/>
      <c r="S312" s="152"/>
      <c r="T312" s="152"/>
      <c r="U312" s="145">
        <v>0</v>
      </c>
      <c r="V312" s="145">
        <v>0</v>
      </c>
      <c r="W312" s="145">
        <v>0</v>
      </c>
      <c r="X312" s="145">
        <f t="shared" si="120"/>
        <v>0</v>
      </c>
      <c r="Y312" s="145">
        <v>0</v>
      </c>
      <c r="Z312" s="145">
        <v>0</v>
      </c>
      <c r="AA312" s="145">
        <v>0</v>
      </c>
      <c r="AB312" s="145">
        <v>0</v>
      </c>
      <c r="AC312" s="145">
        <v>0</v>
      </c>
      <c r="AD312" s="145">
        <v>0</v>
      </c>
      <c r="AE312" s="145">
        <v>0</v>
      </c>
      <c r="AF312" s="145">
        <v>0</v>
      </c>
      <c r="AG312" s="145">
        <v>0</v>
      </c>
      <c r="AH312" s="145">
        <v>0</v>
      </c>
      <c r="AI312" s="145">
        <v>0</v>
      </c>
      <c r="AJ312" s="145">
        <v>0</v>
      </c>
      <c r="AK312" s="145">
        <f t="shared" si="122"/>
        <v>0</v>
      </c>
      <c r="AL312" s="145">
        <v>0</v>
      </c>
      <c r="AM312" s="145">
        <v>0</v>
      </c>
      <c r="AN312" s="145">
        <v>0</v>
      </c>
      <c r="AO312" s="145">
        <v>0</v>
      </c>
      <c r="AP312" s="145">
        <v>0</v>
      </c>
      <c r="AQ312" s="145">
        <v>0</v>
      </c>
      <c r="AR312" s="145">
        <v>0</v>
      </c>
      <c r="AS312" s="145">
        <f t="shared" si="119"/>
        <v>0</v>
      </c>
      <c r="AT312" s="145"/>
      <c r="AU312" s="139">
        <f t="shared" si="103"/>
        <v>0</v>
      </c>
      <c r="AV312" s="146">
        <f>IFERROR(VLOOKUP(J312,Maksājumu_pieprasījumu_iesn.!G:BL,57,0),0)</f>
        <v>0</v>
      </c>
      <c r="AW312" s="139">
        <f t="shared" si="109"/>
        <v>0</v>
      </c>
      <c r="AX312" s="153"/>
      <c r="AY312" s="153"/>
      <c r="AZ312" s="153"/>
      <c r="BA312" s="136"/>
      <c r="BB312" s="145"/>
      <c r="BC312" s="145"/>
      <c r="BD312" s="145"/>
      <c r="BE312" s="145"/>
      <c r="BF312" s="145"/>
      <c r="BG312" s="145"/>
      <c r="BH312" s="138"/>
      <c r="BI312" s="138"/>
      <c r="BJ312" s="138"/>
      <c r="BK312" s="138"/>
      <c r="BL312" s="138"/>
      <c r="BM312" s="138"/>
      <c r="BN312" s="138"/>
    </row>
    <row r="313" spans="1:66" s="91" customFormat="1" ht="12.75" hidden="1" customHeight="1" outlineLevel="1" x14ac:dyDescent="0.2">
      <c r="A313" s="150" t="s">
        <v>1348</v>
      </c>
      <c r="B313" s="18" t="s">
        <v>89</v>
      </c>
      <c r="C313" s="18" t="s">
        <v>846</v>
      </c>
      <c r="D313" s="19" t="s">
        <v>847</v>
      </c>
      <c r="E313" s="55" t="s">
        <v>3</v>
      </c>
      <c r="F313" s="55" t="s">
        <v>11</v>
      </c>
      <c r="G313" s="55" t="s">
        <v>5</v>
      </c>
      <c r="H313" s="55" t="s">
        <v>3</v>
      </c>
      <c r="I313" s="55"/>
      <c r="J313" s="55"/>
      <c r="K313" s="19"/>
      <c r="L313" s="19"/>
      <c r="M313" s="19"/>
      <c r="N313" s="19"/>
      <c r="O313" s="151"/>
      <c r="P313" s="151"/>
      <c r="Q313" s="151"/>
      <c r="R313" s="151"/>
      <c r="S313" s="152"/>
      <c r="T313" s="152"/>
      <c r="U313" s="145">
        <v>0</v>
      </c>
      <c r="V313" s="145">
        <v>0</v>
      </c>
      <c r="W313" s="145">
        <v>0</v>
      </c>
      <c r="X313" s="145">
        <f t="shared" si="120"/>
        <v>0</v>
      </c>
      <c r="Y313" s="145">
        <v>0</v>
      </c>
      <c r="Z313" s="145">
        <v>0</v>
      </c>
      <c r="AA313" s="145">
        <v>0</v>
      </c>
      <c r="AB313" s="145">
        <v>0</v>
      </c>
      <c r="AC313" s="145">
        <v>0</v>
      </c>
      <c r="AD313" s="145">
        <v>0</v>
      </c>
      <c r="AE313" s="145">
        <v>0</v>
      </c>
      <c r="AF313" s="145">
        <v>0</v>
      </c>
      <c r="AG313" s="145">
        <v>0</v>
      </c>
      <c r="AH313" s="145">
        <v>0</v>
      </c>
      <c r="AI313" s="145">
        <v>0</v>
      </c>
      <c r="AJ313" s="145">
        <v>0</v>
      </c>
      <c r="AK313" s="145">
        <f t="shared" si="122"/>
        <v>0</v>
      </c>
      <c r="AL313" s="145">
        <v>0</v>
      </c>
      <c r="AM313" s="145">
        <v>0</v>
      </c>
      <c r="AN313" s="145">
        <v>0</v>
      </c>
      <c r="AO313" s="145">
        <v>0</v>
      </c>
      <c r="AP313" s="145">
        <v>0</v>
      </c>
      <c r="AQ313" s="145">
        <v>0</v>
      </c>
      <c r="AR313" s="145">
        <v>0</v>
      </c>
      <c r="AS313" s="145">
        <f t="shared" si="119"/>
        <v>0</v>
      </c>
      <c r="AT313" s="145"/>
      <c r="AU313" s="139">
        <f t="shared" si="103"/>
        <v>0</v>
      </c>
      <c r="AV313" s="146">
        <f>IFERROR(VLOOKUP(J313,Maksājumu_pieprasījumu_iesn.!G:BL,57,0),0)</f>
        <v>0</v>
      </c>
      <c r="AW313" s="139">
        <f t="shared" si="109"/>
        <v>0</v>
      </c>
      <c r="AX313" s="153"/>
      <c r="AY313" s="153"/>
      <c r="AZ313" s="153"/>
      <c r="BA313" s="136"/>
      <c r="BB313" s="145"/>
      <c r="BC313" s="145"/>
      <c r="BD313" s="145"/>
      <c r="BE313" s="145"/>
      <c r="BF313" s="145"/>
      <c r="BG313" s="145"/>
      <c r="BH313" s="138"/>
      <c r="BI313" s="138"/>
      <c r="BJ313" s="138"/>
      <c r="BK313" s="138"/>
      <c r="BL313" s="138"/>
      <c r="BM313" s="138"/>
      <c r="BN313" s="138"/>
    </row>
    <row r="314" spans="1:66" s="91" customFormat="1" ht="12.75" hidden="1" customHeight="1" outlineLevel="1" x14ac:dyDescent="0.2">
      <c r="A314" s="150" t="s">
        <v>1348</v>
      </c>
      <c r="B314" s="18" t="s">
        <v>89</v>
      </c>
      <c r="C314" s="18" t="s">
        <v>846</v>
      </c>
      <c r="D314" s="19" t="s">
        <v>847</v>
      </c>
      <c r="E314" s="55" t="s">
        <v>3</v>
      </c>
      <c r="F314" s="55" t="s">
        <v>11</v>
      </c>
      <c r="G314" s="55" t="s">
        <v>5</v>
      </c>
      <c r="H314" s="55" t="s">
        <v>3</v>
      </c>
      <c r="I314" s="55"/>
      <c r="J314" s="55"/>
      <c r="K314" s="19"/>
      <c r="L314" s="19"/>
      <c r="M314" s="19"/>
      <c r="N314" s="19"/>
      <c r="O314" s="151"/>
      <c r="P314" s="151"/>
      <c r="Q314" s="151"/>
      <c r="R314" s="151"/>
      <c r="S314" s="152"/>
      <c r="T314" s="152"/>
      <c r="U314" s="145">
        <v>0</v>
      </c>
      <c r="V314" s="145">
        <v>0</v>
      </c>
      <c r="W314" s="145">
        <v>0</v>
      </c>
      <c r="X314" s="145">
        <f t="shared" si="120"/>
        <v>0</v>
      </c>
      <c r="Y314" s="145">
        <v>0</v>
      </c>
      <c r="Z314" s="145">
        <v>0</v>
      </c>
      <c r="AA314" s="145">
        <v>0</v>
      </c>
      <c r="AB314" s="145">
        <v>0</v>
      </c>
      <c r="AC314" s="145">
        <v>0</v>
      </c>
      <c r="AD314" s="145">
        <v>0</v>
      </c>
      <c r="AE314" s="145">
        <v>0</v>
      </c>
      <c r="AF314" s="145">
        <v>0</v>
      </c>
      <c r="AG314" s="145">
        <v>0</v>
      </c>
      <c r="AH314" s="145">
        <v>0</v>
      </c>
      <c r="AI314" s="145">
        <v>0</v>
      </c>
      <c r="AJ314" s="145">
        <v>0</v>
      </c>
      <c r="AK314" s="145">
        <f t="shared" si="122"/>
        <v>0</v>
      </c>
      <c r="AL314" s="145">
        <v>0</v>
      </c>
      <c r="AM314" s="145">
        <v>0</v>
      </c>
      <c r="AN314" s="145">
        <v>0</v>
      </c>
      <c r="AO314" s="145">
        <v>0</v>
      </c>
      <c r="AP314" s="145">
        <v>0</v>
      </c>
      <c r="AQ314" s="145">
        <v>0</v>
      </c>
      <c r="AR314" s="145">
        <v>0</v>
      </c>
      <c r="AS314" s="145">
        <f t="shared" si="119"/>
        <v>0</v>
      </c>
      <c r="AT314" s="145"/>
      <c r="AU314" s="139">
        <f t="shared" si="103"/>
        <v>0</v>
      </c>
      <c r="AV314" s="146">
        <f>IFERROR(VLOOKUP(J314,Maksājumu_pieprasījumu_iesn.!G:BL,57,0),0)</f>
        <v>0</v>
      </c>
      <c r="AW314" s="139">
        <f t="shared" si="109"/>
        <v>0</v>
      </c>
      <c r="AX314" s="153"/>
      <c r="AY314" s="153"/>
      <c r="AZ314" s="153"/>
      <c r="BA314" s="136"/>
      <c r="BB314" s="145"/>
      <c r="BC314" s="145"/>
      <c r="BD314" s="145"/>
      <c r="BE314" s="145"/>
      <c r="BF314" s="145"/>
      <c r="BG314" s="145"/>
      <c r="BH314" s="138"/>
      <c r="BI314" s="138"/>
      <c r="BJ314" s="138"/>
      <c r="BK314" s="138"/>
      <c r="BL314" s="138"/>
      <c r="BM314" s="138"/>
      <c r="BN314" s="138"/>
    </row>
    <row r="315" spans="1:66" s="91" customFormat="1" ht="12.75" hidden="1" customHeight="1" outlineLevel="1" x14ac:dyDescent="0.2">
      <c r="A315" s="150" t="s">
        <v>1348</v>
      </c>
      <c r="B315" s="18" t="s">
        <v>89</v>
      </c>
      <c r="C315" s="18" t="s">
        <v>846</v>
      </c>
      <c r="D315" s="19" t="s">
        <v>847</v>
      </c>
      <c r="E315" s="55" t="s">
        <v>3</v>
      </c>
      <c r="F315" s="55" t="s">
        <v>11</v>
      </c>
      <c r="G315" s="55" t="s">
        <v>5</v>
      </c>
      <c r="H315" s="55" t="s">
        <v>3</v>
      </c>
      <c r="I315" s="55"/>
      <c r="J315" s="55"/>
      <c r="K315" s="19"/>
      <c r="L315" s="19"/>
      <c r="M315" s="19"/>
      <c r="N315" s="19"/>
      <c r="O315" s="151"/>
      <c r="P315" s="151"/>
      <c r="Q315" s="151"/>
      <c r="R315" s="151"/>
      <c r="S315" s="152"/>
      <c r="T315" s="152"/>
      <c r="U315" s="145">
        <v>0</v>
      </c>
      <c r="V315" s="145">
        <v>0</v>
      </c>
      <c r="W315" s="145">
        <v>0</v>
      </c>
      <c r="X315" s="145">
        <f t="shared" si="120"/>
        <v>0</v>
      </c>
      <c r="Y315" s="145">
        <v>0</v>
      </c>
      <c r="Z315" s="145">
        <v>0</v>
      </c>
      <c r="AA315" s="145">
        <v>0</v>
      </c>
      <c r="AB315" s="145">
        <v>0</v>
      </c>
      <c r="AC315" s="145">
        <v>0</v>
      </c>
      <c r="AD315" s="145">
        <v>0</v>
      </c>
      <c r="AE315" s="145">
        <v>0</v>
      </c>
      <c r="AF315" s="145">
        <v>0</v>
      </c>
      <c r="AG315" s="145">
        <v>0</v>
      </c>
      <c r="AH315" s="145">
        <v>0</v>
      </c>
      <c r="AI315" s="145">
        <v>0</v>
      </c>
      <c r="AJ315" s="145">
        <v>0</v>
      </c>
      <c r="AK315" s="145">
        <f t="shared" si="122"/>
        <v>0</v>
      </c>
      <c r="AL315" s="145">
        <v>0</v>
      </c>
      <c r="AM315" s="145">
        <v>0</v>
      </c>
      <c r="AN315" s="145">
        <v>0</v>
      </c>
      <c r="AO315" s="145">
        <v>0</v>
      </c>
      <c r="AP315" s="145">
        <v>0</v>
      </c>
      <c r="AQ315" s="145">
        <v>0</v>
      </c>
      <c r="AR315" s="145">
        <v>0</v>
      </c>
      <c r="AS315" s="145">
        <f t="shared" si="119"/>
        <v>0</v>
      </c>
      <c r="AT315" s="145"/>
      <c r="AU315" s="139">
        <f t="shared" si="103"/>
        <v>0</v>
      </c>
      <c r="AV315" s="146">
        <f>IFERROR(VLOOKUP(J315,Maksājumu_pieprasījumu_iesn.!G:BL,57,0),0)</f>
        <v>0</v>
      </c>
      <c r="AW315" s="139">
        <f t="shared" si="109"/>
        <v>0</v>
      </c>
      <c r="AX315" s="153"/>
      <c r="AY315" s="153"/>
      <c r="AZ315" s="153"/>
      <c r="BA315" s="136"/>
      <c r="BB315" s="145"/>
      <c r="BC315" s="145"/>
      <c r="BD315" s="145"/>
      <c r="BE315" s="145"/>
      <c r="BF315" s="145"/>
      <c r="BG315" s="145"/>
      <c r="BH315" s="138"/>
      <c r="BI315" s="138"/>
      <c r="BJ315" s="138"/>
      <c r="BK315" s="138"/>
      <c r="BL315" s="138"/>
      <c r="BM315" s="138"/>
      <c r="BN315" s="138"/>
    </row>
    <row r="316" spans="1:66" s="91" customFormat="1" ht="12.75" hidden="1" customHeight="1" outlineLevel="1" x14ac:dyDescent="0.2">
      <c r="A316" s="150" t="s">
        <v>1348</v>
      </c>
      <c r="B316" s="18" t="s">
        <v>89</v>
      </c>
      <c r="C316" s="18" t="s">
        <v>846</v>
      </c>
      <c r="D316" s="19" t="s">
        <v>847</v>
      </c>
      <c r="E316" s="55" t="s">
        <v>3</v>
      </c>
      <c r="F316" s="55" t="s">
        <v>11</v>
      </c>
      <c r="G316" s="55" t="s">
        <v>5</v>
      </c>
      <c r="H316" s="55" t="s">
        <v>3</v>
      </c>
      <c r="I316" s="55"/>
      <c r="J316" s="55"/>
      <c r="K316" s="19"/>
      <c r="L316" s="19"/>
      <c r="M316" s="19"/>
      <c r="N316" s="19"/>
      <c r="O316" s="151"/>
      <c r="P316" s="151"/>
      <c r="Q316" s="151"/>
      <c r="R316" s="151"/>
      <c r="S316" s="152"/>
      <c r="T316" s="152"/>
      <c r="U316" s="145">
        <v>0</v>
      </c>
      <c r="V316" s="145">
        <v>0</v>
      </c>
      <c r="W316" s="145">
        <v>0</v>
      </c>
      <c r="X316" s="145">
        <f t="shared" si="120"/>
        <v>0</v>
      </c>
      <c r="Y316" s="145">
        <v>0</v>
      </c>
      <c r="Z316" s="145">
        <v>0</v>
      </c>
      <c r="AA316" s="145">
        <v>0</v>
      </c>
      <c r="AB316" s="145">
        <v>0</v>
      </c>
      <c r="AC316" s="145">
        <v>0</v>
      </c>
      <c r="AD316" s="145">
        <v>0</v>
      </c>
      <c r="AE316" s="145">
        <v>0</v>
      </c>
      <c r="AF316" s="145">
        <v>0</v>
      </c>
      <c r="AG316" s="145">
        <v>0</v>
      </c>
      <c r="AH316" s="145">
        <v>0</v>
      </c>
      <c r="AI316" s="145">
        <v>0</v>
      </c>
      <c r="AJ316" s="145">
        <v>0</v>
      </c>
      <c r="AK316" s="145">
        <f t="shared" si="122"/>
        <v>0</v>
      </c>
      <c r="AL316" s="145">
        <v>0</v>
      </c>
      <c r="AM316" s="145">
        <v>0</v>
      </c>
      <c r="AN316" s="145">
        <v>0</v>
      </c>
      <c r="AO316" s="145">
        <v>0</v>
      </c>
      <c r="AP316" s="145">
        <v>0</v>
      </c>
      <c r="AQ316" s="145">
        <v>0</v>
      </c>
      <c r="AR316" s="145">
        <v>0</v>
      </c>
      <c r="AS316" s="145">
        <f t="shared" si="119"/>
        <v>0</v>
      </c>
      <c r="AT316" s="145"/>
      <c r="AU316" s="139">
        <f t="shared" ref="AU316:AU384" si="123">AS316-AT316</f>
        <v>0</v>
      </c>
      <c r="AV316" s="146">
        <f>IFERROR(VLOOKUP(J316,Maksājumu_pieprasījumu_iesn.!G:BL,57,0),0)</f>
        <v>0</v>
      </c>
      <c r="AW316" s="139">
        <f t="shared" si="109"/>
        <v>0</v>
      </c>
      <c r="AX316" s="153"/>
      <c r="AY316" s="153"/>
      <c r="AZ316" s="153"/>
      <c r="BA316" s="136"/>
      <c r="BB316" s="145"/>
      <c r="BC316" s="145"/>
      <c r="BD316" s="145"/>
      <c r="BE316" s="145"/>
      <c r="BF316" s="145"/>
      <c r="BG316" s="145"/>
      <c r="BH316" s="138"/>
      <c r="BI316" s="138"/>
      <c r="BJ316" s="138"/>
      <c r="BK316" s="138"/>
      <c r="BL316" s="138"/>
      <c r="BM316" s="138"/>
      <c r="BN316" s="138"/>
    </row>
    <row r="317" spans="1:66" s="91" customFormat="1" ht="12.75" hidden="1" customHeight="1" outlineLevel="1" x14ac:dyDescent="0.2">
      <c r="A317" s="150" t="s">
        <v>1348</v>
      </c>
      <c r="B317" s="18" t="s">
        <v>89</v>
      </c>
      <c r="C317" s="18" t="s">
        <v>846</v>
      </c>
      <c r="D317" s="19" t="s">
        <v>847</v>
      </c>
      <c r="E317" s="55" t="s">
        <v>3</v>
      </c>
      <c r="F317" s="55" t="s">
        <v>11</v>
      </c>
      <c r="G317" s="55" t="s">
        <v>5</v>
      </c>
      <c r="H317" s="55" t="s">
        <v>3</v>
      </c>
      <c r="I317" s="55"/>
      <c r="J317" s="55"/>
      <c r="K317" s="19"/>
      <c r="L317" s="19"/>
      <c r="M317" s="19"/>
      <c r="N317" s="19"/>
      <c r="O317" s="151"/>
      <c r="P317" s="151"/>
      <c r="Q317" s="151"/>
      <c r="R317" s="151"/>
      <c r="S317" s="152"/>
      <c r="T317" s="152"/>
      <c r="U317" s="145">
        <v>0</v>
      </c>
      <c r="V317" s="145">
        <v>0</v>
      </c>
      <c r="W317" s="145">
        <v>0</v>
      </c>
      <c r="X317" s="145">
        <f t="shared" si="120"/>
        <v>0</v>
      </c>
      <c r="Y317" s="145">
        <v>0</v>
      </c>
      <c r="Z317" s="145">
        <v>0</v>
      </c>
      <c r="AA317" s="145">
        <v>0</v>
      </c>
      <c r="AB317" s="145">
        <v>0</v>
      </c>
      <c r="AC317" s="145">
        <v>0</v>
      </c>
      <c r="AD317" s="145">
        <v>0</v>
      </c>
      <c r="AE317" s="145">
        <v>0</v>
      </c>
      <c r="AF317" s="145">
        <v>0</v>
      </c>
      <c r="AG317" s="145">
        <v>0</v>
      </c>
      <c r="AH317" s="145">
        <v>0</v>
      </c>
      <c r="AI317" s="145">
        <v>0</v>
      </c>
      <c r="AJ317" s="145">
        <v>0</v>
      </c>
      <c r="AK317" s="145">
        <f t="shared" si="122"/>
        <v>0</v>
      </c>
      <c r="AL317" s="145">
        <v>0</v>
      </c>
      <c r="AM317" s="145">
        <v>0</v>
      </c>
      <c r="AN317" s="145">
        <v>0</v>
      </c>
      <c r="AO317" s="145">
        <v>0</v>
      </c>
      <c r="AP317" s="145">
        <v>0</v>
      </c>
      <c r="AQ317" s="145">
        <v>0</v>
      </c>
      <c r="AR317" s="145">
        <v>0</v>
      </c>
      <c r="AS317" s="145">
        <f t="shared" si="119"/>
        <v>0</v>
      </c>
      <c r="AT317" s="145"/>
      <c r="AU317" s="139">
        <f t="shared" si="123"/>
        <v>0</v>
      </c>
      <c r="AV317" s="146">
        <f>IFERROR(VLOOKUP(J317,Maksājumu_pieprasījumu_iesn.!G:BL,57,0),0)</f>
        <v>0</v>
      </c>
      <c r="AW317" s="139">
        <f t="shared" si="109"/>
        <v>0</v>
      </c>
      <c r="AX317" s="153"/>
      <c r="AY317" s="153"/>
      <c r="AZ317" s="153"/>
      <c r="BA317" s="136"/>
      <c r="BB317" s="145"/>
      <c r="BC317" s="145"/>
      <c r="BD317" s="145"/>
      <c r="BE317" s="145"/>
      <c r="BF317" s="145"/>
      <c r="BG317" s="145"/>
      <c r="BH317" s="138"/>
      <c r="BI317" s="138"/>
      <c r="BJ317" s="138"/>
      <c r="BK317" s="138"/>
      <c r="BL317" s="138"/>
      <c r="BM317" s="138"/>
      <c r="BN317" s="138"/>
    </row>
    <row r="318" spans="1:66" s="91" customFormat="1" ht="12.75" hidden="1" customHeight="1" outlineLevel="1" x14ac:dyDescent="0.2">
      <c r="A318" s="150" t="s">
        <v>1348</v>
      </c>
      <c r="B318" s="18" t="s">
        <v>89</v>
      </c>
      <c r="C318" s="18" t="s">
        <v>846</v>
      </c>
      <c r="D318" s="19" t="s">
        <v>847</v>
      </c>
      <c r="E318" s="55" t="s">
        <v>3</v>
      </c>
      <c r="F318" s="55" t="s">
        <v>11</v>
      </c>
      <c r="G318" s="55" t="s">
        <v>5</v>
      </c>
      <c r="H318" s="55" t="s">
        <v>3</v>
      </c>
      <c r="I318" s="55"/>
      <c r="J318" s="55"/>
      <c r="K318" s="19"/>
      <c r="L318" s="19"/>
      <c r="M318" s="19"/>
      <c r="N318" s="19"/>
      <c r="O318" s="151"/>
      <c r="P318" s="151"/>
      <c r="Q318" s="151"/>
      <c r="R318" s="151"/>
      <c r="S318" s="152"/>
      <c r="T318" s="152"/>
      <c r="U318" s="145">
        <v>0</v>
      </c>
      <c r="V318" s="145">
        <v>0</v>
      </c>
      <c r="W318" s="145">
        <v>0</v>
      </c>
      <c r="X318" s="145">
        <f t="shared" si="120"/>
        <v>0</v>
      </c>
      <c r="Y318" s="145">
        <v>0</v>
      </c>
      <c r="Z318" s="145">
        <v>0</v>
      </c>
      <c r="AA318" s="145">
        <v>0</v>
      </c>
      <c r="AB318" s="145">
        <v>0</v>
      </c>
      <c r="AC318" s="145">
        <v>0</v>
      </c>
      <c r="AD318" s="145">
        <v>0</v>
      </c>
      <c r="AE318" s="145">
        <v>0</v>
      </c>
      <c r="AF318" s="145">
        <v>0</v>
      </c>
      <c r="AG318" s="145">
        <v>0</v>
      </c>
      <c r="AH318" s="145">
        <v>0</v>
      </c>
      <c r="AI318" s="145">
        <v>0</v>
      </c>
      <c r="AJ318" s="145">
        <v>0</v>
      </c>
      <c r="AK318" s="145">
        <f t="shared" si="122"/>
        <v>0</v>
      </c>
      <c r="AL318" s="145">
        <v>0</v>
      </c>
      <c r="AM318" s="145">
        <v>0</v>
      </c>
      <c r="AN318" s="145">
        <v>0</v>
      </c>
      <c r="AO318" s="145">
        <v>0</v>
      </c>
      <c r="AP318" s="145">
        <v>0</v>
      </c>
      <c r="AQ318" s="145">
        <v>0</v>
      </c>
      <c r="AR318" s="145">
        <v>0</v>
      </c>
      <c r="AS318" s="145">
        <f t="shared" si="119"/>
        <v>0</v>
      </c>
      <c r="AT318" s="145"/>
      <c r="AU318" s="139">
        <f t="shared" si="123"/>
        <v>0</v>
      </c>
      <c r="AV318" s="146">
        <f>IFERROR(VLOOKUP(J318,Maksājumu_pieprasījumu_iesn.!G:BL,57,0),0)</f>
        <v>0</v>
      </c>
      <c r="AW318" s="139">
        <f t="shared" si="109"/>
        <v>0</v>
      </c>
      <c r="AX318" s="153"/>
      <c r="AY318" s="153"/>
      <c r="AZ318" s="153"/>
      <c r="BA318" s="136"/>
      <c r="BB318" s="145"/>
      <c r="BC318" s="145"/>
      <c r="BD318" s="145"/>
      <c r="BE318" s="145"/>
      <c r="BF318" s="145"/>
      <c r="BG318" s="145"/>
      <c r="BH318" s="138"/>
      <c r="BI318" s="138"/>
      <c r="BJ318" s="138"/>
      <c r="BK318" s="138"/>
      <c r="BL318" s="138"/>
      <c r="BM318" s="138"/>
      <c r="BN318" s="138"/>
    </row>
    <row r="319" spans="1:66" s="91" customFormat="1" ht="12.75" hidden="1" customHeight="1" outlineLevel="1" x14ac:dyDescent="0.2">
      <c r="A319" s="150" t="s">
        <v>1348</v>
      </c>
      <c r="B319" s="18" t="s">
        <v>89</v>
      </c>
      <c r="C319" s="18" t="s">
        <v>846</v>
      </c>
      <c r="D319" s="19" t="s">
        <v>847</v>
      </c>
      <c r="E319" s="55" t="s">
        <v>3</v>
      </c>
      <c r="F319" s="55" t="s">
        <v>11</v>
      </c>
      <c r="G319" s="55" t="s">
        <v>5</v>
      </c>
      <c r="H319" s="55" t="s">
        <v>3</v>
      </c>
      <c r="I319" s="55"/>
      <c r="J319" s="55"/>
      <c r="K319" s="19"/>
      <c r="L319" s="19"/>
      <c r="M319" s="19"/>
      <c r="N319" s="19"/>
      <c r="O319" s="151"/>
      <c r="P319" s="151"/>
      <c r="Q319" s="151"/>
      <c r="R319" s="151"/>
      <c r="S319" s="152"/>
      <c r="T319" s="152"/>
      <c r="U319" s="145">
        <v>0</v>
      </c>
      <c r="V319" s="145">
        <v>0</v>
      </c>
      <c r="W319" s="145">
        <v>0</v>
      </c>
      <c r="X319" s="145">
        <f t="shared" si="120"/>
        <v>0</v>
      </c>
      <c r="Y319" s="145">
        <v>0</v>
      </c>
      <c r="Z319" s="145">
        <v>0</v>
      </c>
      <c r="AA319" s="145">
        <v>0</v>
      </c>
      <c r="AB319" s="145">
        <v>0</v>
      </c>
      <c r="AC319" s="145">
        <v>0</v>
      </c>
      <c r="AD319" s="145">
        <v>0</v>
      </c>
      <c r="AE319" s="145">
        <v>0</v>
      </c>
      <c r="AF319" s="145">
        <v>0</v>
      </c>
      <c r="AG319" s="145">
        <v>0</v>
      </c>
      <c r="AH319" s="145">
        <v>0</v>
      </c>
      <c r="AI319" s="145">
        <v>0</v>
      </c>
      <c r="AJ319" s="145">
        <v>0</v>
      </c>
      <c r="AK319" s="145">
        <f t="shared" si="122"/>
        <v>0</v>
      </c>
      <c r="AL319" s="145">
        <v>0</v>
      </c>
      <c r="AM319" s="145">
        <v>0</v>
      </c>
      <c r="AN319" s="145">
        <v>0</v>
      </c>
      <c r="AO319" s="145">
        <v>0</v>
      </c>
      <c r="AP319" s="145">
        <v>0</v>
      </c>
      <c r="AQ319" s="145">
        <v>0</v>
      </c>
      <c r="AR319" s="145">
        <v>0</v>
      </c>
      <c r="AS319" s="145">
        <f t="shared" si="119"/>
        <v>0</v>
      </c>
      <c r="AT319" s="145"/>
      <c r="AU319" s="139">
        <f t="shared" si="123"/>
        <v>0</v>
      </c>
      <c r="AV319" s="146">
        <f>IFERROR(VLOOKUP(J319,Maksājumu_pieprasījumu_iesn.!G:BL,57,0),0)</f>
        <v>0</v>
      </c>
      <c r="AW319" s="139">
        <f t="shared" si="109"/>
        <v>0</v>
      </c>
      <c r="AX319" s="153"/>
      <c r="AY319" s="153"/>
      <c r="AZ319" s="153"/>
      <c r="BA319" s="136"/>
      <c r="BB319" s="145"/>
      <c r="BC319" s="145"/>
      <c r="BD319" s="145"/>
      <c r="BE319" s="145"/>
      <c r="BF319" s="145"/>
      <c r="BG319" s="145"/>
      <c r="BH319" s="138"/>
      <c r="BI319" s="138"/>
      <c r="BJ319" s="138"/>
      <c r="BK319" s="138"/>
      <c r="BL319" s="138"/>
      <c r="BM319" s="138"/>
      <c r="BN319" s="138"/>
    </row>
    <row r="320" spans="1:66" s="91" customFormat="1" ht="12.75" hidden="1" customHeight="1" outlineLevel="1" x14ac:dyDescent="0.2">
      <c r="A320" s="150" t="s">
        <v>1348</v>
      </c>
      <c r="B320" s="18" t="s">
        <v>89</v>
      </c>
      <c r="C320" s="18" t="s">
        <v>846</v>
      </c>
      <c r="D320" s="19" t="s">
        <v>847</v>
      </c>
      <c r="E320" s="55" t="s">
        <v>3</v>
      </c>
      <c r="F320" s="55" t="s">
        <v>11</v>
      </c>
      <c r="G320" s="55" t="s">
        <v>5</v>
      </c>
      <c r="H320" s="55" t="s">
        <v>3</v>
      </c>
      <c r="I320" s="55"/>
      <c r="J320" s="55"/>
      <c r="K320" s="19"/>
      <c r="L320" s="19"/>
      <c r="M320" s="19"/>
      <c r="N320" s="19"/>
      <c r="O320" s="151"/>
      <c r="P320" s="151"/>
      <c r="Q320" s="151"/>
      <c r="R320" s="151"/>
      <c r="S320" s="152"/>
      <c r="T320" s="152"/>
      <c r="U320" s="145">
        <v>0</v>
      </c>
      <c r="V320" s="145">
        <v>0</v>
      </c>
      <c r="W320" s="145">
        <v>0</v>
      </c>
      <c r="X320" s="145">
        <f t="shared" si="120"/>
        <v>0</v>
      </c>
      <c r="Y320" s="145">
        <v>0</v>
      </c>
      <c r="Z320" s="145">
        <v>0</v>
      </c>
      <c r="AA320" s="145">
        <v>0</v>
      </c>
      <c r="AB320" s="145">
        <v>0</v>
      </c>
      <c r="AC320" s="145">
        <v>0</v>
      </c>
      <c r="AD320" s="145">
        <v>0</v>
      </c>
      <c r="AE320" s="145">
        <v>0</v>
      </c>
      <c r="AF320" s="145">
        <v>0</v>
      </c>
      <c r="AG320" s="145">
        <v>0</v>
      </c>
      <c r="AH320" s="145">
        <v>0</v>
      </c>
      <c r="AI320" s="145">
        <v>0</v>
      </c>
      <c r="AJ320" s="145">
        <v>0</v>
      </c>
      <c r="AK320" s="145">
        <f t="shared" si="122"/>
        <v>0</v>
      </c>
      <c r="AL320" s="145">
        <v>0</v>
      </c>
      <c r="AM320" s="145">
        <v>0</v>
      </c>
      <c r="AN320" s="145">
        <v>0</v>
      </c>
      <c r="AO320" s="145">
        <v>0</v>
      </c>
      <c r="AP320" s="145">
        <v>0</v>
      </c>
      <c r="AQ320" s="145">
        <v>0</v>
      </c>
      <c r="AR320" s="145">
        <v>0</v>
      </c>
      <c r="AS320" s="145">
        <f t="shared" ref="AS320:AS346" si="124">U320+V320+W320+AK320+AL320+AM320+AN320+AO320+AP320+AQ320+AR320</f>
        <v>0</v>
      </c>
      <c r="AT320" s="145"/>
      <c r="AU320" s="139">
        <f t="shared" si="123"/>
        <v>0</v>
      </c>
      <c r="AV320" s="146">
        <f>IFERROR(VLOOKUP(J320,Maksājumu_pieprasījumu_iesn.!G:BL,57,0),0)</f>
        <v>0</v>
      </c>
      <c r="AW320" s="139">
        <f t="shared" si="109"/>
        <v>0</v>
      </c>
      <c r="AX320" s="153"/>
      <c r="AY320" s="153"/>
      <c r="AZ320" s="153"/>
      <c r="BA320" s="136"/>
      <c r="BB320" s="145"/>
      <c r="BC320" s="145"/>
      <c r="BD320" s="145"/>
      <c r="BE320" s="145"/>
      <c r="BF320" s="145"/>
      <c r="BG320" s="145"/>
      <c r="BH320" s="138"/>
      <c r="BI320" s="138"/>
      <c r="BJ320" s="138"/>
      <c r="BK320" s="138"/>
      <c r="BL320" s="138"/>
      <c r="BM320" s="138"/>
      <c r="BN320" s="138"/>
    </row>
    <row r="321" spans="1:66" s="91" customFormat="1" ht="12.75" hidden="1" customHeight="1" outlineLevel="1" x14ac:dyDescent="0.2">
      <c r="A321" s="150" t="s">
        <v>1348</v>
      </c>
      <c r="B321" s="18" t="s">
        <v>89</v>
      </c>
      <c r="C321" s="18" t="s">
        <v>846</v>
      </c>
      <c r="D321" s="19" t="s">
        <v>847</v>
      </c>
      <c r="E321" s="55" t="s">
        <v>3</v>
      </c>
      <c r="F321" s="55" t="s">
        <v>11</v>
      </c>
      <c r="G321" s="55" t="s">
        <v>5</v>
      </c>
      <c r="H321" s="55" t="s">
        <v>3</v>
      </c>
      <c r="I321" s="55"/>
      <c r="J321" s="55"/>
      <c r="K321" s="19"/>
      <c r="L321" s="19"/>
      <c r="M321" s="19"/>
      <c r="N321" s="19"/>
      <c r="O321" s="151"/>
      <c r="P321" s="151"/>
      <c r="Q321" s="151"/>
      <c r="R321" s="151"/>
      <c r="S321" s="152"/>
      <c r="T321" s="152"/>
      <c r="U321" s="145">
        <v>0</v>
      </c>
      <c r="V321" s="145">
        <v>0</v>
      </c>
      <c r="W321" s="145">
        <v>0</v>
      </c>
      <c r="X321" s="145">
        <f t="shared" si="120"/>
        <v>0</v>
      </c>
      <c r="Y321" s="145">
        <v>0</v>
      </c>
      <c r="Z321" s="145">
        <v>0</v>
      </c>
      <c r="AA321" s="145">
        <v>0</v>
      </c>
      <c r="AB321" s="145">
        <v>0</v>
      </c>
      <c r="AC321" s="145">
        <v>0</v>
      </c>
      <c r="AD321" s="145">
        <v>0</v>
      </c>
      <c r="AE321" s="145">
        <v>0</v>
      </c>
      <c r="AF321" s="145">
        <v>0</v>
      </c>
      <c r="AG321" s="145">
        <v>0</v>
      </c>
      <c r="AH321" s="145">
        <v>0</v>
      </c>
      <c r="AI321" s="145">
        <v>0</v>
      </c>
      <c r="AJ321" s="145">
        <v>0</v>
      </c>
      <c r="AK321" s="145">
        <f t="shared" si="122"/>
        <v>0</v>
      </c>
      <c r="AL321" s="145">
        <v>0</v>
      </c>
      <c r="AM321" s="145">
        <v>0</v>
      </c>
      <c r="AN321" s="145">
        <v>0</v>
      </c>
      <c r="AO321" s="145">
        <v>0</v>
      </c>
      <c r="AP321" s="145">
        <v>0</v>
      </c>
      <c r="AQ321" s="145">
        <v>0</v>
      </c>
      <c r="AR321" s="145">
        <v>0</v>
      </c>
      <c r="AS321" s="145">
        <f t="shared" si="124"/>
        <v>0</v>
      </c>
      <c r="AT321" s="145"/>
      <c r="AU321" s="139">
        <f t="shared" si="123"/>
        <v>0</v>
      </c>
      <c r="AV321" s="146">
        <f>IFERROR(VLOOKUP(J321,Maksājumu_pieprasījumu_iesn.!G:BL,57,0),0)</f>
        <v>0</v>
      </c>
      <c r="AW321" s="139">
        <f t="shared" si="109"/>
        <v>0</v>
      </c>
      <c r="AX321" s="153"/>
      <c r="AY321" s="153"/>
      <c r="AZ321" s="153"/>
      <c r="BA321" s="136"/>
      <c r="BB321" s="145"/>
      <c r="BC321" s="145"/>
      <c r="BD321" s="145"/>
      <c r="BE321" s="145"/>
      <c r="BF321" s="145"/>
      <c r="BG321" s="145"/>
      <c r="BH321" s="138"/>
      <c r="BI321" s="138"/>
      <c r="BJ321" s="138"/>
      <c r="BK321" s="138"/>
      <c r="BL321" s="138"/>
      <c r="BM321" s="138"/>
      <c r="BN321" s="138"/>
    </row>
    <row r="322" spans="1:66" s="91" customFormat="1" ht="12.75" hidden="1" customHeight="1" outlineLevel="1" x14ac:dyDescent="0.2">
      <c r="A322" s="150" t="s">
        <v>1348</v>
      </c>
      <c r="B322" s="18" t="s">
        <v>89</v>
      </c>
      <c r="C322" s="18" t="s">
        <v>846</v>
      </c>
      <c r="D322" s="19" t="s">
        <v>847</v>
      </c>
      <c r="E322" s="55" t="s">
        <v>3</v>
      </c>
      <c r="F322" s="55" t="s">
        <v>11</v>
      </c>
      <c r="G322" s="55" t="s">
        <v>5</v>
      </c>
      <c r="H322" s="55" t="s">
        <v>3</v>
      </c>
      <c r="I322" s="55"/>
      <c r="J322" s="55"/>
      <c r="K322" s="19"/>
      <c r="L322" s="19"/>
      <c r="M322" s="19"/>
      <c r="N322" s="19"/>
      <c r="O322" s="151"/>
      <c r="P322" s="151"/>
      <c r="Q322" s="151"/>
      <c r="R322" s="151"/>
      <c r="S322" s="152"/>
      <c r="T322" s="152"/>
      <c r="U322" s="145">
        <v>0</v>
      </c>
      <c r="V322" s="145">
        <v>0</v>
      </c>
      <c r="W322" s="145">
        <v>0</v>
      </c>
      <c r="X322" s="145">
        <f t="shared" si="120"/>
        <v>0</v>
      </c>
      <c r="Y322" s="145">
        <v>0</v>
      </c>
      <c r="Z322" s="145">
        <v>0</v>
      </c>
      <c r="AA322" s="145">
        <v>0</v>
      </c>
      <c r="AB322" s="145">
        <v>0</v>
      </c>
      <c r="AC322" s="145">
        <v>0</v>
      </c>
      <c r="AD322" s="145">
        <v>0</v>
      </c>
      <c r="AE322" s="145">
        <v>0</v>
      </c>
      <c r="AF322" s="145">
        <v>0</v>
      </c>
      <c r="AG322" s="145">
        <v>0</v>
      </c>
      <c r="AH322" s="145">
        <v>0</v>
      </c>
      <c r="AI322" s="145">
        <v>0</v>
      </c>
      <c r="AJ322" s="145">
        <v>0</v>
      </c>
      <c r="AK322" s="145">
        <f t="shared" si="122"/>
        <v>0</v>
      </c>
      <c r="AL322" s="145">
        <v>0</v>
      </c>
      <c r="AM322" s="145">
        <v>0</v>
      </c>
      <c r="AN322" s="145">
        <v>0</v>
      </c>
      <c r="AO322" s="145">
        <v>0</v>
      </c>
      <c r="AP322" s="145">
        <v>0</v>
      </c>
      <c r="AQ322" s="145">
        <v>0</v>
      </c>
      <c r="AR322" s="145">
        <v>0</v>
      </c>
      <c r="AS322" s="145">
        <f t="shared" si="124"/>
        <v>0</v>
      </c>
      <c r="AT322" s="145"/>
      <c r="AU322" s="139">
        <f t="shared" si="123"/>
        <v>0</v>
      </c>
      <c r="AV322" s="146">
        <f>IFERROR(VLOOKUP(J322,Maksājumu_pieprasījumu_iesn.!G:BL,57,0),0)</f>
        <v>0</v>
      </c>
      <c r="AW322" s="139">
        <f t="shared" si="109"/>
        <v>0</v>
      </c>
      <c r="AX322" s="153"/>
      <c r="AY322" s="153"/>
      <c r="AZ322" s="153"/>
      <c r="BA322" s="136"/>
      <c r="BB322" s="145"/>
      <c r="BC322" s="145"/>
      <c r="BD322" s="145"/>
      <c r="BE322" s="145"/>
      <c r="BF322" s="145"/>
      <c r="BG322" s="145"/>
      <c r="BH322" s="138"/>
      <c r="BI322" s="138"/>
      <c r="BJ322" s="138"/>
      <c r="BK322" s="138"/>
      <c r="BL322" s="138"/>
      <c r="BM322" s="138"/>
      <c r="BN322" s="138"/>
    </row>
    <row r="323" spans="1:66" s="91" customFormat="1" ht="12.75" hidden="1" customHeight="1" outlineLevel="1" x14ac:dyDescent="0.2">
      <c r="A323" s="150" t="s">
        <v>1348</v>
      </c>
      <c r="B323" s="18" t="s">
        <v>89</v>
      </c>
      <c r="C323" s="18" t="s">
        <v>846</v>
      </c>
      <c r="D323" s="19" t="s">
        <v>847</v>
      </c>
      <c r="E323" s="55" t="s">
        <v>3</v>
      </c>
      <c r="F323" s="55" t="s">
        <v>11</v>
      </c>
      <c r="G323" s="55" t="s">
        <v>5</v>
      </c>
      <c r="H323" s="55" t="s">
        <v>3</v>
      </c>
      <c r="I323" s="55"/>
      <c r="J323" s="55"/>
      <c r="K323" s="19"/>
      <c r="L323" s="19"/>
      <c r="M323" s="19"/>
      <c r="N323" s="19"/>
      <c r="O323" s="151"/>
      <c r="P323" s="151"/>
      <c r="Q323" s="151"/>
      <c r="R323" s="151"/>
      <c r="S323" s="152"/>
      <c r="T323" s="152"/>
      <c r="U323" s="145">
        <v>0</v>
      </c>
      <c r="V323" s="145">
        <v>0</v>
      </c>
      <c r="W323" s="145">
        <v>0</v>
      </c>
      <c r="X323" s="145">
        <f t="shared" si="120"/>
        <v>0</v>
      </c>
      <c r="Y323" s="145">
        <v>0</v>
      </c>
      <c r="Z323" s="145">
        <v>0</v>
      </c>
      <c r="AA323" s="145">
        <v>0</v>
      </c>
      <c r="AB323" s="145">
        <v>0</v>
      </c>
      <c r="AC323" s="145">
        <v>0</v>
      </c>
      <c r="AD323" s="145">
        <v>0</v>
      </c>
      <c r="AE323" s="145">
        <v>0</v>
      </c>
      <c r="AF323" s="145">
        <v>0</v>
      </c>
      <c r="AG323" s="145">
        <v>0</v>
      </c>
      <c r="AH323" s="145">
        <v>0</v>
      </c>
      <c r="AI323" s="145">
        <v>0</v>
      </c>
      <c r="AJ323" s="145">
        <v>0</v>
      </c>
      <c r="AK323" s="145">
        <f t="shared" ref="AK323:AK346" si="125">SUM(Y323:AJ323)</f>
        <v>0</v>
      </c>
      <c r="AL323" s="145">
        <v>0</v>
      </c>
      <c r="AM323" s="145">
        <v>0</v>
      </c>
      <c r="AN323" s="145">
        <v>0</v>
      </c>
      <c r="AO323" s="145">
        <v>0</v>
      </c>
      <c r="AP323" s="145">
        <v>0</v>
      </c>
      <c r="AQ323" s="145">
        <v>0</v>
      </c>
      <c r="AR323" s="145">
        <v>0</v>
      </c>
      <c r="AS323" s="145">
        <f t="shared" si="124"/>
        <v>0</v>
      </c>
      <c r="AT323" s="145"/>
      <c r="AU323" s="139">
        <f t="shared" si="123"/>
        <v>0</v>
      </c>
      <c r="AV323" s="146">
        <f>IFERROR(VLOOKUP(J323,Maksājumu_pieprasījumu_iesn.!G:BL,57,0),0)</f>
        <v>0</v>
      </c>
      <c r="AW323" s="139">
        <f t="shared" si="109"/>
        <v>0</v>
      </c>
      <c r="AX323" s="153"/>
      <c r="AY323" s="153"/>
      <c r="AZ323" s="153"/>
      <c r="BA323" s="136"/>
      <c r="BB323" s="145"/>
      <c r="BC323" s="145"/>
      <c r="BD323" s="145"/>
      <c r="BE323" s="145"/>
      <c r="BF323" s="145"/>
      <c r="BG323" s="145"/>
      <c r="BH323" s="138"/>
      <c r="BI323" s="138"/>
      <c r="BJ323" s="138"/>
      <c r="BK323" s="138"/>
      <c r="BL323" s="138"/>
      <c r="BM323" s="138"/>
      <c r="BN323" s="138"/>
    </row>
    <row r="324" spans="1:66" s="91" customFormat="1" ht="12.75" hidden="1" customHeight="1" outlineLevel="1" x14ac:dyDescent="0.2">
      <c r="A324" s="150" t="s">
        <v>1348</v>
      </c>
      <c r="B324" s="18" t="s">
        <v>89</v>
      </c>
      <c r="C324" s="18" t="s">
        <v>846</v>
      </c>
      <c r="D324" s="19" t="s">
        <v>847</v>
      </c>
      <c r="E324" s="55" t="s">
        <v>3</v>
      </c>
      <c r="F324" s="55" t="s">
        <v>11</v>
      </c>
      <c r="G324" s="55" t="s">
        <v>5</v>
      </c>
      <c r="H324" s="55" t="s">
        <v>3</v>
      </c>
      <c r="I324" s="55"/>
      <c r="J324" s="55"/>
      <c r="K324" s="19"/>
      <c r="L324" s="19"/>
      <c r="M324" s="19"/>
      <c r="N324" s="19"/>
      <c r="O324" s="151"/>
      <c r="P324" s="151"/>
      <c r="Q324" s="151"/>
      <c r="R324" s="151"/>
      <c r="S324" s="152"/>
      <c r="T324" s="152"/>
      <c r="U324" s="145">
        <v>0</v>
      </c>
      <c r="V324" s="145">
        <v>0</v>
      </c>
      <c r="W324" s="145">
        <v>0</v>
      </c>
      <c r="X324" s="145">
        <f t="shared" si="120"/>
        <v>0</v>
      </c>
      <c r="Y324" s="145">
        <v>0</v>
      </c>
      <c r="Z324" s="145">
        <v>0</v>
      </c>
      <c r="AA324" s="145">
        <v>0</v>
      </c>
      <c r="AB324" s="145">
        <v>0</v>
      </c>
      <c r="AC324" s="145">
        <v>0</v>
      </c>
      <c r="AD324" s="145">
        <v>0</v>
      </c>
      <c r="AE324" s="145">
        <v>0</v>
      </c>
      <c r="AF324" s="145">
        <v>0</v>
      </c>
      <c r="AG324" s="145">
        <v>0</v>
      </c>
      <c r="AH324" s="145">
        <v>0</v>
      </c>
      <c r="AI324" s="145">
        <v>0</v>
      </c>
      <c r="AJ324" s="145">
        <v>0</v>
      </c>
      <c r="AK324" s="145">
        <f t="shared" si="125"/>
        <v>0</v>
      </c>
      <c r="AL324" s="145">
        <v>0</v>
      </c>
      <c r="AM324" s="145">
        <v>0</v>
      </c>
      <c r="AN324" s="145">
        <v>0</v>
      </c>
      <c r="AO324" s="145">
        <v>0</v>
      </c>
      <c r="AP324" s="145">
        <v>0</v>
      </c>
      <c r="AQ324" s="145">
        <v>0</v>
      </c>
      <c r="AR324" s="145">
        <v>0</v>
      </c>
      <c r="AS324" s="145">
        <f t="shared" si="124"/>
        <v>0</v>
      </c>
      <c r="AT324" s="145"/>
      <c r="AU324" s="139">
        <f t="shared" si="123"/>
        <v>0</v>
      </c>
      <c r="AV324" s="146">
        <f>IFERROR(VLOOKUP(J324,Maksājumu_pieprasījumu_iesn.!G:BL,57,0),0)</f>
        <v>0</v>
      </c>
      <c r="AW324" s="139">
        <f t="shared" si="109"/>
        <v>0</v>
      </c>
      <c r="AX324" s="153"/>
      <c r="AY324" s="153"/>
      <c r="AZ324" s="153"/>
      <c r="BA324" s="136"/>
      <c r="BB324" s="145"/>
      <c r="BC324" s="145"/>
      <c r="BD324" s="145"/>
      <c r="BE324" s="145"/>
      <c r="BF324" s="145"/>
      <c r="BG324" s="145"/>
      <c r="BH324" s="138"/>
      <c r="BI324" s="138"/>
      <c r="BJ324" s="138"/>
      <c r="BK324" s="138"/>
      <c r="BL324" s="138"/>
      <c r="BM324" s="138"/>
      <c r="BN324" s="138"/>
    </row>
    <row r="325" spans="1:66" s="91" customFormat="1" ht="12.75" hidden="1" customHeight="1" outlineLevel="1" x14ac:dyDescent="0.2">
      <c r="A325" s="150" t="s">
        <v>1348</v>
      </c>
      <c r="B325" s="18" t="s">
        <v>89</v>
      </c>
      <c r="C325" s="18" t="s">
        <v>846</v>
      </c>
      <c r="D325" s="19" t="s">
        <v>847</v>
      </c>
      <c r="E325" s="55" t="s">
        <v>3</v>
      </c>
      <c r="F325" s="55" t="s">
        <v>11</v>
      </c>
      <c r="G325" s="55" t="s">
        <v>5</v>
      </c>
      <c r="H325" s="55" t="s">
        <v>3</v>
      </c>
      <c r="I325" s="55"/>
      <c r="J325" s="55"/>
      <c r="K325" s="19"/>
      <c r="L325" s="19"/>
      <c r="M325" s="19"/>
      <c r="N325" s="19"/>
      <c r="O325" s="151"/>
      <c r="P325" s="151"/>
      <c r="Q325" s="151"/>
      <c r="R325" s="151"/>
      <c r="S325" s="152"/>
      <c r="T325" s="152"/>
      <c r="U325" s="145">
        <v>0</v>
      </c>
      <c r="V325" s="145">
        <v>0</v>
      </c>
      <c r="W325" s="145">
        <v>0</v>
      </c>
      <c r="X325" s="145">
        <f t="shared" si="120"/>
        <v>0</v>
      </c>
      <c r="Y325" s="145">
        <v>0</v>
      </c>
      <c r="Z325" s="145">
        <v>0</v>
      </c>
      <c r="AA325" s="145">
        <v>0</v>
      </c>
      <c r="AB325" s="145">
        <v>0</v>
      </c>
      <c r="AC325" s="145">
        <v>0</v>
      </c>
      <c r="AD325" s="145">
        <v>0</v>
      </c>
      <c r="AE325" s="145">
        <v>0</v>
      </c>
      <c r="AF325" s="145">
        <v>0</v>
      </c>
      <c r="AG325" s="145">
        <v>0</v>
      </c>
      <c r="AH325" s="145">
        <v>0</v>
      </c>
      <c r="AI325" s="145">
        <v>0</v>
      </c>
      <c r="AJ325" s="145">
        <v>0</v>
      </c>
      <c r="AK325" s="145">
        <f t="shared" si="125"/>
        <v>0</v>
      </c>
      <c r="AL325" s="145">
        <v>0</v>
      </c>
      <c r="AM325" s="145">
        <v>0</v>
      </c>
      <c r="AN325" s="145">
        <v>0</v>
      </c>
      <c r="AO325" s="145">
        <v>0</v>
      </c>
      <c r="AP325" s="145">
        <v>0</v>
      </c>
      <c r="AQ325" s="145">
        <v>0</v>
      </c>
      <c r="AR325" s="145">
        <v>0</v>
      </c>
      <c r="AS325" s="145">
        <f t="shared" si="124"/>
        <v>0</v>
      </c>
      <c r="AT325" s="145"/>
      <c r="AU325" s="139">
        <f t="shared" si="123"/>
        <v>0</v>
      </c>
      <c r="AV325" s="146">
        <f>IFERROR(VLOOKUP(J325,Maksājumu_pieprasījumu_iesn.!G:BL,57,0),0)</f>
        <v>0</v>
      </c>
      <c r="AW325" s="139">
        <f t="shared" si="109"/>
        <v>0</v>
      </c>
      <c r="AX325" s="153"/>
      <c r="AY325" s="153"/>
      <c r="AZ325" s="153"/>
      <c r="BA325" s="136"/>
      <c r="BB325" s="145"/>
      <c r="BC325" s="145"/>
      <c r="BD325" s="145"/>
      <c r="BE325" s="145"/>
      <c r="BF325" s="145"/>
      <c r="BG325" s="145"/>
      <c r="BH325" s="138"/>
      <c r="BI325" s="138"/>
      <c r="BJ325" s="138"/>
      <c r="BK325" s="138"/>
      <c r="BL325" s="138"/>
      <c r="BM325" s="138"/>
      <c r="BN325" s="138"/>
    </row>
    <row r="326" spans="1:66" s="91" customFormat="1" ht="12.75" hidden="1" customHeight="1" outlineLevel="1" x14ac:dyDescent="0.2">
      <c r="A326" s="150" t="s">
        <v>1348</v>
      </c>
      <c r="B326" s="18" t="s">
        <v>89</v>
      </c>
      <c r="C326" s="18" t="s">
        <v>846</v>
      </c>
      <c r="D326" s="19" t="s">
        <v>847</v>
      </c>
      <c r="E326" s="55" t="s">
        <v>3</v>
      </c>
      <c r="F326" s="55" t="s">
        <v>11</v>
      </c>
      <c r="G326" s="55" t="s">
        <v>5</v>
      </c>
      <c r="H326" s="55" t="s">
        <v>3</v>
      </c>
      <c r="I326" s="55"/>
      <c r="J326" s="55"/>
      <c r="K326" s="19"/>
      <c r="L326" s="19"/>
      <c r="M326" s="19"/>
      <c r="N326" s="19"/>
      <c r="O326" s="151"/>
      <c r="P326" s="151"/>
      <c r="Q326" s="151"/>
      <c r="R326" s="151"/>
      <c r="S326" s="152"/>
      <c r="T326" s="152"/>
      <c r="U326" s="145">
        <v>0</v>
      </c>
      <c r="V326" s="145">
        <v>0</v>
      </c>
      <c r="W326" s="145">
        <v>0</v>
      </c>
      <c r="X326" s="145">
        <f t="shared" si="120"/>
        <v>0</v>
      </c>
      <c r="Y326" s="145">
        <v>0</v>
      </c>
      <c r="Z326" s="145">
        <v>0</v>
      </c>
      <c r="AA326" s="145">
        <v>0</v>
      </c>
      <c r="AB326" s="145">
        <v>0</v>
      </c>
      <c r="AC326" s="145">
        <v>0</v>
      </c>
      <c r="AD326" s="145">
        <v>0</v>
      </c>
      <c r="AE326" s="145">
        <v>0</v>
      </c>
      <c r="AF326" s="145">
        <v>0</v>
      </c>
      <c r="AG326" s="145">
        <v>0</v>
      </c>
      <c r="AH326" s="145">
        <v>0</v>
      </c>
      <c r="AI326" s="145">
        <v>0</v>
      </c>
      <c r="AJ326" s="145">
        <v>0</v>
      </c>
      <c r="AK326" s="145">
        <f t="shared" si="125"/>
        <v>0</v>
      </c>
      <c r="AL326" s="145">
        <v>0</v>
      </c>
      <c r="AM326" s="145">
        <v>0</v>
      </c>
      <c r="AN326" s="145">
        <v>0</v>
      </c>
      <c r="AO326" s="145">
        <v>0</v>
      </c>
      <c r="AP326" s="145">
        <v>0</v>
      </c>
      <c r="AQ326" s="145">
        <v>0</v>
      </c>
      <c r="AR326" s="145">
        <v>0</v>
      </c>
      <c r="AS326" s="145">
        <f t="shared" si="124"/>
        <v>0</v>
      </c>
      <c r="AT326" s="145"/>
      <c r="AU326" s="139">
        <f t="shared" si="123"/>
        <v>0</v>
      </c>
      <c r="AV326" s="146">
        <f>IFERROR(VLOOKUP(J326,Maksājumu_pieprasījumu_iesn.!G:BL,57,0),0)</f>
        <v>0</v>
      </c>
      <c r="AW326" s="139">
        <f t="shared" si="109"/>
        <v>0</v>
      </c>
      <c r="AX326" s="153"/>
      <c r="AY326" s="153"/>
      <c r="AZ326" s="153"/>
      <c r="BA326" s="136"/>
      <c r="BB326" s="145"/>
      <c r="BC326" s="145"/>
      <c r="BD326" s="145"/>
      <c r="BE326" s="145"/>
      <c r="BF326" s="145"/>
      <c r="BG326" s="145"/>
      <c r="BH326" s="138"/>
      <c r="BI326" s="138"/>
      <c r="BJ326" s="138"/>
      <c r="BK326" s="138"/>
      <c r="BL326" s="138"/>
      <c r="BM326" s="138"/>
      <c r="BN326" s="138"/>
    </row>
    <row r="327" spans="1:66" s="91" customFormat="1" ht="12.75" hidden="1" customHeight="1" outlineLevel="1" x14ac:dyDescent="0.2">
      <c r="A327" s="150" t="s">
        <v>1348</v>
      </c>
      <c r="B327" s="18" t="s">
        <v>89</v>
      </c>
      <c r="C327" s="18" t="s">
        <v>846</v>
      </c>
      <c r="D327" s="19" t="s">
        <v>847</v>
      </c>
      <c r="E327" s="55" t="s">
        <v>3</v>
      </c>
      <c r="F327" s="55" t="s">
        <v>11</v>
      </c>
      <c r="G327" s="55" t="s">
        <v>5</v>
      </c>
      <c r="H327" s="55" t="s">
        <v>3</v>
      </c>
      <c r="I327" s="55"/>
      <c r="J327" s="55"/>
      <c r="K327" s="19"/>
      <c r="L327" s="19"/>
      <c r="M327" s="19"/>
      <c r="N327" s="19"/>
      <c r="O327" s="151"/>
      <c r="P327" s="151"/>
      <c r="Q327" s="151"/>
      <c r="R327" s="151"/>
      <c r="S327" s="152"/>
      <c r="T327" s="152"/>
      <c r="U327" s="145">
        <v>0</v>
      </c>
      <c r="V327" s="145">
        <v>0</v>
      </c>
      <c r="W327" s="145">
        <v>0</v>
      </c>
      <c r="X327" s="145">
        <f t="shared" si="120"/>
        <v>0</v>
      </c>
      <c r="Y327" s="145">
        <v>0</v>
      </c>
      <c r="Z327" s="145">
        <v>0</v>
      </c>
      <c r="AA327" s="145">
        <v>0</v>
      </c>
      <c r="AB327" s="145">
        <v>0</v>
      </c>
      <c r="AC327" s="145">
        <v>0</v>
      </c>
      <c r="AD327" s="145">
        <v>0</v>
      </c>
      <c r="AE327" s="145">
        <v>0</v>
      </c>
      <c r="AF327" s="145">
        <v>0</v>
      </c>
      <c r="AG327" s="145">
        <v>0</v>
      </c>
      <c r="AH327" s="145">
        <v>0</v>
      </c>
      <c r="AI327" s="145">
        <v>0</v>
      </c>
      <c r="AJ327" s="145">
        <v>0</v>
      </c>
      <c r="AK327" s="145">
        <f t="shared" si="125"/>
        <v>0</v>
      </c>
      <c r="AL327" s="145">
        <v>0</v>
      </c>
      <c r="AM327" s="145">
        <v>0</v>
      </c>
      <c r="AN327" s="145">
        <v>0</v>
      </c>
      <c r="AO327" s="145">
        <v>0</v>
      </c>
      <c r="AP327" s="145">
        <v>0</v>
      </c>
      <c r="AQ327" s="145">
        <v>0</v>
      </c>
      <c r="AR327" s="145">
        <v>0</v>
      </c>
      <c r="AS327" s="145">
        <f t="shared" si="124"/>
        <v>0</v>
      </c>
      <c r="AT327" s="145"/>
      <c r="AU327" s="139">
        <f t="shared" si="123"/>
        <v>0</v>
      </c>
      <c r="AV327" s="146">
        <f>IFERROR(VLOOKUP(J327,Maksājumu_pieprasījumu_iesn.!G:BL,57,0),0)</f>
        <v>0</v>
      </c>
      <c r="AW327" s="139">
        <f t="shared" si="109"/>
        <v>0</v>
      </c>
      <c r="AX327" s="153"/>
      <c r="AY327" s="153"/>
      <c r="AZ327" s="153"/>
      <c r="BA327" s="136"/>
      <c r="BB327" s="145"/>
      <c r="BC327" s="145"/>
      <c r="BD327" s="145"/>
      <c r="BE327" s="145"/>
      <c r="BF327" s="145"/>
      <c r="BG327" s="145"/>
      <c r="BH327" s="138"/>
      <c r="BI327" s="138"/>
      <c r="BJ327" s="138"/>
      <c r="BK327" s="138"/>
      <c r="BL327" s="138"/>
      <c r="BM327" s="138"/>
      <c r="BN327" s="138"/>
    </row>
    <row r="328" spans="1:66" s="91" customFormat="1" ht="12.75" hidden="1" customHeight="1" outlineLevel="1" x14ac:dyDescent="0.2">
      <c r="A328" s="150" t="s">
        <v>1348</v>
      </c>
      <c r="B328" s="18" t="s">
        <v>89</v>
      </c>
      <c r="C328" s="18" t="s">
        <v>846</v>
      </c>
      <c r="D328" s="19" t="s">
        <v>847</v>
      </c>
      <c r="E328" s="55" t="s">
        <v>3</v>
      </c>
      <c r="F328" s="55" t="s">
        <v>11</v>
      </c>
      <c r="G328" s="55" t="s">
        <v>5</v>
      </c>
      <c r="H328" s="55" t="s">
        <v>3</v>
      </c>
      <c r="I328" s="55"/>
      <c r="J328" s="55"/>
      <c r="K328" s="19"/>
      <c r="L328" s="19"/>
      <c r="M328" s="19"/>
      <c r="N328" s="19"/>
      <c r="O328" s="151"/>
      <c r="P328" s="151"/>
      <c r="Q328" s="151"/>
      <c r="R328" s="151"/>
      <c r="S328" s="152"/>
      <c r="T328" s="152"/>
      <c r="U328" s="145">
        <v>0</v>
      </c>
      <c r="V328" s="145">
        <v>0</v>
      </c>
      <c r="W328" s="145">
        <v>0</v>
      </c>
      <c r="X328" s="145">
        <f t="shared" si="120"/>
        <v>0</v>
      </c>
      <c r="Y328" s="145">
        <v>0</v>
      </c>
      <c r="Z328" s="145">
        <v>0</v>
      </c>
      <c r="AA328" s="145">
        <v>0</v>
      </c>
      <c r="AB328" s="145">
        <v>0</v>
      </c>
      <c r="AC328" s="145">
        <v>0</v>
      </c>
      <c r="AD328" s="145">
        <v>0</v>
      </c>
      <c r="AE328" s="145">
        <v>0</v>
      </c>
      <c r="AF328" s="145">
        <v>0</v>
      </c>
      <c r="AG328" s="145">
        <v>0</v>
      </c>
      <c r="AH328" s="145">
        <v>0</v>
      </c>
      <c r="AI328" s="145">
        <v>0</v>
      </c>
      <c r="AJ328" s="145">
        <v>0</v>
      </c>
      <c r="AK328" s="145">
        <f t="shared" si="125"/>
        <v>0</v>
      </c>
      <c r="AL328" s="145">
        <v>0</v>
      </c>
      <c r="AM328" s="145">
        <v>0</v>
      </c>
      <c r="AN328" s="145">
        <v>0</v>
      </c>
      <c r="AO328" s="145">
        <v>0</v>
      </c>
      <c r="AP328" s="145">
        <v>0</v>
      </c>
      <c r="AQ328" s="145">
        <v>0</v>
      </c>
      <c r="AR328" s="145">
        <v>0</v>
      </c>
      <c r="AS328" s="145">
        <f t="shared" si="124"/>
        <v>0</v>
      </c>
      <c r="AT328" s="145"/>
      <c r="AU328" s="139">
        <f t="shared" si="123"/>
        <v>0</v>
      </c>
      <c r="AV328" s="146">
        <f>IFERROR(VLOOKUP(J328,Maksājumu_pieprasījumu_iesn.!G:BL,57,0),0)</f>
        <v>0</v>
      </c>
      <c r="AW328" s="139">
        <f t="shared" si="109"/>
        <v>0</v>
      </c>
      <c r="AX328" s="153"/>
      <c r="AY328" s="153"/>
      <c r="AZ328" s="153"/>
      <c r="BA328" s="136"/>
      <c r="BB328" s="145"/>
      <c r="BC328" s="145"/>
      <c r="BD328" s="145"/>
      <c r="BE328" s="145"/>
      <c r="BF328" s="145"/>
      <c r="BG328" s="145"/>
      <c r="BH328" s="138"/>
      <c r="BI328" s="138"/>
      <c r="BJ328" s="138"/>
      <c r="BK328" s="138"/>
      <c r="BL328" s="138"/>
      <c r="BM328" s="138"/>
      <c r="BN328" s="138"/>
    </row>
    <row r="329" spans="1:66" s="91" customFormat="1" ht="12.75" hidden="1" customHeight="1" outlineLevel="1" x14ac:dyDescent="0.2">
      <c r="A329" s="150" t="s">
        <v>1348</v>
      </c>
      <c r="B329" s="18" t="s">
        <v>89</v>
      </c>
      <c r="C329" s="18" t="s">
        <v>846</v>
      </c>
      <c r="D329" s="19" t="s">
        <v>847</v>
      </c>
      <c r="E329" s="55" t="s">
        <v>3</v>
      </c>
      <c r="F329" s="55" t="s">
        <v>11</v>
      </c>
      <c r="G329" s="55" t="s">
        <v>5</v>
      </c>
      <c r="H329" s="55" t="s">
        <v>3</v>
      </c>
      <c r="I329" s="55"/>
      <c r="J329" s="55"/>
      <c r="K329" s="19"/>
      <c r="L329" s="19"/>
      <c r="M329" s="19"/>
      <c r="N329" s="19"/>
      <c r="O329" s="151"/>
      <c r="P329" s="151"/>
      <c r="Q329" s="151"/>
      <c r="R329" s="151"/>
      <c r="S329" s="152"/>
      <c r="T329" s="152"/>
      <c r="U329" s="145">
        <v>0</v>
      </c>
      <c r="V329" s="145">
        <v>0</v>
      </c>
      <c r="W329" s="145">
        <v>0</v>
      </c>
      <c r="X329" s="145">
        <f t="shared" si="120"/>
        <v>0</v>
      </c>
      <c r="Y329" s="145">
        <v>0</v>
      </c>
      <c r="Z329" s="145">
        <v>0</v>
      </c>
      <c r="AA329" s="145">
        <v>0</v>
      </c>
      <c r="AB329" s="145">
        <v>0</v>
      </c>
      <c r="AC329" s="145">
        <v>0</v>
      </c>
      <c r="AD329" s="145">
        <v>0</v>
      </c>
      <c r="AE329" s="145">
        <v>0</v>
      </c>
      <c r="AF329" s="145">
        <v>0</v>
      </c>
      <c r="AG329" s="145">
        <v>0</v>
      </c>
      <c r="AH329" s="145">
        <v>0</v>
      </c>
      <c r="AI329" s="145">
        <v>0</v>
      </c>
      <c r="AJ329" s="145">
        <v>0</v>
      </c>
      <c r="AK329" s="145">
        <f t="shared" si="125"/>
        <v>0</v>
      </c>
      <c r="AL329" s="145">
        <v>0</v>
      </c>
      <c r="AM329" s="145">
        <v>0</v>
      </c>
      <c r="AN329" s="145">
        <v>0</v>
      </c>
      <c r="AO329" s="145">
        <v>0</v>
      </c>
      <c r="AP329" s="145">
        <v>0</v>
      </c>
      <c r="AQ329" s="145">
        <v>0</v>
      </c>
      <c r="AR329" s="145">
        <v>0</v>
      </c>
      <c r="AS329" s="145">
        <f t="shared" si="124"/>
        <v>0</v>
      </c>
      <c r="AT329" s="145"/>
      <c r="AU329" s="139">
        <f t="shared" si="123"/>
        <v>0</v>
      </c>
      <c r="AV329" s="146">
        <f>IFERROR(VLOOKUP(J329,Maksājumu_pieprasījumu_iesn.!G:BL,57,0),0)</f>
        <v>0</v>
      </c>
      <c r="AW329" s="139">
        <f t="shared" si="109"/>
        <v>0</v>
      </c>
      <c r="AX329" s="153"/>
      <c r="AY329" s="153"/>
      <c r="AZ329" s="153"/>
      <c r="BA329" s="136"/>
      <c r="BB329" s="145"/>
      <c r="BC329" s="145"/>
      <c r="BD329" s="145"/>
      <c r="BE329" s="145"/>
      <c r="BF329" s="145"/>
      <c r="BG329" s="145"/>
      <c r="BH329" s="138"/>
      <c r="BI329" s="138"/>
      <c r="BJ329" s="138"/>
      <c r="BK329" s="138"/>
      <c r="BL329" s="138"/>
      <c r="BM329" s="138"/>
      <c r="BN329" s="138"/>
    </row>
    <row r="330" spans="1:66" s="91" customFormat="1" ht="12.75" hidden="1" customHeight="1" outlineLevel="1" x14ac:dyDescent="0.2">
      <c r="A330" s="150" t="s">
        <v>1348</v>
      </c>
      <c r="B330" s="18" t="s">
        <v>89</v>
      </c>
      <c r="C330" s="18" t="s">
        <v>846</v>
      </c>
      <c r="D330" s="19" t="s">
        <v>847</v>
      </c>
      <c r="E330" s="55" t="s">
        <v>3</v>
      </c>
      <c r="F330" s="55" t="s">
        <v>11</v>
      </c>
      <c r="G330" s="55" t="s">
        <v>5</v>
      </c>
      <c r="H330" s="55" t="s">
        <v>3</v>
      </c>
      <c r="I330" s="55"/>
      <c r="J330" s="55"/>
      <c r="K330" s="19"/>
      <c r="L330" s="19"/>
      <c r="M330" s="19"/>
      <c r="N330" s="19"/>
      <c r="O330" s="151"/>
      <c r="P330" s="151"/>
      <c r="Q330" s="151"/>
      <c r="R330" s="151"/>
      <c r="S330" s="152"/>
      <c r="T330" s="152"/>
      <c r="U330" s="145">
        <v>0</v>
      </c>
      <c r="V330" s="145">
        <v>0</v>
      </c>
      <c r="W330" s="145">
        <v>0</v>
      </c>
      <c r="X330" s="145">
        <f t="shared" si="120"/>
        <v>0</v>
      </c>
      <c r="Y330" s="145">
        <v>0</v>
      </c>
      <c r="Z330" s="145">
        <v>0</v>
      </c>
      <c r="AA330" s="145">
        <v>0</v>
      </c>
      <c r="AB330" s="145">
        <v>0</v>
      </c>
      <c r="AC330" s="145">
        <v>0</v>
      </c>
      <c r="AD330" s="145">
        <v>0</v>
      </c>
      <c r="AE330" s="145">
        <v>0</v>
      </c>
      <c r="AF330" s="145">
        <v>0</v>
      </c>
      <c r="AG330" s="145">
        <v>0</v>
      </c>
      <c r="AH330" s="145">
        <v>0</v>
      </c>
      <c r="AI330" s="145">
        <v>0</v>
      </c>
      <c r="AJ330" s="145">
        <v>0</v>
      </c>
      <c r="AK330" s="145">
        <f t="shared" si="125"/>
        <v>0</v>
      </c>
      <c r="AL330" s="145">
        <v>0</v>
      </c>
      <c r="AM330" s="145">
        <v>0</v>
      </c>
      <c r="AN330" s="145">
        <v>0</v>
      </c>
      <c r="AO330" s="145">
        <v>0</v>
      </c>
      <c r="AP330" s="145">
        <v>0</v>
      </c>
      <c r="AQ330" s="145">
        <v>0</v>
      </c>
      <c r="AR330" s="145">
        <v>0</v>
      </c>
      <c r="AS330" s="145">
        <f t="shared" si="124"/>
        <v>0</v>
      </c>
      <c r="AT330" s="145"/>
      <c r="AU330" s="139">
        <f t="shared" si="123"/>
        <v>0</v>
      </c>
      <c r="AV330" s="146">
        <f>IFERROR(VLOOKUP(J330,Maksājumu_pieprasījumu_iesn.!G:BL,57,0),0)</f>
        <v>0</v>
      </c>
      <c r="AW330" s="139">
        <f t="shared" si="109"/>
        <v>0</v>
      </c>
      <c r="AX330" s="153"/>
      <c r="AY330" s="153"/>
      <c r="AZ330" s="153"/>
      <c r="BA330" s="136"/>
      <c r="BB330" s="145"/>
      <c r="BC330" s="145"/>
      <c r="BD330" s="145"/>
      <c r="BE330" s="145"/>
      <c r="BF330" s="145"/>
      <c r="BG330" s="145"/>
      <c r="BH330" s="138"/>
      <c r="BI330" s="138"/>
      <c r="BJ330" s="138"/>
      <c r="BK330" s="138"/>
      <c r="BL330" s="138"/>
      <c r="BM330" s="138"/>
      <c r="BN330" s="138"/>
    </row>
    <row r="331" spans="1:66" s="91" customFormat="1" ht="12.75" hidden="1" customHeight="1" outlineLevel="1" x14ac:dyDescent="0.2">
      <c r="A331" s="150" t="s">
        <v>1348</v>
      </c>
      <c r="B331" s="18" t="s">
        <v>89</v>
      </c>
      <c r="C331" s="18" t="s">
        <v>846</v>
      </c>
      <c r="D331" s="19" t="s">
        <v>847</v>
      </c>
      <c r="E331" s="55" t="s">
        <v>3</v>
      </c>
      <c r="F331" s="55" t="s">
        <v>11</v>
      </c>
      <c r="G331" s="55" t="s">
        <v>5</v>
      </c>
      <c r="H331" s="55" t="s">
        <v>3</v>
      </c>
      <c r="I331" s="55"/>
      <c r="J331" s="55"/>
      <c r="K331" s="19"/>
      <c r="L331" s="19"/>
      <c r="M331" s="19"/>
      <c r="N331" s="19"/>
      <c r="O331" s="151"/>
      <c r="P331" s="151"/>
      <c r="Q331" s="151"/>
      <c r="R331" s="151"/>
      <c r="S331" s="152"/>
      <c r="T331" s="152"/>
      <c r="U331" s="145">
        <v>0</v>
      </c>
      <c r="V331" s="145">
        <v>0</v>
      </c>
      <c r="W331" s="145">
        <v>0</v>
      </c>
      <c r="X331" s="145">
        <f t="shared" si="120"/>
        <v>0</v>
      </c>
      <c r="Y331" s="145">
        <v>0</v>
      </c>
      <c r="Z331" s="145">
        <v>0</v>
      </c>
      <c r="AA331" s="145">
        <v>0</v>
      </c>
      <c r="AB331" s="145">
        <v>0</v>
      </c>
      <c r="AC331" s="145">
        <v>0</v>
      </c>
      <c r="AD331" s="145">
        <v>0</v>
      </c>
      <c r="AE331" s="145">
        <v>0</v>
      </c>
      <c r="AF331" s="145">
        <v>0</v>
      </c>
      <c r="AG331" s="145">
        <v>0</v>
      </c>
      <c r="AH331" s="145">
        <v>0</v>
      </c>
      <c r="AI331" s="145">
        <v>0</v>
      </c>
      <c r="AJ331" s="145">
        <v>0</v>
      </c>
      <c r="AK331" s="145">
        <f t="shared" si="125"/>
        <v>0</v>
      </c>
      <c r="AL331" s="145">
        <v>0</v>
      </c>
      <c r="AM331" s="145">
        <v>0</v>
      </c>
      <c r="AN331" s="145">
        <v>0</v>
      </c>
      <c r="AO331" s="145">
        <v>0</v>
      </c>
      <c r="AP331" s="145">
        <v>0</v>
      </c>
      <c r="AQ331" s="145">
        <v>0</v>
      </c>
      <c r="AR331" s="145">
        <v>0</v>
      </c>
      <c r="AS331" s="145">
        <f t="shared" si="124"/>
        <v>0</v>
      </c>
      <c r="AT331" s="145"/>
      <c r="AU331" s="139">
        <f t="shared" si="123"/>
        <v>0</v>
      </c>
      <c r="AV331" s="146">
        <f>IFERROR(VLOOKUP(J331,Maksājumu_pieprasījumu_iesn.!G:BL,57,0),0)</f>
        <v>0</v>
      </c>
      <c r="AW331" s="139">
        <f t="shared" si="109"/>
        <v>0</v>
      </c>
      <c r="AX331" s="153"/>
      <c r="AY331" s="153"/>
      <c r="AZ331" s="153"/>
      <c r="BA331" s="136"/>
      <c r="BB331" s="145"/>
      <c r="BC331" s="145"/>
      <c r="BD331" s="145"/>
      <c r="BE331" s="145"/>
      <c r="BF331" s="145"/>
      <c r="BG331" s="145"/>
      <c r="BH331" s="138"/>
      <c r="BI331" s="138"/>
      <c r="BJ331" s="138"/>
      <c r="BK331" s="138"/>
      <c r="BL331" s="138"/>
      <c r="BM331" s="138"/>
      <c r="BN331" s="138"/>
    </row>
    <row r="332" spans="1:66" s="91" customFormat="1" ht="12.75" hidden="1" customHeight="1" outlineLevel="1" x14ac:dyDescent="0.2">
      <c r="A332" s="150" t="s">
        <v>1348</v>
      </c>
      <c r="B332" s="18" t="s">
        <v>89</v>
      </c>
      <c r="C332" s="18" t="s">
        <v>846</v>
      </c>
      <c r="D332" s="19" t="s">
        <v>847</v>
      </c>
      <c r="E332" s="55" t="s">
        <v>3</v>
      </c>
      <c r="F332" s="55" t="s">
        <v>11</v>
      </c>
      <c r="G332" s="55" t="s">
        <v>5</v>
      </c>
      <c r="H332" s="55" t="s">
        <v>3</v>
      </c>
      <c r="I332" s="55"/>
      <c r="J332" s="55"/>
      <c r="K332" s="19"/>
      <c r="L332" s="19"/>
      <c r="M332" s="19"/>
      <c r="N332" s="19"/>
      <c r="O332" s="151"/>
      <c r="P332" s="151"/>
      <c r="Q332" s="151"/>
      <c r="R332" s="151"/>
      <c r="S332" s="152"/>
      <c r="T332" s="152"/>
      <c r="U332" s="145">
        <v>0</v>
      </c>
      <c r="V332" s="145">
        <v>0</v>
      </c>
      <c r="W332" s="145">
        <v>0</v>
      </c>
      <c r="X332" s="145">
        <f t="shared" si="120"/>
        <v>0</v>
      </c>
      <c r="Y332" s="145">
        <v>0</v>
      </c>
      <c r="Z332" s="145">
        <v>0</v>
      </c>
      <c r="AA332" s="145">
        <v>0</v>
      </c>
      <c r="AB332" s="145">
        <v>0</v>
      </c>
      <c r="AC332" s="145">
        <v>0</v>
      </c>
      <c r="AD332" s="145">
        <v>0</v>
      </c>
      <c r="AE332" s="145">
        <v>0</v>
      </c>
      <c r="AF332" s="145">
        <v>0</v>
      </c>
      <c r="AG332" s="145">
        <v>0</v>
      </c>
      <c r="AH332" s="145">
        <v>0</v>
      </c>
      <c r="AI332" s="145">
        <v>0</v>
      </c>
      <c r="AJ332" s="145">
        <v>0</v>
      </c>
      <c r="AK332" s="145">
        <f t="shared" si="125"/>
        <v>0</v>
      </c>
      <c r="AL332" s="145">
        <v>0</v>
      </c>
      <c r="AM332" s="145">
        <v>0</v>
      </c>
      <c r="AN332" s="145">
        <v>0</v>
      </c>
      <c r="AO332" s="145">
        <v>0</v>
      </c>
      <c r="AP332" s="145">
        <v>0</v>
      </c>
      <c r="AQ332" s="145">
        <v>0</v>
      </c>
      <c r="AR332" s="145">
        <v>0</v>
      </c>
      <c r="AS332" s="145">
        <f t="shared" si="124"/>
        <v>0</v>
      </c>
      <c r="AT332" s="145"/>
      <c r="AU332" s="139">
        <f t="shared" si="123"/>
        <v>0</v>
      </c>
      <c r="AV332" s="146">
        <f>IFERROR(VLOOKUP(J332,Maksājumu_pieprasījumu_iesn.!G:BL,57,0),0)</f>
        <v>0</v>
      </c>
      <c r="AW332" s="139">
        <f t="shared" si="109"/>
        <v>0</v>
      </c>
      <c r="AX332" s="153"/>
      <c r="AY332" s="153"/>
      <c r="AZ332" s="153"/>
      <c r="BA332" s="136"/>
      <c r="BB332" s="145"/>
      <c r="BC332" s="145"/>
      <c r="BD332" s="145"/>
      <c r="BE332" s="145"/>
      <c r="BF332" s="145"/>
      <c r="BG332" s="145"/>
      <c r="BH332" s="138"/>
      <c r="BI332" s="138"/>
      <c r="BJ332" s="138"/>
      <c r="BK332" s="138"/>
      <c r="BL332" s="138"/>
      <c r="BM332" s="138"/>
      <c r="BN332" s="138"/>
    </row>
    <row r="333" spans="1:66" s="91" customFormat="1" ht="12.75" hidden="1" customHeight="1" outlineLevel="1" x14ac:dyDescent="0.2">
      <c r="A333" s="150" t="s">
        <v>1348</v>
      </c>
      <c r="B333" s="18" t="s">
        <v>89</v>
      </c>
      <c r="C333" s="18" t="s">
        <v>846</v>
      </c>
      <c r="D333" s="19" t="s">
        <v>847</v>
      </c>
      <c r="E333" s="55" t="s">
        <v>3</v>
      </c>
      <c r="F333" s="55" t="s">
        <v>11</v>
      </c>
      <c r="G333" s="55" t="s">
        <v>5</v>
      </c>
      <c r="H333" s="55" t="s">
        <v>3</v>
      </c>
      <c r="I333" s="55"/>
      <c r="J333" s="55"/>
      <c r="K333" s="19"/>
      <c r="L333" s="19"/>
      <c r="M333" s="19"/>
      <c r="N333" s="19"/>
      <c r="O333" s="151"/>
      <c r="P333" s="151"/>
      <c r="Q333" s="151"/>
      <c r="R333" s="151"/>
      <c r="S333" s="152"/>
      <c r="T333" s="152"/>
      <c r="U333" s="145">
        <v>0</v>
      </c>
      <c r="V333" s="145">
        <v>0</v>
      </c>
      <c r="W333" s="145">
        <v>0</v>
      </c>
      <c r="X333" s="145">
        <f t="shared" si="120"/>
        <v>0</v>
      </c>
      <c r="Y333" s="145">
        <v>0</v>
      </c>
      <c r="Z333" s="145">
        <v>0</v>
      </c>
      <c r="AA333" s="145">
        <v>0</v>
      </c>
      <c r="AB333" s="145">
        <v>0</v>
      </c>
      <c r="AC333" s="145">
        <v>0</v>
      </c>
      <c r="AD333" s="145">
        <v>0</v>
      </c>
      <c r="AE333" s="145">
        <v>0</v>
      </c>
      <c r="AF333" s="145">
        <v>0</v>
      </c>
      <c r="AG333" s="145">
        <v>0</v>
      </c>
      <c r="AH333" s="145">
        <v>0</v>
      </c>
      <c r="AI333" s="145">
        <v>0</v>
      </c>
      <c r="AJ333" s="145">
        <v>0</v>
      </c>
      <c r="AK333" s="145">
        <f t="shared" si="125"/>
        <v>0</v>
      </c>
      <c r="AL333" s="145">
        <v>0</v>
      </c>
      <c r="AM333" s="145">
        <v>0</v>
      </c>
      <c r="AN333" s="145">
        <v>0</v>
      </c>
      <c r="AO333" s="145">
        <v>0</v>
      </c>
      <c r="AP333" s="145">
        <v>0</v>
      </c>
      <c r="AQ333" s="145">
        <v>0</v>
      </c>
      <c r="AR333" s="145">
        <v>0</v>
      </c>
      <c r="AS333" s="145">
        <f t="shared" si="124"/>
        <v>0</v>
      </c>
      <c r="AT333" s="145"/>
      <c r="AU333" s="139">
        <f t="shared" si="123"/>
        <v>0</v>
      </c>
      <c r="AV333" s="146">
        <f>IFERROR(VLOOKUP(J333,Maksājumu_pieprasījumu_iesn.!G:BL,57,0),0)</f>
        <v>0</v>
      </c>
      <c r="AW333" s="139">
        <f t="shared" si="109"/>
        <v>0</v>
      </c>
      <c r="AX333" s="153"/>
      <c r="AY333" s="153"/>
      <c r="AZ333" s="153"/>
      <c r="BA333" s="136"/>
      <c r="BB333" s="145"/>
      <c r="BC333" s="145"/>
      <c r="BD333" s="145"/>
      <c r="BE333" s="145"/>
      <c r="BF333" s="145"/>
      <c r="BG333" s="145"/>
      <c r="BH333" s="138"/>
      <c r="BI333" s="138"/>
      <c r="BJ333" s="138"/>
      <c r="BK333" s="138"/>
      <c r="BL333" s="138"/>
      <c r="BM333" s="138"/>
      <c r="BN333" s="138"/>
    </row>
    <row r="334" spans="1:66" s="91" customFormat="1" ht="12.75" hidden="1" customHeight="1" outlineLevel="1" x14ac:dyDescent="0.2">
      <c r="A334" s="150" t="s">
        <v>1348</v>
      </c>
      <c r="B334" s="18" t="s">
        <v>89</v>
      </c>
      <c r="C334" s="18" t="s">
        <v>846</v>
      </c>
      <c r="D334" s="19" t="s">
        <v>847</v>
      </c>
      <c r="E334" s="55" t="s">
        <v>3</v>
      </c>
      <c r="F334" s="55" t="s">
        <v>11</v>
      </c>
      <c r="G334" s="55" t="s">
        <v>5</v>
      </c>
      <c r="H334" s="55" t="s">
        <v>3</v>
      </c>
      <c r="I334" s="55"/>
      <c r="J334" s="55"/>
      <c r="K334" s="19"/>
      <c r="L334" s="19"/>
      <c r="M334" s="19"/>
      <c r="N334" s="19"/>
      <c r="O334" s="151"/>
      <c r="P334" s="151"/>
      <c r="Q334" s="151"/>
      <c r="R334" s="151"/>
      <c r="S334" s="152"/>
      <c r="T334" s="152"/>
      <c r="U334" s="145">
        <v>0</v>
      </c>
      <c r="V334" s="145">
        <v>0</v>
      </c>
      <c r="W334" s="145">
        <v>0</v>
      </c>
      <c r="X334" s="145">
        <f t="shared" si="120"/>
        <v>0</v>
      </c>
      <c r="Y334" s="145">
        <v>0</v>
      </c>
      <c r="Z334" s="145">
        <v>0</v>
      </c>
      <c r="AA334" s="145">
        <v>0</v>
      </c>
      <c r="AB334" s="145">
        <v>0</v>
      </c>
      <c r="AC334" s="145">
        <v>0</v>
      </c>
      <c r="AD334" s="145">
        <v>0</v>
      </c>
      <c r="AE334" s="145">
        <v>0</v>
      </c>
      <c r="AF334" s="145">
        <v>0</v>
      </c>
      <c r="AG334" s="145">
        <v>0</v>
      </c>
      <c r="AH334" s="145">
        <v>0</v>
      </c>
      <c r="AI334" s="145">
        <v>0</v>
      </c>
      <c r="AJ334" s="145">
        <v>0</v>
      </c>
      <c r="AK334" s="145">
        <f t="shared" si="125"/>
        <v>0</v>
      </c>
      <c r="AL334" s="145">
        <v>0</v>
      </c>
      <c r="AM334" s="145">
        <v>0</v>
      </c>
      <c r="AN334" s="145">
        <v>0</v>
      </c>
      <c r="AO334" s="145">
        <v>0</v>
      </c>
      <c r="AP334" s="145">
        <v>0</v>
      </c>
      <c r="AQ334" s="145">
        <v>0</v>
      </c>
      <c r="AR334" s="145">
        <v>0</v>
      </c>
      <c r="AS334" s="145">
        <f t="shared" si="124"/>
        <v>0</v>
      </c>
      <c r="AT334" s="145"/>
      <c r="AU334" s="139">
        <f t="shared" si="123"/>
        <v>0</v>
      </c>
      <c r="AV334" s="146">
        <f>IFERROR(VLOOKUP(J334,Maksājumu_pieprasījumu_iesn.!G:BL,57,0),0)</f>
        <v>0</v>
      </c>
      <c r="AW334" s="139">
        <f t="shared" si="109"/>
        <v>0</v>
      </c>
      <c r="AX334" s="153"/>
      <c r="AY334" s="153"/>
      <c r="AZ334" s="153"/>
      <c r="BA334" s="136"/>
      <c r="BB334" s="145"/>
      <c r="BC334" s="145"/>
      <c r="BD334" s="145"/>
      <c r="BE334" s="145"/>
      <c r="BF334" s="145"/>
      <c r="BG334" s="145"/>
      <c r="BH334" s="138"/>
      <c r="BI334" s="138"/>
      <c r="BJ334" s="138"/>
      <c r="BK334" s="138"/>
      <c r="BL334" s="138"/>
      <c r="BM334" s="138"/>
      <c r="BN334" s="138"/>
    </row>
    <row r="335" spans="1:66" s="91" customFormat="1" ht="12.75" hidden="1" customHeight="1" outlineLevel="1" x14ac:dyDescent="0.2">
      <c r="A335" s="150" t="s">
        <v>1348</v>
      </c>
      <c r="B335" s="18" t="s">
        <v>89</v>
      </c>
      <c r="C335" s="18" t="s">
        <v>846</v>
      </c>
      <c r="D335" s="19" t="s">
        <v>847</v>
      </c>
      <c r="E335" s="55" t="s">
        <v>3</v>
      </c>
      <c r="F335" s="55" t="s">
        <v>11</v>
      </c>
      <c r="G335" s="55" t="s">
        <v>5</v>
      </c>
      <c r="H335" s="55" t="s">
        <v>3</v>
      </c>
      <c r="I335" s="55"/>
      <c r="J335" s="55"/>
      <c r="K335" s="19"/>
      <c r="L335" s="19"/>
      <c r="M335" s="19"/>
      <c r="N335" s="19"/>
      <c r="O335" s="151"/>
      <c r="P335" s="151"/>
      <c r="Q335" s="151"/>
      <c r="R335" s="151"/>
      <c r="S335" s="152"/>
      <c r="T335" s="152"/>
      <c r="U335" s="145">
        <v>0</v>
      </c>
      <c r="V335" s="145">
        <v>0</v>
      </c>
      <c r="W335" s="145">
        <v>0</v>
      </c>
      <c r="X335" s="145">
        <f t="shared" si="120"/>
        <v>0</v>
      </c>
      <c r="Y335" s="145">
        <v>0</v>
      </c>
      <c r="Z335" s="145">
        <v>0</v>
      </c>
      <c r="AA335" s="145">
        <v>0</v>
      </c>
      <c r="AB335" s="145">
        <v>0</v>
      </c>
      <c r="AC335" s="145">
        <v>0</v>
      </c>
      <c r="AD335" s="145">
        <v>0</v>
      </c>
      <c r="AE335" s="145">
        <v>0</v>
      </c>
      <c r="AF335" s="145">
        <v>0</v>
      </c>
      <c r="AG335" s="145">
        <v>0</v>
      </c>
      <c r="AH335" s="145">
        <v>0</v>
      </c>
      <c r="AI335" s="145">
        <v>0</v>
      </c>
      <c r="AJ335" s="145">
        <v>0</v>
      </c>
      <c r="AK335" s="145">
        <f t="shared" si="125"/>
        <v>0</v>
      </c>
      <c r="AL335" s="145">
        <v>0</v>
      </c>
      <c r="AM335" s="145">
        <v>0</v>
      </c>
      <c r="AN335" s="145">
        <v>0</v>
      </c>
      <c r="AO335" s="145">
        <v>0</v>
      </c>
      <c r="AP335" s="145">
        <v>0</v>
      </c>
      <c r="AQ335" s="145">
        <v>0</v>
      </c>
      <c r="AR335" s="145">
        <v>0</v>
      </c>
      <c r="AS335" s="145">
        <f t="shared" si="124"/>
        <v>0</v>
      </c>
      <c r="AT335" s="145"/>
      <c r="AU335" s="139">
        <f t="shared" si="123"/>
        <v>0</v>
      </c>
      <c r="AV335" s="146">
        <f>IFERROR(VLOOKUP(J335,Maksājumu_pieprasījumu_iesn.!G:BL,57,0),0)</f>
        <v>0</v>
      </c>
      <c r="AW335" s="139">
        <f t="shared" si="109"/>
        <v>0</v>
      </c>
      <c r="AX335" s="153"/>
      <c r="AY335" s="153"/>
      <c r="AZ335" s="153"/>
      <c r="BA335" s="136"/>
      <c r="BB335" s="145"/>
      <c r="BC335" s="145"/>
      <c r="BD335" s="145"/>
      <c r="BE335" s="145"/>
      <c r="BF335" s="145"/>
      <c r="BG335" s="145"/>
      <c r="BH335" s="138"/>
      <c r="BI335" s="138"/>
      <c r="BJ335" s="138"/>
      <c r="BK335" s="138"/>
      <c r="BL335" s="138"/>
      <c r="BM335" s="138"/>
      <c r="BN335" s="138"/>
    </row>
    <row r="336" spans="1:66" s="91" customFormat="1" ht="12.75" hidden="1" customHeight="1" outlineLevel="1" x14ac:dyDescent="0.2">
      <c r="A336" s="150" t="s">
        <v>1348</v>
      </c>
      <c r="B336" s="18" t="s">
        <v>89</v>
      </c>
      <c r="C336" s="18" t="s">
        <v>846</v>
      </c>
      <c r="D336" s="19" t="s">
        <v>847</v>
      </c>
      <c r="E336" s="55" t="s">
        <v>3</v>
      </c>
      <c r="F336" s="55" t="s">
        <v>11</v>
      </c>
      <c r="G336" s="55" t="s">
        <v>5</v>
      </c>
      <c r="H336" s="55" t="s">
        <v>3</v>
      </c>
      <c r="I336" s="55"/>
      <c r="J336" s="55"/>
      <c r="K336" s="19"/>
      <c r="L336" s="19"/>
      <c r="M336" s="19"/>
      <c r="N336" s="19"/>
      <c r="O336" s="151"/>
      <c r="P336" s="151"/>
      <c r="Q336" s="151"/>
      <c r="R336" s="151"/>
      <c r="S336" s="152"/>
      <c r="T336" s="152"/>
      <c r="U336" s="145">
        <v>0</v>
      </c>
      <c r="V336" s="145">
        <v>0</v>
      </c>
      <c r="W336" s="145">
        <v>0</v>
      </c>
      <c r="X336" s="145">
        <f t="shared" si="120"/>
        <v>0</v>
      </c>
      <c r="Y336" s="145">
        <v>0</v>
      </c>
      <c r="Z336" s="145">
        <v>0</v>
      </c>
      <c r="AA336" s="145">
        <v>0</v>
      </c>
      <c r="AB336" s="145">
        <v>0</v>
      </c>
      <c r="AC336" s="145">
        <v>0</v>
      </c>
      <c r="AD336" s="145">
        <v>0</v>
      </c>
      <c r="AE336" s="145">
        <v>0</v>
      </c>
      <c r="AF336" s="145">
        <v>0</v>
      </c>
      <c r="AG336" s="145">
        <v>0</v>
      </c>
      <c r="AH336" s="145">
        <v>0</v>
      </c>
      <c r="AI336" s="145">
        <v>0</v>
      </c>
      <c r="AJ336" s="145">
        <v>0</v>
      </c>
      <c r="AK336" s="145">
        <f t="shared" si="125"/>
        <v>0</v>
      </c>
      <c r="AL336" s="145">
        <v>0</v>
      </c>
      <c r="AM336" s="145">
        <v>0</v>
      </c>
      <c r="AN336" s="145">
        <v>0</v>
      </c>
      <c r="AO336" s="145">
        <v>0</v>
      </c>
      <c r="AP336" s="145">
        <v>0</v>
      </c>
      <c r="AQ336" s="145">
        <v>0</v>
      </c>
      <c r="AR336" s="145">
        <v>0</v>
      </c>
      <c r="AS336" s="145">
        <f t="shared" si="124"/>
        <v>0</v>
      </c>
      <c r="AT336" s="145"/>
      <c r="AU336" s="139">
        <f t="shared" si="123"/>
        <v>0</v>
      </c>
      <c r="AV336" s="146">
        <f>IFERROR(VLOOKUP(J336,Maksājumu_pieprasījumu_iesn.!G:BL,57,0),0)</f>
        <v>0</v>
      </c>
      <c r="AW336" s="139">
        <f t="shared" ref="AW336:AW399" si="126">AV336-AU336</f>
        <v>0</v>
      </c>
      <c r="AX336" s="153"/>
      <c r="AY336" s="153"/>
      <c r="AZ336" s="153"/>
      <c r="BA336" s="136"/>
      <c r="BB336" s="145"/>
      <c r="BC336" s="145"/>
      <c r="BD336" s="145"/>
      <c r="BE336" s="145"/>
      <c r="BF336" s="145"/>
      <c r="BG336" s="145"/>
      <c r="BH336" s="138"/>
      <c r="BI336" s="138"/>
      <c r="BJ336" s="138"/>
      <c r="BK336" s="138"/>
      <c r="BL336" s="138"/>
      <c r="BM336" s="138"/>
      <c r="BN336" s="138"/>
    </row>
    <row r="337" spans="1:66" s="91" customFormat="1" ht="12.75" hidden="1" customHeight="1" outlineLevel="1" x14ac:dyDescent="0.2">
      <c r="A337" s="150" t="s">
        <v>1348</v>
      </c>
      <c r="B337" s="18" t="s">
        <v>89</v>
      </c>
      <c r="C337" s="18" t="s">
        <v>846</v>
      </c>
      <c r="D337" s="19" t="s">
        <v>847</v>
      </c>
      <c r="E337" s="55" t="s">
        <v>3</v>
      </c>
      <c r="F337" s="55" t="s">
        <v>11</v>
      </c>
      <c r="G337" s="55" t="s">
        <v>5</v>
      </c>
      <c r="H337" s="55" t="s">
        <v>3</v>
      </c>
      <c r="I337" s="55"/>
      <c r="J337" s="55"/>
      <c r="K337" s="19"/>
      <c r="L337" s="19"/>
      <c r="M337" s="19"/>
      <c r="N337" s="19"/>
      <c r="O337" s="151"/>
      <c r="P337" s="151"/>
      <c r="Q337" s="151"/>
      <c r="R337" s="151"/>
      <c r="S337" s="152"/>
      <c r="T337" s="152"/>
      <c r="U337" s="145">
        <v>0</v>
      </c>
      <c r="V337" s="145">
        <v>0</v>
      </c>
      <c r="W337" s="145">
        <v>0</v>
      </c>
      <c r="X337" s="145">
        <f t="shared" si="120"/>
        <v>0</v>
      </c>
      <c r="Y337" s="145">
        <v>0</v>
      </c>
      <c r="Z337" s="145">
        <v>0</v>
      </c>
      <c r="AA337" s="145">
        <v>0</v>
      </c>
      <c r="AB337" s="145">
        <v>0</v>
      </c>
      <c r="AC337" s="145">
        <v>0</v>
      </c>
      <c r="AD337" s="145">
        <v>0</v>
      </c>
      <c r="AE337" s="145">
        <v>0</v>
      </c>
      <c r="AF337" s="145">
        <v>0</v>
      </c>
      <c r="AG337" s="145">
        <v>0</v>
      </c>
      <c r="AH337" s="145">
        <v>0</v>
      </c>
      <c r="AI337" s="145">
        <v>0</v>
      </c>
      <c r="AJ337" s="145">
        <v>0</v>
      </c>
      <c r="AK337" s="145">
        <f t="shared" si="125"/>
        <v>0</v>
      </c>
      <c r="AL337" s="145">
        <v>0</v>
      </c>
      <c r="AM337" s="145">
        <v>0</v>
      </c>
      <c r="AN337" s="145">
        <v>0</v>
      </c>
      <c r="AO337" s="145">
        <v>0</v>
      </c>
      <c r="AP337" s="145">
        <v>0</v>
      </c>
      <c r="AQ337" s="145">
        <v>0</v>
      </c>
      <c r="AR337" s="145">
        <v>0</v>
      </c>
      <c r="AS337" s="145">
        <f t="shared" si="124"/>
        <v>0</v>
      </c>
      <c r="AT337" s="145"/>
      <c r="AU337" s="139">
        <f t="shared" si="123"/>
        <v>0</v>
      </c>
      <c r="AV337" s="146">
        <f>IFERROR(VLOOKUP(J337,Maksājumu_pieprasījumu_iesn.!G:BL,57,0),0)</f>
        <v>0</v>
      </c>
      <c r="AW337" s="139">
        <f t="shared" si="126"/>
        <v>0</v>
      </c>
      <c r="AX337" s="153"/>
      <c r="AY337" s="153"/>
      <c r="AZ337" s="153"/>
      <c r="BA337" s="136"/>
      <c r="BB337" s="145"/>
      <c r="BC337" s="145"/>
      <c r="BD337" s="145"/>
      <c r="BE337" s="145"/>
      <c r="BF337" s="145"/>
      <c r="BG337" s="145"/>
      <c r="BH337" s="138"/>
      <c r="BI337" s="138"/>
      <c r="BJ337" s="138"/>
      <c r="BK337" s="138"/>
      <c r="BL337" s="138"/>
      <c r="BM337" s="138"/>
      <c r="BN337" s="138"/>
    </row>
    <row r="338" spans="1:66" s="91" customFormat="1" ht="12.75" hidden="1" customHeight="1" outlineLevel="1" x14ac:dyDescent="0.2">
      <c r="A338" s="150" t="s">
        <v>1348</v>
      </c>
      <c r="B338" s="18" t="s">
        <v>89</v>
      </c>
      <c r="C338" s="18" t="s">
        <v>846</v>
      </c>
      <c r="D338" s="19" t="s">
        <v>847</v>
      </c>
      <c r="E338" s="55" t="s">
        <v>3</v>
      </c>
      <c r="F338" s="55" t="s">
        <v>11</v>
      </c>
      <c r="G338" s="55" t="s">
        <v>5</v>
      </c>
      <c r="H338" s="55" t="s">
        <v>3</v>
      </c>
      <c r="I338" s="55"/>
      <c r="J338" s="55"/>
      <c r="K338" s="19"/>
      <c r="L338" s="19"/>
      <c r="M338" s="19"/>
      <c r="N338" s="19"/>
      <c r="O338" s="151"/>
      <c r="P338" s="151"/>
      <c r="Q338" s="151"/>
      <c r="R338" s="151"/>
      <c r="S338" s="152"/>
      <c r="T338" s="152"/>
      <c r="U338" s="145">
        <v>0</v>
      </c>
      <c r="V338" s="145">
        <v>0</v>
      </c>
      <c r="W338" s="145">
        <v>0</v>
      </c>
      <c r="X338" s="145">
        <f t="shared" si="120"/>
        <v>0</v>
      </c>
      <c r="Y338" s="145">
        <v>0</v>
      </c>
      <c r="Z338" s="145">
        <v>0</v>
      </c>
      <c r="AA338" s="145">
        <v>0</v>
      </c>
      <c r="AB338" s="145">
        <v>0</v>
      </c>
      <c r="AC338" s="145">
        <v>0</v>
      </c>
      <c r="AD338" s="145">
        <v>0</v>
      </c>
      <c r="AE338" s="145">
        <v>0</v>
      </c>
      <c r="AF338" s="145">
        <v>0</v>
      </c>
      <c r="AG338" s="145">
        <v>0</v>
      </c>
      <c r="AH338" s="145">
        <v>0</v>
      </c>
      <c r="AI338" s="145">
        <v>0</v>
      </c>
      <c r="AJ338" s="145">
        <v>0</v>
      </c>
      <c r="AK338" s="145">
        <f t="shared" si="125"/>
        <v>0</v>
      </c>
      <c r="AL338" s="145">
        <v>0</v>
      </c>
      <c r="AM338" s="145">
        <v>0</v>
      </c>
      <c r="AN338" s="145">
        <v>0</v>
      </c>
      <c r="AO338" s="145">
        <v>0</v>
      </c>
      <c r="AP338" s="145">
        <v>0</v>
      </c>
      <c r="AQ338" s="145">
        <v>0</v>
      </c>
      <c r="AR338" s="145">
        <v>0</v>
      </c>
      <c r="AS338" s="145">
        <f t="shared" si="124"/>
        <v>0</v>
      </c>
      <c r="AT338" s="145"/>
      <c r="AU338" s="139">
        <f t="shared" si="123"/>
        <v>0</v>
      </c>
      <c r="AV338" s="146">
        <f>IFERROR(VLOOKUP(J338,Maksājumu_pieprasījumu_iesn.!G:BL,57,0),0)</f>
        <v>0</v>
      </c>
      <c r="AW338" s="139">
        <f t="shared" si="126"/>
        <v>0</v>
      </c>
      <c r="AX338" s="153"/>
      <c r="AY338" s="153"/>
      <c r="AZ338" s="153"/>
      <c r="BA338" s="136"/>
      <c r="BB338" s="145"/>
      <c r="BC338" s="145"/>
      <c r="BD338" s="145"/>
      <c r="BE338" s="145"/>
      <c r="BF338" s="145"/>
      <c r="BG338" s="145"/>
      <c r="BH338" s="138"/>
      <c r="BI338" s="138"/>
      <c r="BJ338" s="138"/>
      <c r="BK338" s="138"/>
      <c r="BL338" s="138"/>
      <c r="BM338" s="138"/>
      <c r="BN338" s="138"/>
    </row>
    <row r="339" spans="1:66" s="91" customFormat="1" ht="12.75" hidden="1" customHeight="1" outlineLevel="1" x14ac:dyDescent="0.2">
      <c r="A339" s="150" t="s">
        <v>1348</v>
      </c>
      <c r="B339" s="18" t="s">
        <v>89</v>
      </c>
      <c r="C339" s="18" t="s">
        <v>846</v>
      </c>
      <c r="D339" s="19" t="s">
        <v>847</v>
      </c>
      <c r="E339" s="55" t="s">
        <v>3</v>
      </c>
      <c r="F339" s="55" t="s">
        <v>11</v>
      </c>
      <c r="G339" s="55" t="s">
        <v>5</v>
      </c>
      <c r="H339" s="55" t="s">
        <v>3</v>
      </c>
      <c r="I339" s="55"/>
      <c r="J339" s="55"/>
      <c r="K339" s="19"/>
      <c r="L339" s="19"/>
      <c r="M339" s="19"/>
      <c r="N339" s="19"/>
      <c r="O339" s="151"/>
      <c r="P339" s="151"/>
      <c r="Q339" s="151"/>
      <c r="R339" s="151"/>
      <c r="S339" s="152"/>
      <c r="T339" s="152"/>
      <c r="U339" s="145">
        <v>0</v>
      </c>
      <c r="V339" s="145">
        <v>0</v>
      </c>
      <c r="W339" s="145">
        <v>0</v>
      </c>
      <c r="X339" s="145">
        <f t="shared" si="120"/>
        <v>0</v>
      </c>
      <c r="Y339" s="145">
        <v>0</v>
      </c>
      <c r="Z339" s="145">
        <v>0</v>
      </c>
      <c r="AA339" s="145">
        <v>0</v>
      </c>
      <c r="AB339" s="145">
        <v>0</v>
      </c>
      <c r="AC339" s="145">
        <v>0</v>
      </c>
      <c r="AD339" s="145">
        <v>0</v>
      </c>
      <c r="AE339" s="145">
        <v>0</v>
      </c>
      <c r="AF339" s="145">
        <v>0</v>
      </c>
      <c r="AG339" s="145">
        <v>0</v>
      </c>
      <c r="AH339" s="145">
        <v>0</v>
      </c>
      <c r="AI339" s="145">
        <v>0</v>
      </c>
      <c r="AJ339" s="145">
        <v>0</v>
      </c>
      <c r="AK339" s="145">
        <f t="shared" si="125"/>
        <v>0</v>
      </c>
      <c r="AL339" s="145">
        <v>0</v>
      </c>
      <c r="AM339" s="145">
        <v>0</v>
      </c>
      <c r="AN339" s="145">
        <v>0</v>
      </c>
      <c r="AO339" s="145">
        <v>0</v>
      </c>
      <c r="AP339" s="145">
        <v>0</v>
      </c>
      <c r="AQ339" s="145">
        <v>0</v>
      </c>
      <c r="AR339" s="145">
        <v>0</v>
      </c>
      <c r="AS339" s="145">
        <f t="shared" si="124"/>
        <v>0</v>
      </c>
      <c r="AT339" s="145"/>
      <c r="AU339" s="139">
        <f t="shared" si="123"/>
        <v>0</v>
      </c>
      <c r="AV339" s="146">
        <f>IFERROR(VLOOKUP(J339,Maksājumu_pieprasījumu_iesn.!G:BL,57,0),0)</f>
        <v>0</v>
      </c>
      <c r="AW339" s="139">
        <f t="shared" si="126"/>
        <v>0</v>
      </c>
      <c r="AX339" s="153"/>
      <c r="AY339" s="153"/>
      <c r="AZ339" s="153"/>
      <c r="BA339" s="136"/>
      <c r="BB339" s="145"/>
      <c r="BC339" s="145"/>
      <c r="BD339" s="145"/>
      <c r="BE339" s="145"/>
      <c r="BF339" s="145"/>
      <c r="BG339" s="145"/>
      <c r="BH339" s="138"/>
      <c r="BI339" s="138"/>
      <c r="BJ339" s="138"/>
      <c r="BK339" s="138"/>
      <c r="BL339" s="138"/>
      <c r="BM339" s="138"/>
      <c r="BN339" s="138"/>
    </row>
    <row r="340" spans="1:66" s="91" customFormat="1" ht="12.75" hidden="1" customHeight="1" outlineLevel="1" x14ac:dyDescent="0.2">
      <c r="A340" s="150" t="s">
        <v>1348</v>
      </c>
      <c r="B340" s="18" t="s">
        <v>89</v>
      </c>
      <c r="C340" s="18" t="s">
        <v>846</v>
      </c>
      <c r="D340" s="19" t="s">
        <v>847</v>
      </c>
      <c r="E340" s="55" t="s">
        <v>3</v>
      </c>
      <c r="F340" s="55" t="s">
        <v>11</v>
      </c>
      <c r="G340" s="55" t="s">
        <v>5</v>
      </c>
      <c r="H340" s="55" t="s">
        <v>3</v>
      </c>
      <c r="I340" s="55"/>
      <c r="J340" s="55"/>
      <c r="K340" s="19"/>
      <c r="L340" s="19"/>
      <c r="M340" s="19"/>
      <c r="N340" s="19"/>
      <c r="O340" s="151"/>
      <c r="P340" s="151"/>
      <c r="Q340" s="151"/>
      <c r="R340" s="151"/>
      <c r="S340" s="152"/>
      <c r="T340" s="152"/>
      <c r="U340" s="145">
        <v>0</v>
      </c>
      <c r="V340" s="145">
        <v>0</v>
      </c>
      <c r="W340" s="145">
        <v>0</v>
      </c>
      <c r="X340" s="145">
        <f t="shared" si="120"/>
        <v>0</v>
      </c>
      <c r="Y340" s="145">
        <v>0</v>
      </c>
      <c r="Z340" s="145">
        <v>0</v>
      </c>
      <c r="AA340" s="145">
        <v>0</v>
      </c>
      <c r="AB340" s="145">
        <v>0</v>
      </c>
      <c r="AC340" s="145">
        <v>0</v>
      </c>
      <c r="AD340" s="145">
        <v>0</v>
      </c>
      <c r="AE340" s="145">
        <v>0</v>
      </c>
      <c r="AF340" s="145">
        <v>0</v>
      </c>
      <c r="AG340" s="145">
        <v>0</v>
      </c>
      <c r="AH340" s="145">
        <v>0</v>
      </c>
      <c r="AI340" s="145">
        <v>0</v>
      </c>
      <c r="AJ340" s="145">
        <v>0</v>
      </c>
      <c r="AK340" s="145">
        <f t="shared" si="125"/>
        <v>0</v>
      </c>
      <c r="AL340" s="145">
        <v>0</v>
      </c>
      <c r="AM340" s="145">
        <v>0</v>
      </c>
      <c r="AN340" s="145">
        <v>0</v>
      </c>
      <c r="AO340" s="145">
        <v>0</v>
      </c>
      <c r="AP340" s="145">
        <v>0</v>
      </c>
      <c r="AQ340" s="145">
        <v>0</v>
      </c>
      <c r="AR340" s="145">
        <v>0</v>
      </c>
      <c r="AS340" s="145">
        <f t="shared" si="124"/>
        <v>0</v>
      </c>
      <c r="AT340" s="145"/>
      <c r="AU340" s="139">
        <f t="shared" si="123"/>
        <v>0</v>
      </c>
      <c r="AV340" s="146">
        <f>IFERROR(VLOOKUP(J340,Maksājumu_pieprasījumu_iesn.!G:BL,57,0),0)</f>
        <v>0</v>
      </c>
      <c r="AW340" s="139">
        <f t="shared" si="126"/>
        <v>0</v>
      </c>
      <c r="AX340" s="153"/>
      <c r="AY340" s="153"/>
      <c r="AZ340" s="153"/>
      <c r="BA340" s="136"/>
      <c r="BB340" s="145"/>
      <c r="BC340" s="145"/>
      <c r="BD340" s="145"/>
      <c r="BE340" s="145"/>
      <c r="BF340" s="145"/>
      <c r="BG340" s="145"/>
      <c r="BH340" s="138"/>
      <c r="BI340" s="138"/>
      <c r="BJ340" s="138"/>
      <c r="BK340" s="138"/>
      <c r="BL340" s="138"/>
      <c r="BM340" s="138"/>
      <c r="BN340" s="138"/>
    </row>
    <row r="341" spans="1:66" s="91" customFormat="1" ht="12.75" hidden="1" customHeight="1" outlineLevel="1" x14ac:dyDescent="0.2">
      <c r="A341" s="150" t="s">
        <v>1348</v>
      </c>
      <c r="B341" s="18" t="s">
        <v>89</v>
      </c>
      <c r="C341" s="18" t="s">
        <v>846</v>
      </c>
      <c r="D341" s="19" t="s">
        <v>847</v>
      </c>
      <c r="E341" s="55" t="s">
        <v>3</v>
      </c>
      <c r="F341" s="55" t="s">
        <v>11</v>
      </c>
      <c r="G341" s="55" t="s">
        <v>5</v>
      </c>
      <c r="H341" s="55" t="s">
        <v>3</v>
      </c>
      <c r="I341" s="55"/>
      <c r="J341" s="55"/>
      <c r="K341" s="19"/>
      <c r="L341" s="19"/>
      <c r="M341" s="19"/>
      <c r="N341" s="19"/>
      <c r="O341" s="151"/>
      <c r="P341" s="151"/>
      <c r="Q341" s="151"/>
      <c r="R341" s="151"/>
      <c r="S341" s="152"/>
      <c r="T341" s="152"/>
      <c r="U341" s="145">
        <v>0</v>
      </c>
      <c r="V341" s="145">
        <v>0</v>
      </c>
      <c r="W341" s="145">
        <v>0</v>
      </c>
      <c r="X341" s="145">
        <f t="shared" si="120"/>
        <v>0</v>
      </c>
      <c r="Y341" s="145">
        <v>0</v>
      </c>
      <c r="Z341" s="145">
        <v>0</v>
      </c>
      <c r="AA341" s="145">
        <v>0</v>
      </c>
      <c r="AB341" s="145">
        <v>0</v>
      </c>
      <c r="AC341" s="145">
        <v>0</v>
      </c>
      <c r="AD341" s="145">
        <v>0</v>
      </c>
      <c r="AE341" s="145">
        <v>0</v>
      </c>
      <c r="AF341" s="145">
        <v>0</v>
      </c>
      <c r="AG341" s="145">
        <v>0</v>
      </c>
      <c r="AH341" s="145">
        <v>0</v>
      </c>
      <c r="AI341" s="145">
        <v>0</v>
      </c>
      <c r="AJ341" s="145">
        <v>0</v>
      </c>
      <c r="AK341" s="145">
        <f t="shared" si="125"/>
        <v>0</v>
      </c>
      <c r="AL341" s="145">
        <v>0</v>
      </c>
      <c r="AM341" s="145">
        <v>0</v>
      </c>
      <c r="AN341" s="145">
        <v>0</v>
      </c>
      <c r="AO341" s="145">
        <v>0</v>
      </c>
      <c r="AP341" s="145">
        <v>0</v>
      </c>
      <c r="AQ341" s="145">
        <v>0</v>
      </c>
      <c r="AR341" s="145">
        <v>0</v>
      </c>
      <c r="AS341" s="145">
        <f t="shared" si="124"/>
        <v>0</v>
      </c>
      <c r="AT341" s="145"/>
      <c r="AU341" s="139">
        <f t="shared" si="123"/>
        <v>0</v>
      </c>
      <c r="AV341" s="146">
        <f>IFERROR(VLOOKUP(J341,Maksājumu_pieprasījumu_iesn.!G:BL,57,0),0)</f>
        <v>0</v>
      </c>
      <c r="AW341" s="139">
        <f t="shared" si="126"/>
        <v>0</v>
      </c>
      <c r="AX341" s="153"/>
      <c r="AY341" s="153"/>
      <c r="AZ341" s="153"/>
      <c r="BA341" s="136"/>
      <c r="BB341" s="145"/>
      <c r="BC341" s="145"/>
      <c r="BD341" s="145"/>
      <c r="BE341" s="145"/>
      <c r="BF341" s="145"/>
      <c r="BG341" s="145"/>
      <c r="BH341" s="138"/>
      <c r="BI341" s="138"/>
      <c r="BJ341" s="138"/>
      <c r="BK341" s="138"/>
      <c r="BL341" s="138"/>
      <c r="BM341" s="138"/>
      <c r="BN341" s="138"/>
    </row>
    <row r="342" spans="1:66" s="91" customFormat="1" ht="12.75" hidden="1" customHeight="1" outlineLevel="1" x14ac:dyDescent="0.2">
      <c r="A342" s="150" t="s">
        <v>1348</v>
      </c>
      <c r="B342" s="18" t="s">
        <v>89</v>
      </c>
      <c r="C342" s="18" t="s">
        <v>846</v>
      </c>
      <c r="D342" s="19" t="s">
        <v>847</v>
      </c>
      <c r="E342" s="55" t="s">
        <v>3</v>
      </c>
      <c r="F342" s="55" t="s">
        <v>11</v>
      </c>
      <c r="G342" s="55" t="s">
        <v>5</v>
      </c>
      <c r="H342" s="55" t="s">
        <v>3</v>
      </c>
      <c r="I342" s="55"/>
      <c r="J342" s="55"/>
      <c r="K342" s="19"/>
      <c r="L342" s="19"/>
      <c r="M342" s="19"/>
      <c r="N342" s="19"/>
      <c r="O342" s="151"/>
      <c r="P342" s="151"/>
      <c r="Q342" s="151"/>
      <c r="R342" s="151"/>
      <c r="S342" s="152"/>
      <c r="T342" s="152"/>
      <c r="U342" s="145">
        <v>0</v>
      </c>
      <c r="V342" s="145">
        <v>0</v>
      </c>
      <c r="W342" s="145">
        <v>0</v>
      </c>
      <c r="X342" s="145">
        <f t="shared" si="120"/>
        <v>0</v>
      </c>
      <c r="Y342" s="145">
        <v>0</v>
      </c>
      <c r="Z342" s="145">
        <v>0</v>
      </c>
      <c r="AA342" s="145">
        <v>0</v>
      </c>
      <c r="AB342" s="145">
        <v>0</v>
      </c>
      <c r="AC342" s="145">
        <v>0</v>
      </c>
      <c r="AD342" s="145">
        <v>0</v>
      </c>
      <c r="AE342" s="145">
        <v>0</v>
      </c>
      <c r="AF342" s="145">
        <v>0</v>
      </c>
      <c r="AG342" s="145">
        <v>0</v>
      </c>
      <c r="AH342" s="145">
        <v>0</v>
      </c>
      <c r="AI342" s="145">
        <v>0</v>
      </c>
      <c r="AJ342" s="145">
        <v>0</v>
      </c>
      <c r="AK342" s="145">
        <f t="shared" si="125"/>
        <v>0</v>
      </c>
      <c r="AL342" s="145">
        <v>0</v>
      </c>
      <c r="AM342" s="145">
        <v>0</v>
      </c>
      <c r="AN342" s="145">
        <v>0</v>
      </c>
      <c r="AO342" s="145">
        <v>0</v>
      </c>
      <c r="AP342" s="145">
        <v>0</v>
      </c>
      <c r="AQ342" s="145">
        <v>0</v>
      </c>
      <c r="AR342" s="145">
        <v>0</v>
      </c>
      <c r="AS342" s="145">
        <f t="shared" si="124"/>
        <v>0</v>
      </c>
      <c r="AT342" s="145"/>
      <c r="AU342" s="139">
        <f t="shared" si="123"/>
        <v>0</v>
      </c>
      <c r="AV342" s="146">
        <f>IFERROR(VLOOKUP(J342,Maksājumu_pieprasījumu_iesn.!G:BL,57,0),0)</f>
        <v>0</v>
      </c>
      <c r="AW342" s="139">
        <f t="shared" si="126"/>
        <v>0</v>
      </c>
      <c r="AX342" s="153"/>
      <c r="AY342" s="153"/>
      <c r="AZ342" s="153"/>
      <c r="BA342" s="136"/>
      <c r="BB342" s="145"/>
      <c r="BC342" s="145"/>
      <c r="BD342" s="145"/>
      <c r="BE342" s="145"/>
      <c r="BF342" s="145"/>
      <c r="BG342" s="145"/>
      <c r="BH342" s="138"/>
      <c r="BI342" s="138"/>
      <c r="BJ342" s="138"/>
      <c r="BK342" s="138"/>
      <c r="BL342" s="138"/>
      <c r="BM342" s="138"/>
      <c r="BN342" s="138"/>
    </row>
    <row r="343" spans="1:66" s="91" customFormat="1" ht="12.75" hidden="1" customHeight="1" outlineLevel="1" x14ac:dyDescent="0.2">
      <c r="A343" s="150" t="s">
        <v>1348</v>
      </c>
      <c r="B343" s="18" t="s">
        <v>89</v>
      </c>
      <c r="C343" s="18" t="s">
        <v>846</v>
      </c>
      <c r="D343" s="19" t="s">
        <v>847</v>
      </c>
      <c r="E343" s="55" t="s">
        <v>3</v>
      </c>
      <c r="F343" s="55" t="s">
        <v>11</v>
      </c>
      <c r="G343" s="55" t="s">
        <v>5</v>
      </c>
      <c r="H343" s="55" t="s">
        <v>3</v>
      </c>
      <c r="I343" s="55"/>
      <c r="J343" s="55"/>
      <c r="K343" s="19"/>
      <c r="L343" s="19"/>
      <c r="M343" s="19"/>
      <c r="N343" s="19"/>
      <c r="O343" s="151"/>
      <c r="P343" s="151"/>
      <c r="Q343" s="151"/>
      <c r="R343" s="151"/>
      <c r="S343" s="152"/>
      <c r="T343" s="152"/>
      <c r="U343" s="145">
        <v>0</v>
      </c>
      <c r="V343" s="145">
        <v>0</v>
      </c>
      <c r="W343" s="145">
        <v>0</v>
      </c>
      <c r="X343" s="145">
        <f t="shared" si="120"/>
        <v>0</v>
      </c>
      <c r="Y343" s="145">
        <v>0</v>
      </c>
      <c r="Z343" s="145">
        <v>0</v>
      </c>
      <c r="AA343" s="145">
        <v>0</v>
      </c>
      <c r="AB343" s="145">
        <v>0</v>
      </c>
      <c r="AC343" s="145">
        <v>0</v>
      </c>
      <c r="AD343" s="145">
        <v>0</v>
      </c>
      <c r="AE343" s="145">
        <v>0</v>
      </c>
      <c r="AF343" s="145">
        <v>0</v>
      </c>
      <c r="AG343" s="145">
        <v>0</v>
      </c>
      <c r="AH343" s="145">
        <v>0</v>
      </c>
      <c r="AI343" s="145">
        <v>0</v>
      </c>
      <c r="AJ343" s="145">
        <v>0</v>
      </c>
      <c r="AK343" s="145">
        <f t="shared" si="125"/>
        <v>0</v>
      </c>
      <c r="AL343" s="145">
        <v>0</v>
      </c>
      <c r="AM343" s="145">
        <v>0</v>
      </c>
      <c r="AN343" s="145">
        <v>0</v>
      </c>
      <c r="AO343" s="145">
        <v>0</v>
      </c>
      <c r="AP343" s="145">
        <v>0</v>
      </c>
      <c r="AQ343" s="145">
        <v>0</v>
      </c>
      <c r="AR343" s="145">
        <v>0</v>
      </c>
      <c r="AS343" s="145">
        <f t="shared" si="124"/>
        <v>0</v>
      </c>
      <c r="AT343" s="145"/>
      <c r="AU343" s="139">
        <f t="shared" si="123"/>
        <v>0</v>
      </c>
      <c r="AV343" s="146">
        <f>IFERROR(VLOOKUP(J343,Maksājumu_pieprasījumu_iesn.!G:BL,57,0),0)</f>
        <v>0</v>
      </c>
      <c r="AW343" s="139">
        <f t="shared" si="126"/>
        <v>0</v>
      </c>
      <c r="AX343" s="153"/>
      <c r="AY343" s="153"/>
      <c r="AZ343" s="153"/>
      <c r="BA343" s="136"/>
      <c r="BB343" s="145"/>
      <c r="BC343" s="145"/>
      <c r="BD343" s="145"/>
      <c r="BE343" s="145"/>
      <c r="BF343" s="145"/>
      <c r="BG343" s="145"/>
      <c r="BH343" s="138"/>
      <c r="BI343" s="138"/>
      <c r="BJ343" s="138"/>
      <c r="BK343" s="138"/>
      <c r="BL343" s="138"/>
      <c r="BM343" s="138"/>
      <c r="BN343" s="138"/>
    </row>
    <row r="344" spans="1:66" s="91" customFormat="1" ht="12.75" hidden="1" customHeight="1" outlineLevel="1" x14ac:dyDescent="0.2">
      <c r="A344" s="150" t="s">
        <v>1348</v>
      </c>
      <c r="B344" s="18" t="s">
        <v>89</v>
      </c>
      <c r="C344" s="18" t="s">
        <v>846</v>
      </c>
      <c r="D344" s="19" t="s">
        <v>847</v>
      </c>
      <c r="E344" s="55" t="s">
        <v>3</v>
      </c>
      <c r="F344" s="55" t="s">
        <v>11</v>
      </c>
      <c r="G344" s="55" t="s">
        <v>5</v>
      </c>
      <c r="H344" s="55" t="s">
        <v>3</v>
      </c>
      <c r="I344" s="55"/>
      <c r="J344" s="55"/>
      <c r="K344" s="19"/>
      <c r="L344" s="19"/>
      <c r="M344" s="19"/>
      <c r="N344" s="19"/>
      <c r="O344" s="151"/>
      <c r="P344" s="151"/>
      <c r="Q344" s="151"/>
      <c r="R344" s="151"/>
      <c r="S344" s="152"/>
      <c r="T344" s="152"/>
      <c r="U344" s="145">
        <v>0</v>
      </c>
      <c r="V344" s="145">
        <v>0</v>
      </c>
      <c r="W344" s="145">
        <v>0</v>
      </c>
      <c r="X344" s="145">
        <f t="shared" si="120"/>
        <v>0</v>
      </c>
      <c r="Y344" s="145">
        <v>0</v>
      </c>
      <c r="Z344" s="145">
        <v>0</v>
      </c>
      <c r="AA344" s="145">
        <v>0</v>
      </c>
      <c r="AB344" s="145">
        <v>0</v>
      </c>
      <c r="AC344" s="145">
        <v>0</v>
      </c>
      <c r="AD344" s="145">
        <v>0</v>
      </c>
      <c r="AE344" s="145">
        <v>0</v>
      </c>
      <c r="AF344" s="145">
        <v>0</v>
      </c>
      <c r="AG344" s="145">
        <v>0</v>
      </c>
      <c r="AH344" s="145">
        <v>0</v>
      </c>
      <c r="AI344" s="145">
        <v>0</v>
      </c>
      <c r="AJ344" s="145">
        <v>0</v>
      </c>
      <c r="AK344" s="145">
        <f t="shared" si="125"/>
        <v>0</v>
      </c>
      <c r="AL344" s="145">
        <v>0</v>
      </c>
      <c r="AM344" s="145">
        <v>0</v>
      </c>
      <c r="AN344" s="145">
        <v>0</v>
      </c>
      <c r="AO344" s="145">
        <v>0</v>
      </c>
      <c r="AP344" s="145">
        <v>0</v>
      </c>
      <c r="AQ344" s="145">
        <v>0</v>
      </c>
      <c r="AR344" s="145">
        <v>0</v>
      </c>
      <c r="AS344" s="145">
        <f t="shared" si="124"/>
        <v>0</v>
      </c>
      <c r="AT344" s="145"/>
      <c r="AU344" s="139">
        <f t="shared" si="123"/>
        <v>0</v>
      </c>
      <c r="AV344" s="146">
        <f>IFERROR(VLOOKUP(J344,Maksājumu_pieprasījumu_iesn.!G:BL,57,0),0)</f>
        <v>0</v>
      </c>
      <c r="AW344" s="139">
        <f t="shared" si="126"/>
        <v>0</v>
      </c>
      <c r="AX344" s="153"/>
      <c r="AY344" s="153"/>
      <c r="AZ344" s="153"/>
      <c r="BA344" s="136"/>
      <c r="BB344" s="145"/>
      <c r="BC344" s="145"/>
      <c r="BD344" s="145"/>
      <c r="BE344" s="145"/>
      <c r="BF344" s="145"/>
      <c r="BG344" s="145"/>
      <c r="BH344" s="138"/>
      <c r="BI344" s="138"/>
      <c r="BJ344" s="138"/>
      <c r="BK344" s="138"/>
      <c r="BL344" s="138"/>
      <c r="BM344" s="138"/>
      <c r="BN344" s="138"/>
    </row>
    <row r="345" spans="1:66" s="91" customFormat="1" ht="12.75" hidden="1" customHeight="1" outlineLevel="1" x14ac:dyDescent="0.2">
      <c r="A345" s="150" t="s">
        <v>1348</v>
      </c>
      <c r="B345" s="18" t="s">
        <v>89</v>
      </c>
      <c r="C345" s="18" t="s">
        <v>846</v>
      </c>
      <c r="D345" s="19" t="s">
        <v>847</v>
      </c>
      <c r="E345" s="55" t="s">
        <v>3</v>
      </c>
      <c r="F345" s="55" t="s">
        <v>11</v>
      </c>
      <c r="G345" s="55" t="s">
        <v>5</v>
      </c>
      <c r="H345" s="55" t="s">
        <v>3</v>
      </c>
      <c r="I345" s="55"/>
      <c r="J345" s="55"/>
      <c r="K345" s="19"/>
      <c r="L345" s="19"/>
      <c r="M345" s="19"/>
      <c r="N345" s="19"/>
      <c r="O345" s="151"/>
      <c r="P345" s="151"/>
      <c r="Q345" s="151"/>
      <c r="R345" s="151"/>
      <c r="S345" s="152"/>
      <c r="T345" s="152"/>
      <c r="U345" s="145">
        <v>0</v>
      </c>
      <c r="V345" s="145">
        <v>0</v>
      </c>
      <c r="W345" s="145">
        <v>0</v>
      </c>
      <c r="X345" s="145">
        <f t="shared" si="120"/>
        <v>0</v>
      </c>
      <c r="Y345" s="145">
        <v>0</v>
      </c>
      <c r="Z345" s="145">
        <v>0</v>
      </c>
      <c r="AA345" s="145">
        <v>0</v>
      </c>
      <c r="AB345" s="145">
        <v>0</v>
      </c>
      <c r="AC345" s="145">
        <v>0</v>
      </c>
      <c r="AD345" s="145">
        <v>0</v>
      </c>
      <c r="AE345" s="145">
        <v>0</v>
      </c>
      <c r="AF345" s="145">
        <v>0</v>
      </c>
      <c r="AG345" s="145">
        <v>0</v>
      </c>
      <c r="AH345" s="145">
        <v>0</v>
      </c>
      <c r="AI345" s="145">
        <v>0</v>
      </c>
      <c r="AJ345" s="145">
        <v>0</v>
      </c>
      <c r="AK345" s="145">
        <f t="shared" si="125"/>
        <v>0</v>
      </c>
      <c r="AL345" s="145">
        <v>0</v>
      </c>
      <c r="AM345" s="145">
        <v>0</v>
      </c>
      <c r="AN345" s="145">
        <v>0</v>
      </c>
      <c r="AO345" s="145">
        <v>0</v>
      </c>
      <c r="AP345" s="145">
        <v>0</v>
      </c>
      <c r="AQ345" s="145">
        <v>0</v>
      </c>
      <c r="AR345" s="145">
        <v>0</v>
      </c>
      <c r="AS345" s="145">
        <f t="shared" si="124"/>
        <v>0</v>
      </c>
      <c r="AT345" s="145"/>
      <c r="AU345" s="139">
        <f t="shared" si="123"/>
        <v>0</v>
      </c>
      <c r="AV345" s="146">
        <f>IFERROR(VLOOKUP(J345,Maksājumu_pieprasījumu_iesn.!G:BL,57,0),0)</f>
        <v>0</v>
      </c>
      <c r="AW345" s="139">
        <f t="shared" si="126"/>
        <v>0</v>
      </c>
      <c r="AX345" s="153"/>
      <c r="AY345" s="153"/>
      <c r="AZ345" s="153"/>
      <c r="BA345" s="136"/>
      <c r="BB345" s="145"/>
      <c r="BC345" s="145"/>
      <c r="BD345" s="145"/>
      <c r="BE345" s="145"/>
      <c r="BF345" s="145"/>
      <c r="BG345" s="145"/>
      <c r="BH345" s="138"/>
      <c r="BI345" s="138"/>
      <c r="BJ345" s="138"/>
      <c r="BK345" s="138"/>
      <c r="BL345" s="138"/>
      <c r="BM345" s="138"/>
      <c r="BN345" s="138"/>
    </row>
    <row r="346" spans="1:66" s="91" customFormat="1" ht="12.75" hidden="1" customHeight="1" outlineLevel="1" x14ac:dyDescent="0.2">
      <c r="A346" s="150" t="s">
        <v>1348</v>
      </c>
      <c r="B346" s="18" t="s">
        <v>89</v>
      </c>
      <c r="C346" s="18" t="s">
        <v>846</v>
      </c>
      <c r="D346" s="19" t="s">
        <v>847</v>
      </c>
      <c r="E346" s="55" t="s">
        <v>3</v>
      </c>
      <c r="F346" s="55" t="s">
        <v>11</v>
      </c>
      <c r="G346" s="55" t="s">
        <v>5</v>
      </c>
      <c r="H346" s="55" t="s">
        <v>3</v>
      </c>
      <c r="I346" s="55"/>
      <c r="J346" s="55"/>
      <c r="K346" s="19"/>
      <c r="L346" s="19"/>
      <c r="M346" s="19"/>
      <c r="N346" s="19"/>
      <c r="O346" s="151"/>
      <c r="P346" s="151"/>
      <c r="Q346" s="151"/>
      <c r="R346" s="151"/>
      <c r="S346" s="152"/>
      <c r="T346" s="152"/>
      <c r="U346" s="145">
        <v>0</v>
      </c>
      <c r="V346" s="145">
        <v>0</v>
      </c>
      <c r="W346" s="145">
        <v>0</v>
      </c>
      <c r="X346" s="145">
        <f t="shared" si="120"/>
        <v>0</v>
      </c>
      <c r="Y346" s="145">
        <v>0</v>
      </c>
      <c r="Z346" s="145">
        <v>0</v>
      </c>
      <c r="AA346" s="145">
        <v>0</v>
      </c>
      <c r="AB346" s="145">
        <v>0</v>
      </c>
      <c r="AC346" s="145">
        <v>0</v>
      </c>
      <c r="AD346" s="145">
        <v>0</v>
      </c>
      <c r="AE346" s="145">
        <v>0</v>
      </c>
      <c r="AF346" s="145">
        <v>0</v>
      </c>
      <c r="AG346" s="145">
        <v>0</v>
      </c>
      <c r="AH346" s="145">
        <v>0</v>
      </c>
      <c r="AI346" s="145">
        <v>0</v>
      </c>
      <c r="AJ346" s="145">
        <v>0</v>
      </c>
      <c r="AK346" s="145">
        <f t="shared" si="125"/>
        <v>0</v>
      </c>
      <c r="AL346" s="145">
        <v>0</v>
      </c>
      <c r="AM346" s="145">
        <v>0</v>
      </c>
      <c r="AN346" s="145">
        <v>0</v>
      </c>
      <c r="AO346" s="145">
        <v>0</v>
      </c>
      <c r="AP346" s="145">
        <v>0</v>
      </c>
      <c r="AQ346" s="145">
        <v>0</v>
      </c>
      <c r="AR346" s="145">
        <v>0</v>
      </c>
      <c r="AS346" s="145">
        <f t="shared" si="124"/>
        <v>0</v>
      </c>
      <c r="AT346" s="145"/>
      <c r="AU346" s="139">
        <f t="shared" si="123"/>
        <v>0</v>
      </c>
      <c r="AV346" s="146">
        <f>IFERROR(VLOOKUP(J346,Maksājumu_pieprasījumu_iesn.!G:BL,57,0),0)</f>
        <v>0</v>
      </c>
      <c r="AW346" s="139">
        <f t="shared" si="126"/>
        <v>0</v>
      </c>
      <c r="AX346" s="153"/>
      <c r="AY346" s="153"/>
      <c r="AZ346" s="153"/>
      <c r="BA346" s="136"/>
      <c r="BB346" s="145"/>
      <c r="BC346" s="145"/>
      <c r="BD346" s="145"/>
      <c r="BE346" s="145"/>
      <c r="BF346" s="145"/>
      <c r="BG346" s="145"/>
      <c r="BH346" s="138"/>
      <c r="BI346" s="138"/>
      <c r="BJ346" s="138"/>
      <c r="BK346" s="138"/>
      <c r="BL346" s="138"/>
      <c r="BM346" s="138"/>
      <c r="BN346" s="138"/>
    </row>
    <row r="347" spans="1:66" s="91" customFormat="1" ht="12.75" hidden="1" customHeight="1" outlineLevel="1" x14ac:dyDescent="0.2">
      <c r="A347" s="150" t="s">
        <v>1348</v>
      </c>
      <c r="B347" s="18" t="s">
        <v>89</v>
      </c>
      <c r="C347" s="18" t="s">
        <v>846</v>
      </c>
      <c r="D347" s="19" t="s">
        <v>847</v>
      </c>
      <c r="E347" s="55" t="s">
        <v>3</v>
      </c>
      <c r="F347" s="55" t="s">
        <v>11</v>
      </c>
      <c r="G347" s="55" t="s">
        <v>5</v>
      </c>
      <c r="H347" s="55" t="s">
        <v>3</v>
      </c>
      <c r="I347" s="55"/>
      <c r="J347" s="55"/>
      <c r="K347" s="19"/>
      <c r="L347" s="19"/>
      <c r="M347" s="19"/>
      <c r="N347" s="19"/>
      <c r="O347" s="151"/>
      <c r="P347" s="151"/>
      <c r="Q347" s="151"/>
      <c r="R347" s="151"/>
      <c r="S347" s="152">
        <f>S288-SUM(S289:S346)</f>
        <v>91379812.030000001</v>
      </c>
      <c r="T347" s="152">
        <f>T288</f>
        <v>5968870.8398945658</v>
      </c>
      <c r="U347" s="145"/>
      <c r="V347" s="145"/>
      <c r="W347" s="145"/>
      <c r="X347" s="145"/>
      <c r="Y347" s="145"/>
      <c r="Z347" s="145"/>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39"/>
      <c r="AV347" s="146">
        <f>IFERROR(VLOOKUP(J347,Maksājumu_pieprasījumu_iesn.!G:BL,57,0),0)</f>
        <v>0</v>
      </c>
      <c r="AW347" s="139">
        <f t="shared" si="126"/>
        <v>0</v>
      </c>
      <c r="AX347" s="153"/>
      <c r="AY347" s="153">
        <f>S347-T347</f>
        <v>85410941.190105438</v>
      </c>
      <c r="AZ347" s="153"/>
      <c r="BA347" s="136" t="s">
        <v>1405</v>
      </c>
      <c r="BB347" s="145"/>
      <c r="BC347" s="145"/>
      <c r="BD347" s="145"/>
      <c r="BE347" s="145"/>
      <c r="BF347" s="145"/>
      <c r="BG347" s="145"/>
      <c r="BH347" s="138"/>
      <c r="BI347" s="138"/>
      <c r="BJ347" s="138"/>
      <c r="BK347" s="138"/>
      <c r="BL347" s="138"/>
      <c r="BM347" s="138"/>
      <c r="BN347" s="138"/>
    </row>
    <row r="348" spans="1:66" s="91" customFormat="1" ht="25.5" hidden="1" x14ac:dyDescent="0.2">
      <c r="A348" s="127" t="s">
        <v>1348</v>
      </c>
      <c r="B348" s="127" t="s">
        <v>842</v>
      </c>
      <c r="C348" s="127" t="s">
        <v>1023</v>
      </c>
      <c r="D348" s="128" t="s">
        <v>844</v>
      </c>
      <c r="E348" s="127"/>
      <c r="F348" s="127"/>
      <c r="G348" s="127" t="s">
        <v>5</v>
      </c>
      <c r="H348" s="127"/>
      <c r="I348" s="127"/>
      <c r="J348" s="127"/>
      <c r="K348" s="128"/>
      <c r="L348" s="128"/>
      <c r="M348" s="128"/>
      <c r="N348" s="128"/>
      <c r="O348" s="163"/>
      <c r="P348" s="163"/>
      <c r="Q348" s="163"/>
      <c r="R348" s="163"/>
      <c r="S348" s="164">
        <f>S349+S434</f>
        <v>46698506.609999999</v>
      </c>
      <c r="T348" s="164">
        <f>T349+T434</f>
        <v>1914863.8170615549</v>
      </c>
      <c r="U348" s="164">
        <f>U349+U434</f>
        <v>0</v>
      </c>
      <c r="V348" s="164">
        <f>V349+V434</f>
        <v>0</v>
      </c>
      <c r="W348" s="164">
        <f>W349+W434</f>
        <v>0</v>
      </c>
      <c r="X348" s="129">
        <f>U348+V348+W348</f>
        <v>0</v>
      </c>
      <c r="Y348" s="164">
        <f t="shared" ref="Y348:AT348" si="127">Y349+Y434</f>
        <v>0</v>
      </c>
      <c r="Z348" s="164">
        <f t="shared" si="127"/>
        <v>0</v>
      </c>
      <c r="AA348" s="164">
        <f t="shared" si="127"/>
        <v>0</v>
      </c>
      <c r="AB348" s="164">
        <f t="shared" si="127"/>
        <v>0</v>
      </c>
      <c r="AC348" s="164">
        <f t="shared" si="127"/>
        <v>0</v>
      </c>
      <c r="AD348" s="164">
        <f t="shared" si="127"/>
        <v>0</v>
      </c>
      <c r="AE348" s="164">
        <f t="shared" si="127"/>
        <v>0</v>
      </c>
      <c r="AF348" s="164">
        <f t="shared" si="127"/>
        <v>0</v>
      </c>
      <c r="AG348" s="164">
        <f t="shared" si="127"/>
        <v>1015866.8200000001</v>
      </c>
      <c r="AH348" s="164">
        <f t="shared" si="127"/>
        <v>130002.17</v>
      </c>
      <c r="AI348" s="164">
        <f t="shared" si="127"/>
        <v>5716773</v>
      </c>
      <c r="AJ348" s="164">
        <f t="shared" si="127"/>
        <v>1514740.76</v>
      </c>
      <c r="AK348" s="164">
        <f t="shared" si="127"/>
        <v>8377382.75</v>
      </c>
      <c r="AL348" s="164">
        <f t="shared" si="127"/>
        <v>29007774.219999999</v>
      </c>
      <c r="AM348" s="164">
        <f t="shared" si="127"/>
        <v>8023371.5099999998</v>
      </c>
      <c r="AN348" s="164">
        <f t="shared" si="127"/>
        <v>216785.22</v>
      </c>
      <c r="AO348" s="164">
        <f t="shared" si="127"/>
        <v>0</v>
      </c>
      <c r="AP348" s="164">
        <f t="shared" si="127"/>
        <v>0</v>
      </c>
      <c r="AQ348" s="164">
        <f t="shared" si="127"/>
        <v>0</v>
      </c>
      <c r="AR348" s="164">
        <f t="shared" si="127"/>
        <v>0</v>
      </c>
      <c r="AS348" s="164">
        <f t="shared" si="127"/>
        <v>45625313.699999996</v>
      </c>
      <c r="AT348" s="164">
        <f t="shared" si="127"/>
        <v>1757487</v>
      </c>
      <c r="AU348" s="183">
        <f t="shared" si="123"/>
        <v>43867826.699999996</v>
      </c>
      <c r="AV348" s="146">
        <f>IFERROR(VLOOKUP(J348,Maksājumu_pieprasījumu_iesn.!G:BL,57,0),0)</f>
        <v>0</v>
      </c>
      <c r="AW348" s="139">
        <f t="shared" si="126"/>
        <v>-43867826.699999996</v>
      </c>
      <c r="AX348" s="164">
        <f>AX349+AX434</f>
        <v>915816.09293844737</v>
      </c>
      <c r="AY348" s="164"/>
      <c r="AZ348" s="164"/>
      <c r="BA348" s="164"/>
      <c r="BB348" s="164">
        <f>BB349+BB434</f>
        <v>0</v>
      </c>
      <c r="BC348" s="164">
        <f>BC349+BC434</f>
        <v>22881269.859999999</v>
      </c>
      <c r="BD348" s="164">
        <f>BC348*0.86</f>
        <v>19677892.079599999</v>
      </c>
      <c r="BE348" s="129">
        <f>BD348/0.85</f>
        <v>23150461.270117648</v>
      </c>
      <c r="BF348" s="164">
        <f>BF349+BF434</f>
        <v>0</v>
      </c>
      <c r="BG348" s="164">
        <f>BG349+BG434</f>
        <v>0</v>
      </c>
      <c r="BH348" s="129">
        <f>BH349+BH434</f>
        <v>0</v>
      </c>
      <c r="BI348" s="129">
        <f>BI349+BI434</f>
        <v>5367840.3994216304</v>
      </c>
      <c r="BJ348" s="129">
        <f>AK348*0.86</f>
        <v>7204549.165</v>
      </c>
      <c r="BK348" s="129">
        <f>BJ348-BI348</f>
        <v>1836708.7655783696</v>
      </c>
      <c r="BL348" s="129">
        <f>BL349+BL434</f>
        <v>8436580.9093428887</v>
      </c>
      <c r="BM348" s="129">
        <f>AL348*0.86</f>
        <v>24946685.8292</v>
      </c>
      <c r="BN348" s="129">
        <f>BM348-BL348</f>
        <v>16510104.919857111</v>
      </c>
    </row>
    <row r="349" spans="1:66" s="91" customFormat="1" ht="25.5" hidden="1" customHeight="1" x14ac:dyDescent="0.2">
      <c r="A349" s="131" t="s">
        <v>1348</v>
      </c>
      <c r="B349" s="132" t="s">
        <v>842</v>
      </c>
      <c r="C349" s="132" t="s">
        <v>843</v>
      </c>
      <c r="D349" s="133" t="s">
        <v>844</v>
      </c>
      <c r="E349" s="22">
        <v>1</v>
      </c>
      <c r="F349" s="22" t="s">
        <v>35</v>
      </c>
      <c r="G349" s="22" t="s">
        <v>5</v>
      </c>
      <c r="H349" s="22" t="s">
        <v>960</v>
      </c>
      <c r="I349" s="22" t="s">
        <v>1022</v>
      </c>
      <c r="J349" s="134" t="s">
        <v>1026</v>
      </c>
      <c r="K349" s="133"/>
      <c r="L349" s="133"/>
      <c r="M349" s="133"/>
      <c r="N349" s="133"/>
      <c r="O349" s="135"/>
      <c r="P349" s="135"/>
      <c r="Q349" s="135"/>
      <c r="R349" s="135"/>
      <c r="S349" s="136">
        <f>SUMIF(Q351:Q433,"=",S351:S433)</f>
        <v>31001677.609999999</v>
      </c>
      <c r="T349" s="136">
        <v>957431.90853077744</v>
      </c>
      <c r="U349" s="137">
        <f>SUMIF($Q$351:$Q$433,"=",U351:U433)</f>
        <v>0</v>
      </c>
      <c r="V349" s="137">
        <f t="shared" ref="V349:AR349" si="128">SUMIF($Q$351:$Q$433,"=",V351:V433)</f>
        <v>0</v>
      </c>
      <c r="W349" s="137">
        <f t="shared" si="128"/>
        <v>0</v>
      </c>
      <c r="X349" s="137">
        <f t="shared" si="128"/>
        <v>0</v>
      </c>
      <c r="Y349" s="137">
        <f t="shared" si="128"/>
        <v>0</v>
      </c>
      <c r="Z349" s="137">
        <f t="shared" si="128"/>
        <v>0</v>
      </c>
      <c r="AA349" s="137">
        <f t="shared" si="128"/>
        <v>0</v>
      </c>
      <c r="AB349" s="137">
        <f t="shared" si="128"/>
        <v>0</v>
      </c>
      <c r="AC349" s="137">
        <f t="shared" si="128"/>
        <v>0</v>
      </c>
      <c r="AD349" s="137">
        <f t="shared" si="128"/>
        <v>0</v>
      </c>
      <c r="AE349" s="137">
        <f t="shared" si="128"/>
        <v>0</v>
      </c>
      <c r="AF349" s="137">
        <f>SUMIF($Q$351:$Q$433,"=",AF351:AF433)</f>
        <v>0</v>
      </c>
      <c r="AG349" s="137">
        <f t="shared" si="128"/>
        <v>1015866.8200000001</v>
      </c>
      <c r="AH349" s="137">
        <f>SUMIF($Q$351:$Q$433,"=",AH351:AH433)</f>
        <v>130002.17</v>
      </c>
      <c r="AI349" s="137">
        <f t="shared" si="128"/>
        <v>5312720</v>
      </c>
      <c r="AJ349" s="137">
        <f t="shared" si="128"/>
        <v>1439740.76</v>
      </c>
      <c r="AK349" s="137">
        <f t="shared" si="128"/>
        <v>7898329.75</v>
      </c>
      <c r="AL349" s="137">
        <f t="shared" si="128"/>
        <v>16021492.829999998</v>
      </c>
      <c r="AM349" s="137">
        <f t="shared" si="128"/>
        <v>7012673.0099999998</v>
      </c>
      <c r="AN349" s="137">
        <f t="shared" si="128"/>
        <v>216785.22</v>
      </c>
      <c r="AO349" s="137">
        <f t="shared" si="128"/>
        <v>0</v>
      </c>
      <c r="AP349" s="137">
        <f t="shared" si="128"/>
        <v>0</v>
      </c>
      <c r="AQ349" s="137">
        <f t="shared" si="128"/>
        <v>0</v>
      </c>
      <c r="AR349" s="137">
        <f t="shared" si="128"/>
        <v>0</v>
      </c>
      <c r="AS349" s="137">
        <f>U349+V349+W349+AK349+AL349+AM349+AN349+AO349+AP349+AQ349+AR349</f>
        <v>31149280.809999995</v>
      </c>
      <c r="AT349" s="137">
        <f>SUM(AT351:AT433)</f>
        <v>1757487</v>
      </c>
      <c r="AU349" s="139">
        <f t="shared" si="123"/>
        <v>29391793.809999995</v>
      </c>
      <c r="AV349" s="146">
        <f>IFERROR(VLOOKUP(J349,Maksājumu_pieprasījumu_iesn.!G:BL,57,0),0)</f>
        <v>0</v>
      </c>
      <c r="AW349" s="139">
        <f t="shared" si="126"/>
        <v>-29391793.809999995</v>
      </c>
      <c r="AX349" s="140">
        <f>S349-T349-AU349</f>
        <v>652451.89146922529</v>
      </c>
      <c r="AY349" s="137"/>
      <c r="AZ349" s="137"/>
      <c r="BA349" s="138" t="s">
        <v>1406</v>
      </c>
      <c r="BB349" s="140"/>
      <c r="BC349" s="140">
        <f>X349+AK349+AL349/2</f>
        <v>15909076.164999999</v>
      </c>
      <c r="BD349" s="140"/>
      <c r="BE349" s="140">
        <f>BC349/0.85</f>
        <v>18716560.194117647</v>
      </c>
      <c r="BF349" s="137"/>
      <c r="BG349" s="137"/>
      <c r="BH349" s="138">
        <v>0</v>
      </c>
      <c r="BI349" s="138">
        <v>3124567</v>
      </c>
      <c r="BJ349" s="138"/>
      <c r="BK349" s="138"/>
      <c r="BL349" s="138">
        <v>4287262.1369528798</v>
      </c>
      <c r="BM349" s="138"/>
      <c r="BN349" s="138"/>
    </row>
    <row r="350" spans="1:66" ht="12.75" hidden="1" customHeight="1" x14ac:dyDescent="0.2">
      <c r="A350" s="173"/>
      <c r="B350" s="132"/>
      <c r="C350" s="132"/>
      <c r="D350" s="133"/>
      <c r="E350" s="132"/>
      <c r="F350" s="132"/>
      <c r="G350" s="132"/>
      <c r="H350" s="132"/>
      <c r="I350" s="132"/>
      <c r="J350" s="132" t="s">
        <v>1407</v>
      </c>
      <c r="K350" s="133"/>
      <c r="L350" s="133"/>
      <c r="M350" s="133"/>
      <c r="N350" s="133"/>
      <c r="O350" s="230"/>
      <c r="P350" s="230"/>
      <c r="Q350" s="230"/>
      <c r="R350" s="230"/>
      <c r="S350" s="165">
        <f>S349-SUM(S351:S433)-T349</f>
        <v>-957431.90853077744</v>
      </c>
      <c r="T350" s="165"/>
      <c r="U350" s="137"/>
      <c r="V350" s="137"/>
      <c r="W350" s="137"/>
      <c r="X350" s="138">
        <f t="shared" ref="X350:X413" si="129">W350+V350+U350</f>
        <v>0</v>
      </c>
      <c r="Y350" s="137"/>
      <c r="Z350" s="137"/>
      <c r="AA350" s="137"/>
      <c r="AB350" s="137"/>
      <c r="AC350" s="137"/>
      <c r="AD350" s="137"/>
      <c r="AE350" s="137"/>
      <c r="AF350" s="137"/>
      <c r="AG350" s="137"/>
      <c r="AH350" s="137"/>
      <c r="AI350" s="137"/>
      <c r="AJ350" s="137"/>
      <c r="AK350" s="137"/>
      <c r="AL350" s="137"/>
      <c r="AM350" s="137"/>
      <c r="AN350" s="137"/>
      <c r="AO350" s="137"/>
      <c r="AP350" s="137"/>
      <c r="AQ350" s="137"/>
      <c r="AR350" s="137"/>
      <c r="AS350" s="165">
        <v>-267335</v>
      </c>
      <c r="AT350" s="165"/>
      <c r="AU350" s="146">
        <f t="shared" si="123"/>
        <v>-267335</v>
      </c>
      <c r="AV350" s="146">
        <f>IFERROR(VLOOKUP(J350,Maksājumu_pieprasījumu_iesn.!G:BL,57,0),0)</f>
        <v>0</v>
      </c>
      <c r="AW350" s="139">
        <f t="shared" si="126"/>
        <v>267335</v>
      </c>
      <c r="AX350" s="165"/>
      <c r="AY350" s="165"/>
      <c r="AZ350" s="165"/>
      <c r="BA350" s="149"/>
      <c r="BB350" s="231"/>
      <c r="BC350" s="231"/>
      <c r="BD350" s="231"/>
      <c r="BE350" s="231"/>
      <c r="BF350" s="165"/>
      <c r="BG350" s="165"/>
      <c r="BH350" s="149"/>
      <c r="BI350" s="149"/>
      <c r="BJ350" s="149"/>
      <c r="BK350" s="149"/>
      <c r="BL350" s="149"/>
      <c r="BM350" s="149"/>
      <c r="BN350" s="149"/>
    </row>
    <row r="351" spans="1:66" ht="51" hidden="1" customHeight="1" x14ac:dyDescent="0.2">
      <c r="A351" s="142" t="s">
        <v>1348</v>
      </c>
      <c r="B351" s="18" t="s">
        <v>842</v>
      </c>
      <c r="C351" s="18" t="s">
        <v>843</v>
      </c>
      <c r="D351" s="19" t="s">
        <v>844</v>
      </c>
      <c r="E351" s="18">
        <v>1</v>
      </c>
      <c r="F351" s="18" t="s">
        <v>35</v>
      </c>
      <c r="G351" s="18" t="s">
        <v>5</v>
      </c>
      <c r="H351" s="18" t="s">
        <v>960</v>
      </c>
      <c r="I351" s="18"/>
      <c r="J351" s="18" t="s">
        <v>904</v>
      </c>
      <c r="K351" s="19" t="s">
        <v>893</v>
      </c>
      <c r="L351" s="19"/>
      <c r="M351" s="19"/>
      <c r="N351" s="19" t="s">
        <v>905</v>
      </c>
      <c r="O351" s="159"/>
      <c r="P351" s="159"/>
      <c r="Q351" s="159"/>
      <c r="R351" s="232">
        <v>42943</v>
      </c>
      <c r="S351" s="189">
        <v>398170.56</v>
      </c>
      <c r="T351" s="147">
        <v>0</v>
      </c>
      <c r="U351" s="153">
        <v>0</v>
      </c>
      <c r="V351" s="153">
        <v>0</v>
      </c>
      <c r="W351" s="153">
        <v>0</v>
      </c>
      <c r="X351" s="153">
        <f t="shared" si="129"/>
        <v>0</v>
      </c>
      <c r="Y351" s="153">
        <v>0</v>
      </c>
      <c r="Z351" s="153">
        <v>0</v>
      </c>
      <c r="AA351" s="153">
        <v>0</v>
      </c>
      <c r="AB351" s="153">
        <v>0</v>
      </c>
      <c r="AC351" s="153">
        <v>0</v>
      </c>
      <c r="AD351" s="153">
        <v>0</v>
      </c>
      <c r="AE351" s="233">
        <v>0</v>
      </c>
      <c r="AF351" s="153">
        <v>0</v>
      </c>
      <c r="AG351" s="153">
        <v>0</v>
      </c>
      <c r="AH351" s="153">
        <v>52102.17</v>
      </c>
      <c r="AI351" s="153">
        <v>0</v>
      </c>
      <c r="AJ351" s="153">
        <v>0</v>
      </c>
      <c r="AK351" s="153">
        <f t="shared" ref="AK351:AK382" si="130">SUM(Y351:AJ351)</f>
        <v>52102.17</v>
      </c>
      <c r="AL351" s="153">
        <v>346068.39</v>
      </c>
      <c r="AM351" s="153">
        <v>0</v>
      </c>
      <c r="AN351" s="145">
        <v>0</v>
      </c>
      <c r="AO351" s="145">
        <v>0</v>
      </c>
      <c r="AP351" s="145">
        <v>0</v>
      </c>
      <c r="AQ351" s="145">
        <v>0</v>
      </c>
      <c r="AR351" s="145">
        <v>0</v>
      </c>
      <c r="AS351" s="145">
        <f>U351+V351+W351+AK351+AL351+AM351+AN351+AO351+AP351+AQ351+AR351</f>
        <v>398170.56</v>
      </c>
      <c r="AT351" s="144">
        <v>0</v>
      </c>
      <c r="AU351" s="145">
        <f>W351+X351+Y351+AM351+AN351+AO351+AP351+AQ351+AR351+AS351+AT351</f>
        <v>398170.56</v>
      </c>
      <c r="AV351" s="146">
        <f>IFERROR(VLOOKUP(J351,Maksājumu_pieprasījumu_iesn.!G:BL,57,0),0)</f>
        <v>0</v>
      </c>
      <c r="AW351" s="139">
        <f t="shared" si="126"/>
        <v>-398170.56</v>
      </c>
      <c r="AX351" s="165">
        <f>S351-T351-(AS351-AT351)</f>
        <v>0</v>
      </c>
      <c r="AY351" s="165"/>
      <c r="AZ351" s="165"/>
      <c r="BA351" s="165"/>
      <c r="BB351" s="144"/>
      <c r="BC351" s="144"/>
      <c r="BD351" s="144"/>
      <c r="BE351" s="144"/>
      <c r="BF351" s="144"/>
      <c r="BG351" s="144"/>
      <c r="BH351" s="149"/>
      <c r="BI351" s="149"/>
      <c r="BJ351" s="149"/>
      <c r="BK351" s="149"/>
      <c r="BL351" s="149"/>
      <c r="BM351" s="149"/>
      <c r="BN351" s="149"/>
    </row>
    <row r="352" spans="1:66" ht="51" hidden="1" customHeight="1" x14ac:dyDescent="0.2">
      <c r="A352" s="142" t="s">
        <v>1348</v>
      </c>
      <c r="B352" s="18" t="s">
        <v>842</v>
      </c>
      <c r="C352" s="18" t="s">
        <v>843</v>
      </c>
      <c r="D352" s="19" t="s">
        <v>844</v>
      </c>
      <c r="E352" s="18">
        <v>1</v>
      </c>
      <c r="F352" s="18" t="s">
        <v>35</v>
      </c>
      <c r="G352" s="18" t="s">
        <v>5</v>
      </c>
      <c r="H352" s="18" t="s">
        <v>960</v>
      </c>
      <c r="I352" s="18"/>
      <c r="J352" s="18" t="s">
        <v>904</v>
      </c>
      <c r="K352" s="19" t="s">
        <v>893</v>
      </c>
      <c r="L352" s="19"/>
      <c r="M352" s="19"/>
      <c r="N352" s="19" t="s">
        <v>905</v>
      </c>
      <c r="O352" s="159"/>
      <c r="P352" s="159"/>
      <c r="Q352" s="159" t="s">
        <v>880</v>
      </c>
      <c r="R352" s="232"/>
      <c r="S352" s="189"/>
      <c r="T352" s="147"/>
      <c r="U352" s="153"/>
      <c r="V352" s="153"/>
      <c r="W352" s="153"/>
      <c r="X352" s="153"/>
      <c r="Y352" s="153"/>
      <c r="Z352" s="153"/>
      <c r="AA352" s="153"/>
      <c r="AB352" s="153"/>
      <c r="AC352" s="153"/>
      <c r="AD352" s="153"/>
      <c r="AE352" s="153">
        <v>209625</v>
      </c>
      <c r="AF352" s="153"/>
      <c r="AG352" s="153"/>
      <c r="AH352" s="153"/>
      <c r="AI352" s="153"/>
      <c r="AJ352" s="153"/>
      <c r="AK352" s="153">
        <f t="shared" si="130"/>
        <v>209625</v>
      </c>
      <c r="AL352" s="153"/>
      <c r="AM352" s="153"/>
      <c r="AN352" s="145"/>
      <c r="AO352" s="145"/>
      <c r="AP352" s="145"/>
      <c r="AQ352" s="145"/>
      <c r="AR352" s="145"/>
      <c r="AS352" s="86"/>
      <c r="AT352" s="145">
        <f>U352+V352+W352+AK352+AL352+AM352+AN352+AO352+AP352+AQ352+AR352</f>
        <v>209625</v>
      </c>
      <c r="AU352" s="146"/>
      <c r="AV352" s="146">
        <f>IFERROR(VLOOKUP(J352,Maksājumu_pieprasījumu_iesn.!G:BL,57,0),0)</f>
        <v>0</v>
      </c>
      <c r="AW352" s="139">
        <f t="shared" si="126"/>
        <v>0</v>
      </c>
      <c r="AX352" s="165"/>
      <c r="AY352" s="165"/>
      <c r="AZ352" s="165"/>
      <c r="BA352" s="165"/>
      <c r="BB352" s="144"/>
      <c r="BC352" s="144"/>
      <c r="BD352" s="144"/>
      <c r="BE352" s="144"/>
      <c r="BF352" s="144"/>
      <c r="BG352" s="144"/>
      <c r="BH352" s="149"/>
      <c r="BI352" s="149"/>
      <c r="BJ352" s="149"/>
      <c r="BK352" s="149"/>
      <c r="BL352" s="149"/>
      <c r="BM352" s="149"/>
      <c r="BN352" s="149"/>
    </row>
    <row r="353" spans="1:66" s="91" customFormat="1" ht="38.25" hidden="1" customHeight="1" x14ac:dyDescent="0.2">
      <c r="A353" s="150" t="s">
        <v>1348</v>
      </c>
      <c r="B353" s="18" t="s">
        <v>842</v>
      </c>
      <c r="C353" s="18" t="s">
        <v>843</v>
      </c>
      <c r="D353" s="19" t="s">
        <v>844</v>
      </c>
      <c r="E353" s="55">
        <v>1</v>
      </c>
      <c r="F353" s="55" t="s">
        <v>35</v>
      </c>
      <c r="G353" s="55" t="s">
        <v>5</v>
      </c>
      <c r="H353" s="55" t="s">
        <v>960</v>
      </c>
      <c r="I353" s="55"/>
      <c r="J353" s="18"/>
      <c r="K353" s="19" t="s">
        <v>893</v>
      </c>
      <c r="L353" s="19"/>
      <c r="M353" s="19"/>
      <c r="N353" s="234" t="s">
        <v>1408</v>
      </c>
      <c r="O353" s="159"/>
      <c r="P353" s="232">
        <v>43039</v>
      </c>
      <c r="Q353" s="232"/>
      <c r="R353" s="160"/>
      <c r="S353" s="189">
        <v>560648.94999999995</v>
      </c>
      <c r="T353" s="189">
        <v>0</v>
      </c>
      <c r="U353" s="153">
        <v>0</v>
      </c>
      <c r="V353" s="153">
        <v>0</v>
      </c>
      <c r="W353" s="153">
        <v>0</v>
      </c>
      <c r="X353" s="153">
        <f t="shared" si="129"/>
        <v>0</v>
      </c>
      <c r="Y353" s="153">
        <v>0</v>
      </c>
      <c r="Z353" s="153">
        <v>0</v>
      </c>
      <c r="AA353" s="153">
        <v>0</v>
      </c>
      <c r="AB353" s="153">
        <v>0</v>
      </c>
      <c r="AC353" s="153">
        <v>0</v>
      </c>
      <c r="AD353" s="153">
        <v>0</v>
      </c>
      <c r="AE353" s="153">
        <v>0</v>
      </c>
      <c r="AF353" s="153">
        <v>0</v>
      </c>
      <c r="AG353" s="153">
        <v>0</v>
      </c>
      <c r="AH353" s="153">
        <v>0</v>
      </c>
      <c r="AI353" s="153">
        <v>0</v>
      </c>
      <c r="AJ353" s="153">
        <v>0</v>
      </c>
      <c r="AK353" s="153">
        <f t="shared" si="130"/>
        <v>0</v>
      </c>
      <c r="AL353" s="153">
        <v>504583.95</v>
      </c>
      <c r="AM353" s="153">
        <v>56065</v>
      </c>
      <c r="AN353" s="145">
        <v>0</v>
      </c>
      <c r="AO353" s="145">
        <v>0</v>
      </c>
      <c r="AP353" s="145">
        <v>0</v>
      </c>
      <c r="AQ353" s="145">
        <v>0</v>
      </c>
      <c r="AR353" s="145">
        <v>0</v>
      </c>
      <c r="AS353" s="145">
        <f t="shared" ref="AS353:AS359" si="131">U353+V353+W353+AK353+AL353+AM353+AN353+AO353+AP353+AQ353+AR353</f>
        <v>560648.94999999995</v>
      </c>
      <c r="AT353" s="144"/>
      <c r="AU353" s="139"/>
      <c r="AV353" s="146">
        <f>IFERROR(VLOOKUP(J353,Maksājumu_pieprasījumu_iesn.!G:BL,57,0),0)</f>
        <v>0</v>
      </c>
      <c r="AW353" s="139">
        <f t="shared" si="126"/>
        <v>0</v>
      </c>
      <c r="AX353" s="137">
        <f t="shared" ref="AX353:AX359" si="132">S353-T353-(AS353-AT353)</f>
        <v>0</v>
      </c>
      <c r="AY353" s="137"/>
      <c r="AZ353" s="138"/>
      <c r="BA353" s="138"/>
      <c r="BB353" s="145"/>
      <c r="BC353" s="145"/>
      <c r="BD353" s="145"/>
      <c r="BE353" s="145"/>
      <c r="BF353" s="145"/>
      <c r="BG353" s="145"/>
      <c r="BH353" s="138"/>
      <c r="BI353" s="138"/>
      <c r="BJ353" s="138"/>
      <c r="BK353" s="138"/>
      <c r="BL353" s="138"/>
      <c r="BM353" s="138"/>
      <c r="BN353" s="138"/>
    </row>
    <row r="354" spans="1:66" s="91" customFormat="1" ht="38.25" hidden="1" customHeight="1" x14ac:dyDescent="0.2">
      <c r="A354" s="150" t="s">
        <v>1348</v>
      </c>
      <c r="B354" s="18" t="s">
        <v>842</v>
      </c>
      <c r="C354" s="18" t="s">
        <v>843</v>
      </c>
      <c r="D354" s="19" t="s">
        <v>844</v>
      </c>
      <c r="E354" s="55">
        <v>1</v>
      </c>
      <c r="F354" s="55" t="s">
        <v>35</v>
      </c>
      <c r="G354" s="55" t="s">
        <v>5</v>
      </c>
      <c r="H354" s="55" t="s">
        <v>960</v>
      </c>
      <c r="I354" s="55"/>
      <c r="J354" s="18"/>
      <c r="K354" s="19" t="s">
        <v>893</v>
      </c>
      <c r="L354" s="19"/>
      <c r="M354" s="19"/>
      <c r="N354" s="234" t="s">
        <v>1409</v>
      </c>
      <c r="O354" s="159"/>
      <c r="P354" s="232">
        <v>43190</v>
      </c>
      <c r="Q354" s="232"/>
      <c r="R354" s="160"/>
      <c r="S354" s="189">
        <v>726637.21</v>
      </c>
      <c r="T354" s="189">
        <v>0</v>
      </c>
      <c r="U354" s="153">
        <v>0</v>
      </c>
      <c r="V354" s="153">
        <v>0</v>
      </c>
      <c r="W354" s="153">
        <v>0</v>
      </c>
      <c r="X354" s="153">
        <f t="shared" si="129"/>
        <v>0</v>
      </c>
      <c r="Y354" s="153">
        <v>0</v>
      </c>
      <c r="Z354" s="153">
        <v>0</v>
      </c>
      <c r="AA354" s="153">
        <v>0</v>
      </c>
      <c r="AB354" s="153">
        <v>0</v>
      </c>
      <c r="AC354" s="153">
        <v>0</v>
      </c>
      <c r="AD354" s="153">
        <v>0</v>
      </c>
      <c r="AE354" s="153">
        <v>0</v>
      </c>
      <c r="AF354" s="153">
        <v>0</v>
      </c>
      <c r="AG354" s="153">
        <v>0</v>
      </c>
      <c r="AH354" s="153">
        <v>0</v>
      </c>
      <c r="AI354" s="153">
        <v>0</v>
      </c>
      <c r="AJ354" s="153">
        <v>0</v>
      </c>
      <c r="AK354" s="153">
        <f t="shared" si="130"/>
        <v>0</v>
      </c>
      <c r="AL354" s="153">
        <v>217991</v>
      </c>
      <c r="AM354" s="153">
        <v>508646.21</v>
      </c>
      <c r="AN354" s="145">
        <v>0</v>
      </c>
      <c r="AO354" s="145">
        <v>0</v>
      </c>
      <c r="AP354" s="145">
        <v>0</v>
      </c>
      <c r="AQ354" s="145">
        <v>0</v>
      </c>
      <c r="AR354" s="145">
        <v>0</v>
      </c>
      <c r="AS354" s="145">
        <f t="shared" si="131"/>
        <v>726637.21</v>
      </c>
      <c r="AT354" s="144"/>
      <c r="AU354" s="139"/>
      <c r="AV354" s="146">
        <f>IFERROR(VLOOKUP(J354,Maksājumu_pieprasījumu_iesn.!G:BL,57,0),0)</f>
        <v>0</v>
      </c>
      <c r="AW354" s="139">
        <f t="shared" si="126"/>
        <v>0</v>
      </c>
      <c r="AX354" s="137">
        <f t="shared" si="132"/>
        <v>0</v>
      </c>
      <c r="AY354" s="137"/>
      <c r="AZ354" s="138"/>
      <c r="BA354" s="138"/>
      <c r="BB354" s="145"/>
      <c r="BC354" s="145"/>
      <c r="BD354" s="145"/>
      <c r="BE354" s="145"/>
      <c r="BF354" s="145"/>
      <c r="BG354" s="145"/>
      <c r="BH354" s="138"/>
      <c r="BI354" s="138"/>
      <c r="BJ354" s="138"/>
      <c r="BK354" s="138"/>
      <c r="BL354" s="138"/>
      <c r="BM354" s="138"/>
      <c r="BN354" s="138"/>
    </row>
    <row r="355" spans="1:66" s="91" customFormat="1" ht="38.25" hidden="1" customHeight="1" x14ac:dyDescent="0.2">
      <c r="A355" s="150" t="s">
        <v>1348</v>
      </c>
      <c r="B355" s="18" t="s">
        <v>842</v>
      </c>
      <c r="C355" s="18" t="s">
        <v>843</v>
      </c>
      <c r="D355" s="19" t="s">
        <v>844</v>
      </c>
      <c r="E355" s="55">
        <v>1</v>
      </c>
      <c r="F355" s="55" t="s">
        <v>35</v>
      </c>
      <c r="G355" s="55" t="s">
        <v>5</v>
      </c>
      <c r="H355" s="55" t="s">
        <v>960</v>
      </c>
      <c r="I355" s="55"/>
      <c r="J355" s="18"/>
      <c r="K355" s="19" t="s">
        <v>893</v>
      </c>
      <c r="L355" s="19"/>
      <c r="M355" s="19"/>
      <c r="N355" s="234" t="s">
        <v>1410</v>
      </c>
      <c r="O355" s="159"/>
      <c r="P355" s="232">
        <v>43190</v>
      </c>
      <c r="Q355" s="232"/>
      <c r="R355" s="160"/>
      <c r="S355" s="189">
        <v>665095.34</v>
      </c>
      <c r="T355" s="189">
        <v>0</v>
      </c>
      <c r="U355" s="153">
        <v>0</v>
      </c>
      <c r="V355" s="153">
        <v>0</v>
      </c>
      <c r="W355" s="153">
        <v>0</v>
      </c>
      <c r="X355" s="153">
        <f t="shared" si="129"/>
        <v>0</v>
      </c>
      <c r="Y355" s="153">
        <v>0</v>
      </c>
      <c r="Z355" s="153">
        <v>0</v>
      </c>
      <c r="AA355" s="153">
        <v>0</v>
      </c>
      <c r="AB355" s="153">
        <v>0</v>
      </c>
      <c r="AC355" s="153">
        <v>0</v>
      </c>
      <c r="AD355" s="153">
        <v>0</v>
      </c>
      <c r="AE355" s="153">
        <v>0</v>
      </c>
      <c r="AF355" s="153">
        <v>0</v>
      </c>
      <c r="AG355" s="153">
        <v>0</v>
      </c>
      <c r="AH355" s="153">
        <v>0</v>
      </c>
      <c r="AI355" s="153">
        <v>0</v>
      </c>
      <c r="AJ355" s="153">
        <v>0</v>
      </c>
      <c r="AK355" s="153">
        <f t="shared" si="130"/>
        <v>0</v>
      </c>
      <c r="AL355" s="153">
        <v>199528.6</v>
      </c>
      <c r="AM355" s="153">
        <v>465566.74</v>
      </c>
      <c r="AN355" s="145">
        <v>0</v>
      </c>
      <c r="AO355" s="145">
        <v>0</v>
      </c>
      <c r="AP355" s="145">
        <v>0</v>
      </c>
      <c r="AQ355" s="145">
        <v>0</v>
      </c>
      <c r="AR355" s="145">
        <v>0</v>
      </c>
      <c r="AS355" s="145">
        <f t="shared" si="131"/>
        <v>665095.34</v>
      </c>
      <c r="AT355" s="144"/>
      <c r="AU355" s="139"/>
      <c r="AV355" s="146">
        <f>IFERROR(VLOOKUP(J355,Maksājumu_pieprasījumu_iesn.!G:BL,57,0),0)</f>
        <v>0</v>
      </c>
      <c r="AW355" s="139">
        <f t="shared" si="126"/>
        <v>0</v>
      </c>
      <c r="AX355" s="137">
        <f t="shared" si="132"/>
        <v>0</v>
      </c>
      <c r="AY355" s="137"/>
      <c r="AZ355" s="138"/>
      <c r="BA355" s="138"/>
      <c r="BB355" s="145"/>
      <c r="BC355" s="145"/>
      <c r="BD355" s="145"/>
      <c r="BE355" s="145"/>
      <c r="BF355" s="145"/>
      <c r="BG355" s="145"/>
      <c r="BH355" s="138"/>
      <c r="BI355" s="138"/>
      <c r="BJ355" s="138"/>
      <c r="BK355" s="138"/>
      <c r="BL355" s="138"/>
      <c r="BM355" s="138"/>
      <c r="BN355" s="138"/>
    </row>
    <row r="356" spans="1:66" ht="38.25" hidden="1" customHeight="1" x14ac:dyDescent="0.2">
      <c r="A356" s="142" t="s">
        <v>1348</v>
      </c>
      <c r="B356" s="18" t="s">
        <v>842</v>
      </c>
      <c r="C356" s="18" t="s">
        <v>843</v>
      </c>
      <c r="D356" s="19" t="s">
        <v>844</v>
      </c>
      <c r="E356" s="18">
        <v>1</v>
      </c>
      <c r="F356" s="18" t="s">
        <v>35</v>
      </c>
      <c r="G356" s="18" t="s">
        <v>5</v>
      </c>
      <c r="H356" s="18" t="s">
        <v>960</v>
      </c>
      <c r="I356" s="18"/>
      <c r="J356" s="18"/>
      <c r="K356" s="19" t="s">
        <v>893</v>
      </c>
      <c r="L356" s="19"/>
      <c r="M356" s="19"/>
      <c r="N356" s="234" t="s">
        <v>1411</v>
      </c>
      <c r="O356" s="159"/>
      <c r="P356" s="232">
        <v>43190</v>
      </c>
      <c r="Q356" s="232"/>
      <c r="R356" s="160"/>
      <c r="S356" s="189">
        <v>841499.99</v>
      </c>
      <c r="T356" s="147">
        <v>0</v>
      </c>
      <c r="U356" s="153">
        <v>0</v>
      </c>
      <c r="V356" s="153">
        <v>0</v>
      </c>
      <c r="W356" s="153">
        <v>0</v>
      </c>
      <c r="X356" s="153">
        <f t="shared" si="129"/>
        <v>0</v>
      </c>
      <c r="Y356" s="153">
        <v>0</v>
      </c>
      <c r="Z356" s="153">
        <v>0</v>
      </c>
      <c r="AA356" s="153">
        <v>0</v>
      </c>
      <c r="AB356" s="153">
        <v>0</v>
      </c>
      <c r="AC356" s="153">
        <v>0</v>
      </c>
      <c r="AD356" s="153">
        <v>0</v>
      </c>
      <c r="AE356" s="153">
        <v>0</v>
      </c>
      <c r="AF356" s="153">
        <v>0</v>
      </c>
      <c r="AG356" s="153">
        <v>0</v>
      </c>
      <c r="AH356" s="153">
        <v>0</v>
      </c>
      <c r="AI356" s="153">
        <v>0</v>
      </c>
      <c r="AJ356" s="153">
        <v>0</v>
      </c>
      <c r="AK356" s="153">
        <f t="shared" si="130"/>
        <v>0</v>
      </c>
      <c r="AL356" s="153">
        <v>252449.99</v>
      </c>
      <c r="AM356" s="153">
        <v>589050</v>
      </c>
      <c r="AN356" s="145">
        <v>0</v>
      </c>
      <c r="AO356" s="145">
        <v>0</v>
      </c>
      <c r="AP356" s="145">
        <v>0</v>
      </c>
      <c r="AQ356" s="145">
        <v>0</v>
      </c>
      <c r="AR356" s="145">
        <v>0</v>
      </c>
      <c r="AS356" s="145">
        <f t="shared" si="131"/>
        <v>841499.99</v>
      </c>
      <c r="AT356" s="144"/>
      <c r="AU356" s="146"/>
      <c r="AV356" s="146">
        <f>IFERROR(VLOOKUP(J356,Maksājumu_pieprasījumu_iesn.!G:BL,57,0),0)</f>
        <v>0</v>
      </c>
      <c r="AW356" s="139">
        <f t="shared" si="126"/>
        <v>0</v>
      </c>
      <c r="AX356" s="165">
        <f t="shared" si="132"/>
        <v>0</v>
      </c>
      <c r="AY356" s="165"/>
      <c r="AZ356" s="165"/>
      <c r="BA356" s="165"/>
      <c r="BB356" s="144"/>
      <c r="BC356" s="144"/>
      <c r="BD356" s="144"/>
      <c r="BE356" s="144"/>
      <c r="BF356" s="144"/>
      <c r="BG356" s="144"/>
      <c r="BH356" s="149"/>
      <c r="BI356" s="149"/>
      <c r="BJ356" s="149"/>
      <c r="BK356" s="149"/>
      <c r="BL356" s="149"/>
      <c r="BM356" s="149"/>
      <c r="BN356" s="149"/>
    </row>
    <row r="357" spans="1:66" ht="51" hidden="1" customHeight="1" x14ac:dyDescent="0.2">
      <c r="A357" s="142" t="s">
        <v>1348</v>
      </c>
      <c r="B357" s="18" t="s">
        <v>842</v>
      </c>
      <c r="C357" s="18" t="s">
        <v>843</v>
      </c>
      <c r="D357" s="19" t="s">
        <v>844</v>
      </c>
      <c r="E357" s="18">
        <v>1</v>
      </c>
      <c r="F357" s="18" t="s">
        <v>35</v>
      </c>
      <c r="G357" s="18" t="s">
        <v>5</v>
      </c>
      <c r="H357" s="18" t="s">
        <v>960</v>
      </c>
      <c r="I357" s="18"/>
      <c r="J357" s="55"/>
      <c r="K357" s="19" t="s">
        <v>893</v>
      </c>
      <c r="L357" s="19"/>
      <c r="M357" s="19"/>
      <c r="N357" s="19" t="s">
        <v>1412</v>
      </c>
      <c r="O357" s="188">
        <v>42978</v>
      </c>
      <c r="P357" s="235">
        <v>43069</v>
      </c>
      <c r="Q357" s="235"/>
      <c r="R357" s="188"/>
      <c r="S357" s="189">
        <v>1086359.3999999999</v>
      </c>
      <c r="T357" s="147">
        <v>0</v>
      </c>
      <c r="U357" s="153">
        <v>0</v>
      </c>
      <c r="V357" s="153">
        <v>0</v>
      </c>
      <c r="W357" s="153">
        <v>0</v>
      </c>
      <c r="X357" s="153">
        <f t="shared" si="129"/>
        <v>0</v>
      </c>
      <c r="Y357" s="153">
        <v>0</v>
      </c>
      <c r="Z357" s="153">
        <v>0</v>
      </c>
      <c r="AA357" s="153">
        <v>0</v>
      </c>
      <c r="AB357" s="153">
        <v>0</v>
      </c>
      <c r="AC357" s="153">
        <v>0</v>
      </c>
      <c r="AD357" s="153">
        <v>0</v>
      </c>
      <c r="AE357" s="153">
        <v>0</v>
      </c>
      <c r="AF357" s="153">
        <v>0</v>
      </c>
      <c r="AG357" s="153">
        <v>0</v>
      </c>
      <c r="AH357" s="153">
        <v>0</v>
      </c>
      <c r="AI357" s="153">
        <v>0</v>
      </c>
      <c r="AJ357" s="153">
        <v>0</v>
      </c>
      <c r="AK357" s="153">
        <f t="shared" si="130"/>
        <v>0</v>
      </c>
      <c r="AL357" s="153">
        <v>651815.71</v>
      </c>
      <c r="AM357" s="153">
        <v>434543.79</v>
      </c>
      <c r="AN357" s="145">
        <v>0</v>
      </c>
      <c r="AO357" s="145">
        <v>0</v>
      </c>
      <c r="AP357" s="145">
        <v>0</v>
      </c>
      <c r="AQ357" s="145">
        <v>0</v>
      </c>
      <c r="AR357" s="145">
        <v>0</v>
      </c>
      <c r="AS357" s="145">
        <f t="shared" si="131"/>
        <v>1086359.5</v>
      </c>
      <c r="AT357" s="145"/>
      <c r="AU357" s="146"/>
      <c r="AV357" s="146">
        <f>IFERROR(VLOOKUP(J357,Maksājumu_pieprasījumu_iesn.!G:BL,57,0),0)</f>
        <v>0</v>
      </c>
      <c r="AW357" s="139">
        <f t="shared" si="126"/>
        <v>0</v>
      </c>
      <c r="AX357" s="165">
        <f t="shared" si="132"/>
        <v>-0.10000000009313226</v>
      </c>
      <c r="AY357" s="165"/>
      <c r="AZ357" s="200"/>
      <c r="BA357" s="200"/>
      <c r="BB357" s="144"/>
      <c r="BC357" s="144"/>
      <c r="BD357" s="144"/>
      <c r="BE357" s="144"/>
      <c r="BF357" s="144"/>
      <c r="BG357" s="144"/>
      <c r="BH357" s="149"/>
      <c r="BI357" s="149"/>
      <c r="BJ357" s="149"/>
      <c r="BK357" s="149"/>
      <c r="BL357" s="149"/>
      <c r="BM357" s="149"/>
      <c r="BN357" s="149"/>
    </row>
    <row r="358" spans="1:66" ht="51" hidden="1" customHeight="1" x14ac:dyDescent="0.2">
      <c r="A358" s="142" t="s">
        <v>1348</v>
      </c>
      <c r="B358" s="18" t="s">
        <v>842</v>
      </c>
      <c r="C358" s="18" t="s">
        <v>843</v>
      </c>
      <c r="D358" s="19" t="s">
        <v>844</v>
      </c>
      <c r="E358" s="18">
        <v>1</v>
      </c>
      <c r="F358" s="18" t="s">
        <v>35</v>
      </c>
      <c r="G358" s="18" t="s">
        <v>5</v>
      </c>
      <c r="H358" s="18" t="s">
        <v>960</v>
      </c>
      <c r="I358" s="18"/>
      <c r="J358" s="55"/>
      <c r="K358" s="19" t="s">
        <v>893</v>
      </c>
      <c r="L358" s="19"/>
      <c r="M358" s="19"/>
      <c r="N358" s="19" t="s">
        <v>1413</v>
      </c>
      <c r="O358" s="188">
        <v>42916</v>
      </c>
      <c r="P358" s="235">
        <v>43008</v>
      </c>
      <c r="Q358" s="235"/>
      <c r="R358" s="188"/>
      <c r="S358" s="189">
        <v>110000.2</v>
      </c>
      <c r="T358" s="147">
        <v>0</v>
      </c>
      <c r="U358" s="153">
        <v>0</v>
      </c>
      <c r="V358" s="153">
        <v>0</v>
      </c>
      <c r="W358" s="153">
        <v>0</v>
      </c>
      <c r="X358" s="153">
        <f t="shared" si="129"/>
        <v>0</v>
      </c>
      <c r="Y358" s="153">
        <v>0</v>
      </c>
      <c r="Z358" s="153">
        <v>0</v>
      </c>
      <c r="AA358" s="153">
        <v>0</v>
      </c>
      <c r="AB358" s="153">
        <v>0</v>
      </c>
      <c r="AC358" s="153">
        <v>0</v>
      </c>
      <c r="AD358" s="153">
        <v>0</v>
      </c>
      <c r="AE358" s="153">
        <v>0</v>
      </c>
      <c r="AF358" s="153">
        <v>0</v>
      </c>
      <c r="AG358" s="153">
        <v>0</v>
      </c>
      <c r="AH358" s="153">
        <v>0</v>
      </c>
      <c r="AI358" s="153">
        <v>0</v>
      </c>
      <c r="AJ358" s="153">
        <v>0</v>
      </c>
      <c r="AK358" s="153">
        <f t="shared" si="130"/>
        <v>0</v>
      </c>
      <c r="AL358" s="153">
        <v>110000.2</v>
      </c>
      <c r="AM358" s="153"/>
      <c r="AN358" s="145">
        <v>0</v>
      </c>
      <c r="AO358" s="145">
        <v>0</v>
      </c>
      <c r="AP358" s="145">
        <v>0</v>
      </c>
      <c r="AQ358" s="145">
        <v>0</v>
      </c>
      <c r="AR358" s="145">
        <v>0</v>
      </c>
      <c r="AS358" s="145">
        <f t="shared" si="131"/>
        <v>110000.2</v>
      </c>
      <c r="AT358" s="145"/>
      <c r="AU358" s="146"/>
      <c r="AV358" s="146">
        <f>IFERROR(VLOOKUP(J358,Maksājumu_pieprasījumu_iesn.!G:BL,57,0),0)</f>
        <v>0</v>
      </c>
      <c r="AW358" s="139">
        <f t="shared" si="126"/>
        <v>0</v>
      </c>
      <c r="AX358" s="165">
        <f t="shared" si="132"/>
        <v>0</v>
      </c>
      <c r="AY358" s="165"/>
      <c r="AZ358" s="165"/>
      <c r="BA358" s="165"/>
      <c r="BB358" s="144"/>
      <c r="BC358" s="144"/>
      <c r="BD358" s="144"/>
      <c r="BE358" s="144"/>
      <c r="BF358" s="144"/>
      <c r="BG358" s="144"/>
      <c r="BH358" s="149"/>
      <c r="BI358" s="149"/>
      <c r="BJ358" s="149"/>
      <c r="BK358" s="149"/>
      <c r="BL358" s="149"/>
      <c r="BM358" s="149"/>
      <c r="BN358" s="149"/>
    </row>
    <row r="359" spans="1:66" s="91" customFormat="1" ht="51" hidden="1" customHeight="1" x14ac:dyDescent="0.2">
      <c r="A359" s="150" t="s">
        <v>1348</v>
      </c>
      <c r="B359" s="18" t="s">
        <v>842</v>
      </c>
      <c r="C359" s="18" t="s">
        <v>843</v>
      </c>
      <c r="D359" s="19" t="s">
        <v>844</v>
      </c>
      <c r="E359" s="55">
        <v>1</v>
      </c>
      <c r="F359" s="55" t="s">
        <v>35</v>
      </c>
      <c r="G359" s="55" t="s">
        <v>5</v>
      </c>
      <c r="H359" s="55" t="s">
        <v>960</v>
      </c>
      <c r="I359" s="55"/>
      <c r="J359" s="18" t="s">
        <v>1414</v>
      </c>
      <c r="K359" s="19" t="s">
        <v>893</v>
      </c>
      <c r="L359" s="19"/>
      <c r="M359" s="19"/>
      <c r="N359" s="19" t="s">
        <v>906</v>
      </c>
      <c r="O359" s="159"/>
      <c r="P359" s="159"/>
      <c r="Q359" s="159"/>
      <c r="R359" s="232">
        <v>42937</v>
      </c>
      <c r="S359" s="189">
        <v>1795627.85</v>
      </c>
      <c r="T359" s="189">
        <v>0</v>
      </c>
      <c r="U359" s="153">
        <v>0</v>
      </c>
      <c r="V359" s="153">
        <v>0</v>
      </c>
      <c r="W359" s="153">
        <v>0</v>
      </c>
      <c r="X359" s="153">
        <f t="shared" si="129"/>
        <v>0</v>
      </c>
      <c r="Y359" s="153">
        <v>0</v>
      </c>
      <c r="Z359" s="153">
        <v>0</v>
      </c>
      <c r="AA359" s="153">
        <v>0</v>
      </c>
      <c r="AB359" s="153">
        <v>0</v>
      </c>
      <c r="AC359" s="153">
        <v>0</v>
      </c>
      <c r="AD359" s="153">
        <v>0</v>
      </c>
      <c r="AE359" s="153">
        <v>0</v>
      </c>
      <c r="AF359" s="153">
        <v>0</v>
      </c>
      <c r="AG359" s="153">
        <v>441813</v>
      </c>
      <c r="AH359" s="153">
        <v>0</v>
      </c>
      <c r="AI359" s="153">
        <v>0</v>
      </c>
      <c r="AJ359" s="153">
        <v>645303</v>
      </c>
      <c r="AK359" s="153">
        <f t="shared" si="130"/>
        <v>1087116</v>
      </c>
      <c r="AL359" s="153">
        <v>708511.85</v>
      </c>
      <c r="AM359" s="153">
        <v>0</v>
      </c>
      <c r="AN359" s="145">
        <v>0</v>
      </c>
      <c r="AO359" s="145">
        <v>0</v>
      </c>
      <c r="AP359" s="145">
        <v>0</v>
      </c>
      <c r="AQ359" s="145">
        <v>0</v>
      </c>
      <c r="AR359" s="145">
        <v>0</v>
      </c>
      <c r="AS359" s="145">
        <f t="shared" si="131"/>
        <v>1795627.85</v>
      </c>
      <c r="AT359" s="144">
        <f>AE359</f>
        <v>0</v>
      </c>
      <c r="AU359" s="139"/>
      <c r="AV359" s="146">
        <f>IFERROR(VLOOKUP(J359,Maksājumu_pieprasījumu_iesn.!G:BL,57,0),0)</f>
        <v>0</v>
      </c>
      <c r="AW359" s="139">
        <f t="shared" si="126"/>
        <v>0</v>
      </c>
      <c r="AX359" s="137">
        <f t="shared" si="132"/>
        <v>0</v>
      </c>
      <c r="AY359" s="137"/>
      <c r="AZ359" s="200"/>
      <c r="BA359" s="200"/>
      <c r="BB359" s="145"/>
      <c r="BC359" s="145"/>
      <c r="BD359" s="145"/>
      <c r="BE359" s="145"/>
      <c r="BF359" s="145"/>
      <c r="BG359" s="145"/>
      <c r="BH359" s="138"/>
      <c r="BI359" s="138"/>
      <c r="BJ359" s="138"/>
      <c r="BK359" s="138"/>
      <c r="BL359" s="138"/>
      <c r="BM359" s="138"/>
      <c r="BN359" s="138"/>
    </row>
    <row r="360" spans="1:66" s="91" customFormat="1" ht="51" hidden="1" customHeight="1" x14ac:dyDescent="0.2">
      <c r="A360" s="150" t="s">
        <v>1348</v>
      </c>
      <c r="B360" s="18" t="s">
        <v>842</v>
      </c>
      <c r="C360" s="18" t="s">
        <v>843</v>
      </c>
      <c r="D360" s="19" t="s">
        <v>844</v>
      </c>
      <c r="E360" s="55">
        <v>1</v>
      </c>
      <c r="F360" s="55" t="s">
        <v>35</v>
      </c>
      <c r="G360" s="55" t="s">
        <v>5</v>
      </c>
      <c r="H360" s="55" t="s">
        <v>960</v>
      </c>
      <c r="I360" s="55"/>
      <c r="J360" s="18" t="s">
        <v>1414</v>
      </c>
      <c r="K360" s="19" t="s">
        <v>893</v>
      </c>
      <c r="L360" s="19"/>
      <c r="M360" s="19"/>
      <c r="N360" s="19" t="s">
        <v>906</v>
      </c>
      <c r="O360" s="159"/>
      <c r="P360" s="159"/>
      <c r="Q360" s="159" t="s">
        <v>880</v>
      </c>
      <c r="R360" s="232"/>
      <c r="S360" s="189"/>
      <c r="T360" s="189"/>
      <c r="U360" s="153"/>
      <c r="V360" s="153"/>
      <c r="W360" s="153"/>
      <c r="X360" s="153"/>
      <c r="Y360" s="153"/>
      <c r="Z360" s="153"/>
      <c r="AA360" s="153"/>
      <c r="AB360" s="153"/>
      <c r="AC360" s="153"/>
      <c r="AD360" s="153"/>
      <c r="AE360" s="153">
        <v>935000</v>
      </c>
      <c r="AF360" s="153"/>
      <c r="AG360" s="153"/>
      <c r="AH360" s="153"/>
      <c r="AI360" s="153"/>
      <c r="AJ360" s="153"/>
      <c r="AK360" s="153">
        <f t="shared" si="130"/>
        <v>935000</v>
      </c>
      <c r="AL360" s="153"/>
      <c r="AM360" s="153"/>
      <c r="AN360" s="145"/>
      <c r="AO360" s="145"/>
      <c r="AP360" s="145"/>
      <c r="AQ360" s="145"/>
      <c r="AR360" s="145"/>
      <c r="AT360" s="145">
        <f>U360+V360+W360+AK360+AL360+AM360+AN360+AO360+AP360+AQ360+AR360</f>
        <v>935000</v>
      </c>
      <c r="AU360" s="139"/>
      <c r="AV360" s="146">
        <f>IFERROR(VLOOKUP(J360,Maksājumu_pieprasījumu_iesn.!G:BL,57,0),0)</f>
        <v>0</v>
      </c>
      <c r="AW360" s="139">
        <f t="shared" si="126"/>
        <v>0</v>
      </c>
      <c r="AX360" s="137"/>
      <c r="AY360" s="137"/>
      <c r="AZ360" s="200"/>
      <c r="BA360" s="200"/>
      <c r="BB360" s="145"/>
      <c r="BC360" s="145"/>
      <c r="BD360" s="145"/>
      <c r="BE360" s="145"/>
      <c r="BF360" s="145"/>
      <c r="BG360" s="145"/>
      <c r="BH360" s="138"/>
      <c r="BI360" s="138"/>
      <c r="BJ360" s="138"/>
      <c r="BK360" s="138"/>
      <c r="BL360" s="138"/>
      <c r="BM360" s="138"/>
      <c r="BN360" s="138"/>
    </row>
    <row r="361" spans="1:66" s="91" customFormat="1" ht="51" hidden="1" customHeight="1" x14ac:dyDescent="0.2">
      <c r="A361" s="150" t="s">
        <v>1348</v>
      </c>
      <c r="B361" s="18" t="s">
        <v>842</v>
      </c>
      <c r="C361" s="18" t="s">
        <v>843</v>
      </c>
      <c r="D361" s="19" t="s">
        <v>844</v>
      </c>
      <c r="E361" s="55">
        <v>1</v>
      </c>
      <c r="F361" s="55" t="s">
        <v>35</v>
      </c>
      <c r="G361" s="55" t="s">
        <v>5</v>
      </c>
      <c r="H361" s="55" t="s">
        <v>960</v>
      </c>
      <c r="I361" s="55"/>
      <c r="J361" s="18" t="s">
        <v>907</v>
      </c>
      <c r="K361" s="19" t="s">
        <v>893</v>
      </c>
      <c r="L361" s="19"/>
      <c r="M361" s="19"/>
      <c r="N361" s="19" t="s">
        <v>1415</v>
      </c>
      <c r="O361" s="159"/>
      <c r="P361" s="159"/>
      <c r="Q361" s="159"/>
      <c r="R361" s="232">
        <v>42941</v>
      </c>
      <c r="S361" s="189">
        <v>610611.13</v>
      </c>
      <c r="T361" s="189">
        <v>0</v>
      </c>
      <c r="U361" s="153">
        <v>0</v>
      </c>
      <c r="V361" s="153">
        <v>0</v>
      </c>
      <c r="W361" s="153">
        <v>0</v>
      </c>
      <c r="X361" s="153">
        <f t="shared" si="129"/>
        <v>0</v>
      </c>
      <c r="Y361" s="153">
        <v>0</v>
      </c>
      <c r="Z361" s="153">
        <v>0</v>
      </c>
      <c r="AA361" s="153">
        <v>0</v>
      </c>
      <c r="AB361" s="153">
        <v>0</v>
      </c>
      <c r="AC361" s="153">
        <v>0</v>
      </c>
      <c r="AD361" s="153">
        <v>0</v>
      </c>
      <c r="AE361" s="153">
        <v>0</v>
      </c>
      <c r="AF361" s="153">
        <v>0</v>
      </c>
      <c r="AG361" s="153">
        <v>252384.5</v>
      </c>
      <c r="AH361" s="153">
        <v>0</v>
      </c>
      <c r="AI361" s="153">
        <v>0</v>
      </c>
      <c r="AJ361" s="153">
        <v>266634.96000000002</v>
      </c>
      <c r="AK361" s="153">
        <f t="shared" si="130"/>
        <v>519019.46</v>
      </c>
      <c r="AL361" s="153">
        <v>91591.67</v>
      </c>
      <c r="AM361" s="153">
        <v>0</v>
      </c>
      <c r="AN361" s="145">
        <v>0</v>
      </c>
      <c r="AO361" s="145">
        <v>0</v>
      </c>
      <c r="AP361" s="145">
        <v>0</v>
      </c>
      <c r="AQ361" s="145">
        <v>0</v>
      </c>
      <c r="AR361" s="145">
        <v>0</v>
      </c>
      <c r="AS361" s="145">
        <f>U361+V361+W361+AK361+AL361+AM361+AN361+AO361+AP361+AQ361+AR361</f>
        <v>610611.13</v>
      </c>
      <c r="AT361" s="144">
        <f>AE361</f>
        <v>0</v>
      </c>
      <c r="AU361" s="145">
        <f>W361+X361+Y361+AM361+AN361+AO361+AP361+AQ361+AR361+AS361+AT361</f>
        <v>610611.13</v>
      </c>
      <c r="AV361" s="146">
        <f>IFERROR(VLOOKUP(J361,Maksājumu_pieprasījumu_iesn.!G:BL,57,0),0)</f>
        <v>0</v>
      </c>
      <c r="AW361" s="139">
        <f t="shared" si="126"/>
        <v>-610611.13</v>
      </c>
      <c r="AX361" s="137">
        <f>S361-T361-(AS361-AT361)</f>
        <v>0</v>
      </c>
      <c r="AY361" s="137"/>
      <c r="AZ361" s="137"/>
      <c r="BA361" s="136"/>
      <c r="BB361" s="145"/>
      <c r="BC361" s="145"/>
      <c r="BD361" s="145"/>
      <c r="BE361" s="145"/>
      <c r="BF361" s="145"/>
      <c r="BG361" s="145"/>
      <c r="BH361" s="138"/>
      <c r="BI361" s="138"/>
      <c r="BJ361" s="138"/>
      <c r="BK361" s="138"/>
      <c r="BL361" s="138"/>
      <c r="BM361" s="138"/>
      <c r="BN361" s="138"/>
    </row>
    <row r="362" spans="1:66" s="91" customFormat="1" ht="51" hidden="1" customHeight="1" x14ac:dyDescent="0.2">
      <c r="A362" s="150" t="s">
        <v>1348</v>
      </c>
      <c r="B362" s="18" t="s">
        <v>842</v>
      </c>
      <c r="C362" s="18" t="s">
        <v>843</v>
      </c>
      <c r="D362" s="19" t="s">
        <v>844</v>
      </c>
      <c r="E362" s="55">
        <v>1</v>
      </c>
      <c r="F362" s="55" t="s">
        <v>35</v>
      </c>
      <c r="G362" s="55" t="s">
        <v>5</v>
      </c>
      <c r="H362" s="55" t="s">
        <v>960</v>
      </c>
      <c r="I362" s="55"/>
      <c r="J362" s="18" t="s">
        <v>907</v>
      </c>
      <c r="K362" s="19" t="s">
        <v>893</v>
      </c>
      <c r="L362" s="19"/>
      <c r="M362" s="19"/>
      <c r="N362" s="19" t="s">
        <v>1415</v>
      </c>
      <c r="O362" s="159"/>
      <c r="P362" s="159"/>
      <c r="Q362" s="159" t="s">
        <v>880</v>
      </c>
      <c r="R362" s="232"/>
      <c r="S362" s="189"/>
      <c r="T362" s="189"/>
      <c r="U362" s="153"/>
      <c r="V362" s="153"/>
      <c r="W362" s="153"/>
      <c r="X362" s="153"/>
      <c r="Y362" s="153"/>
      <c r="Z362" s="153"/>
      <c r="AA362" s="153"/>
      <c r="AB362" s="153"/>
      <c r="AC362" s="153"/>
      <c r="AD362" s="153"/>
      <c r="AE362" s="153">
        <v>341567</v>
      </c>
      <c r="AF362" s="153"/>
      <c r="AG362" s="153"/>
      <c r="AH362" s="153"/>
      <c r="AI362" s="153"/>
      <c r="AJ362" s="153"/>
      <c r="AK362" s="153">
        <f t="shared" si="130"/>
        <v>341567</v>
      </c>
      <c r="AL362" s="153"/>
      <c r="AM362" s="153"/>
      <c r="AN362" s="145"/>
      <c r="AO362" s="145"/>
      <c r="AP362" s="145"/>
      <c r="AQ362" s="145"/>
      <c r="AR362" s="145"/>
      <c r="AT362" s="145">
        <f>U362+V362+W362+AK362+AL362+AM362+AN362+AO362+AP362+AQ362+AR362</f>
        <v>341567</v>
      </c>
      <c r="AU362" s="139"/>
      <c r="AV362" s="146">
        <f>IFERROR(VLOOKUP(J362,Maksājumu_pieprasījumu_iesn.!G:BL,57,0),0)</f>
        <v>0</v>
      </c>
      <c r="AW362" s="139">
        <f t="shared" si="126"/>
        <v>0</v>
      </c>
      <c r="AX362" s="137"/>
      <c r="AY362" s="137"/>
      <c r="AZ362" s="137"/>
      <c r="BA362" s="136"/>
      <c r="BB362" s="145"/>
      <c r="BC362" s="145"/>
      <c r="BD362" s="145"/>
      <c r="BE362" s="145"/>
      <c r="BF362" s="145"/>
      <c r="BG362" s="145"/>
      <c r="BH362" s="138"/>
      <c r="BI362" s="138"/>
      <c r="BJ362" s="138"/>
      <c r="BK362" s="138"/>
      <c r="BL362" s="138"/>
      <c r="BM362" s="138"/>
      <c r="BN362" s="138"/>
    </row>
    <row r="363" spans="1:66" s="91" customFormat="1" ht="51" hidden="1" customHeight="1" x14ac:dyDescent="0.2">
      <c r="A363" s="150" t="s">
        <v>1348</v>
      </c>
      <c r="B363" s="18" t="s">
        <v>842</v>
      </c>
      <c r="C363" s="18" t="s">
        <v>843</v>
      </c>
      <c r="D363" s="19" t="s">
        <v>844</v>
      </c>
      <c r="E363" s="55">
        <v>1</v>
      </c>
      <c r="F363" s="55" t="s">
        <v>35</v>
      </c>
      <c r="G363" s="55" t="s">
        <v>5</v>
      </c>
      <c r="H363" s="55" t="s">
        <v>960</v>
      </c>
      <c r="I363" s="55"/>
      <c r="J363" s="18" t="s">
        <v>909</v>
      </c>
      <c r="K363" s="19" t="s">
        <v>893</v>
      </c>
      <c r="L363" s="19"/>
      <c r="M363" s="19"/>
      <c r="N363" s="19" t="s">
        <v>910</v>
      </c>
      <c r="O363" s="159"/>
      <c r="P363" s="159"/>
      <c r="Q363" s="159"/>
      <c r="R363" s="232">
        <v>42941</v>
      </c>
      <c r="S363" s="189">
        <v>555711.18999999994</v>
      </c>
      <c r="T363" s="189">
        <v>0</v>
      </c>
      <c r="U363" s="153">
        <v>0</v>
      </c>
      <c r="V363" s="153">
        <v>0</v>
      </c>
      <c r="W363" s="153">
        <v>0</v>
      </c>
      <c r="X363" s="153">
        <f t="shared" si="129"/>
        <v>0</v>
      </c>
      <c r="Y363" s="153">
        <v>0</v>
      </c>
      <c r="Z363" s="153">
        <v>0</v>
      </c>
      <c r="AA363" s="153">
        <v>0</v>
      </c>
      <c r="AB363" s="153">
        <v>0</v>
      </c>
      <c r="AC363" s="153">
        <v>0</v>
      </c>
      <c r="AD363" s="153">
        <v>0</v>
      </c>
      <c r="AE363" s="153">
        <v>0</v>
      </c>
      <c r="AF363" s="153">
        <v>0</v>
      </c>
      <c r="AG363" s="153">
        <v>321669.32</v>
      </c>
      <c r="AH363" s="153">
        <v>0</v>
      </c>
      <c r="AI363" s="153">
        <v>0</v>
      </c>
      <c r="AJ363" s="153">
        <v>150685.20000000001</v>
      </c>
      <c r="AK363" s="153">
        <f t="shared" si="130"/>
        <v>472354.52</v>
      </c>
      <c r="AL363" s="153">
        <v>83356.67</v>
      </c>
      <c r="AM363" s="153">
        <v>0</v>
      </c>
      <c r="AN363" s="145">
        <v>0</v>
      </c>
      <c r="AO363" s="145">
        <v>0</v>
      </c>
      <c r="AP363" s="145">
        <v>0</v>
      </c>
      <c r="AQ363" s="145">
        <v>0</v>
      </c>
      <c r="AR363" s="145">
        <v>0</v>
      </c>
      <c r="AS363" s="145">
        <f>U363+V363+W363+AK363+AL363+AM363+AN363+AO363+AP363+AQ363+AR363</f>
        <v>555711.19000000006</v>
      </c>
      <c r="AT363" s="144">
        <f>AE363</f>
        <v>0</v>
      </c>
      <c r="AU363" s="145">
        <f>W363+X363+Y363+AM363+AN363+AO363+AP363+AQ363+AR363+AS363+AT363</f>
        <v>555711.19000000006</v>
      </c>
      <c r="AV363" s="146">
        <f>IFERROR(VLOOKUP(J363,Maksājumu_pieprasījumu_iesn.!G:BL,57,0),0)</f>
        <v>0</v>
      </c>
      <c r="AW363" s="139">
        <f t="shared" si="126"/>
        <v>-555711.19000000006</v>
      </c>
      <c r="AX363" s="137">
        <f>S363-T363-(AS363-AT363)</f>
        <v>0</v>
      </c>
      <c r="AY363" s="137"/>
      <c r="AZ363" s="137"/>
      <c r="BA363" s="136"/>
      <c r="BB363" s="145"/>
      <c r="BC363" s="145"/>
      <c r="BD363" s="145"/>
      <c r="BE363" s="145"/>
      <c r="BF363" s="145"/>
      <c r="BG363" s="145"/>
      <c r="BH363" s="138"/>
      <c r="BI363" s="138"/>
      <c r="BJ363" s="138"/>
      <c r="BK363" s="138"/>
      <c r="BL363" s="138"/>
      <c r="BM363" s="138"/>
      <c r="BN363" s="138"/>
    </row>
    <row r="364" spans="1:66" s="91" customFormat="1" ht="51" hidden="1" customHeight="1" x14ac:dyDescent="0.2">
      <c r="A364" s="150" t="s">
        <v>1348</v>
      </c>
      <c r="B364" s="18" t="s">
        <v>842</v>
      </c>
      <c r="C364" s="18" t="s">
        <v>843</v>
      </c>
      <c r="D364" s="19" t="s">
        <v>844</v>
      </c>
      <c r="E364" s="55">
        <v>1</v>
      </c>
      <c r="F364" s="55" t="s">
        <v>35</v>
      </c>
      <c r="G364" s="55" t="s">
        <v>5</v>
      </c>
      <c r="H364" s="55" t="s">
        <v>960</v>
      </c>
      <c r="I364" s="55"/>
      <c r="J364" s="18" t="s">
        <v>909</v>
      </c>
      <c r="K364" s="19" t="s">
        <v>893</v>
      </c>
      <c r="L364" s="19"/>
      <c r="M364" s="19"/>
      <c r="N364" s="19" t="s">
        <v>910</v>
      </c>
      <c r="O364" s="159"/>
      <c r="P364" s="159"/>
      <c r="Q364" s="159" t="s">
        <v>880</v>
      </c>
      <c r="R364" s="232"/>
      <c r="S364" s="189"/>
      <c r="T364" s="189"/>
      <c r="U364" s="153"/>
      <c r="V364" s="153"/>
      <c r="W364" s="153"/>
      <c r="X364" s="153"/>
      <c r="Y364" s="153"/>
      <c r="Z364" s="153"/>
      <c r="AA364" s="153"/>
      <c r="AB364" s="153"/>
      <c r="AC364" s="153"/>
      <c r="AD364" s="153"/>
      <c r="AE364" s="153">
        <v>271295</v>
      </c>
      <c r="AF364" s="153"/>
      <c r="AG364" s="153"/>
      <c r="AH364" s="153"/>
      <c r="AI364" s="153"/>
      <c r="AJ364" s="153"/>
      <c r="AK364" s="153">
        <f t="shared" si="130"/>
        <v>271295</v>
      </c>
      <c r="AL364" s="153"/>
      <c r="AM364" s="153"/>
      <c r="AN364" s="145"/>
      <c r="AO364" s="145"/>
      <c r="AP364" s="145"/>
      <c r="AQ364" s="145"/>
      <c r="AR364" s="145"/>
      <c r="AT364" s="145">
        <f>U364+V364+W364+AK364+AL364+AM364+AN364+AO364+AP364+AQ364+AR364</f>
        <v>271295</v>
      </c>
      <c r="AU364" s="139"/>
      <c r="AV364" s="146">
        <f>IFERROR(VLOOKUP(J364,Maksājumu_pieprasījumu_iesn.!G:BL,57,0),0)</f>
        <v>0</v>
      </c>
      <c r="AW364" s="139">
        <f t="shared" si="126"/>
        <v>0</v>
      </c>
      <c r="AX364" s="137"/>
      <c r="AY364" s="137"/>
      <c r="AZ364" s="137"/>
      <c r="BA364" s="136"/>
      <c r="BB364" s="145"/>
      <c r="BC364" s="145"/>
      <c r="BD364" s="145"/>
      <c r="BE364" s="145"/>
      <c r="BF364" s="145"/>
      <c r="BG364" s="145"/>
      <c r="BH364" s="138"/>
      <c r="BI364" s="138"/>
      <c r="BJ364" s="138"/>
      <c r="BK364" s="138"/>
      <c r="BL364" s="138"/>
      <c r="BM364" s="138"/>
      <c r="BN364" s="138"/>
    </row>
    <row r="365" spans="1:66" s="91" customFormat="1" ht="51" hidden="1" customHeight="1" x14ac:dyDescent="0.2">
      <c r="A365" s="150" t="s">
        <v>1348</v>
      </c>
      <c r="B365" s="18" t="s">
        <v>842</v>
      </c>
      <c r="C365" s="18" t="s">
        <v>843</v>
      </c>
      <c r="D365" s="19" t="s">
        <v>844</v>
      </c>
      <c r="E365" s="55">
        <v>1</v>
      </c>
      <c r="F365" s="55" t="s">
        <v>35</v>
      </c>
      <c r="G365" s="55" t="s">
        <v>5</v>
      </c>
      <c r="H365" s="55" t="s">
        <v>960</v>
      </c>
      <c r="I365" s="55"/>
      <c r="J365" s="55"/>
      <c r="K365" s="19" t="s">
        <v>893</v>
      </c>
      <c r="L365" s="19"/>
      <c r="M365" s="19"/>
      <c r="N365" s="19" t="s">
        <v>1416</v>
      </c>
      <c r="O365" s="188">
        <v>42916</v>
      </c>
      <c r="P365" s="235">
        <v>43008</v>
      </c>
      <c r="Q365" s="235"/>
      <c r="R365" s="188"/>
      <c r="S365" s="189">
        <v>868282.27</v>
      </c>
      <c r="T365" s="189">
        <v>0</v>
      </c>
      <c r="U365" s="153">
        <v>0</v>
      </c>
      <c r="V365" s="153">
        <v>0</v>
      </c>
      <c r="W365" s="153">
        <v>0</v>
      </c>
      <c r="X365" s="153">
        <f t="shared" si="129"/>
        <v>0</v>
      </c>
      <c r="Y365" s="153">
        <v>0</v>
      </c>
      <c r="Z365" s="153">
        <v>0</v>
      </c>
      <c r="AA365" s="153">
        <v>0</v>
      </c>
      <c r="AB365" s="153">
        <v>0</v>
      </c>
      <c r="AC365" s="153">
        <v>0</v>
      </c>
      <c r="AD365" s="153">
        <v>0</v>
      </c>
      <c r="AE365" s="153">
        <v>0</v>
      </c>
      <c r="AF365" s="153">
        <v>0</v>
      </c>
      <c r="AG365" s="153">
        <v>0</v>
      </c>
      <c r="AH365" s="153">
        <v>0</v>
      </c>
      <c r="AI365" s="153">
        <v>0</v>
      </c>
      <c r="AJ365" s="153">
        <v>0</v>
      </c>
      <c r="AK365" s="153">
        <f t="shared" si="130"/>
        <v>0</v>
      </c>
      <c r="AL365" s="153">
        <v>607796.93999999994</v>
      </c>
      <c r="AM365" s="153">
        <v>260485.33</v>
      </c>
      <c r="AN365" s="145">
        <v>0</v>
      </c>
      <c r="AO365" s="145">
        <v>0</v>
      </c>
      <c r="AP365" s="145">
        <v>0</v>
      </c>
      <c r="AQ365" s="145">
        <v>0</v>
      </c>
      <c r="AR365" s="145">
        <v>0</v>
      </c>
      <c r="AS365" s="145">
        <f t="shared" ref="AS365:AS396" si="133">U365+V365+W365+AK365+AL365+AM365+AN365+AO365+AP365+AQ365+AR365</f>
        <v>868282.2699999999</v>
      </c>
      <c r="AT365" s="145"/>
      <c r="AU365" s="139"/>
      <c r="AV365" s="146">
        <f>IFERROR(VLOOKUP(J365,Maksājumu_pieprasījumu_iesn.!G:BL,57,0),0)</f>
        <v>0</v>
      </c>
      <c r="AW365" s="139">
        <f t="shared" si="126"/>
        <v>0</v>
      </c>
      <c r="AX365" s="137">
        <f>S365-T365-(AS365-AT365)</f>
        <v>0</v>
      </c>
      <c r="AY365" s="137"/>
      <c r="AZ365" s="137"/>
      <c r="BA365" s="136"/>
      <c r="BB365" s="145"/>
      <c r="BC365" s="145"/>
      <c r="BD365" s="145"/>
      <c r="BE365" s="145"/>
      <c r="BF365" s="145"/>
      <c r="BG365" s="145"/>
      <c r="BH365" s="138"/>
      <c r="BI365" s="138"/>
      <c r="BJ365" s="138"/>
      <c r="BK365" s="138"/>
      <c r="BL365" s="138"/>
      <c r="BM365" s="138"/>
      <c r="BN365" s="138"/>
    </row>
    <row r="366" spans="1:66" s="91" customFormat="1" ht="38.25" hidden="1" customHeight="1" x14ac:dyDescent="0.2">
      <c r="A366" s="150" t="s">
        <v>1348</v>
      </c>
      <c r="B366" s="18" t="s">
        <v>842</v>
      </c>
      <c r="C366" s="18" t="s">
        <v>843</v>
      </c>
      <c r="D366" s="19" t="s">
        <v>844</v>
      </c>
      <c r="E366" s="55">
        <v>1</v>
      </c>
      <c r="F366" s="55" t="s">
        <v>35</v>
      </c>
      <c r="G366" s="55" t="s">
        <v>5</v>
      </c>
      <c r="H366" s="55" t="s">
        <v>960</v>
      </c>
      <c r="I366" s="55"/>
      <c r="J366" s="55"/>
      <c r="K366" s="19" t="s">
        <v>893</v>
      </c>
      <c r="L366" s="19"/>
      <c r="M366" s="19"/>
      <c r="N366" s="19" t="s">
        <v>1417</v>
      </c>
      <c r="O366" s="188">
        <v>42978</v>
      </c>
      <c r="P366" s="235">
        <v>43039</v>
      </c>
      <c r="Q366" s="235"/>
      <c r="R366" s="188"/>
      <c r="S366" s="189">
        <v>803476.1</v>
      </c>
      <c r="T366" s="189">
        <v>0</v>
      </c>
      <c r="U366" s="153">
        <v>0</v>
      </c>
      <c r="V366" s="153">
        <v>0</v>
      </c>
      <c r="W366" s="153">
        <v>0</v>
      </c>
      <c r="X366" s="153">
        <f t="shared" si="129"/>
        <v>0</v>
      </c>
      <c r="Y366" s="153">
        <v>0</v>
      </c>
      <c r="Z366" s="153">
        <v>0</v>
      </c>
      <c r="AA366" s="153">
        <v>0</v>
      </c>
      <c r="AB366" s="153">
        <v>0</v>
      </c>
      <c r="AC366" s="153">
        <v>0</v>
      </c>
      <c r="AD366" s="153">
        <v>0</v>
      </c>
      <c r="AE366" s="153">
        <v>0</v>
      </c>
      <c r="AF366" s="153">
        <v>0</v>
      </c>
      <c r="AG366" s="153">
        <v>0</v>
      </c>
      <c r="AH366" s="153">
        <v>0</v>
      </c>
      <c r="AI366" s="153">
        <v>0</v>
      </c>
      <c r="AJ366" s="153">
        <v>0</v>
      </c>
      <c r="AK366" s="153">
        <f t="shared" si="130"/>
        <v>0</v>
      </c>
      <c r="AL366" s="153">
        <v>723128.45</v>
      </c>
      <c r="AM366" s="153">
        <v>80347.649999999994</v>
      </c>
      <c r="AN366" s="145">
        <v>0</v>
      </c>
      <c r="AO366" s="145">
        <v>0</v>
      </c>
      <c r="AP366" s="145">
        <v>0</v>
      </c>
      <c r="AQ366" s="145">
        <v>0</v>
      </c>
      <c r="AR366" s="145">
        <v>0</v>
      </c>
      <c r="AS366" s="145">
        <f t="shared" si="133"/>
        <v>803476.1</v>
      </c>
      <c r="AT366" s="145"/>
      <c r="AU366" s="139"/>
      <c r="AV366" s="146">
        <f>IFERROR(VLOOKUP(J366,Maksājumu_pieprasījumu_iesn.!G:BL,57,0),0)</f>
        <v>0</v>
      </c>
      <c r="AW366" s="139">
        <f t="shared" si="126"/>
        <v>0</v>
      </c>
      <c r="AX366" s="137">
        <f>S366-T366-(AS366-AT366)</f>
        <v>0</v>
      </c>
      <c r="AY366" s="137"/>
      <c r="AZ366" s="138"/>
      <c r="BA366" s="138"/>
      <c r="BB366" s="145"/>
      <c r="BC366" s="145"/>
      <c r="BD366" s="145"/>
      <c r="BE366" s="145"/>
      <c r="BF366" s="145"/>
      <c r="BG366" s="145"/>
      <c r="BH366" s="138"/>
      <c r="BI366" s="138"/>
      <c r="BJ366" s="138"/>
      <c r="BK366" s="138"/>
      <c r="BL366" s="138"/>
      <c r="BM366" s="138"/>
      <c r="BN366" s="138"/>
    </row>
    <row r="367" spans="1:66" s="91" customFormat="1" ht="38.25" hidden="1" customHeight="1" x14ac:dyDescent="0.2">
      <c r="A367" s="150" t="s">
        <v>1348</v>
      </c>
      <c r="B367" s="18" t="s">
        <v>842</v>
      </c>
      <c r="C367" s="18" t="s">
        <v>843</v>
      </c>
      <c r="D367" s="19" t="s">
        <v>844</v>
      </c>
      <c r="E367" s="55">
        <v>1</v>
      </c>
      <c r="F367" s="55" t="s">
        <v>35</v>
      </c>
      <c r="G367" s="55" t="s">
        <v>5</v>
      </c>
      <c r="H367" s="55" t="s">
        <v>960</v>
      </c>
      <c r="I367" s="55"/>
      <c r="J367" s="55"/>
      <c r="K367" s="19" t="s">
        <v>893</v>
      </c>
      <c r="L367" s="19"/>
      <c r="M367" s="19"/>
      <c r="N367" s="19" t="s">
        <v>1418</v>
      </c>
      <c r="O367" s="188">
        <v>42978</v>
      </c>
      <c r="P367" s="235">
        <v>43039</v>
      </c>
      <c r="Q367" s="235"/>
      <c r="R367" s="188"/>
      <c r="S367" s="189">
        <v>1205290.6499999999</v>
      </c>
      <c r="T367" s="189">
        <v>0</v>
      </c>
      <c r="U367" s="153">
        <v>0</v>
      </c>
      <c r="V367" s="153">
        <v>0</v>
      </c>
      <c r="W367" s="153">
        <v>0</v>
      </c>
      <c r="X367" s="153">
        <f t="shared" si="129"/>
        <v>0</v>
      </c>
      <c r="Y367" s="153">
        <v>0</v>
      </c>
      <c r="Z367" s="153">
        <v>0</v>
      </c>
      <c r="AA367" s="153">
        <v>0</v>
      </c>
      <c r="AB367" s="153">
        <v>0</v>
      </c>
      <c r="AC367" s="153">
        <v>0</v>
      </c>
      <c r="AD367" s="153">
        <v>0</v>
      </c>
      <c r="AE367" s="153">
        <v>0</v>
      </c>
      <c r="AF367" s="153">
        <v>0</v>
      </c>
      <c r="AG367" s="153">
        <v>0</v>
      </c>
      <c r="AH367" s="153">
        <v>0</v>
      </c>
      <c r="AI367" s="153">
        <v>0</v>
      </c>
      <c r="AJ367" s="153">
        <v>0</v>
      </c>
      <c r="AK367" s="153">
        <f t="shared" si="130"/>
        <v>0</v>
      </c>
      <c r="AL367" s="153">
        <v>783438.86</v>
      </c>
      <c r="AM367" s="153">
        <v>421851.79</v>
      </c>
      <c r="AN367" s="145">
        <v>0</v>
      </c>
      <c r="AO367" s="145">
        <v>0</v>
      </c>
      <c r="AP367" s="145">
        <v>0</v>
      </c>
      <c r="AQ367" s="145">
        <v>0</v>
      </c>
      <c r="AR367" s="145">
        <v>0</v>
      </c>
      <c r="AS367" s="145">
        <f t="shared" si="133"/>
        <v>1205290.6499999999</v>
      </c>
      <c r="AT367" s="145"/>
      <c r="AU367" s="139"/>
      <c r="AV367" s="146">
        <f>IFERROR(VLOOKUP(J367,Maksājumu_pieprasījumu_iesn.!G:BL,57,0),0)</f>
        <v>0</v>
      </c>
      <c r="AW367" s="139">
        <f t="shared" si="126"/>
        <v>0</v>
      </c>
      <c r="AX367" s="137">
        <f>S367-T367-(AS367-AT367)</f>
        <v>0</v>
      </c>
      <c r="AY367" s="137"/>
      <c r="AZ367" s="137"/>
      <c r="BA367" s="136"/>
      <c r="BB367" s="145"/>
      <c r="BC367" s="145"/>
      <c r="BD367" s="145"/>
      <c r="BE367" s="145"/>
      <c r="BF367" s="145"/>
      <c r="BG367" s="145"/>
      <c r="BH367" s="138"/>
      <c r="BI367" s="138"/>
      <c r="BJ367" s="138"/>
      <c r="BK367" s="138"/>
      <c r="BL367" s="138"/>
      <c r="BM367" s="138"/>
      <c r="BN367" s="138"/>
    </row>
    <row r="368" spans="1:66" s="91" customFormat="1" ht="63.75" hidden="1" customHeight="1" x14ac:dyDescent="0.2">
      <c r="A368" s="150" t="s">
        <v>1348</v>
      </c>
      <c r="B368" s="18" t="s">
        <v>842</v>
      </c>
      <c r="C368" s="18" t="s">
        <v>843</v>
      </c>
      <c r="D368" s="19" t="s">
        <v>844</v>
      </c>
      <c r="E368" s="55">
        <v>1</v>
      </c>
      <c r="F368" s="55" t="s">
        <v>35</v>
      </c>
      <c r="G368" s="55" t="s">
        <v>5</v>
      </c>
      <c r="H368" s="55" t="s">
        <v>960</v>
      </c>
      <c r="I368" s="55"/>
      <c r="J368" s="55"/>
      <c r="K368" s="19" t="s">
        <v>893</v>
      </c>
      <c r="L368" s="19"/>
      <c r="M368" s="19"/>
      <c r="N368" s="19" t="s">
        <v>1419</v>
      </c>
      <c r="O368" s="151">
        <v>42916</v>
      </c>
      <c r="P368" s="235">
        <v>43008</v>
      </c>
      <c r="Q368" s="235"/>
      <c r="R368" s="151"/>
      <c r="S368" s="152">
        <v>340000</v>
      </c>
      <c r="T368" s="152">
        <v>0</v>
      </c>
      <c r="U368" s="145">
        <v>0</v>
      </c>
      <c r="V368" s="145">
        <v>0</v>
      </c>
      <c r="W368" s="145">
        <v>0</v>
      </c>
      <c r="X368" s="145">
        <f t="shared" si="129"/>
        <v>0</v>
      </c>
      <c r="Y368" s="145">
        <v>0</v>
      </c>
      <c r="Z368" s="145">
        <v>0</v>
      </c>
      <c r="AA368" s="145">
        <v>0</v>
      </c>
      <c r="AB368" s="145">
        <v>0</v>
      </c>
      <c r="AC368" s="145">
        <v>0</v>
      </c>
      <c r="AD368" s="145">
        <v>0</v>
      </c>
      <c r="AE368" s="145">
        <v>0</v>
      </c>
      <c r="AF368" s="145">
        <v>0</v>
      </c>
      <c r="AG368" s="145">
        <v>0</v>
      </c>
      <c r="AH368" s="145">
        <v>0</v>
      </c>
      <c r="AI368" s="145">
        <v>0</v>
      </c>
      <c r="AJ368" s="145">
        <v>0</v>
      </c>
      <c r="AK368" s="153">
        <f t="shared" si="130"/>
        <v>0</v>
      </c>
      <c r="AL368" s="145">
        <v>306000</v>
      </c>
      <c r="AM368" s="145">
        <v>34000</v>
      </c>
      <c r="AN368" s="145">
        <v>0</v>
      </c>
      <c r="AO368" s="145">
        <v>0</v>
      </c>
      <c r="AP368" s="145">
        <v>0</v>
      </c>
      <c r="AQ368" s="145">
        <v>0</v>
      </c>
      <c r="AR368" s="145">
        <v>0</v>
      </c>
      <c r="AS368" s="145">
        <f t="shared" si="133"/>
        <v>340000</v>
      </c>
      <c r="AT368" s="145"/>
      <c r="AU368" s="139"/>
      <c r="AV368" s="146">
        <f>IFERROR(VLOOKUP(J368,Maksājumu_pieprasījumu_iesn.!G:BL,57,0),0)</f>
        <v>0</v>
      </c>
      <c r="AW368" s="139">
        <f t="shared" si="126"/>
        <v>0</v>
      </c>
      <c r="AX368" s="137">
        <f>S368-T368-(AS368-AT368)</f>
        <v>0</v>
      </c>
      <c r="AY368" s="137"/>
      <c r="AZ368" s="137"/>
      <c r="BA368" s="136"/>
      <c r="BB368" s="145"/>
      <c r="BC368" s="145"/>
      <c r="BD368" s="145"/>
      <c r="BE368" s="145"/>
      <c r="BF368" s="145"/>
      <c r="BG368" s="145"/>
      <c r="BH368" s="138"/>
      <c r="BI368" s="138"/>
      <c r="BJ368" s="138"/>
      <c r="BK368" s="138"/>
      <c r="BL368" s="138"/>
      <c r="BM368" s="138"/>
      <c r="BN368" s="138"/>
    </row>
    <row r="369" spans="1:66" s="221" customFormat="1" ht="51" hidden="1" customHeight="1" x14ac:dyDescent="0.2">
      <c r="A369" s="220" t="s">
        <v>1348</v>
      </c>
      <c r="B369" s="20" t="s">
        <v>842</v>
      </c>
      <c r="C369" s="20" t="s">
        <v>843</v>
      </c>
      <c r="D369" s="21" t="s">
        <v>844</v>
      </c>
      <c r="E369" s="52">
        <v>1</v>
      </c>
      <c r="F369" s="52" t="s">
        <v>35</v>
      </c>
      <c r="G369" s="52" t="s">
        <v>5</v>
      </c>
      <c r="H369" s="52" t="s">
        <v>960</v>
      </c>
      <c r="I369" s="52"/>
      <c r="J369" s="52"/>
      <c r="K369" s="21" t="s">
        <v>893</v>
      </c>
      <c r="L369" s="21"/>
      <c r="M369" s="21"/>
      <c r="N369" s="21" t="s">
        <v>1420</v>
      </c>
      <c r="O369" s="188">
        <v>42978</v>
      </c>
      <c r="P369" s="235">
        <v>43100</v>
      </c>
      <c r="Q369" s="235"/>
      <c r="R369" s="188"/>
      <c r="S369" s="189">
        <v>500000</v>
      </c>
      <c r="T369" s="189"/>
      <c r="U369" s="153"/>
      <c r="V369" s="153"/>
      <c r="W369" s="153"/>
      <c r="X369" s="153">
        <f t="shared" si="129"/>
        <v>0</v>
      </c>
      <c r="Y369" s="153"/>
      <c r="Z369" s="153"/>
      <c r="AA369" s="153"/>
      <c r="AB369" s="153"/>
      <c r="AC369" s="153"/>
      <c r="AD369" s="153"/>
      <c r="AE369" s="153">
        <v>0</v>
      </c>
      <c r="AF369" s="153">
        <v>0</v>
      </c>
      <c r="AG369" s="153">
        <v>0</v>
      </c>
      <c r="AH369" s="153">
        <v>0</v>
      </c>
      <c r="AI369" s="153">
        <v>0</v>
      </c>
      <c r="AJ369" s="153">
        <v>0</v>
      </c>
      <c r="AK369" s="153">
        <f t="shared" si="130"/>
        <v>0</v>
      </c>
      <c r="AL369" s="153">
        <v>300000</v>
      </c>
      <c r="AM369" s="153">
        <v>200000.01</v>
      </c>
      <c r="AN369" s="153">
        <v>0</v>
      </c>
      <c r="AO369" s="153">
        <v>0</v>
      </c>
      <c r="AP369" s="153">
        <v>0</v>
      </c>
      <c r="AQ369" s="153">
        <v>0</v>
      </c>
      <c r="AR369" s="153">
        <v>0</v>
      </c>
      <c r="AS369" s="153">
        <f t="shared" si="133"/>
        <v>500000.01</v>
      </c>
      <c r="AT369" s="153"/>
      <c r="AU369" s="139"/>
      <c r="AV369" s="146">
        <f>IFERROR(VLOOKUP(J369,Maksājumu_pieprasījumu_iesn.!G:BL,57,0),0)</f>
        <v>0</v>
      </c>
      <c r="AW369" s="139">
        <f t="shared" si="126"/>
        <v>0</v>
      </c>
      <c r="AX369" s="137"/>
      <c r="AY369" s="137"/>
      <c r="AZ369" s="236"/>
      <c r="BA369" s="236"/>
      <c r="BB369" s="153"/>
      <c r="BC369" s="153"/>
      <c r="BD369" s="153"/>
      <c r="BE369" s="153"/>
      <c r="BF369" s="153"/>
      <c r="BG369" s="153"/>
      <c r="BH369" s="138"/>
      <c r="BI369" s="138"/>
      <c r="BJ369" s="138"/>
      <c r="BK369" s="138"/>
      <c r="BL369" s="138"/>
      <c r="BM369" s="138"/>
      <c r="BN369" s="138"/>
    </row>
    <row r="370" spans="1:66" s="221" customFormat="1" ht="38.25" hidden="1" customHeight="1" x14ac:dyDescent="0.2">
      <c r="A370" s="220" t="s">
        <v>1348</v>
      </c>
      <c r="B370" s="20" t="s">
        <v>842</v>
      </c>
      <c r="C370" s="20" t="s">
        <v>843</v>
      </c>
      <c r="D370" s="21" t="s">
        <v>844</v>
      </c>
      <c r="E370" s="52">
        <v>1</v>
      </c>
      <c r="F370" s="52" t="s">
        <v>35</v>
      </c>
      <c r="G370" s="52" t="s">
        <v>5</v>
      </c>
      <c r="H370" s="52" t="s">
        <v>960</v>
      </c>
      <c r="I370" s="52"/>
      <c r="J370" s="52"/>
      <c r="K370" s="21" t="s">
        <v>893</v>
      </c>
      <c r="L370" s="21"/>
      <c r="M370" s="21"/>
      <c r="N370" s="21" t="s">
        <v>1421</v>
      </c>
      <c r="O370" s="188">
        <v>42916</v>
      </c>
      <c r="P370" s="235">
        <v>43008</v>
      </c>
      <c r="Q370" s="235"/>
      <c r="R370" s="188"/>
      <c r="S370" s="189">
        <v>486054.65</v>
      </c>
      <c r="T370" s="189"/>
      <c r="U370" s="153"/>
      <c r="V370" s="153"/>
      <c r="W370" s="153"/>
      <c r="X370" s="153">
        <f t="shared" si="129"/>
        <v>0</v>
      </c>
      <c r="Y370" s="153"/>
      <c r="Z370" s="153"/>
      <c r="AA370" s="153"/>
      <c r="AB370" s="153"/>
      <c r="AC370" s="153"/>
      <c r="AD370" s="153"/>
      <c r="AE370" s="153">
        <v>0</v>
      </c>
      <c r="AF370" s="153">
        <v>0</v>
      </c>
      <c r="AG370" s="153">
        <v>0</v>
      </c>
      <c r="AH370" s="153">
        <v>0</v>
      </c>
      <c r="AI370" s="153">
        <v>0</v>
      </c>
      <c r="AJ370" s="153">
        <v>0</v>
      </c>
      <c r="AK370" s="153">
        <f t="shared" si="130"/>
        <v>0</v>
      </c>
      <c r="AL370" s="153">
        <v>437448.65</v>
      </c>
      <c r="AM370" s="153">
        <v>48606</v>
      </c>
      <c r="AN370" s="153">
        <v>0</v>
      </c>
      <c r="AO370" s="153">
        <v>0</v>
      </c>
      <c r="AP370" s="153">
        <v>0</v>
      </c>
      <c r="AQ370" s="153">
        <v>0</v>
      </c>
      <c r="AR370" s="153">
        <v>0</v>
      </c>
      <c r="AS370" s="153">
        <f t="shared" si="133"/>
        <v>486054.65</v>
      </c>
      <c r="AT370" s="153"/>
      <c r="AU370" s="139"/>
      <c r="AV370" s="146">
        <f>IFERROR(VLOOKUP(J370,Maksājumu_pieprasījumu_iesn.!G:BL,57,0),0)</f>
        <v>0</v>
      </c>
      <c r="AW370" s="139">
        <f t="shared" si="126"/>
        <v>0</v>
      </c>
      <c r="AX370" s="137"/>
      <c r="AY370" s="137"/>
      <c r="AZ370" s="236"/>
      <c r="BA370" s="236"/>
      <c r="BB370" s="153"/>
      <c r="BC370" s="153"/>
      <c r="BD370" s="153"/>
      <c r="BE370" s="153"/>
      <c r="BF370" s="153"/>
      <c r="BG370" s="153"/>
      <c r="BH370" s="138"/>
      <c r="BI370" s="138"/>
      <c r="BJ370" s="138"/>
      <c r="BK370" s="138"/>
      <c r="BL370" s="138"/>
      <c r="BM370" s="138"/>
      <c r="BN370" s="138"/>
    </row>
    <row r="371" spans="1:66" s="221" customFormat="1" ht="51" hidden="1" customHeight="1" x14ac:dyDescent="0.2">
      <c r="A371" s="220" t="s">
        <v>1348</v>
      </c>
      <c r="B371" s="20" t="s">
        <v>842</v>
      </c>
      <c r="C371" s="20" t="s">
        <v>843</v>
      </c>
      <c r="D371" s="21" t="s">
        <v>844</v>
      </c>
      <c r="E371" s="52">
        <v>1</v>
      </c>
      <c r="F371" s="52" t="s">
        <v>35</v>
      </c>
      <c r="G371" s="52" t="s">
        <v>5</v>
      </c>
      <c r="H371" s="52" t="s">
        <v>960</v>
      </c>
      <c r="I371" s="52"/>
      <c r="J371" s="52"/>
      <c r="K371" s="21" t="s">
        <v>893</v>
      </c>
      <c r="L371" s="21"/>
      <c r="M371" s="21"/>
      <c r="N371" s="21" t="s">
        <v>1422</v>
      </c>
      <c r="O371" s="188">
        <v>42916</v>
      </c>
      <c r="P371" s="235">
        <v>43008</v>
      </c>
      <c r="Q371" s="235"/>
      <c r="R371" s="188"/>
      <c r="S371" s="189">
        <v>579550.4</v>
      </c>
      <c r="T371" s="189"/>
      <c r="U371" s="153"/>
      <c r="V371" s="153"/>
      <c r="W371" s="153"/>
      <c r="X371" s="153">
        <f t="shared" si="129"/>
        <v>0</v>
      </c>
      <c r="Y371" s="153"/>
      <c r="Z371" s="153"/>
      <c r="AA371" s="153"/>
      <c r="AB371" s="153"/>
      <c r="AC371" s="153"/>
      <c r="AD371" s="153"/>
      <c r="AE371" s="153">
        <v>0</v>
      </c>
      <c r="AF371" s="153">
        <v>0</v>
      </c>
      <c r="AG371" s="153">
        <v>0</v>
      </c>
      <c r="AH371" s="153">
        <v>0</v>
      </c>
      <c r="AI371" s="153">
        <v>0</v>
      </c>
      <c r="AJ371" s="153">
        <v>0</v>
      </c>
      <c r="AK371" s="153">
        <f t="shared" si="130"/>
        <v>0</v>
      </c>
      <c r="AL371" s="153">
        <v>521594.4</v>
      </c>
      <c r="AM371" s="153">
        <v>57956</v>
      </c>
      <c r="AN371" s="153">
        <v>0</v>
      </c>
      <c r="AO371" s="153">
        <v>0</v>
      </c>
      <c r="AP371" s="153">
        <v>0</v>
      </c>
      <c r="AQ371" s="153">
        <v>0</v>
      </c>
      <c r="AR371" s="153">
        <v>0</v>
      </c>
      <c r="AS371" s="153">
        <f t="shared" si="133"/>
        <v>579550.4</v>
      </c>
      <c r="AT371" s="153"/>
      <c r="AU371" s="139"/>
      <c r="AV371" s="146">
        <f>IFERROR(VLOOKUP(J371,Maksājumu_pieprasījumu_iesn.!G:BL,57,0),0)</f>
        <v>0</v>
      </c>
      <c r="AW371" s="139">
        <f t="shared" si="126"/>
        <v>0</v>
      </c>
      <c r="AX371" s="137"/>
      <c r="AY371" s="137"/>
      <c r="AZ371" s="236"/>
      <c r="BA371" s="236"/>
      <c r="BB371" s="153"/>
      <c r="BC371" s="153"/>
      <c r="BD371" s="153"/>
      <c r="BE371" s="153"/>
      <c r="BF371" s="153"/>
      <c r="BG371" s="153"/>
      <c r="BH371" s="138"/>
      <c r="BI371" s="138"/>
      <c r="BJ371" s="138"/>
      <c r="BK371" s="138"/>
      <c r="BL371" s="138"/>
      <c r="BM371" s="138"/>
      <c r="BN371" s="138"/>
    </row>
    <row r="372" spans="1:66" s="91" customFormat="1" ht="25.5" hidden="1" customHeight="1" x14ac:dyDescent="0.2">
      <c r="A372" s="150" t="s">
        <v>1348</v>
      </c>
      <c r="B372" s="18" t="s">
        <v>842</v>
      </c>
      <c r="C372" s="18" t="s">
        <v>843</v>
      </c>
      <c r="D372" s="19" t="s">
        <v>844</v>
      </c>
      <c r="E372" s="55">
        <v>1</v>
      </c>
      <c r="F372" s="55" t="s">
        <v>35</v>
      </c>
      <c r="G372" s="55" t="s">
        <v>5</v>
      </c>
      <c r="H372" s="55" t="s">
        <v>960</v>
      </c>
      <c r="I372" s="55"/>
      <c r="J372" s="55"/>
      <c r="K372" s="19" t="s">
        <v>1195</v>
      </c>
      <c r="L372" s="19"/>
      <c r="M372" s="19"/>
      <c r="N372" s="19" t="s">
        <v>1423</v>
      </c>
      <c r="O372" s="151">
        <v>43251</v>
      </c>
      <c r="P372" s="151"/>
      <c r="Q372" s="151"/>
      <c r="R372" s="151"/>
      <c r="S372" s="152">
        <v>549687</v>
      </c>
      <c r="T372" s="152">
        <v>0</v>
      </c>
      <c r="U372" s="145">
        <v>0</v>
      </c>
      <c r="V372" s="145">
        <v>0</v>
      </c>
      <c r="W372" s="145">
        <v>0</v>
      </c>
      <c r="X372" s="145">
        <f t="shared" si="129"/>
        <v>0</v>
      </c>
      <c r="Y372" s="145">
        <v>0</v>
      </c>
      <c r="Z372" s="145">
        <v>0</v>
      </c>
      <c r="AA372" s="145">
        <v>0</v>
      </c>
      <c r="AB372" s="145">
        <v>0</v>
      </c>
      <c r="AC372" s="145">
        <v>0</v>
      </c>
      <c r="AD372" s="145">
        <v>0</v>
      </c>
      <c r="AE372" s="145">
        <v>0</v>
      </c>
      <c r="AF372" s="145">
        <v>0</v>
      </c>
      <c r="AG372" s="145">
        <v>0</v>
      </c>
      <c r="AH372" s="145">
        <v>0</v>
      </c>
      <c r="AI372" s="145">
        <v>0</v>
      </c>
      <c r="AJ372" s="145">
        <v>0</v>
      </c>
      <c r="AK372" s="145">
        <f t="shared" si="130"/>
        <v>0</v>
      </c>
      <c r="AL372" s="145">
        <v>200000</v>
      </c>
      <c r="AM372" s="145">
        <v>350056</v>
      </c>
      <c r="AN372" s="145">
        <v>0</v>
      </c>
      <c r="AO372" s="145">
        <v>0</v>
      </c>
      <c r="AP372" s="145">
        <v>0</v>
      </c>
      <c r="AQ372" s="145">
        <v>0</v>
      </c>
      <c r="AR372" s="145">
        <v>0</v>
      </c>
      <c r="AS372" s="145">
        <f t="shared" si="133"/>
        <v>550056</v>
      </c>
      <c r="AT372" s="145"/>
      <c r="AU372" s="139">
        <f t="shared" si="123"/>
        <v>550056</v>
      </c>
      <c r="AV372" s="146">
        <f>IFERROR(VLOOKUP(J372,Maksājumu_pieprasījumu_iesn.!G:BL,57,0),0)</f>
        <v>0</v>
      </c>
      <c r="AW372" s="139">
        <f t="shared" si="126"/>
        <v>-550056</v>
      </c>
      <c r="AX372" s="137">
        <f t="shared" ref="AX372:AX403" si="134">S372-T372-(AS372-AT372)</f>
        <v>-369</v>
      </c>
      <c r="AY372" s="137"/>
      <c r="AZ372" s="200" t="s">
        <v>1424</v>
      </c>
      <c r="BA372" s="200" t="s">
        <v>1424</v>
      </c>
      <c r="BB372" s="145"/>
      <c r="BC372" s="145"/>
      <c r="BD372" s="145"/>
      <c r="BE372" s="145"/>
      <c r="BF372" s="145"/>
      <c r="BG372" s="145"/>
      <c r="BH372" s="138"/>
      <c r="BI372" s="138"/>
      <c r="BJ372" s="138"/>
      <c r="BK372" s="138"/>
      <c r="BL372" s="138"/>
      <c r="BM372" s="138"/>
      <c r="BN372" s="138"/>
    </row>
    <row r="373" spans="1:66" s="91" customFormat="1" ht="38.25" hidden="1" customHeight="1" x14ac:dyDescent="0.2">
      <c r="A373" s="150" t="s">
        <v>1348</v>
      </c>
      <c r="B373" s="18" t="s">
        <v>842</v>
      </c>
      <c r="C373" s="18" t="s">
        <v>843</v>
      </c>
      <c r="D373" s="19" t="s">
        <v>844</v>
      </c>
      <c r="E373" s="55">
        <v>1</v>
      </c>
      <c r="F373" s="55" t="s">
        <v>35</v>
      </c>
      <c r="G373" s="55" t="s">
        <v>5</v>
      </c>
      <c r="H373" s="55" t="s">
        <v>960</v>
      </c>
      <c r="I373" s="55"/>
      <c r="J373" s="55"/>
      <c r="K373" s="19" t="s">
        <v>1195</v>
      </c>
      <c r="L373" s="19"/>
      <c r="M373" s="19"/>
      <c r="N373" s="19" t="s">
        <v>1425</v>
      </c>
      <c r="O373" s="151">
        <v>42916</v>
      </c>
      <c r="P373" s="151"/>
      <c r="Q373" s="151"/>
      <c r="R373" s="151"/>
      <c r="S373" s="152">
        <v>193275</v>
      </c>
      <c r="T373" s="152">
        <v>0</v>
      </c>
      <c r="U373" s="145">
        <v>0</v>
      </c>
      <c r="V373" s="145">
        <v>0</v>
      </c>
      <c r="W373" s="145">
        <v>0</v>
      </c>
      <c r="X373" s="145">
        <f t="shared" si="129"/>
        <v>0</v>
      </c>
      <c r="Y373" s="145">
        <v>0</v>
      </c>
      <c r="Z373" s="145">
        <v>0</v>
      </c>
      <c r="AA373" s="145">
        <v>0</v>
      </c>
      <c r="AB373" s="145">
        <v>0</v>
      </c>
      <c r="AC373" s="145">
        <v>0</v>
      </c>
      <c r="AD373" s="145">
        <v>0</v>
      </c>
      <c r="AE373" s="145">
        <v>0</v>
      </c>
      <c r="AF373" s="145">
        <v>0</v>
      </c>
      <c r="AG373" s="145">
        <v>0</v>
      </c>
      <c r="AH373" s="145">
        <v>0</v>
      </c>
      <c r="AI373" s="145">
        <v>0</v>
      </c>
      <c r="AJ373" s="145">
        <v>0</v>
      </c>
      <c r="AK373" s="145">
        <f t="shared" si="130"/>
        <v>0</v>
      </c>
      <c r="AL373" s="145">
        <v>425000</v>
      </c>
      <c r="AM373" s="145">
        <v>0</v>
      </c>
      <c r="AN373" s="145">
        <v>0</v>
      </c>
      <c r="AO373" s="145">
        <v>0</v>
      </c>
      <c r="AP373" s="145">
        <v>0</v>
      </c>
      <c r="AQ373" s="145">
        <v>0</v>
      </c>
      <c r="AR373" s="145">
        <v>0</v>
      </c>
      <c r="AS373" s="145">
        <f t="shared" si="133"/>
        <v>425000</v>
      </c>
      <c r="AT373" s="145"/>
      <c r="AU373" s="139">
        <f t="shared" si="123"/>
        <v>425000</v>
      </c>
      <c r="AV373" s="146">
        <f>IFERROR(VLOOKUP(J373,Maksājumu_pieprasījumu_iesn.!G:BL,57,0),0)</f>
        <v>0</v>
      </c>
      <c r="AW373" s="139">
        <f t="shared" si="126"/>
        <v>-425000</v>
      </c>
      <c r="AX373" s="137">
        <f t="shared" si="134"/>
        <v>-231725</v>
      </c>
      <c r="AY373" s="137"/>
      <c r="AZ373" s="200" t="s">
        <v>1424</v>
      </c>
      <c r="BA373" s="200" t="s">
        <v>1424</v>
      </c>
      <c r="BB373" s="145"/>
      <c r="BC373" s="145"/>
      <c r="BD373" s="145"/>
      <c r="BE373" s="145"/>
      <c r="BF373" s="145"/>
      <c r="BG373" s="145"/>
      <c r="BH373" s="138"/>
      <c r="BI373" s="138"/>
      <c r="BJ373" s="138"/>
      <c r="BK373" s="138"/>
      <c r="BL373" s="138"/>
      <c r="BM373" s="138"/>
      <c r="BN373" s="138"/>
    </row>
    <row r="374" spans="1:66" s="91" customFormat="1" ht="38.25" hidden="1" customHeight="1" x14ac:dyDescent="0.2">
      <c r="A374" s="150" t="s">
        <v>1348</v>
      </c>
      <c r="B374" s="18" t="s">
        <v>842</v>
      </c>
      <c r="C374" s="18" t="s">
        <v>843</v>
      </c>
      <c r="D374" s="19" t="s">
        <v>844</v>
      </c>
      <c r="E374" s="55">
        <v>1</v>
      </c>
      <c r="F374" s="55" t="s">
        <v>35</v>
      </c>
      <c r="G374" s="55" t="s">
        <v>5</v>
      </c>
      <c r="H374" s="55" t="s">
        <v>960</v>
      </c>
      <c r="I374" s="55"/>
      <c r="J374" s="55"/>
      <c r="K374" s="19" t="s">
        <v>1195</v>
      </c>
      <c r="L374" s="19"/>
      <c r="M374" s="19"/>
      <c r="N374" s="19" t="s">
        <v>1426</v>
      </c>
      <c r="O374" s="151">
        <v>43585</v>
      </c>
      <c r="P374" s="151"/>
      <c r="Q374" s="151"/>
      <c r="R374" s="151"/>
      <c r="S374" s="152">
        <v>541994</v>
      </c>
      <c r="T374" s="152">
        <v>0</v>
      </c>
      <c r="U374" s="145">
        <v>0</v>
      </c>
      <c r="V374" s="145">
        <v>0</v>
      </c>
      <c r="W374" s="145">
        <v>0</v>
      </c>
      <c r="X374" s="145">
        <f t="shared" si="129"/>
        <v>0</v>
      </c>
      <c r="Y374" s="145">
        <v>0</v>
      </c>
      <c r="Z374" s="145">
        <v>0</v>
      </c>
      <c r="AA374" s="145">
        <v>0</v>
      </c>
      <c r="AB374" s="145">
        <v>0</v>
      </c>
      <c r="AC374" s="145">
        <v>0</v>
      </c>
      <c r="AD374" s="145">
        <v>0</v>
      </c>
      <c r="AE374" s="145">
        <v>0</v>
      </c>
      <c r="AF374" s="145">
        <v>0</v>
      </c>
      <c r="AG374" s="145">
        <v>0</v>
      </c>
      <c r="AH374" s="145">
        <v>0</v>
      </c>
      <c r="AI374" s="145">
        <v>0</v>
      </c>
      <c r="AJ374" s="145">
        <v>0</v>
      </c>
      <c r="AK374" s="145">
        <f t="shared" si="130"/>
        <v>0</v>
      </c>
      <c r="AL374" s="145">
        <v>0</v>
      </c>
      <c r="AM374" s="145">
        <v>408213</v>
      </c>
      <c r="AN374" s="145">
        <v>0</v>
      </c>
      <c r="AO374" s="145">
        <v>0</v>
      </c>
      <c r="AP374" s="145">
        <v>0</v>
      </c>
      <c r="AQ374" s="145">
        <v>0</v>
      </c>
      <c r="AR374" s="145">
        <v>0</v>
      </c>
      <c r="AS374" s="145">
        <f t="shared" si="133"/>
        <v>408213</v>
      </c>
      <c r="AT374" s="145"/>
      <c r="AU374" s="139">
        <f t="shared" si="123"/>
        <v>408213</v>
      </c>
      <c r="AV374" s="146">
        <f>IFERROR(VLOOKUP(J374,Maksājumu_pieprasījumu_iesn.!G:BL,57,0),0)</f>
        <v>0</v>
      </c>
      <c r="AW374" s="139">
        <f t="shared" si="126"/>
        <v>-408213</v>
      </c>
      <c r="AX374" s="137">
        <f t="shared" si="134"/>
        <v>133781</v>
      </c>
      <c r="AY374" s="137"/>
      <c r="AZ374" s="138" t="s">
        <v>1427</v>
      </c>
      <c r="BA374" s="138" t="s">
        <v>1427</v>
      </c>
      <c r="BB374" s="145"/>
      <c r="BC374" s="145"/>
      <c r="BD374" s="145"/>
      <c r="BE374" s="145"/>
      <c r="BF374" s="145"/>
      <c r="BG374" s="145"/>
      <c r="BH374" s="138"/>
      <c r="BI374" s="138"/>
      <c r="BJ374" s="138"/>
      <c r="BK374" s="138"/>
      <c r="BL374" s="138"/>
      <c r="BM374" s="138"/>
      <c r="BN374" s="138"/>
    </row>
    <row r="375" spans="1:66" s="91" customFormat="1" ht="25.5" hidden="1" customHeight="1" x14ac:dyDescent="0.2">
      <c r="A375" s="150" t="s">
        <v>1348</v>
      </c>
      <c r="B375" s="18" t="s">
        <v>842</v>
      </c>
      <c r="C375" s="18" t="s">
        <v>843</v>
      </c>
      <c r="D375" s="19" t="s">
        <v>844</v>
      </c>
      <c r="E375" s="55">
        <v>1</v>
      </c>
      <c r="F375" s="55" t="s">
        <v>35</v>
      </c>
      <c r="G375" s="55" t="s">
        <v>5</v>
      </c>
      <c r="H375" s="55" t="s">
        <v>960</v>
      </c>
      <c r="I375" s="55"/>
      <c r="J375" s="55"/>
      <c r="K375" s="19" t="s">
        <v>1195</v>
      </c>
      <c r="L375" s="19"/>
      <c r="M375" s="19"/>
      <c r="N375" s="19" t="s">
        <v>1428</v>
      </c>
      <c r="O375" s="151">
        <v>43585</v>
      </c>
      <c r="P375" s="151"/>
      <c r="Q375" s="151"/>
      <c r="R375" s="151"/>
      <c r="S375" s="152">
        <v>55162</v>
      </c>
      <c r="T375" s="152">
        <v>0</v>
      </c>
      <c r="U375" s="145">
        <v>0</v>
      </c>
      <c r="V375" s="145">
        <v>0</v>
      </c>
      <c r="W375" s="145">
        <v>0</v>
      </c>
      <c r="X375" s="145">
        <f t="shared" si="129"/>
        <v>0</v>
      </c>
      <c r="Y375" s="145">
        <v>0</v>
      </c>
      <c r="Z375" s="145">
        <v>0</v>
      </c>
      <c r="AA375" s="145">
        <v>0</v>
      </c>
      <c r="AB375" s="145">
        <v>0</v>
      </c>
      <c r="AC375" s="145">
        <v>0</v>
      </c>
      <c r="AD375" s="145">
        <v>0</v>
      </c>
      <c r="AE375" s="145">
        <v>0</v>
      </c>
      <c r="AF375" s="145">
        <v>0</v>
      </c>
      <c r="AG375" s="145">
        <v>0</v>
      </c>
      <c r="AH375" s="145">
        <v>0</v>
      </c>
      <c r="AI375" s="145">
        <v>0</v>
      </c>
      <c r="AJ375" s="145">
        <v>0</v>
      </c>
      <c r="AK375" s="145">
        <f t="shared" si="130"/>
        <v>0</v>
      </c>
      <c r="AL375" s="145">
        <v>0</v>
      </c>
      <c r="AM375" s="145">
        <v>55162</v>
      </c>
      <c r="AN375" s="145">
        <v>0</v>
      </c>
      <c r="AO375" s="145">
        <v>0</v>
      </c>
      <c r="AP375" s="145">
        <v>0</v>
      </c>
      <c r="AQ375" s="145">
        <v>0</v>
      </c>
      <c r="AR375" s="145">
        <v>0</v>
      </c>
      <c r="AS375" s="145">
        <f t="shared" si="133"/>
        <v>55162</v>
      </c>
      <c r="AT375" s="145"/>
      <c r="AU375" s="139">
        <f t="shared" si="123"/>
        <v>55162</v>
      </c>
      <c r="AV375" s="146">
        <f>IFERROR(VLOOKUP(J375,Maksājumu_pieprasījumu_iesn.!G:BL,57,0),0)</f>
        <v>0</v>
      </c>
      <c r="AW375" s="139">
        <f t="shared" si="126"/>
        <v>-55162</v>
      </c>
      <c r="AX375" s="137">
        <f t="shared" si="134"/>
        <v>0</v>
      </c>
      <c r="AY375" s="137"/>
      <c r="AZ375" s="137"/>
      <c r="BA375" s="136"/>
      <c r="BB375" s="145"/>
      <c r="BC375" s="145"/>
      <c r="BD375" s="145"/>
      <c r="BE375" s="145"/>
      <c r="BF375" s="145"/>
      <c r="BG375" s="145"/>
      <c r="BH375" s="138"/>
      <c r="BI375" s="138"/>
      <c r="BJ375" s="138"/>
      <c r="BK375" s="138"/>
      <c r="BL375" s="138"/>
      <c r="BM375" s="138"/>
      <c r="BN375" s="138"/>
    </row>
    <row r="376" spans="1:66" s="91" customFormat="1" ht="38.25" hidden="1" customHeight="1" x14ac:dyDescent="0.2">
      <c r="A376" s="150" t="s">
        <v>1348</v>
      </c>
      <c r="B376" s="18" t="s">
        <v>842</v>
      </c>
      <c r="C376" s="18" t="s">
        <v>843</v>
      </c>
      <c r="D376" s="19" t="s">
        <v>844</v>
      </c>
      <c r="E376" s="55">
        <v>1</v>
      </c>
      <c r="F376" s="55" t="s">
        <v>35</v>
      </c>
      <c r="G376" s="55" t="s">
        <v>5</v>
      </c>
      <c r="H376" s="55" t="s">
        <v>960</v>
      </c>
      <c r="I376" s="55"/>
      <c r="J376" s="55"/>
      <c r="K376" s="19" t="s">
        <v>1195</v>
      </c>
      <c r="L376" s="19"/>
      <c r="M376" s="19"/>
      <c r="N376" s="19" t="s">
        <v>1429</v>
      </c>
      <c r="O376" s="151">
        <v>43555</v>
      </c>
      <c r="P376" s="151"/>
      <c r="Q376" s="151"/>
      <c r="R376" s="151"/>
      <c r="S376" s="152">
        <v>170657</v>
      </c>
      <c r="T376" s="152">
        <v>0</v>
      </c>
      <c r="U376" s="145">
        <v>0</v>
      </c>
      <c r="V376" s="145">
        <v>0</v>
      </c>
      <c r="W376" s="145">
        <v>0</v>
      </c>
      <c r="X376" s="145">
        <f t="shared" si="129"/>
        <v>0</v>
      </c>
      <c r="Y376" s="145">
        <v>0</v>
      </c>
      <c r="Z376" s="145">
        <v>0</v>
      </c>
      <c r="AA376" s="145">
        <v>0</v>
      </c>
      <c r="AB376" s="145">
        <v>0</v>
      </c>
      <c r="AC376" s="145">
        <v>0</v>
      </c>
      <c r="AD376" s="145">
        <v>0</v>
      </c>
      <c r="AE376" s="145">
        <v>0</v>
      </c>
      <c r="AF376" s="145">
        <v>0</v>
      </c>
      <c r="AG376" s="145">
        <v>0</v>
      </c>
      <c r="AH376" s="145">
        <v>0</v>
      </c>
      <c r="AI376" s="145">
        <v>0</v>
      </c>
      <c r="AJ376" s="145">
        <v>0</v>
      </c>
      <c r="AK376" s="145">
        <f t="shared" si="130"/>
        <v>0</v>
      </c>
      <c r="AL376" s="145">
        <v>0</v>
      </c>
      <c r="AM376" s="145">
        <v>170657</v>
      </c>
      <c r="AN376" s="145">
        <v>0</v>
      </c>
      <c r="AO376" s="145">
        <v>0</v>
      </c>
      <c r="AP376" s="145">
        <v>0</v>
      </c>
      <c r="AQ376" s="145">
        <v>0</v>
      </c>
      <c r="AR376" s="145">
        <v>0</v>
      </c>
      <c r="AS376" s="145">
        <f t="shared" si="133"/>
        <v>170657</v>
      </c>
      <c r="AT376" s="145"/>
      <c r="AU376" s="139">
        <f t="shared" si="123"/>
        <v>170657</v>
      </c>
      <c r="AV376" s="146">
        <f>IFERROR(VLOOKUP(J376,Maksājumu_pieprasījumu_iesn.!G:BL,57,0),0)</f>
        <v>0</v>
      </c>
      <c r="AW376" s="139">
        <f t="shared" si="126"/>
        <v>-170657</v>
      </c>
      <c r="AX376" s="137">
        <f t="shared" si="134"/>
        <v>0</v>
      </c>
      <c r="AY376" s="137"/>
      <c r="AZ376" s="137"/>
      <c r="BA376" s="136"/>
      <c r="BB376" s="145"/>
      <c r="BC376" s="145"/>
      <c r="BD376" s="145"/>
      <c r="BE376" s="145"/>
      <c r="BF376" s="145"/>
      <c r="BG376" s="145"/>
      <c r="BH376" s="138"/>
      <c r="BI376" s="138"/>
      <c r="BJ376" s="138"/>
      <c r="BK376" s="138"/>
      <c r="BL376" s="138"/>
      <c r="BM376" s="138"/>
      <c r="BN376" s="138"/>
    </row>
    <row r="377" spans="1:66" s="91" customFormat="1" ht="51" hidden="1" customHeight="1" x14ac:dyDescent="0.2">
      <c r="A377" s="150" t="s">
        <v>1348</v>
      </c>
      <c r="B377" s="18" t="s">
        <v>842</v>
      </c>
      <c r="C377" s="18" t="s">
        <v>843</v>
      </c>
      <c r="D377" s="19" t="s">
        <v>844</v>
      </c>
      <c r="E377" s="55">
        <v>1</v>
      </c>
      <c r="F377" s="55" t="s">
        <v>35</v>
      </c>
      <c r="G377" s="55" t="s">
        <v>5</v>
      </c>
      <c r="H377" s="55" t="s">
        <v>960</v>
      </c>
      <c r="I377" s="55"/>
      <c r="J377" s="55"/>
      <c r="K377" s="19" t="s">
        <v>1195</v>
      </c>
      <c r="L377" s="19"/>
      <c r="M377" s="19"/>
      <c r="N377" s="19" t="s">
        <v>1430</v>
      </c>
      <c r="O377" s="151">
        <v>42916</v>
      </c>
      <c r="P377" s="151"/>
      <c r="Q377" s="151"/>
      <c r="R377" s="151"/>
      <c r="S377" s="152">
        <v>297500</v>
      </c>
      <c r="T377" s="152">
        <v>0</v>
      </c>
      <c r="U377" s="145">
        <v>0</v>
      </c>
      <c r="V377" s="145">
        <v>0</v>
      </c>
      <c r="W377" s="145">
        <v>0</v>
      </c>
      <c r="X377" s="145">
        <f t="shared" si="129"/>
        <v>0</v>
      </c>
      <c r="Y377" s="145">
        <v>0</v>
      </c>
      <c r="Z377" s="145">
        <v>0</v>
      </c>
      <c r="AA377" s="145">
        <v>0</v>
      </c>
      <c r="AB377" s="145">
        <v>0</v>
      </c>
      <c r="AC377" s="145">
        <v>0</v>
      </c>
      <c r="AD377" s="145">
        <v>0</v>
      </c>
      <c r="AE377" s="145">
        <v>0</v>
      </c>
      <c r="AF377" s="145">
        <v>0</v>
      </c>
      <c r="AG377" s="145">
        <v>0</v>
      </c>
      <c r="AH377" s="145">
        <v>0</v>
      </c>
      <c r="AI377" s="145">
        <v>0</v>
      </c>
      <c r="AJ377" s="145">
        <v>0</v>
      </c>
      <c r="AK377" s="145">
        <f t="shared" si="130"/>
        <v>0</v>
      </c>
      <c r="AL377" s="145">
        <v>425000</v>
      </c>
      <c r="AM377" s="145">
        <v>0</v>
      </c>
      <c r="AN377" s="145">
        <v>0</v>
      </c>
      <c r="AO377" s="145">
        <v>0</v>
      </c>
      <c r="AP377" s="145">
        <v>0</v>
      </c>
      <c r="AQ377" s="145">
        <v>0</v>
      </c>
      <c r="AR377" s="145">
        <v>0</v>
      </c>
      <c r="AS377" s="145">
        <f t="shared" si="133"/>
        <v>425000</v>
      </c>
      <c r="AT377" s="145"/>
      <c r="AU377" s="139">
        <f t="shared" si="123"/>
        <v>425000</v>
      </c>
      <c r="AV377" s="146">
        <f>IFERROR(VLOOKUP(J377,Maksājumu_pieprasījumu_iesn.!G:BL,57,0),0)</f>
        <v>0</v>
      </c>
      <c r="AW377" s="139">
        <f t="shared" si="126"/>
        <v>-425000</v>
      </c>
      <c r="AX377" s="137">
        <f t="shared" si="134"/>
        <v>-127500</v>
      </c>
      <c r="AY377" s="137"/>
      <c r="AZ377" s="200" t="s">
        <v>1424</v>
      </c>
      <c r="BA377" s="200" t="s">
        <v>1424</v>
      </c>
      <c r="BB377" s="145"/>
      <c r="BC377" s="145"/>
      <c r="BD377" s="145"/>
      <c r="BE377" s="145"/>
      <c r="BF377" s="145"/>
      <c r="BG377" s="145"/>
      <c r="BH377" s="138"/>
      <c r="BI377" s="138"/>
      <c r="BJ377" s="138"/>
      <c r="BK377" s="138"/>
      <c r="BL377" s="138"/>
      <c r="BM377" s="138"/>
      <c r="BN377" s="138"/>
    </row>
    <row r="378" spans="1:66" s="91" customFormat="1" ht="38.25" hidden="1" customHeight="1" x14ac:dyDescent="0.2">
      <c r="A378" s="150" t="s">
        <v>1348</v>
      </c>
      <c r="B378" s="18" t="s">
        <v>842</v>
      </c>
      <c r="C378" s="18" t="s">
        <v>843</v>
      </c>
      <c r="D378" s="19" t="s">
        <v>844</v>
      </c>
      <c r="E378" s="55">
        <v>1</v>
      </c>
      <c r="F378" s="55" t="s">
        <v>35</v>
      </c>
      <c r="G378" s="55" t="s">
        <v>5</v>
      </c>
      <c r="H378" s="55" t="s">
        <v>960</v>
      </c>
      <c r="I378" s="55"/>
      <c r="J378" s="55"/>
      <c r="K378" s="19" t="s">
        <v>488</v>
      </c>
      <c r="L378" s="19"/>
      <c r="M378" s="19"/>
      <c r="N378" s="19" t="s">
        <v>1431</v>
      </c>
      <c r="O378" s="151">
        <v>43465</v>
      </c>
      <c r="P378" s="151"/>
      <c r="Q378" s="151"/>
      <c r="R378" s="151"/>
      <c r="S378" s="152">
        <v>1419136</v>
      </c>
      <c r="T378" s="152">
        <v>0</v>
      </c>
      <c r="U378" s="145">
        <v>0</v>
      </c>
      <c r="V378" s="145">
        <v>0</v>
      </c>
      <c r="W378" s="145">
        <v>0</v>
      </c>
      <c r="X378" s="145">
        <f t="shared" si="129"/>
        <v>0</v>
      </c>
      <c r="Y378" s="145">
        <v>0</v>
      </c>
      <c r="Z378" s="145">
        <v>0</v>
      </c>
      <c r="AA378" s="145">
        <v>0</v>
      </c>
      <c r="AB378" s="145">
        <v>0</v>
      </c>
      <c r="AC378" s="145">
        <v>0</v>
      </c>
      <c r="AD378" s="145">
        <v>0</v>
      </c>
      <c r="AE378" s="145">
        <v>0</v>
      </c>
      <c r="AF378" s="145">
        <v>0</v>
      </c>
      <c r="AG378" s="145">
        <v>0</v>
      </c>
      <c r="AH378" s="145">
        <v>0</v>
      </c>
      <c r="AI378" s="145">
        <v>0</v>
      </c>
      <c r="AJ378" s="145">
        <v>0</v>
      </c>
      <c r="AK378" s="145">
        <f t="shared" si="130"/>
        <v>0</v>
      </c>
      <c r="AL378" s="145">
        <v>827830</v>
      </c>
      <c r="AM378" s="145">
        <v>591306</v>
      </c>
      <c r="AN378" s="145">
        <v>0</v>
      </c>
      <c r="AO378" s="145">
        <v>0</v>
      </c>
      <c r="AP378" s="145">
        <v>0</v>
      </c>
      <c r="AQ378" s="145">
        <v>0</v>
      </c>
      <c r="AR378" s="145">
        <v>0</v>
      </c>
      <c r="AS378" s="145">
        <f t="shared" si="133"/>
        <v>1419136</v>
      </c>
      <c r="AT378" s="145"/>
      <c r="AU378" s="139">
        <f t="shared" si="123"/>
        <v>1419136</v>
      </c>
      <c r="AV378" s="146">
        <f>IFERROR(VLOOKUP(J378,Maksājumu_pieprasījumu_iesn.!G:BL,57,0),0)</f>
        <v>0</v>
      </c>
      <c r="AW378" s="139">
        <f t="shared" si="126"/>
        <v>-1419136</v>
      </c>
      <c r="AX378" s="137">
        <f t="shared" si="134"/>
        <v>0</v>
      </c>
      <c r="AY378" s="137"/>
      <c r="AZ378" s="137"/>
      <c r="BA378" s="136"/>
      <c r="BB378" s="145"/>
      <c r="BC378" s="145"/>
      <c r="BD378" s="145"/>
      <c r="BE378" s="145"/>
      <c r="BF378" s="145"/>
      <c r="BG378" s="145"/>
      <c r="BH378" s="138"/>
      <c r="BI378" s="138"/>
      <c r="BJ378" s="138"/>
      <c r="BK378" s="138"/>
      <c r="BL378" s="138"/>
      <c r="BM378" s="138"/>
      <c r="BN378" s="138"/>
    </row>
    <row r="379" spans="1:66" s="91" customFormat="1" ht="51" hidden="1" customHeight="1" x14ac:dyDescent="0.2">
      <c r="A379" s="150" t="s">
        <v>1348</v>
      </c>
      <c r="B379" s="18" t="s">
        <v>842</v>
      </c>
      <c r="C379" s="18" t="s">
        <v>843</v>
      </c>
      <c r="D379" s="19" t="s">
        <v>844</v>
      </c>
      <c r="E379" s="55">
        <v>1</v>
      </c>
      <c r="F379" s="55" t="s">
        <v>35</v>
      </c>
      <c r="G379" s="55" t="s">
        <v>5</v>
      </c>
      <c r="H379" s="55" t="s">
        <v>960</v>
      </c>
      <c r="I379" s="55"/>
      <c r="J379" s="55"/>
      <c r="K379" s="19" t="s">
        <v>1432</v>
      </c>
      <c r="L379" s="19"/>
      <c r="M379" s="19"/>
      <c r="N379" s="19" t="s">
        <v>1433</v>
      </c>
      <c r="O379" s="151">
        <v>43282</v>
      </c>
      <c r="P379" s="151"/>
      <c r="Q379" s="151"/>
      <c r="R379" s="151"/>
      <c r="S379" s="152">
        <v>840774.26</v>
      </c>
      <c r="T379" s="152">
        <v>0</v>
      </c>
      <c r="U379" s="145">
        <v>0</v>
      </c>
      <c r="V379" s="145">
        <v>0</v>
      </c>
      <c r="W379" s="145">
        <v>0</v>
      </c>
      <c r="X379" s="145">
        <f t="shared" si="129"/>
        <v>0</v>
      </c>
      <c r="Y379" s="145">
        <v>0</v>
      </c>
      <c r="Z379" s="145">
        <v>0</v>
      </c>
      <c r="AA379" s="145">
        <v>0</v>
      </c>
      <c r="AB379" s="145">
        <v>0</v>
      </c>
      <c r="AC379" s="145">
        <v>0</v>
      </c>
      <c r="AD379" s="145">
        <v>0</v>
      </c>
      <c r="AE379" s="145">
        <v>0</v>
      </c>
      <c r="AF379" s="145">
        <v>0</v>
      </c>
      <c r="AG379" s="145">
        <v>0</v>
      </c>
      <c r="AH379" s="145">
        <v>0</v>
      </c>
      <c r="AI379" s="145">
        <v>0</v>
      </c>
      <c r="AJ379" s="145">
        <v>0</v>
      </c>
      <c r="AK379" s="145">
        <f t="shared" si="130"/>
        <v>0</v>
      </c>
      <c r="AL379" s="145">
        <v>252232.28</v>
      </c>
      <c r="AM379" s="145">
        <v>588541.98</v>
      </c>
      <c r="AN379" s="145">
        <v>0</v>
      </c>
      <c r="AO379" s="145">
        <v>0</v>
      </c>
      <c r="AP379" s="145">
        <v>0</v>
      </c>
      <c r="AQ379" s="145">
        <v>0</v>
      </c>
      <c r="AR379" s="145">
        <v>0</v>
      </c>
      <c r="AS379" s="145">
        <f t="shared" si="133"/>
        <v>840774.26</v>
      </c>
      <c r="AT379" s="145"/>
      <c r="AU379" s="139">
        <f t="shared" si="123"/>
        <v>840774.26</v>
      </c>
      <c r="AV379" s="146">
        <f>IFERROR(VLOOKUP(J379,Maksājumu_pieprasījumu_iesn.!G:BL,57,0),0)</f>
        <v>0</v>
      </c>
      <c r="AW379" s="139">
        <f t="shared" si="126"/>
        <v>-840774.26</v>
      </c>
      <c r="AX379" s="137">
        <f t="shared" si="134"/>
        <v>0</v>
      </c>
      <c r="AY379" s="137"/>
      <c r="AZ379" s="137"/>
      <c r="BA379" s="136"/>
      <c r="BB379" s="145"/>
      <c r="BC379" s="145"/>
      <c r="BD379" s="145"/>
      <c r="BE379" s="145"/>
      <c r="BF379" s="145"/>
      <c r="BG379" s="145"/>
      <c r="BH379" s="138"/>
      <c r="BI379" s="138"/>
      <c r="BJ379" s="138"/>
      <c r="BK379" s="138"/>
      <c r="BL379" s="138"/>
      <c r="BM379" s="138"/>
      <c r="BN379" s="138"/>
    </row>
    <row r="380" spans="1:66" s="91" customFormat="1" ht="38.25" hidden="1" customHeight="1" x14ac:dyDescent="0.2">
      <c r="A380" s="150" t="s">
        <v>1348</v>
      </c>
      <c r="B380" s="18" t="s">
        <v>842</v>
      </c>
      <c r="C380" s="18" t="s">
        <v>843</v>
      </c>
      <c r="D380" s="19" t="s">
        <v>844</v>
      </c>
      <c r="E380" s="55">
        <v>1</v>
      </c>
      <c r="F380" s="55" t="s">
        <v>35</v>
      </c>
      <c r="G380" s="55" t="s">
        <v>5</v>
      </c>
      <c r="H380" s="55" t="s">
        <v>960</v>
      </c>
      <c r="I380" s="55"/>
      <c r="J380" s="55"/>
      <c r="K380" s="19" t="s">
        <v>1432</v>
      </c>
      <c r="L380" s="19"/>
      <c r="M380" s="19"/>
      <c r="N380" s="19" t="s">
        <v>1434</v>
      </c>
      <c r="O380" s="151">
        <v>43222</v>
      </c>
      <c r="P380" s="151"/>
      <c r="Q380" s="151"/>
      <c r="R380" s="151"/>
      <c r="S380" s="152">
        <v>471756.78</v>
      </c>
      <c r="T380" s="152">
        <v>0</v>
      </c>
      <c r="U380" s="145">
        <v>0</v>
      </c>
      <c r="V380" s="145">
        <v>0</v>
      </c>
      <c r="W380" s="145">
        <v>0</v>
      </c>
      <c r="X380" s="145">
        <f t="shared" si="129"/>
        <v>0</v>
      </c>
      <c r="Y380" s="145">
        <v>0</v>
      </c>
      <c r="Z380" s="145">
        <v>0</v>
      </c>
      <c r="AA380" s="145">
        <v>0</v>
      </c>
      <c r="AB380" s="145">
        <v>0</v>
      </c>
      <c r="AC380" s="145">
        <v>0</v>
      </c>
      <c r="AD380" s="145">
        <v>0</v>
      </c>
      <c r="AE380" s="145">
        <v>0</v>
      </c>
      <c r="AF380" s="145">
        <v>0</v>
      </c>
      <c r="AG380" s="145">
        <v>0</v>
      </c>
      <c r="AH380" s="145">
        <v>0</v>
      </c>
      <c r="AI380" s="145">
        <v>0</v>
      </c>
      <c r="AJ380" s="145">
        <v>0</v>
      </c>
      <c r="AK380" s="145">
        <f t="shared" si="130"/>
        <v>0</v>
      </c>
      <c r="AL380" s="145">
        <v>141527.03</v>
      </c>
      <c r="AM380" s="145">
        <v>330229.75</v>
      </c>
      <c r="AN380" s="145">
        <v>0</v>
      </c>
      <c r="AO380" s="145">
        <v>0</v>
      </c>
      <c r="AP380" s="145">
        <v>0</v>
      </c>
      <c r="AQ380" s="145">
        <v>0</v>
      </c>
      <c r="AR380" s="145">
        <v>0</v>
      </c>
      <c r="AS380" s="145">
        <f t="shared" si="133"/>
        <v>471756.78</v>
      </c>
      <c r="AT380" s="145"/>
      <c r="AU380" s="139">
        <f t="shared" si="123"/>
        <v>471756.78</v>
      </c>
      <c r="AV380" s="146">
        <f>IFERROR(VLOOKUP(J380,Maksājumu_pieprasījumu_iesn.!G:BL,57,0),0)</f>
        <v>0</v>
      </c>
      <c r="AW380" s="139">
        <f t="shared" si="126"/>
        <v>-471756.78</v>
      </c>
      <c r="AX380" s="137">
        <f t="shared" si="134"/>
        <v>0</v>
      </c>
      <c r="AY380" s="137"/>
      <c r="AZ380" s="137"/>
      <c r="BA380" s="136"/>
      <c r="BB380" s="145"/>
      <c r="BC380" s="145"/>
      <c r="BD380" s="145"/>
      <c r="BE380" s="145"/>
      <c r="BF380" s="145"/>
      <c r="BG380" s="145"/>
      <c r="BH380" s="138"/>
      <c r="BI380" s="138"/>
      <c r="BJ380" s="138"/>
      <c r="BK380" s="138"/>
      <c r="BL380" s="138"/>
      <c r="BM380" s="138"/>
      <c r="BN380" s="138"/>
    </row>
    <row r="381" spans="1:66" s="91" customFormat="1" ht="38.25" hidden="1" customHeight="1" x14ac:dyDescent="0.2">
      <c r="A381" s="150" t="s">
        <v>1348</v>
      </c>
      <c r="B381" s="18" t="s">
        <v>842</v>
      </c>
      <c r="C381" s="18" t="s">
        <v>843</v>
      </c>
      <c r="D381" s="19" t="s">
        <v>844</v>
      </c>
      <c r="E381" s="55">
        <v>1</v>
      </c>
      <c r="F381" s="55" t="s">
        <v>35</v>
      </c>
      <c r="G381" s="55" t="s">
        <v>5</v>
      </c>
      <c r="H381" s="55" t="s">
        <v>960</v>
      </c>
      <c r="I381" s="55"/>
      <c r="J381" s="55"/>
      <c r="K381" s="19" t="s">
        <v>1432</v>
      </c>
      <c r="L381" s="19"/>
      <c r="M381" s="19"/>
      <c r="N381" s="19" t="s">
        <v>1435</v>
      </c>
      <c r="O381" s="151">
        <v>43252</v>
      </c>
      <c r="P381" s="151"/>
      <c r="Q381" s="151"/>
      <c r="R381" s="151"/>
      <c r="S381" s="152">
        <v>150611.79999999999</v>
      </c>
      <c r="T381" s="152">
        <v>0</v>
      </c>
      <c r="U381" s="145">
        <v>0</v>
      </c>
      <c r="V381" s="145">
        <v>0</v>
      </c>
      <c r="W381" s="145">
        <v>0</v>
      </c>
      <c r="X381" s="145">
        <f t="shared" si="129"/>
        <v>0</v>
      </c>
      <c r="Y381" s="145">
        <v>0</v>
      </c>
      <c r="Z381" s="145">
        <v>0</v>
      </c>
      <c r="AA381" s="145">
        <v>0</v>
      </c>
      <c r="AB381" s="145">
        <v>0</v>
      </c>
      <c r="AC381" s="145">
        <v>0</v>
      </c>
      <c r="AD381" s="145">
        <v>0</v>
      </c>
      <c r="AE381" s="145">
        <v>0</v>
      </c>
      <c r="AF381" s="145">
        <v>0</v>
      </c>
      <c r="AG381" s="145">
        <v>0</v>
      </c>
      <c r="AH381" s="145">
        <v>0</v>
      </c>
      <c r="AI381" s="145">
        <v>0</v>
      </c>
      <c r="AJ381" s="145">
        <v>0</v>
      </c>
      <c r="AK381" s="145">
        <f t="shared" si="130"/>
        <v>0</v>
      </c>
      <c r="AL381" s="145">
        <v>45183.54</v>
      </c>
      <c r="AM381" s="145">
        <v>105428.26</v>
      </c>
      <c r="AN381" s="145">
        <v>0</v>
      </c>
      <c r="AO381" s="145">
        <v>0</v>
      </c>
      <c r="AP381" s="145">
        <v>0</v>
      </c>
      <c r="AQ381" s="145">
        <v>0</v>
      </c>
      <c r="AR381" s="145">
        <v>0</v>
      </c>
      <c r="AS381" s="145">
        <f t="shared" si="133"/>
        <v>150611.79999999999</v>
      </c>
      <c r="AT381" s="145"/>
      <c r="AU381" s="139">
        <f t="shared" si="123"/>
        <v>150611.79999999999</v>
      </c>
      <c r="AV381" s="146">
        <f>IFERROR(VLOOKUP(J381,Maksājumu_pieprasījumu_iesn.!G:BL,57,0),0)</f>
        <v>0</v>
      </c>
      <c r="AW381" s="139">
        <f t="shared" si="126"/>
        <v>-150611.79999999999</v>
      </c>
      <c r="AX381" s="137">
        <f t="shared" si="134"/>
        <v>0</v>
      </c>
      <c r="AY381" s="137"/>
      <c r="AZ381" s="137"/>
      <c r="BA381" s="136"/>
      <c r="BB381" s="145"/>
      <c r="BC381" s="145"/>
      <c r="BD381" s="145"/>
      <c r="BE381" s="145"/>
      <c r="BF381" s="145"/>
      <c r="BG381" s="145"/>
      <c r="BH381" s="138"/>
      <c r="BI381" s="138"/>
      <c r="BJ381" s="138"/>
      <c r="BK381" s="138"/>
      <c r="BL381" s="138"/>
      <c r="BM381" s="138"/>
      <c r="BN381" s="138"/>
    </row>
    <row r="382" spans="1:66" s="91" customFormat="1" ht="38.25" hidden="1" customHeight="1" x14ac:dyDescent="0.2">
      <c r="A382" s="150" t="s">
        <v>1348</v>
      </c>
      <c r="B382" s="18" t="s">
        <v>842</v>
      </c>
      <c r="C382" s="18" t="s">
        <v>843</v>
      </c>
      <c r="D382" s="19" t="s">
        <v>844</v>
      </c>
      <c r="E382" s="55">
        <v>1</v>
      </c>
      <c r="F382" s="55" t="s">
        <v>35</v>
      </c>
      <c r="G382" s="55" t="s">
        <v>5</v>
      </c>
      <c r="H382" s="55" t="s">
        <v>960</v>
      </c>
      <c r="I382" s="55"/>
      <c r="J382" s="55"/>
      <c r="K382" s="19" t="s">
        <v>1432</v>
      </c>
      <c r="L382" s="19"/>
      <c r="M382" s="19"/>
      <c r="N382" s="19" t="s">
        <v>1436</v>
      </c>
      <c r="O382" s="151">
        <v>43040</v>
      </c>
      <c r="P382" s="151"/>
      <c r="Q382" s="151"/>
      <c r="R382" s="151"/>
      <c r="S382" s="152">
        <v>613479.43999999994</v>
      </c>
      <c r="T382" s="152">
        <v>0</v>
      </c>
      <c r="U382" s="145">
        <v>0</v>
      </c>
      <c r="V382" s="145">
        <v>0</v>
      </c>
      <c r="W382" s="145">
        <v>0</v>
      </c>
      <c r="X382" s="145">
        <f t="shared" si="129"/>
        <v>0</v>
      </c>
      <c r="Y382" s="145">
        <v>0</v>
      </c>
      <c r="Z382" s="145">
        <v>0</v>
      </c>
      <c r="AA382" s="145">
        <v>0</v>
      </c>
      <c r="AB382" s="145">
        <v>0</v>
      </c>
      <c r="AC382" s="145">
        <v>0</v>
      </c>
      <c r="AD382" s="145">
        <v>0</v>
      </c>
      <c r="AE382" s="145">
        <v>0</v>
      </c>
      <c r="AF382" s="145">
        <v>0</v>
      </c>
      <c r="AG382" s="145">
        <v>0</v>
      </c>
      <c r="AH382" s="145">
        <v>0</v>
      </c>
      <c r="AI382" s="145">
        <v>0</v>
      </c>
      <c r="AJ382" s="145">
        <v>0</v>
      </c>
      <c r="AK382" s="145">
        <f t="shared" si="130"/>
        <v>0</v>
      </c>
      <c r="AL382" s="145">
        <v>613479.43999999994</v>
      </c>
      <c r="AM382" s="145">
        <v>0</v>
      </c>
      <c r="AN382" s="145">
        <v>0</v>
      </c>
      <c r="AO382" s="145">
        <v>0</v>
      </c>
      <c r="AP382" s="145">
        <v>0</v>
      </c>
      <c r="AQ382" s="145">
        <v>0</v>
      </c>
      <c r="AR382" s="145">
        <v>0</v>
      </c>
      <c r="AS382" s="145">
        <f t="shared" si="133"/>
        <v>613479.43999999994</v>
      </c>
      <c r="AT382" s="145"/>
      <c r="AU382" s="139">
        <f t="shared" si="123"/>
        <v>613479.43999999994</v>
      </c>
      <c r="AV382" s="146">
        <f>IFERROR(VLOOKUP(J382,Maksājumu_pieprasījumu_iesn.!G:BL,57,0),0)</f>
        <v>0</v>
      </c>
      <c r="AW382" s="139">
        <f t="shared" si="126"/>
        <v>-613479.43999999994</v>
      </c>
      <c r="AX382" s="137">
        <f t="shared" si="134"/>
        <v>0</v>
      </c>
      <c r="AY382" s="137"/>
      <c r="AZ382" s="137"/>
      <c r="BA382" s="136"/>
      <c r="BB382" s="145"/>
      <c r="BC382" s="145"/>
      <c r="BD382" s="145"/>
      <c r="BE382" s="145"/>
      <c r="BF382" s="145"/>
      <c r="BG382" s="145"/>
      <c r="BH382" s="138"/>
      <c r="BI382" s="138"/>
      <c r="BJ382" s="138"/>
      <c r="BK382" s="138"/>
      <c r="BL382" s="138"/>
      <c r="BM382" s="138"/>
      <c r="BN382" s="138"/>
    </row>
    <row r="383" spans="1:66" s="91" customFormat="1" ht="38.25" hidden="1" customHeight="1" x14ac:dyDescent="0.2">
      <c r="A383" s="150" t="s">
        <v>1348</v>
      </c>
      <c r="B383" s="18" t="s">
        <v>842</v>
      </c>
      <c r="C383" s="18" t="s">
        <v>843</v>
      </c>
      <c r="D383" s="19" t="s">
        <v>844</v>
      </c>
      <c r="E383" s="55">
        <v>1</v>
      </c>
      <c r="F383" s="55" t="s">
        <v>35</v>
      </c>
      <c r="G383" s="55" t="s">
        <v>5</v>
      </c>
      <c r="H383" s="55" t="s">
        <v>960</v>
      </c>
      <c r="I383" s="55"/>
      <c r="J383" s="55"/>
      <c r="K383" s="19" t="s">
        <v>1432</v>
      </c>
      <c r="L383" s="19"/>
      <c r="M383" s="19"/>
      <c r="N383" s="19" t="s">
        <v>1437</v>
      </c>
      <c r="O383" s="151">
        <v>43054</v>
      </c>
      <c r="P383" s="151"/>
      <c r="Q383" s="151"/>
      <c r="R383" s="151"/>
      <c r="S383" s="152">
        <v>78780.100000000006</v>
      </c>
      <c r="T383" s="152">
        <v>0</v>
      </c>
      <c r="U383" s="145">
        <v>0</v>
      </c>
      <c r="V383" s="145">
        <v>0</v>
      </c>
      <c r="W383" s="145">
        <v>0</v>
      </c>
      <c r="X383" s="145">
        <f t="shared" si="129"/>
        <v>0</v>
      </c>
      <c r="Y383" s="145">
        <v>0</v>
      </c>
      <c r="Z383" s="145">
        <v>0</v>
      </c>
      <c r="AA383" s="145">
        <v>0</v>
      </c>
      <c r="AB383" s="145">
        <v>0</v>
      </c>
      <c r="AC383" s="145">
        <v>0</v>
      </c>
      <c r="AD383" s="145">
        <v>0</v>
      </c>
      <c r="AE383" s="145">
        <v>0</v>
      </c>
      <c r="AF383" s="145">
        <v>0</v>
      </c>
      <c r="AG383" s="145">
        <v>0</v>
      </c>
      <c r="AH383" s="145">
        <v>0</v>
      </c>
      <c r="AI383" s="145">
        <v>0</v>
      </c>
      <c r="AJ383" s="145">
        <v>0</v>
      </c>
      <c r="AK383" s="145">
        <f t="shared" ref="AK383:AK414" si="135">SUM(Y383:AJ383)</f>
        <v>0</v>
      </c>
      <c r="AL383" s="145">
        <v>78780.100000000006</v>
      </c>
      <c r="AM383" s="145">
        <v>0</v>
      </c>
      <c r="AN383" s="145">
        <v>0</v>
      </c>
      <c r="AO383" s="145">
        <v>0</v>
      </c>
      <c r="AP383" s="145">
        <v>0</v>
      </c>
      <c r="AQ383" s="145">
        <v>0</v>
      </c>
      <c r="AR383" s="145">
        <v>0</v>
      </c>
      <c r="AS383" s="145">
        <f t="shared" si="133"/>
        <v>78780.100000000006</v>
      </c>
      <c r="AT383" s="145"/>
      <c r="AU383" s="139">
        <f t="shared" si="123"/>
        <v>78780.100000000006</v>
      </c>
      <c r="AV383" s="146">
        <f>IFERROR(VLOOKUP(J383,Maksājumu_pieprasījumu_iesn.!G:BL,57,0),0)</f>
        <v>0</v>
      </c>
      <c r="AW383" s="139">
        <f t="shared" si="126"/>
        <v>-78780.100000000006</v>
      </c>
      <c r="AX383" s="137">
        <f t="shared" si="134"/>
        <v>0</v>
      </c>
      <c r="AY383" s="137"/>
      <c r="AZ383" s="137"/>
      <c r="BA383" s="136"/>
      <c r="BB383" s="145"/>
      <c r="BC383" s="145"/>
      <c r="BD383" s="145"/>
      <c r="BE383" s="145"/>
      <c r="BF383" s="145"/>
      <c r="BG383" s="145"/>
      <c r="BH383" s="138"/>
      <c r="BI383" s="138"/>
      <c r="BJ383" s="138"/>
      <c r="BK383" s="138"/>
      <c r="BL383" s="138"/>
      <c r="BM383" s="138"/>
      <c r="BN383" s="138"/>
    </row>
    <row r="384" spans="1:66" s="91" customFormat="1" ht="25.5" hidden="1" customHeight="1" x14ac:dyDescent="0.2">
      <c r="A384" s="150" t="s">
        <v>1348</v>
      </c>
      <c r="B384" s="18" t="s">
        <v>842</v>
      </c>
      <c r="C384" s="18" t="s">
        <v>843</v>
      </c>
      <c r="D384" s="19" t="s">
        <v>844</v>
      </c>
      <c r="E384" s="55">
        <v>1</v>
      </c>
      <c r="F384" s="55" t="s">
        <v>35</v>
      </c>
      <c r="G384" s="55" t="s">
        <v>5</v>
      </c>
      <c r="H384" s="55" t="s">
        <v>960</v>
      </c>
      <c r="I384" s="55"/>
      <c r="J384" s="55"/>
      <c r="K384" s="19" t="s">
        <v>1432</v>
      </c>
      <c r="L384" s="19"/>
      <c r="M384" s="19"/>
      <c r="N384" s="19" t="s">
        <v>1438</v>
      </c>
      <c r="O384" s="151">
        <v>43070</v>
      </c>
      <c r="P384" s="151"/>
      <c r="Q384" s="151"/>
      <c r="R384" s="151"/>
      <c r="S384" s="152">
        <v>512620.4</v>
      </c>
      <c r="T384" s="152">
        <v>0</v>
      </c>
      <c r="U384" s="145">
        <v>0</v>
      </c>
      <c r="V384" s="145">
        <v>0</v>
      </c>
      <c r="W384" s="145">
        <v>0</v>
      </c>
      <c r="X384" s="145">
        <f t="shared" si="129"/>
        <v>0</v>
      </c>
      <c r="Y384" s="145">
        <v>0</v>
      </c>
      <c r="Z384" s="145">
        <v>0</v>
      </c>
      <c r="AA384" s="145">
        <v>0</v>
      </c>
      <c r="AB384" s="145">
        <v>0</v>
      </c>
      <c r="AC384" s="145">
        <v>0</v>
      </c>
      <c r="AD384" s="145">
        <v>0</v>
      </c>
      <c r="AE384" s="145">
        <v>0</v>
      </c>
      <c r="AF384" s="145">
        <v>0</v>
      </c>
      <c r="AG384" s="145">
        <v>0</v>
      </c>
      <c r="AH384" s="145">
        <v>0</v>
      </c>
      <c r="AI384" s="145">
        <v>0</v>
      </c>
      <c r="AJ384" s="145">
        <v>0</v>
      </c>
      <c r="AK384" s="145">
        <f t="shared" si="135"/>
        <v>0</v>
      </c>
      <c r="AL384" s="145">
        <v>512620.4</v>
      </c>
      <c r="AM384" s="145">
        <v>0</v>
      </c>
      <c r="AN384" s="145">
        <v>0</v>
      </c>
      <c r="AO384" s="145">
        <v>0</v>
      </c>
      <c r="AP384" s="145">
        <v>0</v>
      </c>
      <c r="AQ384" s="145">
        <v>0</v>
      </c>
      <c r="AR384" s="145">
        <v>0</v>
      </c>
      <c r="AS384" s="145">
        <f t="shared" si="133"/>
        <v>512620.4</v>
      </c>
      <c r="AT384" s="145"/>
      <c r="AU384" s="139">
        <f t="shared" si="123"/>
        <v>512620.4</v>
      </c>
      <c r="AV384" s="146">
        <f>IFERROR(VLOOKUP(J384,Maksājumu_pieprasījumu_iesn.!G:BL,57,0),0)</f>
        <v>0</v>
      </c>
      <c r="AW384" s="139">
        <f t="shared" si="126"/>
        <v>-512620.4</v>
      </c>
      <c r="AX384" s="137">
        <f t="shared" si="134"/>
        <v>0</v>
      </c>
      <c r="AY384" s="137"/>
      <c r="AZ384" s="137"/>
      <c r="BA384" s="136"/>
      <c r="BB384" s="145"/>
      <c r="BC384" s="145"/>
      <c r="BD384" s="145"/>
      <c r="BE384" s="145"/>
      <c r="BF384" s="145"/>
      <c r="BG384" s="145"/>
      <c r="BH384" s="138"/>
      <c r="BI384" s="138"/>
      <c r="BJ384" s="138"/>
      <c r="BK384" s="138"/>
      <c r="BL384" s="138"/>
      <c r="BM384" s="138"/>
      <c r="BN384" s="138"/>
    </row>
    <row r="385" spans="1:66" s="91" customFormat="1" ht="25.5" hidden="1" customHeight="1" x14ac:dyDescent="0.2">
      <c r="A385" s="150" t="s">
        <v>1348</v>
      </c>
      <c r="B385" s="18" t="s">
        <v>842</v>
      </c>
      <c r="C385" s="18" t="s">
        <v>843</v>
      </c>
      <c r="D385" s="19" t="s">
        <v>844</v>
      </c>
      <c r="E385" s="55">
        <v>1</v>
      </c>
      <c r="F385" s="55" t="s">
        <v>35</v>
      </c>
      <c r="G385" s="55" t="s">
        <v>5</v>
      </c>
      <c r="H385" s="55" t="s">
        <v>960</v>
      </c>
      <c r="I385" s="55"/>
      <c r="J385" s="55"/>
      <c r="K385" s="19" t="s">
        <v>1432</v>
      </c>
      <c r="L385" s="19"/>
      <c r="M385" s="19"/>
      <c r="N385" s="19" t="s">
        <v>1439</v>
      </c>
      <c r="O385" s="151">
        <v>43444</v>
      </c>
      <c r="P385" s="151"/>
      <c r="Q385" s="151"/>
      <c r="R385" s="151"/>
      <c r="S385" s="152">
        <v>84188.22</v>
      </c>
      <c r="T385" s="152">
        <v>0</v>
      </c>
      <c r="U385" s="145">
        <v>0</v>
      </c>
      <c r="V385" s="145">
        <v>0</v>
      </c>
      <c r="W385" s="145">
        <v>0</v>
      </c>
      <c r="X385" s="145">
        <f t="shared" si="129"/>
        <v>0</v>
      </c>
      <c r="Y385" s="145">
        <v>0</v>
      </c>
      <c r="Z385" s="145">
        <v>0</v>
      </c>
      <c r="AA385" s="145">
        <v>0</v>
      </c>
      <c r="AB385" s="145">
        <v>0</v>
      </c>
      <c r="AC385" s="145">
        <v>0</v>
      </c>
      <c r="AD385" s="145">
        <v>0</v>
      </c>
      <c r="AE385" s="145">
        <v>0</v>
      </c>
      <c r="AF385" s="145">
        <v>0</v>
      </c>
      <c r="AG385" s="145">
        <v>0</v>
      </c>
      <c r="AH385" s="145">
        <v>0</v>
      </c>
      <c r="AI385" s="145">
        <v>0</v>
      </c>
      <c r="AJ385" s="145">
        <v>0</v>
      </c>
      <c r="AK385" s="145">
        <f t="shared" si="135"/>
        <v>0</v>
      </c>
      <c r="AL385" s="145">
        <v>0</v>
      </c>
      <c r="AM385" s="145">
        <v>0</v>
      </c>
      <c r="AN385" s="145">
        <v>84188.22</v>
      </c>
      <c r="AO385" s="145">
        <v>0</v>
      </c>
      <c r="AP385" s="145">
        <v>0</v>
      </c>
      <c r="AQ385" s="145">
        <v>0</v>
      </c>
      <c r="AR385" s="145">
        <v>0</v>
      </c>
      <c r="AS385" s="145">
        <f t="shared" si="133"/>
        <v>84188.22</v>
      </c>
      <c r="AT385" s="145"/>
      <c r="AU385" s="139">
        <f t="shared" ref="AU385:AU448" si="136">AS385-AT385</f>
        <v>84188.22</v>
      </c>
      <c r="AV385" s="146">
        <f>IFERROR(VLOOKUP(J385,Maksājumu_pieprasījumu_iesn.!G:BL,57,0),0)</f>
        <v>0</v>
      </c>
      <c r="AW385" s="139">
        <f t="shared" si="126"/>
        <v>-84188.22</v>
      </c>
      <c r="AX385" s="137">
        <f t="shared" si="134"/>
        <v>0</v>
      </c>
      <c r="AY385" s="137"/>
      <c r="AZ385" s="137"/>
      <c r="BA385" s="136"/>
      <c r="BB385" s="145"/>
      <c r="BC385" s="145"/>
      <c r="BD385" s="145"/>
      <c r="BE385" s="145"/>
      <c r="BF385" s="145"/>
      <c r="BG385" s="145"/>
      <c r="BH385" s="138"/>
      <c r="BI385" s="138"/>
      <c r="BJ385" s="138"/>
      <c r="BK385" s="138"/>
      <c r="BL385" s="138"/>
      <c r="BM385" s="138"/>
      <c r="BN385" s="138"/>
    </row>
    <row r="386" spans="1:66" s="91" customFormat="1" ht="38.25" hidden="1" customHeight="1" x14ac:dyDescent="0.2">
      <c r="A386" s="150" t="s">
        <v>1348</v>
      </c>
      <c r="B386" s="18" t="s">
        <v>842</v>
      </c>
      <c r="C386" s="18" t="s">
        <v>843</v>
      </c>
      <c r="D386" s="19" t="s">
        <v>844</v>
      </c>
      <c r="E386" s="55">
        <v>1</v>
      </c>
      <c r="F386" s="55" t="s">
        <v>35</v>
      </c>
      <c r="G386" s="55" t="s">
        <v>5</v>
      </c>
      <c r="H386" s="55" t="s">
        <v>960</v>
      </c>
      <c r="I386" s="55"/>
      <c r="J386" s="55"/>
      <c r="K386" s="19" t="s">
        <v>499</v>
      </c>
      <c r="L386" s="19"/>
      <c r="M386" s="19"/>
      <c r="N386" s="19" t="s">
        <v>1440</v>
      </c>
      <c r="O386" s="151">
        <v>43070</v>
      </c>
      <c r="P386" s="151"/>
      <c r="Q386" s="151"/>
      <c r="R386" s="151"/>
      <c r="S386" s="152">
        <v>1990962</v>
      </c>
      <c r="T386" s="152">
        <v>0</v>
      </c>
      <c r="U386" s="145">
        <v>0</v>
      </c>
      <c r="V386" s="145">
        <v>0</v>
      </c>
      <c r="W386" s="145">
        <v>0</v>
      </c>
      <c r="X386" s="145">
        <f t="shared" si="129"/>
        <v>0</v>
      </c>
      <c r="Y386" s="145">
        <v>0</v>
      </c>
      <c r="Z386" s="145">
        <v>0</v>
      </c>
      <c r="AA386" s="145">
        <v>0</v>
      </c>
      <c r="AB386" s="145">
        <v>0</v>
      </c>
      <c r="AC386" s="145">
        <v>0</v>
      </c>
      <c r="AD386" s="145">
        <v>0</v>
      </c>
      <c r="AE386" s="145">
        <v>0</v>
      </c>
      <c r="AF386" s="145">
        <v>0</v>
      </c>
      <c r="AG386" s="145">
        <v>0</v>
      </c>
      <c r="AH386" s="145">
        <v>0</v>
      </c>
      <c r="AI386" s="145">
        <v>0</v>
      </c>
      <c r="AJ386" s="145">
        <v>0</v>
      </c>
      <c r="AK386" s="145">
        <f t="shared" si="135"/>
        <v>0</v>
      </c>
      <c r="AL386" s="145">
        <v>1912751.27</v>
      </c>
      <c r="AM386" s="145">
        <v>0</v>
      </c>
      <c r="AN386" s="145">
        <v>0</v>
      </c>
      <c r="AO386" s="145">
        <v>0</v>
      </c>
      <c r="AP386" s="145">
        <v>0</v>
      </c>
      <c r="AQ386" s="145">
        <v>0</v>
      </c>
      <c r="AR386" s="145">
        <v>0</v>
      </c>
      <c r="AS386" s="145">
        <f t="shared" si="133"/>
        <v>1912751.27</v>
      </c>
      <c r="AT386" s="145"/>
      <c r="AU386" s="139">
        <f t="shared" si="136"/>
        <v>1912751.27</v>
      </c>
      <c r="AV386" s="146">
        <f>IFERROR(VLOOKUP(J386,Maksājumu_pieprasījumu_iesn.!G:BL,57,0),0)</f>
        <v>0</v>
      </c>
      <c r="AW386" s="139">
        <f t="shared" si="126"/>
        <v>-1912751.27</v>
      </c>
      <c r="AX386" s="137">
        <f t="shared" si="134"/>
        <v>78210.729999999981</v>
      </c>
      <c r="AY386" s="137"/>
      <c r="AZ386" s="138" t="s">
        <v>1427</v>
      </c>
      <c r="BA386" s="138" t="s">
        <v>1427</v>
      </c>
      <c r="BB386" s="145"/>
      <c r="BC386" s="145"/>
      <c r="BD386" s="145"/>
      <c r="BE386" s="145"/>
      <c r="BF386" s="145"/>
      <c r="BG386" s="145"/>
      <c r="BH386" s="138"/>
      <c r="BI386" s="138"/>
      <c r="BJ386" s="138"/>
      <c r="BK386" s="138"/>
      <c r="BL386" s="138"/>
      <c r="BM386" s="138"/>
      <c r="BN386" s="138"/>
    </row>
    <row r="387" spans="1:66" s="91" customFormat="1" ht="38.25" hidden="1" customHeight="1" x14ac:dyDescent="0.2">
      <c r="A387" s="150" t="s">
        <v>1348</v>
      </c>
      <c r="B387" s="18" t="s">
        <v>842</v>
      </c>
      <c r="C387" s="18" t="s">
        <v>843</v>
      </c>
      <c r="D387" s="19" t="s">
        <v>844</v>
      </c>
      <c r="E387" s="55">
        <v>1</v>
      </c>
      <c r="F387" s="55" t="s">
        <v>35</v>
      </c>
      <c r="G387" s="55" t="s">
        <v>5</v>
      </c>
      <c r="H387" s="55" t="s">
        <v>960</v>
      </c>
      <c r="I387" s="55"/>
      <c r="J387" s="55"/>
      <c r="K387" s="19" t="s">
        <v>499</v>
      </c>
      <c r="L387" s="19"/>
      <c r="M387" s="19"/>
      <c r="N387" s="19" t="s">
        <v>1441</v>
      </c>
      <c r="O387" s="151">
        <v>42853</v>
      </c>
      <c r="P387" s="151"/>
      <c r="Q387" s="151"/>
      <c r="R387" s="151"/>
      <c r="S387" s="152">
        <v>176338</v>
      </c>
      <c r="T387" s="152">
        <v>0</v>
      </c>
      <c r="U387" s="145">
        <v>0</v>
      </c>
      <c r="V387" s="145">
        <v>0</v>
      </c>
      <c r="W387" s="145">
        <v>0</v>
      </c>
      <c r="X387" s="145">
        <f t="shared" si="129"/>
        <v>0</v>
      </c>
      <c r="Y387" s="145">
        <v>0</v>
      </c>
      <c r="Z387" s="145">
        <v>0</v>
      </c>
      <c r="AA387" s="145">
        <v>0</v>
      </c>
      <c r="AB387" s="145">
        <v>0</v>
      </c>
      <c r="AC387" s="145">
        <v>0</v>
      </c>
      <c r="AD387" s="145">
        <v>0</v>
      </c>
      <c r="AE387" s="145">
        <v>0</v>
      </c>
      <c r="AF387" s="145">
        <v>0</v>
      </c>
      <c r="AG387" s="145">
        <v>0</v>
      </c>
      <c r="AH387" s="145">
        <v>0</v>
      </c>
      <c r="AI387" s="145">
        <v>0</v>
      </c>
      <c r="AJ387" s="145">
        <v>35267.599999999999</v>
      </c>
      <c r="AK387" s="145">
        <f t="shared" si="135"/>
        <v>35267.599999999999</v>
      </c>
      <c r="AL387" s="145">
        <v>141070.39999999999</v>
      </c>
      <c r="AM387" s="145">
        <v>0</v>
      </c>
      <c r="AN387" s="145">
        <v>0</v>
      </c>
      <c r="AO387" s="145">
        <v>0</v>
      </c>
      <c r="AP387" s="145">
        <v>0</v>
      </c>
      <c r="AQ387" s="145">
        <v>0</v>
      </c>
      <c r="AR387" s="145">
        <v>0</v>
      </c>
      <c r="AS387" s="145">
        <f t="shared" si="133"/>
        <v>176338</v>
      </c>
      <c r="AT387" s="145"/>
      <c r="AU387" s="139">
        <f t="shared" si="136"/>
        <v>176338</v>
      </c>
      <c r="AV387" s="146">
        <f>IFERROR(VLOOKUP(J387,Maksājumu_pieprasījumu_iesn.!G:BL,57,0),0)</f>
        <v>0</v>
      </c>
      <c r="AW387" s="139">
        <f t="shared" si="126"/>
        <v>-176338</v>
      </c>
      <c r="AX387" s="137">
        <f t="shared" si="134"/>
        <v>0</v>
      </c>
      <c r="AY387" s="137"/>
      <c r="AZ387" s="137"/>
      <c r="BA387" s="136"/>
      <c r="BB387" s="145"/>
      <c r="BC387" s="145"/>
      <c r="BD387" s="145"/>
      <c r="BE387" s="145"/>
      <c r="BF387" s="145"/>
      <c r="BG387" s="145"/>
      <c r="BH387" s="138"/>
      <c r="BI387" s="138"/>
      <c r="BJ387" s="138"/>
      <c r="BK387" s="138"/>
      <c r="BL387" s="138"/>
      <c r="BM387" s="138"/>
      <c r="BN387" s="138"/>
    </row>
    <row r="388" spans="1:66" s="91" customFormat="1" ht="38.25" hidden="1" customHeight="1" x14ac:dyDescent="0.2">
      <c r="A388" s="150" t="s">
        <v>1348</v>
      </c>
      <c r="B388" s="18" t="s">
        <v>842</v>
      </c>
      <c r="C388" s="18" t="s">
        <v>843</v>
      </c>
      <c r="D388" s="19" t="s">
        <v>844</v>
      </c>
      <c r="E388" s="55">
        <v>1</v>
      </c>
      <c r="F388" s="55" t="s">
        <v>35</v>
      </c>
      <c r="G388" s="55" t="s">
        <v>5</v>
      </c>
      <c r="H388" s="55" t="s">
        <v>960</v>
      </c>
      <c r="I388" s="55"/>
      <c r="J388" s="55"/>
      <c r="K388" s="19" t="s">
        <v>499</v>
      </c>
      <c r="L388" s="19"/>
      <c r="M388" s="19"/>
      <c r="N388" s="19" t="s">
        <v>1442</v>
      </c>
      <c r="O388" s="151">
        <v>42853</v>
      </c>
      <c r="P388" s="151"/>
      <c r="Q388" s="151"/>
      <c r="R388" s="151"/>
      <c r="S388" s="152">
        <v>389500</v>
      </c>
      <c r="T388" s="152">
        <v>0</v>
      </c>
      <c r="U388" s="145">
        <v>0</v>
      </c>
      <c r="V388" s="145">
        <v>0</v>
      </c>
      <c r="W388" s="145">
        <v>0</v>
      </c>
      <c r="X388" s="145">
        <f t="shared" si="129"/>
        <v>0</v>
      </c>
      <c r="Y388" s="145">
        <v>0</v>
      </c>
      <c r="Z388" s="145">
        <v>0</v>
      </c>
      <c r="AA388" s="145">
        <v>0</v>
      </c>
      <c r="AB388" s="145">
        <v>0</v>
      </c>
      <c r="AC388" s="145">
        <v>0</v>
      </c>
      <c r="AD388" s="145">
        <v>0</v>
      </c>
      <c r="AE388" s="145">
        <v>0</v>
      </c>
      <c r="AF388" s="145">
        <v>0</v>
      </c>
      <c r="AG388" s="145">
        <v>0</v>
      </c>
      <c r="AH388" s="145">
        <v>77900</v>
      </c>
      <c r="AI388" s="145">
        <v>77900</v>
      </c>
      <c r="AJ388" s="145">
        <v>116850</v>
      </c>
      <c r="AK388" s="145">
        <f t="shared" si="135"/>
        <v>272650</v>
      </c>
      <c r="AL388" s="145">
        <v>116850</v>
      </c>
      <c r="AM388" s="145">
        <v>0</v>
      </c>
      <c r="AN388" s="145">
        <v>0</v>
      </c>
      <c r="AO388" s="145">
        <v>0</v>
      </c>
      <c r="AP388" s="145">
        <v>0</v>
      </c>
      <c r="AQ388" s="145">
        <v>0</v>
      </c>
      <c r="AR388" s="145">
        <v>0</v>
      </c>
      <c r="AS388" s="145">
        <f t="shared" si="133"/>
        <v>389500</v>
      </c>
      <c r="AT388" s="145"/>
      <c r="AU388" s="139">
        <f t="shared" si="136"/>
        <v>389500</v>
      </c>
      <c r="AV388" s="146">
        <f>IFERROR(VLOOKUP(J388,Maksājumu_pieprasījumu_iesn.!G:BL,57,0),0)</f>
        <v>0</v>
      </c>
      <c r="AW388" s="139">
        <f t="shared" si="126"/>
        <v>-389500</v>
      </c>
      <c r="AX388" s="137">
        <f t="shared" si="134"/>
        <v>0</v>
      </c>
      <c r="AY388" s="137"/>
      <c r="AZ388" s="137"/>
      <c r="BA388" s="136"/>
      <c r="BB388" s="145"/>
      <c r="BC388" s="145"/>
      <c r="BD388" s="145"/>
      <c r="BE388" s="145"/>
      <c r="BF388" s="145"/>
      <c r="BG388" s="145"/>
      <c r="BH388" s="138"/>
      <c r="BI388" s="138"/>
      <c r="BJ388" s="138"/>
      <c r="BK388" s="138"/>
      <c r="BL388" s="138"/>
      <c r="BM388" s="138"/>
      <c r="BN388" s="138"/>
    </row>
    <row r="389" spans="1:66" s="248" customFormat="1" ht="38.25" hidden="1" customHeight="1" x14ac:dyDescent="0.2">
      <c r="A389" s="237" t="s">
        <v>1348</v>
      </c>
      <c r="B389" s="238" t="s">
        <v>842</v>
      </c>
      <c r="C389" s="238" t="s">
        <v>843</v>
      </c>
      <c r="D389" s="239" t="s">
        <v>844</v>
      </c>
      <c r="E389" s="240">
        <v>1</v>
      </c>
      <c r="F389" s="240" t="s">
        <v>35</v>
      </c>
      <c r="G389" s="240" t="s">
        <v>5</v>
      </c>
      <c r="H389" s="240" t="s">
        <v>960</v>
      </c>
      <c r="I389" s="240"/>
      <c r="J389" s="240"/>
      <c r="K389" s="239" t="s">
        <v>499</v>
      </c>
      <c r="L389" s="239"/>
      <c r="M389" s="239"/>
      <c r="N389" s="239" t="s">
        <v>1443</v>
      </c>
      <c r="O389" s="241" t="s">
        <v>1444</v>
      </c>
      <c r="P389" s="241"/>
      <c r="Q389" s="241"/>
      <c r="R389" s="242"/>
      <c r="S389" s="243">
        <v>0</v>
      </c>
      <c r="T389" s="243">
        <v>0</v>
      </c>
      <c r="U389" s="244">
        <v>0</v>
      </c>
      <c r="V389" s="244">
        <v>0</v>
      </c>
      <c r="W389" s="244">
        <v>0</v>
      </c>
      <c r="X389" s="244">
        <f t="shared" si="129"/>
        <v>0</v>
      </c>
      <c r="Y389" s="244">
        <v>0</v>
      </c>
      <c r="Z389" s="244">
        <v>0</v>
      </c>
      <c r="AA389" s="244">
        <v>0</v>
      </c>
      <c r="AB389" s="244">
        <v>0</v>
      </c>
      <c r="AC389" s="244">
        <v>0</v>
      </c>
      <c r="AD389" s="244">
        <v>0</v>
      </c>
      <c r="AE389" s="244">
        <v>0</v>
      </c>
      <c r="AF389" s="244">
        <v>0</v>
      </c>
      <c r="AG389" s="244">
        <v>0</v>
      </c>
      <c r="AH389" s="244">
        <v>0</v>
      </c>
      <c r="AI389" s="244">
        <v>0</v>
      </c>
      <c r="AJ389" s="244">
        <v>0</v>
      </c>
      <c r="AK389" s="244">
        <f t="shared" si="135"/>
        <v>0</v>
      </c>
      <c r="AL389" s="244">
        <v>0</v>
      </c>
      <c r="AM389" s="244">
        <v>0</v>
      </c>
      <c r="AN389" s="244">
        <v>0</v>
      </c>
      <c r="AO389" s="244">
        <v>0</v>
      </c>
      <c r="AP389" s="244">
        <v>0</v>
      </c>
      <c r="AQ389" s="244">
        <v>0</v>
      </c>
      <c r="AR389" s="244">
        <v>0</v>
      </c>
      <c r="AS389" s="244">
        <f t="shared" si="133"/>
        <v>0</v>
      </c>
      <c r="AT389" s="244"/>
      <c r="AU389" s="139">
        <f t="shared" si="136"/>
        <v>0</v>
      </c>
      <c r="AV389" s="146">
        <f>IFERROR(VLOOKUP(J389,Maksājumu_pieprasījumu_iesn.!G:BL,57,0),0)</f>
        <v>0</v>
      </c>
      <c r="AW389" s="139">
        <f t="shared" si="126"/>
        <v>0</v>
      </c>
      <c r="AX389" s="245">
        <f t="shared" si="134"/>
        <v>0</v>
      </c>
      <c r="AY389" s="245"/>
      <c r="AZ389" s="245"/>
      <c r="BA389" s="246"/>
      <c r="BB389" s="244"/>
      <c r="BC389" s="244"/>
      <c r="BD389" s="244"/>
      <c r="BE389" s="244"/>
      <c r="BF389" s="244"/>
      <c r="BG389" s="244"/>
      <c r="BH389" s="247"/>
      <c r="BI389" s="247"/>
      <c r="BJ389" s="247"/>
      <c r="BK389" s="247"/>
      <c r="BL389" s="247"/>
      <c r="BM389" s="247"/>
      <c r="BN389" s="247"/>
    </row>
    <row r="390" spans="1:66" s="91" customFormat="1" ht="25.5" hidden="1" customHeight="1" x14ac:dyDescent="0.2">
      <c r="A390" s="150" t="s">
        <v>1348</v>
      </c>
      <c r="B390" s="18" t="s">
        <v>842</v>
      </c>
      <c r="C390" s="18" t="s">
        <v>843</v>
      </c>
      <c r="D390" s="19" t="s">
        <v>844</v>
      </c>
      <c r="E390" s="55">
        <v>1</v>
      </c>
      <c r="F390" s="55" t="s">
        <v>35</v>
      </c>
      <c r="G390" s="55" t="s">
        <v>5</v>
      </c>
      <c r="H390" s="55" t="s">
        <v>960</v>
      </c>
      <c r="I390" s="55"/>
      <c r="J390" s="55"/>
      <c r="K390" s="19" t="s">
        <v>1212</v>
      </c>
      <c r="L390" s="19"/>
      <c r="M390" s="19"/>
      <c r="N390" s="19" t="s">
        <v>1445</v>
      </c>
      <c r="O390" s="151">
        <v>43115</v>
      </c>
      <c r="P390" s="151"/>
      <c r="Q390" s="151"/>
      <c r="R390" s="151"/>
      <c r="S390" s="152">
        <v>514021</v>
      </c>
      <c r="T390" s="152">
        <v>0</v>
      </c>
      <c r="U390" s="145">
        <v>0</v>
      </c>
      <c r="V390" s="145">
        <v>0</v>
      </c>
      <c r="W390" s="145">
        <v>0</v>
      </c>
      <c r="X390" s="145">
        <f t="shared" si="129"/>
        <v>0</v>
      </c>
      <c r="Y390" s="145">
        <v>0</v>
      </c>
      <c r="Z390" s="145">
        <v>0</v>
      </c>
      <c r="AA390" s="145">
        <v>0</v>
      </c>
      <c r="AB390" s="145">
        <v>0</v>
      </c>
      <c r="AC390" s="145">
        <v>0</v>
      </c>
      <c r="AD390" s="145">
        <v>0</v>
      </c>
      <c r="AE390" s="145">
        <v>0</v>
      </c>
      <c r="AF390" s="145">
        <v>0</v>
      </c>
      <c r="AG390" s="145">
        <v>0</v>
      </c>
      <c r="AH390" s="145">
        <v>0</v>
      </c>
      <c r="AI390" s="145">
        <v>0</v>
      </c>
      <c r="AJ390" s="145">
        <v>0</v>
      </c>
      <c r="AK390" s="145">
        <f t="shared" si="135"/>
        <v>0</v>
      </c>
      <c r="AL390" s="145">
        <v>257010.5</v>
      </c>
      <c r="AM390" s="145">
        <v>257010.5</v>
      </c>
      <c r="AN390" s="145">
        <v>0</v>
      </c>
      <c r="AO390" s="145">
        <v>0</v>
      </c>
      <c r="AP390" s="145">
        <v>0</v>
      </c>
      <c r="AQ390" s="145">
        <v>0</v>
      </c>
      <c r="AR390" s="145">
        <v>0</v>
      </c>
      <c r="AS390" s="145">
        <f t="shared" si="133"/>
        <v>514021</v>
      </c>
      <c r="AT390" s="145"/>
      <c r="AU390" s="139">
        <f t="shared" si="136"/>
        <v>514021</v>
      </c>
      <c r="AV390" s="146">
        <f>IFERROR(VLOOKUP(J390,Maksājumu_pieprasījumu_iesn.!G:BL,57,0),0)</f>
        <v>0</v>
      </c>
      <c r="AW390" s="139">
        <f t="shared" si="126"/>
        <v>-514021</v>
      </c>
      <c r="AX390" s="137">
        <f t="shared" si="134"/>
        <v>0</v>
      </c>
      <c r="AY390" s="137"/>
      <c r="AZ390" s="137"/>
      <c r="BA390" s="136"/>
      <c r="BB390" s="145"/>
      <c r="BC390" s="145"/>
      <c r="BD390" s="145"/>
      <c r="BE390" s="145"/>
      <c r="BF390" s="145"/>
      <c r="BG390" s="145"/>
      <c r="BH390" s="138"/>
      <c r="BI390" s="138"/>
      <c r="BJ390" s="138"/>
      <c r="BK390" s="138"/>
      <c r="BL390" s="138"/>
      <c r="BM390" s="138"/>
      <c r="BN390" s="138"/>
    </row>
    <row r="391" spans="1:66" ht="25.5" hidden="1" customHeight="1" x14ac:dyDescent="0.2">
      <c r="A391" s="142" t="s">
        <v>1348</v>
      </c>
      <c r="B391" s="18" t="s">
        <v>842</v>
      </c>
      <c r="C391" s="18" t="s">
        <v>843</v>
      </c>
      <c r="D391" s="19" t="s">
        <v>844</v>
      </c>
      <c r="E391" s="18">
        <v>1</v>
      </c>
      <c r="F391" s="18" t="s">
        <v>35</v>
      </c>
      <c r="G391" s="18" t="s">
        <v>5</v>
      </c>
      <c r="H391" s="18" t="s">
        <v>960</v>
      </c>
      <c r="I391" s="18"/>
      <c r="J391" s="18" t="s">
        <v>1446</v>
      </c>
      <c r="K391" s="19" t="s">
        <v>1212</v>
      </c>
      <c r="L391" s="19"/>
      <c r="M391" s="19"/>
      <c r="N391" s="19" t="s">
        <v>1447</v>
      </c>
      <c r="O391" s="143"/>
      <c r="P391" s="143"/>
      <c r="Q391" s="143"/>
      <c r="R391" s="187" t="s">
        <v>1448</v>
      </c>
      <c r="S391" s="144">
        <v>550000</v>
      </c>
      <c r="T391" s="144">
        <v>0</v>
      </c>
      <c r="U391" s="145">
        <v>0</v>
      </c>
      <c r="V391" s="145">
        <v>0</v>
      </c>
      <c r="W391" s="145">
        <v>0</v>
      </c>
      <c r="X391" s="145">
        <f t="shared" si="129"/>
        <v>0</v>
      </c>
      <c r="Y391" s="145">
        <v>0</v>
      </c>
      <c r="Z391" s="145">
        <v>0</v>
      </c>
      <c r="AA391" s="145">
        <v>0</v>
      </c>
      <c r="AB391" s="145">
        <v>0</v>
      </c>
      <c r="AC391" s="145">
        <v>0</v>
      </c>
      <c r="AD391" s="145">
        <v>0</v>
      </c>
      <c r="AE391" s="145">
        <v>0</v>
      </c>
      <c r="AF391" s="145">
        <v>0</v>
      </c>
      <c r="AG391" s="145">
        <v>0</v>
      </c>
      <c r="AH391" s="145">
        <v>0</v>
      </c>
      <c r="AI391" s="145">
        <v>0</v>
      </c>
      <c r="AJ391" s="145">
        <v>0</v>
      </c>
      <c r="AK391" s="145">
        <f t="shared" si="135"/>
        <v>0</v>
      </c>
      <c r="AL391" s="145">
        <v>550000</v>
      </c>
      <c r="AM391" s="145">
        <v>0</v>
      </c>
      <c r="AN391" s="145">
        <v>0</v>
      </c>
      <c r="AO391" s="145">
        <v>0</v>
      </c>
      <c r="AP391" s="145">
        <v>0</v>
      </c>
      <c r="AQ391" s="145">
        <v>0</v>
      </c>
      <c r="AR391" s="145">
        <v>0</v>
      </c>
      <c r="AS391" s="144">
        <f t="shared" si="133"/>
        <v>550000</v>
      </c>
      <c r="AT391" s="144">
        <v>0</v>
      </c>
      <c r="AU391" s="146">
        <f t="shared" si="136"/>
        <v>550000</v>
      </c>
      <c r="AV391" s="146">
        <f>IFERROR(VLOOKUP(J391,Maksājumu_pieprasījumu_iesn.!G:BL,57,0),0)</f>
        <v>0</v>
      </c>
      <c r="AW391" s="139">
        <f t="shared" si="126"/>
        <v>-550000</v>
      </c>
      <c r="AX391" s="165">
        <f t="shared" si="134"/>
        <v>0</v>
      </c>
      <c r="AY391" s="165"/>
      <c r="AZ391" s="165"/>
      <c r="BA391" s="165"/>
      <c r="BB391" s="144"/>
      <c r="BC391" s="144"/>
      <c r="BD391" s="144"/>
      <c r="BE391" s="144"/>
      <c r="BF391" s="144"/>
      <c r="BG391" s="144"/>
      <c r="BH391" s="149"/>
      <c r="BI391" s="149"/>
      <c r="BJ391" s="149"/>
      <c r="BK391" s="149"/>
      <c r="BL391" s="149"/>
      <c r="BM391" s="149"/>
      <c r="BN391" s="149"/>
    </row>
    <row r="392" spans="1:66" s="91" customFormat="1" ht="38.25" hidden="1" customHeight="1" x14ac:dyDescent="0.2">
      <c r="A392" s="150" t="s">
        <v>1348</v>
      </c>
      <c r="B392" s="18" t="s">
        <v>842</v>
      </c>
      <c r="C392" s="18" t="s">
        <v>843</v>
      </c>
      <c r="D392" s="19" t="s">
        <v>844</v>
      </c>
      <c r="E392" s="55">
        <v>1</v>
      </c>
      <c r="F392" s="55" t="s">
        <v>35</v>
      </c>
      <c r="G392" s="55" t="s">
        <v>5</v>
      </c>
      <c r="H392" s="55" t="s">
        <v>960</v>
      </c>
      <c r="I392" s="55"/>
      <c r="J392" s="55"/>
      <c r="K392" s="19" t="s">
        <v>1212</v>
      </c>
      <c r="L392" s="19"/>
      <c r="M392" s="19"/>
      <c r="N392" s="19" t="s">
        <v>1449</v>
      </c>
      <c r="O392" s="151">
        <v>42887</v>
      </c>
      <c r="P392" s="151"/>
      <c r="Q392" s="151"/>
      <c r="R392" s="151"/>
      <c r="S392" s="152">
        <v>450000</v>
      </c>
      <c r="T392" s="152">
        <v>0</v>
      </c>
      <c r="U392" s="145">
        <v>0</v>
      </c>
      <c r="V392" s="145">
        <v>0</v>
      </c>
      <c r="W392" s="145">
        <v>0</v>
      </c>
      <c r="X392" s="145">
        <f t="shared" si="129"/>
        <v>0</v>
      </c>
      <c r="Y392" s="145">
        <v>0</v>
      </c>
      <c r="Z392" s="145">
        <v>0</v>
      </c>
      <c r="AA392" s="145">
        <v>0</v>
      </c>
      <c r="AB392" s="145">
        <v>0</v>
      </c>
      <c r="AC392" s="145">
        <v>0</v>
      </c>
      <c r="AD392" s="145">
        <v>0</v>
      </c>
      <c r="AE392" s="145">
        <v>0</v>
      </c>
      <c r="AF392" s="145">
        <v>0</v>
      </c>
      <c r="AG392" s="145">
        <v>0</v>
      </c>
      <c r="AH392" s="145">
        <v>0</v>
      </c>
      <c r="AI392" s="145">
        <v>0</v>
      </c>
      <c r="AJ392" s="145">
        <v>225000</v>
      </c>
      <c r="AK392" s="145">
        <f t="shared" si="135"/>
        <v>225000</v>
      </c>
      <c r="AL392" s="145">
        <v>225000</v>
      </c>
      <c r="AM392" s="145">
        <v>0</v>
      </c>
      <c r="AN392" s="145">
        <v>0</v>
      </c>
      <c r="AO392" s="145">
        <v>0</v>
      </c>
      <c r="AP392" s="145">
        <v>0</v>
      </c>
      <c r="AQ392" s="145">
        <v>0</v>
      </c>
      <c r="AR392" s="145">
        <v>0</v>
      </c>
      <c r="AS392" s="145">
        <f t="shared" si="133"/>
        <v>450000</v>
      </c>
      <c r="AT392" s="145"/>
      <c r="AU392" s="139">
        <f t="shared" si="136"/>
        <v>450000</v>
      </c>
      <c r="AV392" s="146">
        <f>IFERROR(VLOOKUP(J392,Maksājumu_pieprasījumu_iesn.!G:BL,57,0),0)</f>
        <v>0</v>
      </c>
      <c r="AW392" s="139">
        <f t="shared" si="126"/>
        <v>-450000</v>
      </c>
      <c r="AX392" s="137">
        <f t="shared" si="134"/>
        <v>0</v>
      </c>
      <c r="AY392" s="137"/>
      <c r="AZ392" s="137"/>
      <c r="BA392" s="136"/>
      <c r="BB392" s="145"/>
      <c r="BC392" s="145"/>
      <c r="BD392" s="145"/>
      <c r="BE392" s="145"/>
      <c r="BF392" s="145"/>
      <c r="BG392" s="145"/>
      <c r="BH392" s="138"/>
      <c r="BI392" s="138"/>
      <c r="BJ392" s="138"/>
      <c r="BK392" s="138"/>
      <c r="BL392" s="138"/>
      <c r="BM392" s="138"/>
      <c r="BN392" s="138"/>
    </row>
    <row r="393" spans="1:66" s="91" customFormat="1" ht="38.25" hidden="1" customHeight="1" x14ac:dyDescent="0.2">
      <c r="A393" s="150" t="s">
        <v>1348</v>
      </c>
      <c r="B393" s="18" t="s">
        <v>842</v>
      </c>
      <c r="C393" s="18" t="s">
        <v>843</v>
      </c>
      <c r="D393" s="19" t="s">
        <v>844</v>
      </c>
      <c r="E393" s="55">
        <v>1</v>
      </c>
      <c r="F393" s="55" t="s">
        <v>35</v>
      </c>
      <c r="G393" s="55" t="s">
        <v>5</v>
      </c>
      <c r="H393" s="55" t="s">
        <v>960</v>
      </c>
      <c r="I393" s="55"/>
      <c r="J393" s="55"/>
      <c r="K393" s="19" t="s">
        <v>1212</v>
      </c>
      <c r="L393" s="19"/>
      <c r="M393" s="19"/>
      <c r="N393" s="19" t="s">
        <v>1450</v>
      </c>
      <c r="O393" s="151">
        <v>43133</v>
      </c>
      <c r="P393" s="151"/>
      <c r="Q393" s="151"/>
      <c r="R393" s="151"/>
      <c r="S393" s="152">
        <v>300000</v>
      </c>
      <c r="T393" s="152">
        <v>0</v>
      </c>
      <c r="U393" s="145">
        <v>0</v>
      </c>
      <c r="V393" s="145">
        <v>0</v>
      </c>
      <c r="W393" s="145">
        <v>0</v>
      </c>
      <c r="X393" s="145">
        <f t="shared" si="129"/>
        <v>0</v>
      </c>
      <c r="Y393" s="145">
        <v>0</v>
      </c>
      <c r="Z393" s="145">
        <v>0</v>
      </c>
      <c r="AA393" s="145">
        <v>0</v>
      </c>
      <c r="AB393" s="145">
        <v>0</v>
      </c>
      <c r="AC393" s="145">
        <v>0</v>
      </c>
      <c r="AD393" s="145">
        <v>0</v>
      </c>
      <c r="AE393" s="145">
        <v>0</v>
      </c>
      <c r="AF393" s="145">
        <v>0</v>
      </c>
      <c r="AG393" s="145">
        <v>0</v>
      </c>
      <c r="AH393" s="145">
        <v>0</v>
      </c>
      <c r="AI393" s="145">
        <v>0</v>
      </c>
      <c r="AJ393" s="145">
        <v>0</v>
      </c>
      <c r="AK393" s="145">
        <f t="shared" si="135"/>
        <v>0</v>
      </c>
      <c r="AL393" s="145">
        <v>300000</v>
      </c>
      <c r="AM393" s="145">
        <v>0</v>
      </c>
      <c r="AN393" s="145">
        <v>0</v>
      </c>
      <c r="AO393" s="145">
        <v>0</v>
      </c>
      <c r="AP393" s="145">
        <v>0</v>
      </c>
      <c r="AQ393" s="145">
        <v>0</v>
      </c>
      <c r="AR393" s="145">
        <v>0</v>
      </c>
      <c r="AS393" s="145">
        <f t="shared" si="133"/>
        <v>300000</v>
      </c>
      <c r="AT393" s="145"/>
      <c r="AU393" s="139">
        <f t="shared" si="136"/>
        <v>300000</v>
      </c>
      <c r="AV393" s="146">
        <f>IFERROR(VLOOKUP(J393,Maksājumu_pieprasījumu_iesn.!G:BL,57,0),0)</f>
        <v>0</v>
      </c>
      <c r="AW393" s="139">
        <f t="shared" si="126"/>
        <v>-300000</v>
      </c>
      <c r="AX393" s="137">
        <f t="shared" si="134"/>
        <v>0</v>
      </c>
      <c r="AY393" s="137"/>
      <c r="AZ393" s="137"/>
      <c r="BA393" s="136"/>
      <c r="BB393" s="145"/>
      <c r="BC393" s="145"/>
      <c r="BD393" s="145"/>
      <c r="BE393" s="145"/>
      <c r="BF393" s="145"/>
      <c r="BG393" s="145"/>
      <c r="BH393" s="138"/>
      <c r="BI393" s="138"/>
      <c r="BJ393" s="138"/>
      <c r="BK393" s="138"/>
      <c r="BL393" s="138"/>
      <c r="BM393" s="138"/>
      <c r="BN393" s="138"/>
    </row>
    <row r="394" spans="1:66" s="91" customFormat="1" ht="38.25" hidden="1" customHeight="1" x14ac:dyDescent="0.2">
      <c r="A394" s="150" t="s">
        <v>1348</v>
      </c>
      <c r="B394" s="18" t="s">
        <v>842</v>
      </c>
      <c r="C394" s="18" t="s">
        <v>843</v>
      </c>
      <c r="D394" s="19" t="s">
        <v>844</v>
      </c>
      <c r="E394" s="55">
        <v>1</v>
      </c>
      <c r="F394" s="55" t="s">
        <v>35</v>
      </c>
      <c r="G394" s="55" t="s">
        <v>5</v>
      </c>
      <c r="H394" s="55" t="s">
        <v>960</v>
      </c>
      <c r="I394" s="55"/>
      <c r="J394" s="55"/>
      <c r="K394" s="19" t="s">
        <v>1212</v>
      </c>
      <c r="L394" s="19"/>
      <c r="M394" s="19"/>
      <c r="N394" s="19" t="s">
        <v>1451</v>
      </c>
      <c r="O394" s="151">
        <v>43115</v>
      </c>
      <c r="P394" s="151"/>
      <c r="Q394" s="151"/>
      <c r="R394" s="151"/>
      <c r="S394" s="152">
        <v>516020</v>
      </c>
      <c r="T394" s="152">
        <v>0</v>
      </c>
      <c r="U394" s="145">
        <v>0</v>
      </c>
      <c r="V394" s="145">
        <v>0</v>
      </c>
      <c r="W394" s="145">
        <v>0</v>
      </c>
      <c r="X394" s="145">
        <f t="shared" si="129"/>
        <v>0</v>
      </c>
      <c r="Y394" s="145">
        <v>0</v>
      </c>
      <c r="Z394" s="145">
        <v>0</v>
      </c>
      <c r="AA394" s="145">
        <v>0</v>
      </c>
      <c r="AB394" s="145">
        <v>0</v>
      </c>
      <c r="AC394" s="145">
        <v>0</v>
      </c>
      <c r="AD394" s="145">
        <v>0</v>
      </c>
      <c r="AE394" s="145">
        <v>0</v>
      </c>
      <c r="AF394" s="145">
        <v>0</v>
      </c>
      <c r="AG394" s="145">
        <v>0</v>
      </c>
      <c r="AH394" s="145">
        <v>0</v>
      </c>
      <c r="AI394" s="145">
        <v>0</v>
      </c>
      <c r="AJ394" s="145">
        <v>0</v>
      </c>
      <c r="AK394" s="145">
        <f t="shared" si="135"/>
        <v>0</v>
      </c>
      <c r="AL394" s="145">
        <v>258010</v>
      </c>
      <c r="AM394" s="145">
        <v>258010</v>
      </c>
      <c r="AN394" s="145">
        <v>0</v>
      </c>
      <c r="AO394" s="145">
        <v>0</v>
      </c>
      <c r="AP394" s="145">
        <v>0</v>
      </c>
      <c r="AQ394" s="145">
        <v>0</v>
      </c>
      <c r="AR394" s="145">
        <v>0</v>
      </c>
      <c r="AS394" s="145">
        <f t="shared" si="133"/>
        <v>516020</v>
      </c>
      <c r="AT394" s="145"/>
      <c r="AU394" s="139">
        <f t="shared" si="136"/>
        <v>516020</v>
      </c>
      <c r="AV394" s="146">
        <f>IFERROR(VLOOKUP(J394,Maksājumu_pieprasījumu_iesn.!G:BL,57,0),0)</f>
        <v>0</v>
      </c>
      <c r="AW394" s="139">
        <f t="shared" si="126"/>
        <v>-516020</v>
      </c>
      <c r="AX394" s="137">
        <f t="shared" si="134"/>
        <v>0</v>
      </c>
      <c r="AY394" s="137"/>
      <c r="AZ394" s="137"/>
      <c r="BA394" s="136"/>
      <c r="BB394" s="145"/>
      <c r="BC394" s="145"/>
      <c r="BD394" s="145"/>
      <c r="BE394" s="145"/>
      <c r="BF394" s="145"/>
      <c r="BG394" s="145"/>
      <c r="BH394" s="138"/>
      <c r="BI394" s="138"/>
      <c r="BJ394" s="138"/>
      <c r="BK394" s="138"/>
      <c r="BL394" s="138"/>
      <c r="BM394" s="138"/>
      <c r="BN394" s="138"/>
    </row>
    <row r="395" spans="1:66" s="91" customFormat="1" ht="38.25" hidden="1" customHeight="1" x14ac:dyDescent="0.2">
      <c r="A395" s="150" t="s">
        <v>1348</v>
      </c>
      <c r="B395" s="18" t="s">
        <v>842</v>
      </c>
      <c r="C395" s="18" t="s">
        <v>843</v>
      </c>
      <c r="D395" s="19" t="s">
        <v>844</v>
      </c>
      <c r="E395" s="55">
        <v>1</v>
      </c>
      <c r="F395" s="55" t="s">
        <v>35</v>
      </c>
      <c r="G395" s="55" t="s">
        <v>5</v>
      </c>
      <c r="H395" s="55" t="s">
        <v>960</v>
      </c>
      <c r="I395" s="55"/>
      <c r="J395" s="55"/>
      <c r="K395" s="19" t="s">
        <v>1212</v>
      </c>
      <c r="L395" s="19"/>
      <c r="M395" s="19"/>
      <c r="N395" s="19" t="s">
        <v>1452</v>
      </c>
      <c r="O395" s="151">
        <v>42917</v>
      </c>
      <c r="P395" s="151"/>
      <c r="Q395" s="151"/>
      <c r="R395" s="151"/>
      <c r="S395" s="152">
        <v>290000</v>
      </c>
      <c r="T395" s="152">
        <v>0</v>
      </c>
      <c r="U395" s="145">
        <v>0</v>
      </c>
      <c r="V395" s="145">
        <v>0</v>
      </c>
      <c r="W395" s="145">
        <v>0</v>
      </c>
      <c r="X395" s="145">
        <f t="shared" si="129"/>
        <v>0</v>
      </c>
      <c r="Y395" s="145">
        <v>0</v>
      </c>
      <c r="Z395" s="145">
        <v>0</v>
      </c>
      <c r="AA395" s="145">
        <v>0</v>
      </c>
      <c r="AB395" s="145">
        <v>0</v>
      </c>
      <c r="AC395" s="145">
        <v>0</v>
      </c>
      <c r="AD395" s="145">
        <v>0</v>
      </c>
      <c r="AE395" s="145">
        <v>0</v>
      </c>
      <c r="AF395" s="145">
        <v>0</v>
      </c>
      <c r="AG395" s="145">
        <v>0</v>
      </c>
      <c r="AH395" s="145">
        <v>0</v>
      </c>
      <c r="AI395" s="145">
        <v>0</v>
      </c>
      <c r="AJ395" s="145">
        <v>0</v>
      </c>
      <c r="AK395" s="145">
        <f t="shared" si="135"/>
        <v>0</v>
      </c>
      <c r="AL395" s="145">
        <v>290000</v>
      </c>
      <c r="AM395" s="145">
        <v>0</v>
      </c>
      <c r="AN395" s="145">
        <v>0</v>
      </c>
      <c r="AO395" s="145">
        <v>0</v>
      </c>
      <c r="AP395" s="145">
        <v>0</v>
      </c>
      <c r="AQ395" s="145">
        <v>0</v>
      </c>
      <c r="AR395" s="145">
        <v>0</v>
      </c>
      <c r="AS395" s="145">
        <f t="shared" si="133"/>
        <v>290000</v>
      </c>
      <c r="AT395" s="145"/>
      <c r="AU395" s="139">
        <f t="shared" si="136"/>
        <v>290000</v>
      </c>
      <c r="AV395" s="146">
        <f>IFERROR(VLOOKUP(J395,Maksājumu_pieprasījumu_iesn.!G:BL,57,0),0)</f>
        <v>0</v>
      </c>
      <c r="AW395" s="139">
        <f t="shared" si="126"/>
        <v>-290000</v>
      </c>
      <c r="AX395" s="137">
        <f t="shared" si="134"/>
        <v>0</v>
      </c>
      <c r="AY395" s="137"/>
      <c r="AZ395" s="137"/>
      <c r="BA395" s="136"/>
      <c r="BB395" s="145"/>
      <c r="BC395" s="145"/>
      <c r="BD395" s="145"/>
      <c r="BE395" s="145"/>
      <c r="BF395" s="145"/>
      <c r="BG395" s="145"/>
      <c r="BH395" s="138"/>
      <c r="BI395" s="138"/>
      <c r="BJ395" s="138"/>
      <c r="BK395" s="138"/>
      <c r="BL395" s="138"/>
      <c r="BM395" s="138"/>
      <c r="BN395" s="138"/>
    </row>
    <row r="396" spans="1:66" s="91" customFormat="1" ht="38.25" hidden="1" customHeight="1" x14ac:dyDescent="0.2">
      <c r="A396" s="150" t="s">
        <v>1348</v>
      </c>
      <c r="B396" s="18" t="s">
        <v>842</v>
      </c>
      <c r="C396" s="18" t="s">
        <v>843</v>
      </c>
      <c r="D396" s="19" t="s">
        <v>844</v>
      </c>
      <c r="E396" s="55">
        <v>1</v>
      </c>
      <c r="F396" s="55" t="s">
        <v>35</v>
      </c>
      <c r="G396" s="55" t="s">
        <v>5</v>
      </c>
      <c r="H396" s="55" t="s">
        <v>960</v>
      </c>
      <c r="I396" s="55"/>
      <c r="J396" s="55"/>
      <c r="K396" s="19" t="s">
        <v>1212</v>
      </c>
      <c r="L396" s="19"/>
      <c r="M396" s="19"/>
      <c r="N396" s="19" t="s">
        <v>1453</v>
      </c>
      <c r="O396" s="151">
        <v>43189</v>
      </c>
      <c r="P396" s="151"/>
      <c r="Q396" s="151"/>
      <c r="R396" s="151"/>
      <c r="S396" s="152">
        <v>400000</v>
      </c>
      <c r="T396" s="152">
        <v>0</v>
      </c>
      <c r="U396" s="145">
        <v>0</v>
      </c>
      <c r="V396" s="145">
        <v>0</v>
      </c>
      <c r="W396" s="145">
        <v>0</v>
      </c>
      <c r="X396" s="145">
        <f t="shared" si="129"/>
        <v>0</v>
      </c>
      <c r="Y396" s="145">
        <v>0</v>
      </c>
      <c r="Z396" s="145">
        <v>0</v>
      </c>
      <c r="AA396" s="145">
        <v>0</v>
      </c>
      <c r="AB396" s="145">
        <v>0</v>
      </c>
      <c r="AC396" s="145">
        <v>0</v>
      </c>
      <c r="AD396" s="145">
        <v>0</v>
      </c>
      <c r="AE396" s="145">
        <v>0</v>
      </c>
      <c r="AF396" s="145">
        <v>0</v>
      </c>
      <c r="AG396" s="145">
        <v>0</v>
      </c>
      <c r="AH396" s="145">
        <v>0</v>
      </c>
      <c r="AI396" s="145">
        <v>0</v>
      </c>
      <c r="AJ396" s="145">
        <v>0</v>
      </c>
      <c r="AK396" s="145">
        <f t="shared" si="135"/>
        <v>0</v>
      </c>
      <c r="AL396" s="145">
        <v>400000</v>
      </c>
      <c r="AM396" s="145">
        <v>0</v>
      </c>
      <c r="AN396" s="145">
        <v>0</v>
      </c>
      <c r="AO396" s="145">
        <v>0</v>
      </c>
      <c r="AP396" s="145">
        <v>0</v>
      </c>
      <c r="AQ396" s="145">
        <v>0</v>
      </c>
      <c r="AR396" s="145">
        <v>0</v>
      </c>
      <c r="AS396" s="145">
        <f t="shared" si="133"/>
        <v>400000</v>
      </c>
      <c r="AT396" s="145"/>
      <c r="AU396" s="139">
        <f t="shared" si="136"/>
        <v>400000</v>
      </c>
      <c r="AV396" s="146">
        <f>IFERROR(VLOOKUP(J396,Maksājumu_pieprasījumu_iesn.!G:BL,57,0),0)</f>
        <v>0</v>
      </c>
      <c r="AW396" s="139">
        <f t="shared" si="126"/>
        <v>-400000</v>
      </c>
      <c r="AX396" s="137">
        <f t="shared" si="134"/>
        <v>0</v>
      </c>
      <c r="AY396" s="137"/>
      <c r="AZ396" s="137"/>
      <c r="BA396" s="136"/>
      <c r="BB396" s="145"/>
      <c r="BC396" s="145"/>
      <c r="BD396" s="145"/>
      <c r="BE396" s="145"/>
      <c r="BF396" s="145"/>
      <c r="BG396" s="145"/>
      <c r="BH396" s="138"/>
      <c r="BI396" s="138"/>
      <c r="BJ396" s="138"/>
      <c r="BK396" s="138"/>
      <c r="BL396" s="138"/>
      <c r="BM396" s="138"/>
      <c r="BN396" s="138"/>
    </row>
    <row r="397" spans="1:66" ht="38.25" hidden="1" customHeight="1" x14ac:dyDescent="0.2">
      <c r="A397" s="142" t="s">
        <v>1348</v>
      </c>
      <c r="B397" s="18" t="s">
        <v>842</v>
      </c>
      <c r="C397" s="18" t="s">
        <v>843</v>
      </c>
      <c r="D397" s="19" t="s">
        <v>844</v>
      </c>
      <c r="E397" s="18">
        <v>1</v>
      </c>
      <c r="F397" s="18" t="s">
        <v>35</v>
      </c>
      <c r="G397" s="18" t="s">
        <v>5</v>
      </c>
      <c r="H397" s="18" t="s">
        <v>960</v>
      </c>
      <c r="I397" s="18"/>
      <c r="J397" s="18" t="s">
        <v>1454</v>
      </c>
      <c r="K397" s="19" t="s">
        <v>1212</v>
      </c>
      <c r="L397" s="19"/>
      <c r="M397" s="19"/>
      <c r="N397" s="19" t="s">
        <v>1455</v>
      </c>
      <c r="O397" s="143"/>
      <c r="P397" s="143"/>
      <c r="Q397" s="143"/>
      <c r="R397" s="187" t="s">
        <v>1456</v>
      </c>
      <c r="S397" s="144">
        <v>185648.54</v>
      </c>
      <c r="T397" s="144">
        <v>0</v>
      </c>
      <c r="U397" s="145">
        <v>0</v>
      </c>
      <c r="V397" s="145">
        <v>0</v>
      </c>
      <c r="W397" s="145">
        <v>0</v>
      </c>
      <c r="X397" s="145">
        <f t="shared" si="129"/>
        <v>0</v>
      </c>
      <c r="Y397" s="145">
        <v>0</v>
      </c>
      <c r="Z397" s="145">
        <v>0</v>
      </c>
      <c r="AA397" s="145">
        <v>0</v>
      </c>
      <c r="AB397" s="145">
        <v>0</v>
      </c>
      <c r="AC397" s="145">
        <v>0</v>
      </c>
      <c r="AD397" s="145">
        <v>0</v>
      </c>
      <c r="AE397" s="145">
        <v>0</v>
      </c>
      <c r="AF397" s="145">
        <v>0</v>
      </c>
      <c r="AG397" s="145">
        <v>0</v>
      </c>
      <c r="AH397" s="145">
        <v>0</v>
      </c>
      <c r="AI397" s="145">
        <v>0</v>
      </c>
      <c r="AJ397" s="145">
        <v>0</v>
      </c>
      <c r="AK397" s="145">
        <f t="shared" si="135"/>
        <v>0</v>
      </c>
      <c r="AL397" s="145">
        <v>185648.54</v>
      </c>
      <c r="AM397" s="145">
        <v>0</v>
      </c>
      <c r="AN397" s="145">
        <v>0</v>
      </c>
      <c r="AO397" s="145">
        <v>0</v>
      </c>
      <c r="AP397" s="145">
        <v>0</v>
      </c>
      <c r="AQ397" s="145">
        <v>0</v>
      </c>
      <c r="AR397" s="145">
        <v>0</v>
      </c>
      <c r="AS397" s="144">
        <f t="shared" ref="AS397:AS428" si="137">U397+V397+W397+AK397+AL397+AM397+AN397+AO397+AP397+AQ397+AR397</f>
        <v>185648.54</v>
      </c>
      <c r="AT397" s="144">
        <v>0</v>
      </c>
      <c r="AU397" s="146">
        <f t="shared" si="136"/>
        <v>185648.54</v>
      </c>
      <c r="AV397" s="146">
        <f>IFERROR(VLOOKUP(J397,Maksājumu_pieprasījumu_iesn.!G:BL,57,0),0)</f>
        <v>0</v>
      </c>
      <c r="AW397" s="139">
        <f t="shared" si="126"/>
        <v>-185648.54</v>
      </c>
      <c r="AX397" s="165">
        <f t="shared" si="134"/>
        <v>0</v>
      </c>
      <c r="AY397" s="165"/>
      <c r="AZ397" s="165"/>
      <c r="BA397" s="165"/>
      <c r="BB397" s="144"/>
      <c r="BC397" s="144"/>
      <c r="BD397" s="144"/>
      <c r="BE397" s="144"/>
      <c r="BF397" s="144"/>
      <c r="BG397" s="144"/>
      <c r="BH397" s="149"/>
      <c r="BI397" s="149"/>
      <c r="BJ397" s="149"/>
      <c r="BK397" s="149"/>
      <c r="BL397" s="149"/>
      <c r="BM397" s="149"/>
      <c r="BN397" s="149"/>
    </row>
    <row r="398" spans="1:66" s="91" customFormat="1" ht="63.75" hidden="1" customHeight="1" x14ac:dyDescent="0.2">
      <c r="A398" s="150" t="s">
        <v>1348</v>
      </c>
      <c r="B398" s="18" t="s">
        <v>842</v>
      </c>
      <c r="C398" s="18" t="s">
        <v>843</v>
      </c>
      <c r="D398" s="19" t="s">
        <v>844</v>
      </c>
      <c r="E398" s="55">
        <v>1</v>
      </c>
      <c r="F398" s="55" t="s">
        <v>35</v>
      </c>
      <c r="G398" s="55" t="s">
        <v>5</v>
      </c>
      <c r="H398" s="55" t="s">
        <v>960</v>
      </c>
      <c r="I398" s="55"/>
      <c r="J398" s="55"/>
      <c r="K398" s="19" t="s">
        <v>148</v>
      </c>
      <c r="L398" s="19"/>
      <c r="M398" s="19"/>
      <c r="N398" s="19" t="s">
        <v>1457</v>
      </c>
      <c r="O398" s="151">
        <v>42887</v>
      </c>
      <c r="P398" s="151"/>
      <c r="Q398" s="151"/>
      <c r="R398" s="151"/>
      <c r="S398" s="152">
        <v>215642.94</v>
      </c>
      <c r="T398" s="152">
        <v>0</v>
      </c>
      <c r="U398" s="145">
        <v>0</v>
      </c>
      <c r="V398" s="145">
        <v>0</v>
      </c>
      <c r="W398" s="145">
        <v>0</v>
      </c>
      <c r="X398" s="145">
        <f t="shared" si="129"/>
        <v>0</v>
      </c>
      <c r="Y398" s="145">
        <v>0</v>
      </c>
      <c r="Z398" s="145">
        <v>0</v>
      </c>
      <c r="AA398" s="145">
        <v>0</v>
      </c>
      <c r="AB398" s="145">
        <v>0</v>
      </c>
      <c r="AC398" s="145">
        <v>0</v>
      </c>
      <c r="AD398" s="145">
        <v>0</v>
      </c>
      <c r="AE398" s="145">
        <v>0</v>
      </c>
      <c r="AF398" s="145">
        <v>0</v>
      </c>
      <c r="AG398" s="145">
        <v>0</v>
      </c>
      <c r="AH398" s="145">
        <v>0</v>
      </c>
      <c r="AI398" s="145">
        <v>194079</v>
      </c>
      <c r="AJ398" s="145">
        <v>0</v>
      </c>
      <c r="AK398" s="145">
        <f t="shared" si="135"/>
        <v>194079</v>
      </c>
      <c r="AL398" s="145">
        <v>21564</v>
      </c>
      <c r="AM398" s="145">
        <v>0</v>
      </c>
      <c r="AN398" s="145">
        <v>0</v>
      </c>
      <c r="AO398" s="145">
        <v>0</v>
      </c>
      <c r="AP398" s="145">
        <v>0</v>
      </c>
      <c r="AQ398" s="145">
        <v>0</v>
      </c>
      <c r="AR398" s="145">
        <v>0</v>
      </c>
      <c r="AS398" s="145">
        <f t="shared" si="137"/>
        <v>215643</v>
      </c>
      <c r="AT398" s="145"/>
      <c r="AU398" s="139">
        <f t="shared" si="136"/>
        <v>215643</v>
      </c>
      <c r="AV398" s="146">
        <f>IFERROR(VLOOKUP(J398,Maksājumu_pieprasījumu_iesn.!G:BL,57,0),0)</f>
        <v>0</v>
      </c>
      <c r="AW398" s="139">
        <f t="shared" si="126"/>
        <v>-215643</v>
      </c>
      <c r="AX398" s="137">
        <f t="shared" si="134"/>
        <v>-5.9999999997671694E-2</v>
      </c>
      <c r="AY398" s="137"/>
      <c r="AZ398" s="137"/>
      <c r="BA398" s="136"/>
      <c r="BB398" s="145"/>
      <c r="BC398" s="145"/>
      <c r="BD398" s="145"/>
      <c r="BE398" s="145"/>
      <c r="BF398" s="145"/>
      <c r="BG398" s="145"/>
      <c r="BH398" s="138"/>
      <c r="BI398" s="138"/>
      <c r="BJ398" s="138"/>
      <c r="BK398" s="138"/>
      <c r="BL398" s="138"/>
      <c r="BM398" s="138"/>
      <c r="BN398" s="138"/>
    </row>
    <row r="399" spans="1:66" s="91" customFormat="1" ht="63.75" hidden="1" customHeight="1" x14ac:dyDescent="0.2">
      <c r="A399" s="150" t="s">
        <v>1348</v>
      </c>
      <c r="B399" s="18" t="s">
        <v>842</v>
      </c>
      <c r="C399" s="18" t="s">
        <v>843</v>
      </c>
      <c r="D399" s="19" t="s">
        <v>844</v>
      </c>
      <c r="E399" s="55">
        <v>1</v>
      </c>
      <c r="F399" s="55" t="s">
        <v>35</v>
      </c>
      <c r="G399" s="55" t="s">
        <v>5</v>
      </c>
      <c r="H399" s="55" t="s">
        <v>960</v>
      </c>
      <c r="I399" s="55"/>
      <c r="J399" s="55"/>
      <c r="K399" s="19" t="s">
        <v>148</v>
      </c>
      <c r="L399" s="19"/>
      <c r="M399" s="19"/>
      <c r="N399" s="19" t="s">
        <v>1458</v>
      </c>
      <c r="O399" s="151">
        <v>42887</v>
      </c>
      <c r="P399" s="151"/>
      <c r="Q399" s="151"/>
      <c r="R399" s="151"/>
      <c r="S399" s="152">
        <v>215642.94</v>
      </c>
      <c r="T399" s="152">
        <v>0</v>
      </c>
      <c r="U399" s="145">
        <v>0</v>
      </c>
      <c r="V399" s="145">
        <v>0</v>
      </c>
      <c r="W399" s="145">
        <v>0</v>
      </c>
      <c r="X399" s="145">
        <f t="shared" si="129"/>
        <v>0</v>
      </c>
      <c r="Y399" s="145">
        <v>0</v>
      </c>
      <c r="Z399" s="145">
        <v>0</v>
      </c>
      <c r="AA399" s="145">
        <v>0</v>
      </c>
      <c r="AB399" s="145">
        <v>0</v>
      </c>
      <c r="AC399" s="145">
        <v>0</v>
      </c>
      <c r="AD399" s="145">
        <v>0</v>
      </c>
      <c r="AE399" s="145">
        <v>0</v>
      </c>
      <c r="AF399" s="145">
        <v>0</v>
      </c>
      <c r="AG399" s="145">
        <v>0</v>
      </c>
      <c r="AH399" s="145">
        <v>0</v>
      </c>
      <c r="AI399" s="145">
        <v>194079</v>
      </c>
      <c r="AJ399" s="145">
        <v>0</v>
      </c>
      <c r="AK399" s="145">
        <f t="shared" si="135"/>
        <v>194079</v>
      </c>
      <c r="AL399" s="145">
        <v>21564</v>
      </c>
      <c r="AM399" s="145">
        <v>0</v>
      </c>
      <c r="AN399" s="145">
        <v>0</v>
      </c>
      <c r="AO399" s="145">
        <v>0</v>
      </c>
      <c r="AP399" s="145">
        <v>0</v>
      </c>
      <c r="AQ399" s="145">
        <v>0</v>
      </c>
      <c r="AR399" s="145">
        <v>0</v>
      </c>
      <c r="AS399" s="145">
        <f t="shared" si="137"/>
        <v>215643</v>
      </c>
      <c r="AT399" s="145"/>
      <c r="AU399" s="139">
        <f t="shared" si="136"/>
        <v>215643</v>
      </c>
      <c r="AV399" s="146">
        <f>IFERROR(VLOOKUP(J399,Maksājumu_pieprasījumu_iesn.!G:BL,57,0),0)</f>
        <v>0</v>
      </c>
      <c r="AW399" s="139">
        <f t="shared" si="126"/>
        <v>-215643</v>
      </c>
      <c r="AX399" s="137">
        <f t="shared" si="134"/>
        <v>-5.9999999997671694E-2</v>
      </c>
      <c r="AY399" s="137"/>
      <c r="AZ399" s="137"/>
      <c r="BA399" s="136"/>
      <c r="BB399" s="145"/>
      <c r="BC399" s="145"/>
      <c r="BD399" s="145"/>
      <c r="BE399" s="145"/>
      <c r="BF399" s="145"/>
      <c r="BG399" s="145"/>
      <c r="BH399" s="138"/>
      <c r="BI399" s="138"/>
      <c r="BJ399" s="138"/>
      <c r="BK399" s="138"/>
      <c r="BL399" s="138"/>
      <c r="BM399" s="138"/>
      <c r="BN399" s="138"/>
    </row>
    <row r="400" spans="1:66" s="91" customFormat="1" ht="63.75" hidden="1" customHeight="1" x14ac:dyDescent="0.2">
      <c r="A400" s="150" t="s">
        <v>1348</v>
      </c>
      <c r="B400" s="18" t="s">
        <v>842</v>
      </c>
      <c r="C400" s="18" t="s">
        <v>843</v>
      </c>
      <c r="D400" s="19" t="s">
        <v>844</v>
      </c>
      <c r="E400" s="55">
        <v>1</v>
      </c>
      <c r="F400" s="55" t="s">
        <v>35</v>
      </c>
      <c r="G400" s="55" t="s">
        <v>5</v>
      </c>
      <c r="H400" s="55" t="s">
        <v>960</v>
      </c>
      <c r="I400" s="55"/>
      <c r="J400" s="55"/>
      <c r="K400" s="19" t="s">
        <v>148</v>
      </c>
      <c r="L400" s="19"/>
      <c r="M400" s="19"/>
      <c r="N400" s="19" t="s">
        <v>1459</v>
      </c>
      <c r="O400" s="151">
        <v>42887</v>
      </c>
      <c r="P400" s="151"/>
      <c r="Q400" s="151"/>
      <c r="R400" s="151"/>
      <c r="S400" s="152">
        <v>215642.95</v>
      </c>
      <c r="T400" s="152">
        <v>0</v>
      </c>
      <c r="U400" s="145">
        <v>0</v>
      </c>
      <c r="V400" s="145">
        <v>0</v>
      </c>
      <c r="W400" s="145">
        <v>0</v>
      </c>
      <c r="X400" s="145">
        <f t="shared" si="129"/>
        <v>0</v>
      </c>
      <c r="Y400" s="145">
        <v>0</v>
      </c>
      <c r="Z400" s="145">
        <v>0</v>
      </c>
      <c r="AA400" s="145">
        <v>0</v>
      </c>
      <c r="AB400" s="145">
        <v>0</v>
      </c>
      <c r="AC400" s="145">
        <v>0</v>
      </c>
      <c r="AD400" s="145">
        <v>0</v>
      </c>
      <c r="AE400" s="145">
        <v>0</v>
      </c>
      <c r="AF400" s="145">
        <v>0</v>
      </c>
      <c r="AG400" s="145">
        <v>0</v>
      </c>
      <c r="AH400" s="145">
        <v>0</v>
      </c>
      <c r="AI400" s="145">
        <v>194079</v>
      </c>
      <c r="AJ400" s="145">
        <v>0</v>
      </c>
      <c r="AK400" s="145">
        <f t="shared" si="135"/>
        <v>194079</v>
      </c>
      <c r="AL400" s="145">
        <v>21564</v>
      </c>
      <c r="AM400" s="145">
        <v>0</v>
      </c>
      <c r="AN400" s="145">
        <v>0</v>
      </c>
      <c r="AO400" s="145">
        <v>0</v>
      </c>
      <c r="AP400" s="145">
        <v>0</v>
      </c>
      <c r="AQ400" s="145">
        <v>0</v>
      </c>
      <c r="AR400" s="145">
        <v>0</v>
      </c>
      <c r="AS400" s="145">
        <f t="shared" si="137"/>
        <v>215643</v>
      </c>
      <c r="AT400" s="145"/>
      <c r="AU400" s="139">
        <f t="shared" si="136"/>
        <v>215643</v>
      </c>
      <c r="AV400" s="146">
        <f>IFERROR(VLOOKUP(J400,Maksājumu_pieprasījumu_iesn.!G:BL,57,0),0)</f>
        <v>0</v>
      </c>
      <c r="AW400" s="139">
        <f t="shared" ref="AW400:AW463" si="138">AV400-AU400</f>
        <v>-215643</v>
      </c>
      <c r="AX400" s="137">
        <f t="shared" si="134"/>
        <v>-4.9999999988358468E-2</v>
      </c>
      <c r="AY400" s="137"/>
      <c r="AZ400" s="137"/>
      <c r="BA400" s="136"/>
      <c r="BB400" s="145"/>
      <c r="BC400" s="145"/>
      <c r="BD400" s="145"/>
      <c r="BE400" s="145"/>
      <c r="BF400" s="145"/>
      <c r="BG400" s="145"/>
      <c r="BH400" s="138"/>
      <c r="BI400" s="138"/>
      <c r="BJ400" s="138"/>
      <c r="BK400" s="138"/>
      <c r="BL400" s="138"/>
      <c r="BM400" s="138"/>
      <c r="BN400" s="138"/>
    </row>
    <row r="401" spans="1:66" s="91" customFormat="1" ht="63.75" hidden="1" customHeight="1" x14ac:dyDescent="0.2">
      <c r="A401" s="150" t="s">
        <v>1348</v>
      </c>
      <c r="B401" s="18" t="s">
        <v>842</v>
      </c>
      <c r="C401" s="18" t="s">
        <v>843</v>
      </c>
      <c r="D401" s="19" t="s">
        <v>844</v>
      </c>
      <c r="E401" s="55">
        <v>1</v>
      </c>
      <c r="F401" s="55" t="s">
        <v>35</v>
      </c>
      <c r="G401" s="55" t="s">
        <v>5</v>
      </c>
      <c r="H401" s="55" t="s">
        <v>960</v>
      </c>
      <c r="I401" s="55"/>
      <c r="J401" s="55"/>
      <c r="K401" s="19" t="s">
        <v>148</v>
      </c>
      <c r="L401" s="19"/>
      <c r="M401" s="19"/>
      <c r="N401" s="19" t="s">
        <v>1460</v>
      </c>
      <c r="O401" s="151">
        <v>42887</v>
      </c>
      <c r="P401" s="151"/>
      <c r="Q401" s="151"/>
      <c r="R401" s="151"/>
      <c r="S401" s="152">
        <v>215642.95</v>
      </c>
      <c r="T401" s="152">
        <v>0</v>
      </c>
      <c r="U401" s="145">
        <v>0</v>
      </c>
      <c r="V401" s="145">
        <v>0</v>
      </c>
      <c r="W401" s="145">
        <v>0</v>
      </c>
      <c r="X401" s="145">
        <f t="shared" si="129"/>
        <v>0</v>
      </c>
      <c r="Y401" s="145">
        <v>0</v>
      </c>
      <c r="Z401" s="145">
        <v>0</v>
      </c>
      <c r="AA401" s="145">
        <v>0</v>
      </c>
      <c r="AB401" s="145">
        <v>0</v>
      </c>
      <c r="AC401" s="145">
        <v>0</v>
      </c>
      <c r="AD401" s="145">
        <v>0</v>
      </c>
      <c r="AE401" s="145">
        <v>0</v>
      </c>
      <c r="AF401" s="145">
        <v>0</v>
      </c>
      <c r="AG401" s="145">
        <v>0</v>
      </c>
      <c r="AH401" s="145">
        <v>0</v>
      </c>
      <c r="AI401" s="145">
        <v>194079</v>
      </c>
      <c r="AJ401" s="145">
        <v>0</v>
      </c>
      <c r="AK401" s="145">
        <f t="shared" si="135"/>
        <v>194079</v>
      </c>
      <c r="AL401" s="145">
        <v>21564</v>
      </c>
      <c r="AM401" s="145">
        <v>0</v>
      </c>
      <c r="AN401" s="145">
        <v>0</v>
      </c>
      <c r="AO401" s="145">
        <v>0</v>
      </c>
      <c r="AP401" s="145">
        <v>0</v>
      </c>
      <c r="AQ401" s="145">
        <v>0</v>
      </c>
      <c r="AR401" s="145">
        <v>0</v>
      </c>
      <c r="AS401" s="145">
        <f t="shared" si="137"/>
        <v>215643</v>
      </c>
      <c r="AT401" s="145"/>
      <c r="AU401" s="139">
        <f t="shared" si="136"/>
        <v>215643</v>
      </c>
      <c r="AV401" s="146">
        <f>IFERROR(VLOOKUP(J401,Maksājumu_pieprasījumu_iesn.!G:BL,57,0),0)</f>
        <v>0</v>
      </c>
      <c r="AW401" s="139">
        <f t="shared" si="138"/>
        <v>-215643</v>
      </c>
      <c r="AX401" s="137">
        <f t="shared" si="134"/>
        <v>-4.9999999988358468E-2</v>
      </c>
      <c r="AY401" s="137"/>
      <c r="AZ401" s="137"/>
      <c r="BA401" s="136"/>
      <c r="BB401" s="145"/>
      <c r="BC401" s="145"/>
      <c r="BD401" s="145"/>
      <c r="BE401" s="145"/>
      <c r="BF401" s="145"/>
      <c r="BG401" s="145"/>
      <c r="BH401" s="138"/>
      <c r="BI401" s="138"/>
      <c r="BJ401" s="138"/>
      <c r="BK401" s="138"/>
      <c r="BL401" s="138"/>
      <c r="BM401" s="138"/>
      <c r="BN401" s="138"/>
    </row>
    <row r="402" spans="1:66" s="91" customFormat="1" ht="63.75" hidden="1" customHeight="1" x14ac:dyDescent="0.2">
      <c r="A402" s="150" t="s">
        <v>1348</v>
      </c>
      <c r="B402" s="18" t="s">
        <v>842</v>
      </c>
      <c r="C402" s="18" t="s">
        <v>843</v>
      </c>
      <c r="D402" s="19" t="s">
        <v>844</v>
      </c>
      <c r="E402" s="55">
        <v>1</v>
      </c>
      <c r="F402" s="55" t="s">
        <v>35</v>
      </c>
      <c r="G402" s="55" t="s">
        <v>5</v>
      </c>
      <c r="H402" s="55" t="s">
        <v>960</v>
      </c>
      <c r="I402" s="55"/>
      <c r="J402" s="55"/>
      <c r="K402" s="19" t="s">
        <v>148</v>
      </c>
      <c r="L402" s="19"/>
      <c r="M402" s="19"/>
      <c r="N402" s="19" t="s">
        <v>1461</v>
      </c>
      <c r="O402" s="151">
        <v>42887</v>
      </c>
      <c r="P402" s="151"/>
      <c r="Q402" s="151"/>
      <c r="R402" s="151"/>
      <c r="S402" s="152">
        <v>215642.95</v>
      </c>
      <c r="T402" s="152">
        <v>0</v>
      </c>
      <c r="U402" s="145">
        <v>0</v>
      </c>
      <c r="V402" s="145">
        <v>0</v>
      </c>
      <c r="W402" s="145">
        <v>0</v>
      </c>
      <c r="X402" s="145">
        <f t="shared" si="129"/>
        <v>0</v>
      </c>
      <c r="Y402" s="145">
        <v>0</v>
      </c>
      <c r="Z402" s="145">
        <v>0</v>
      </c>
      <c r="AA402" s="145">
        <v>0</v>
      </c>
      <c r="AB402" s="145">
        <v>0</v>
      </c>
      <c r="AC402" s="145">
        <v>0</v>
      </c>
      <c r="AD402" s="145">
        <v>0</v>
      </c>
      <c r="AE402" s="145">
        <v>0</v>
      </c>
      <c r="AF402" s="145">
        <v>0</v>
      </c>
      <c r="AG402" s="145">
        <v>0</v>
      </c>
      <c r="AH402" s="145">
        <v>0</v>
      </c>
      <c r="AI402" s="145">
        <v>194079</v>
      </c>
      <c r="AJ402" s="145">
        <v>0</v>
      </c>
      <c r="AK402" s="145">
        <f t="shared" si="135"/>
        <v>194079</v>
      </c>
      <c r="AL402" s="145">
        <v>21564</v>
      </c>
      <c r="AM402" s="145">
        <v>0</v>
      </c>
      <c r="AN402" s="145">
        <v>0</v>
      </c>
      <c r="AO402" s="145">
        <v>0</v>
      </c>
      <c r="AP402" s="145">
        <v>0</v>
      </c>
      <c r="AQ402" s="145">
        <v>0</v>
      </c>
      <c r="AR402" s="145">
        <v>0</v>
      </c>
      <c r="AS402" s="145">
        <f t="shared" si="137"/>
        <v>215643</v>
      </c>
      <c r="AT402" s="145"/>
      <c r="AU402" s="139">
        <f t="shared" si="136"/>
        <v>215643</v>
      </c>
      <c r="AV402" s="146">
        <f>IFERROR(VLOOKUP(J402,Maksājumu_pieprasījumu_iesn.!G:BL,57,0),0)</f>
        <v>0</v>
      </c>
      <c r="AW402" s="139">
        <f t="shared" si="138"/>
        <v>-215643</v>
      </c>
      <c r="AX402" s="137">
        <f t="shared" si="134"/>
        <v>-4.9999999988358468E-2</v>
      </c>
      <c r="AY402" s="137"/>
      <c r="AZ402" s="137"/>
      <c r="BA402" s="136"/>
      <c r="BB402" s="145"/>
      <c r="BC402" s="145"/>
      <c r="BD402" s="145"/>
      <c r="BE402" s="145"/>
      <c r="BF402" s="145"/>
      <c r="BG402" s="145"/>
      <c r="BH402" s="138"/>
      <c r="BI402" s="138"/>
      <c r="BJ402" s="138"/>
      <c r="BK402" s="138"/>
      <c r="BL402" s="138"/>
      <c r="BM402" s="138"/>
      <c r="BN402" s="138"/>
    </row>
    <row r="403" spans="1:66" s="91" customFormat="1" ht="63.75" hidden="1" customHeight="1" x14ac:dyDescent="0.2">
      <c r="A403" s="150" t="s">
        <v>1348</v>
      </c>
      <c r="B403" s="18" t="s">
        <v>842</v>
      </c>
      <c r="C403" s="18" t="s">
        <v>843</v>
      </c>
      <c r="D403" s="19" t="s">
        <v>844</v>
      </c>
      <c r="E403" s="55">
        <v>1</v>
      </c>
      <c r="F403" s="55" t="s">
        <v>35</v>
      </c>
      <c r="G403" s="55" t="s">
        <v>5</v>
      </c>
      <c r="H403" s="55" t="s">
        <v>960</v>
      </c>
      <c r="I403" s="55"/>
      <c r="J403" s="55"/>
      <c r="K403" s="19" t="s">
        <v>148</v>
      </c>
      <c r="L403" s="19"/>
      <c r="M403" s="19"/>
      <c r="N403" s="19" t="s">
        <v>1462</v>
      </c>
      <c r="O403" s="151">
        <v>42887</v>
      </c>
      <c r="P403" s="151"/>
      <c r="Q403" s="151"/>
      <c r="R403" s="151"/>
      <c r="S403" s="152">
        <v>215642.95</v>
      </c>
      <c r="T403" s="152">
        <v>0</v>
      </c>
      <c r="U403" s="145">
        <v>0</v>
      </c>
      <c r="V403" s="145">
        <v>0</v>
      </c>
      <c r="W403" s="145">
        <v>0</v>
      </c>
      <c r="X403" s="145">
        <f t="shared" si="129"/>
        <v>0</v>
      </c>
      <c r="Y403" s="145">
        <v>0</v>
      </c>
      <c r="Z403" s="145">
        <v>0</v>
      </c>
      <c r="AA403" s="145">
        <v>0</v>
      </c>
      <c r="AB403" s="145">
        <v>0</v>
      </c>
      <c r="AC403" s="145">
        <v>0</v>
      </c>
      <c r="AD403" s="145">
        <v>0</v>
      </c>
      <c r="AE403" s="145">
        <v>0</v>
      </c>
      <c r="AF403" s="145">
        <v>0</v>
      </c>
      <c r="AG403" s="145">
        <v>0</v>
      </c>
      <c r="AH403" s="145">
        <v>0</v>
      </c>
      <c r="AI403" s="145">
        <v>194079</v>
      </c>
      <c r="AJ403" s="145">
        <v>0</v>
      </c>
      <c r="AK403" s="145">
        <f t="shared" si="135"/>
        <v>194079</v>
      </c>
      <c r="AL403" s="145">
        <v>21564</v>
      </c>
      <c r="AM403" s="145">
        <v>0</v>
      </c>
      <c r="AN403" s="145">
        <v>0</v>
      </c>
      <c r="AO403" s="145">
        <v>0</v>
      </c>
      <c r="AP403" s="145">
        <v>0</v>
      </c>
      <c r="AQ403" s="145">
        <v>0</v>
      </c>
      <c r="AR403" s="145">
        <v>0</v>
      </c>
      <c r="AS403" s="145">
        <f t="shared" si="137"/>
        <v>215643</v>
      </c>
      <c r="AT403" s="145"/>
      <c r="AU403" s="139">
        <f t="shared" si="136"/>
        <v>215643</v>
      </c>
      <c r="AV403" s="146">
        <f>IFERROR(VLOOKUP(J403,Maksājumu_pieprasījumu_iesn.!G:BL,57,0),0)</f>
        <v>0</v>
      </c>
      <c r="AW403" s="139">
        <f t="shared" si="138"/>
        <v>-215643</v>
      </c>
      <c r="AX403" s="137">
        <f t="shared" si="134"/>
        <v>-4.9999999988358468E-2</v>
      </c>
      <c r="AY403" s="137"/>
      <c r="AZ403" s="137"/>
      <c r="BA403" s="136"/>
      <c r="BB403" s="145"/>
      <c r="BC403" s="145"/>
      <c r="BD403" s="145"/>
      <c r="BE403" s="145"/>
      <c r="BF403" s="145"/>
      <c r="BG403" s="145"/>
      <c r="BH403" s="138"/>
      <c r="BI403" s="138"/>
      <c r="BJ403" s="138"/>
      <c r="BK403" s="138"/>
      <c r="BL403" s="138"/>
      <c r="BM403" s="138"/>
      <c r="BN403" s="138"/>
    </row>
    <row r="404" spans="1:66" s="91" customFormat="1" ht="63.75" hidden="1" customHeight="1" x14ac:dyDescent="0.2">
      <c r="A404" s="150" t="s">
        <v>1348</v>
      </c>
      <c r="B404" s="18" t="s">
        <v>842</v>
      </c>
      <c r="C404" s="18" t="s">
        <v>843</v>
      </c>
      <c r="D404" s="19" t="s">
        <v>844</v>
      </c>
      <c r="E404" s="55">
        <v>1</v>
      </c>
      <c r="F404" s="55" t="s">
        <v>35</v>
      </c>
      <c r="G404" s="55" t="s">
        <v>5</v>
      </c>
      <c r="H404" s="55" t="s">
        <v>960</v>
      </c>
      <c r="I404" s="55"/>
      <c r="J404" s="55"/>
      <c r="K404" s="19" t="s">
        <v>148</v>
      </c>
      <c r="L404" s="19"/>
      <c r="M404" s="19"/>
      <c r="N404" s="19" t="s">
        <v>1463</v>
      </c>
      <c r="O404" s="151">
        <v>42887</v>
      </c>
      <c r="P404" s="151"/>
      <c r="Q404" s="151"/>
      <c r="R404" s="151"/>
      <c r="S404" s="152">
        <v>180910</v>
      </c>
      <c r="T404" s="152">
        <v>0</v>
      </c>
      <c r="U404" s="145">
        <v>0</v>
      </c>
      <c r="V404" s="145">
        <v>0</v>
      </c>
      <c r="W404" s="145">
        <v>0</v>
      </c>
      <c r="X404" s="145">
        <f t="shared" si="129"/>
        <v>0</v>
      </c>
      <c r="Y404" s="145">
        <v>0</v>
      </c>
      <c r="Z404" s="145">
        <v>0</v>
      </c>
      <c r="AA404" s="145">
        <v>0</v>
      </c>
      <c r="AB404" s="145">
        <v>0</v>
      </c>
      <c r="AC404" s="145">
        <v>0</v>
      </c>
      <c r="AD404" s="145">
        <v>0</v>
      </c>
      <c r="AE404" s="145">
        <v>0</v>
      </c>
      <c r="AF404" s="145">
        <v>0</v>
      </c>
      <c r="AG404" s="145">
        <v>0</v>
      </c>
      <c r="AH404" s="145">
        <v>0</v>
      </c>
      <c r="AI404" s="145">
        <v>162819</v>
      </c>
      <c r="AJ404" s="145">
        <v>0</v>
      </c>
      <c r="AK404" s="145">
        <f t="shared" si="135"/>
        <v>162819</v>
      </c>
      <c r="AL404" s="145">
        <v>18091</v>
      </c>
      <c r="AM404" s="145">
        <v>0</v>
      </c>
      <c r="AN404" s="145">
        <v>0</v>
      </c>
      <c r="AO404" s="145">
        <v>0</v>
      </c>
      <c r="AP404" s="145">
        <v>0</v>
      </c>
      <c r="AQ404" s="145">
        <v>0</v>
      </c>
      <c r="AR404" s="145">
        <v>0</v>
      </c>
      <c r="AS404" s="145">
        <f t="shared" si="137"/>
        <v>180910</v>
      </c>
      <c r="AT404" s="145"/>
      <c r="AU404" s="139">
        <f t="shared" si="136"/>
        <v>180910</v>
      </c>
      <c r="AV404" s="146">
        <f>IFERROR(VLOOKUP(J404,Maksājumu_pieprasījumu_iesn.!G:BL,57,0),0)</f>
        <v>0</v>
      </c>
      <c r="AW404" s="139">
        <f t="shared" si="138"/>
        <v>-180910</v>
      </c>
      <c r="AX404" s="137">
        <f t="shared" ref="AX404:AX433" si="139">S404-T404-(AS404-AT404)</f>
        <v>0</v>
      </c>
      <c r="AY404" s="137"/>
      <c r="AZ404" s="137"/>
      <c r="BA404" s="136"/>
      <c r="BB404" s="145"/>
      <c r="BC404" s="145"/>
      <c r="BD404" s="145"/>
      <c r="BE404" s="145"/>
      <c r="BF404" s="145"/>
      <c r="BG404" s="145"/>
      <c r="BH404" s="138"/>
      <c r="BI404" s="138"/>
      <c r="BJ404" s="138"/>
      <c r="BK404" s="138"/>
      <c r="BL404" s="138"/>
      <c r="BM404" s="138"/>
      <c r="BN404" s="138"/>
    </row>
    <row r="405" spans="1:66" s="91" customFormat="1" ht="63.75" hidden="1" customHeight="1" x14ac:dyDescent="0.2">
      <c r="A405" s="150" t="s">
        <v>1348</v>
      </c>
      <c r="B405" s="18" t="s">
        <v>842</v>
      </c>
      <c r="C405" s="18" t="s">
        <v>843</v>
      </c>
      <c r="D405" s="19" t="s">
        <v>844</v>
      </c>
      <c r="E405" s="55">
        <v>1</v>
      </c>
      <c r="F405" s="55" t="s">
        <v>35</v>
      </c>
      <c r="G405" s="55" t="s">
        <v>5</v>
      </c>
      <c r="H405" s="55" t="s">
        <v>960</v>
      </c>
      <c r="I405" s="55"/>
      <c r="J405" s="55"/>
      <c r="K405" s="19" t="s">
        <v>148</v>
      </c>
      <c r="L405" s="19"/>
      <c r="M405" s="19"/>
      <c r="N405" s="19" t="s">
        <v>1464</v>
      </c>
      <c r="O405" s="151">
        <v>42887</v>
      </c>
      <c r="P405" s="151"/>
      <c r="Q405" s="151"/>
      <c r="R405" s="151"/>
      <c r="S405" s="152">
        <v>180910</v>
      </c>
      <c r="T405" s="152">
        <v>0</v>
      </c>
      <c r="U405" s="145">
        <v>0</v>
      </c>
      <c r="V405" s="145">
        <v>0</v>
      </c>
      <c r="W405" s="145">
        <v>0</v>
      </c>
      <c r="X405" s="145">
        <f t="shared" si="129"/>
        <v>0</v>
      </c>
      <c r="Y405" s="145">
        <v>0</v>
      </c>
      <c r="Z405" s="145">
        <v>0</v>
      </c>
      <c r="AA405" s="145">
        <v>0</v>
      </c>
      <c r="AB405" s="145">
        <v>0</v>
      </c>
      <c r="AC405" s="145">
        <v>0</v>
      </c>
      <c r="AD405" s="145">
        <v>0</v>
      </c>
      <c r="AE405" s="145">
        <v>0</v>
      </c>
      <c r="AF405" s="145">
        <v>0</v>
      </c>
      <c r="AG405" s="145">
        <v>0</v>
      </c>
      <c r="AH405" s="145">
        <v>0</v>
      </c>
      <c r="AI405" s="145">
        <v>162819</v>
      </c>
      <c r="AJ405" s="145">
        <v>0</v>
      </c>
      <c r="AK405" s="145">
        <f t="shared" si="135"/>
        <v>162819</v>
      </c>
      <c r="AL405" s="145">
        <v>18091</v>
      </c>
      <c r="AM405" s="145">
        <v>0</v>
      </c>
      <c r="AN405" s="145">
        <v>0</v>
      </c>
      <c r="AO405" s="145">
        <v>0</v>
      </c>
      <c r="AP405" s="145">
        <v>0</v>
      </c>
      <c r="AQ405" s="145">
        <v>0</v>
      </c>
      <c r="AR405" s="145">
        <v>0</v>
      </c>
      <c r="AS405" s="145">
        <f t="shared" si="137"/>
        <v>180910</v>
      </c>
      <c r="AT405" s="145"/>
      <c r="AU405" s="139">
        <f t="shared" si="136"/>
        <v>180910</v>
      </c>
      <c r="AV405" s="146">
        <f>IFERROR(VLOOKUP(J405,Maksājumu_pieprasījumu_iesn.!G:BL,57,0),0)</f>
        <v>0</v>
      </c>
      <c r="AW405" s="139">
        <f t="shared" si="138"/>
        <v>-180910</v>
      </c>
      <c r="AX405" s="137">
        <f t="shared" si="139"/>
        <v>0</v>
      </c>
      <c r="AY405" s="137"/>
      <c r="AZ405" s="137"/>
      <c r="BA405" s="136"/>
      <c r="BB405" s="145"/>
      <c r="BC405" s="145"/>
      <c r="BD405" s="145"/>
      <c r="BE405" s="145"/>
      <c r="BF405" s="145"/>
      <c r="BG405" s="145"/>
      <c r="BH405" s="138"/>
      <c r="BI405" s="138"/>
      <c r="BJ405" s="138"/>
      <c r="BK405" s="138"/>
      <c r="BL405" s="138"/>
      <c r="BM405" s="138"/>
      <c r="BN405" s="138"/>
    </row>
    <row r="406" spans="1:66" s="91" customFormat="1" ht="63.75" hidden="1" customHeight="1" x14ac:dyDescent="0.2">
      <c r="A406" s="150" t="s">
        <v>1348</v>
      </c>
      <c r="B406" s="18" t="s">
        <v>842</v>
      </c>
      <c r="C406" s="18" t="s">
        <v>843</v>
      </c>
      <c r="D406" s="19" t="s">
        <v>844</v>
      </c>
      <c r="E406" s="55">
        <v>1</v>
      </c>
      <c r="F406" s="55" t="s">
        <v>35</v>
      </c>
      <c r="G406" s="55" t="s">
        <v>5</v>
      </c>
      <c r="H406" s="55" t="s">
        <v>960</v>
      </c>
      <c r="I406" s="55"/>
      <c r="J406" s="55"/>
      <c r="K406" s="19" t="s">
        <v>148</v>
      </c>
      <c r="L406" s="19"/>
      <c r="M406" s="19"/>
      <c r="N406" s="19" t="s">
        <v>1465</v>
      </c>
      <c r="O406" s="151">
        <v>42887</v>
      </c>
      <c r="P406" s="151"/>
      <c r="Q406" s="151"/>
      <c r="R406" s="151"/>
      <c r="S406" s="152">
        <v>180910</v>
      </c>
      <c r="T406" s="152">
        <v>0</v>
      </c>
      <c r="U406" s="145">
        <v>0</v>
      </c>
      <c r="V406" s="145">
        <v>0</v>
      </c>
      <c r="W406" s="145">
        <v>0</v>
      </c>
      <c r="X406" s="145">
        <f t="shared" si="129"/>
        <v>0</v>
      </c>
      <c r="Y406" s="145">
        <v>0</v>
      </c>
      <c r="Z406" s="145">
        <v>0</v>
      </c>
      <c r="AA406" s="145">
        <v>0</v>
      </c>
      <c r="AB406" s="145">
        <v>0</v>
      </c>
      <c r="AC406" s="145">
        <v>0</v>
      </c>
      <c r="AD406" s="145">
        <v>0</v>
      </c>
      <c r="AE406" s="145">
        <v>0</v>
      </c>
      <c r="AF406" s="145">
        <v>0</v>
      </c>
      <c r="AG406" s="145">
        <v>0</v>
      </c>
      <c r="AH406" s="145">
        <v>0</v>
      </c>
      <c r="AI406" s="145">
        <v>162819</v>
      </c>
      <c r="AJ406" s="145">
        <v>0</v>
      </c>
      <c r="AK406" s="145">
        <f t="shared" si="135"/>
        <v>162819</v>
      </c>
      <c r="AL406" s="145">
        <v>18091</v>
      </c>
      <c r="AM406" s="145">
        <v>0</v>
      </c>
      <c r="AN406" s="145">
        <v>0</v>
      </c>
      <c r="AO406" s="145">
        <v>0</v>
      </c>
      <c r="AP406" s="145">
        <v>0</v>
      </c>
      <c r="AQ406" s="145">
        <v>0</v>
      </c>
      <c r="AR406" s="145">
        <v>0</v>
      </c>
      <c r="AS406" s="145">
        <f t="shared" si="137"/>
        <v>180910</v>
      </c>
      <c r="AT406" s="145"/>
      <c r="AU406" s="139">
        <f t="shared" si="136"/>
        <v>180910</v>
      </c>
      <c r="AV406" s="146">
        <f>IFERROR(VLOOKUP(J406,Maksājumu_pieprasījumu_iesn.!G:BL,57,0),0)</f>
        <v>0</v>
      </c>
      <c r="AW406" s="139">
        <f t="shared" si="138"/>
        <v>-180910</v>
      </c>
      <c r="AX406" s="137">
        <f t="shared" si="139"/>
        <v>0</v>
      </c>
      <c r="AY406" s="137"/>
      <c r="AZ406" s="137"/>
      <c r="BA406" s="136"/>
      <c r="BB406" s="145"/>
      <c r="BC406" s="145"/>
      <c r="BD406" s="145"/>
      <c r="BE406" s="145"/>
      <c r="BF406" s="145"/>
      <c r="BG406" s="145"/>
      <c r="BH406" s="138"/>
      <c r="BI406" s="138"/>
      <c r="BJ406" s="138"/>
      <c r="BK406" s="138"/>
      <c r="BL406" s="138"/>
      <c r="BM406" s="138"/>
      <c r="BN406" s="138"/>
    </row>
    <row r="407" spans="1:66" s="91" customFormat="1" ht="63.75" hidden="1" customHeight="1" x14ac:dyDescent="0.2">
      <c r="A407" s="150" t="s">
        <v>1348</v>
      </c>
      <c r="B407" s="18" t="s">
        <v>842</v>
      </c>
      <c r="C407" s="18" t="s">
        <v>843</v>
      </c>
      <c r="D407" s="19" t="s">
        <v>844</v>
      </c>
      <c r="E407" s="55">
        <v>1</v>
      </c>
      <c r="F407" s="55" t="s">
        <v>35</v>
      </c>
      <c r="G407" s="55" t="s">
        <v>5</v>
      </c>
      <c r="H407" s="55" t="s">
        <v>960</v>
      </c>
      <c r="I407" s="55"/>
      <c r="J407" s="55"/>
      <c r="K407" s="19" t="s">
        <v>148</v>
      </c>
      <c r="L407" s="19"/>
      <c r="M407" s="19"/>
      <c r="N407" s="19" t="s">
        <v>1466</v>
      </c>
      <c r="O407" s="151">
        <v>42887</v>
      </c>
      <c r="P407" s="151"/>
      <c r="Q407" s="151"/>
      <c r="R407" s="151"/>
      <c r="S407" s="152">
        <v>180910</v>
      </c>
      <c r="T407" s="152">
        <v>0</v>
      </c>
      <c r="U407" s="145">
        <v>0</v>
      </c>
      <c r="V407" s="145">
        <v>0</v>
      </c>
      <c r="W407" s="145">
        <v>0</v>
      </c>
      <c r="X407" s="145">
        <f t="shared" si="129"/>
        <v>0</v>
      </c>
      <c r="Y407" s="145">
        <v>0</v>
      </c>
      <c r="Z407" s="145">
        <v>0</v>
      </c>
      <c r="AA407" s="145">
        <v>0</v>
      </c>
      <c r="AB407" s="145">
        <v>0</v>
      </c>
      <c r="AC407" s="145">
        <v>0</v>
      </c>
      <c r="AD407" s="145">
        <v>0</v>
      </c>
      <c r="AE407" s="145">
        <v>0</v>
      </c>
      <c r="AF407" s="145">
        <v>0</v>
      </c>
      <c r="AG407" s="145">
        <v>0</v>
      </c>
      <c r="AH407" s="145">
        <v>0</v>
      </c>
      <c r="AI407" s="145">
        <v>162819</v>
      </c>
      <c r="AJ407" s="145">
        <v>0</v>
      </c>
      <c r="AK407" s="145">
        <f t="shared" si="135"/>
        <v>162819</v>
      </c>
      <c r="AL407" s="145">
        <v>18091</v>
      </c>
      <c r="AM407" s="145">
        <v>0</v>
      </c>
      <c r="AN407" s="145">
        <v>0</v>
      </c>
      <c r="AO407" s="145">
        <v>0</v>
      </c>
      <c r="AP407" s="145">
        <v>0</v>
      </c>
      <c r="AQ407" s="145">
        <v>0</v>
      </c>
      <c r="AR407" s="145">
        <v>0</v>
      </c>
      <c r="AS407" s="145">
        <f t="shared" si="137"/>
        <v>180910</v>
      </c>
      <c r="AT407" s="145"/>
      <c r="AU407" s="139">
        <f t="shared" si="136"/>
        <v>180910</v>
      </c>
      <c r="AV407" s="146">
        <f>IFERROR(VLOOKUP(J407,Maksājumu_pieprasījumu_iesn.!G:BL,57,0),0)</f>
        <v>0</v>
      </c>
      <c r="AW407" s="139">
        <f t="shared" si="138"/>
        <v>-180910</v>
      </c>
      <c r="AX407" s="137">
        <f t="shared" si="139"/>
        <v>0</v>
      </c>
      <c r="AY407" s="137"/>
      <c r="AZ407" s="137"/>
      <c r="BA407" s="136"/>
      <c r="BB407" s="145"/>
      <c r="BC407" s="145"/>
      <c r="BD407" s="145"/>
      <c r="BE407" s="145"/>
      <c r="BF407" s="145"/>
      <c r="BG407" s="145"/>
      <c r="BH407" s="138"/>
      <c r="BI407" s="138"/>
      <c r="BJ407" s="138"/>
      <c r="BK407" s="138"/>
      <c r="BL407" s="138"/>
      <c r="BM407" s="138"/>
      <c r="BN407" s="138"/>
    </row>
    <row r="408" spans="1:66" s="91" customFormat="1" ht="63.75" hidden="1" customHeight="1" x14ac:dyDescent="0.2">
      <c r="A408" s="150" t="s">
        <v>1348</v>
      </c>
      <c r="B408" s="18" t="s">
        <v>842</v>
      </c>
      <c r="C408" s="18" t="s">
        <v>843</v>
      </c>
      <c r="D408" s="19" t="s">
        <v>844</v>
      </c>
      <c r="E408" s="55">
        <v>1</v>
      </c>
      <c r="F408" s="55" t="s">
        <v>35</v>
      </c>
      <c r="G408" s="55" t="s">
        <v>5</v>
      </c>
      <c r="H408" s="55" t="s">
        <v>960</v>
      </c>
      <c r="I408" s="55"/>
      <c r="J408" s="55"/>
      <c r="K408" s="19" t="s">
        <v>148</v>
      </c>
      <c r="L408" s="19"/>
      <c r="M408" s="19"/>
      <c r="N408" s="19" t="s">
        <v>1467</v>
      </c>
      <c r="O408" s="151">
        <v>42887</v>
      </c>
      <c r="P408" s="151"/>
      <c r="Q408" s="151"/>
      <c r="R408" s="151"/>
      <c r="S408" s="152">
        <v>180910</v>
      </c>
      <c r="T408" s="152">
        <v>0</v>
      </c>
      <c r="U408" s="145">
        <v>0</v>
      </c>
      <c r="V408" s="145">
        <v>0</v>
      </c>
      <c r="W408" s="145">
        <v>0</v>
      </c>
      <c r="X408" s="145">
        <f t="shared" si="129"/>
        <v>0</v>
      </c>
      <c r="Y408" s="145">
        <v>0</v>
      </c>
      <c r="Z408" s="145">
        <v>0</v>
      </c>
      <c r="AA408" s="145">
        <v>0</v>
      </c>
      <c r="AB408" s="145">
        <v>0</v>
      </c>
      <c r="AC408" s="145">
        <v>0</v>
      </c>
      <c r="AD408" s="145">
        <v>0</v>
      </c>
      <c r="AE408" s="145">
        <v>0</v>
      </c>
      <c r="AF408" s="145">
        <v>0</v>
      </c>
      <c r="AG408" s="145">
        <v>0</v>
      </c>
      <c r="AH408" s="145">
        <v>0</v>
      </c>
      <c r="AI408" s="145">
        <v>162819</v>
      </c>
      <c r="AJ408" s="145">
        <v>0</v>
      </c>
      <c r="AK408" s="145">
        <f t="shared" si="135"/>
        <v>162819</v>
      </c>
      <c r="AL408" s="145">
        <v>18091</v>
      </c>
      <c r="AM408" s="145">
        <v>0</v>
      </c>
      <c r="AN408" s="145">
        <v>0</v>
      </c>
      <c r="AO408" s="145">
        <v>0</v>
      </c>
      <c r="AP408" s="145">
        <v>0</v>
      </c>
      <c r="AQ408" s="145">
        <v>0</v>
      </c>
      <c r="AR408" s="145">
        <v>0</v>
      </c>
      <c r="AS408" s="145">
        <f t="shared" si="137"/>
        <v>180910</v>
      </c>
      <c r="AT408" s="145"/>
      <c r="AU408" s="139">
        <f t="shared" si="136"/>
        <v>180910</v>
      </c>
      <c r="AV408" s="146">
        <f>IFERROR(VLOOKUP(J408,Maksājumu_pieprasījumu_iesn.!G:BL,57,0),0)</f>
        <v>0</v>
      </c>
      <c r="AW408" s="139">
        <f t="shared" si="138"/>
        <v>-180910</v>
      </c>
      <c r="AX408" s="137">
        <f t="shared" si="139"/>
        <v>0</v>
      </c>
      <c r="AY408" s="137"/>
      <c r="AZ408" s="137"/>
      <c r="BA408" s="136"/>
      <c r="BB408" s="145"/>
      <c r="BC408" s="145"/>
      <c r="BD408" s="145"/>
      <c r="BE408" s="145"/>
      <c r="BF408" s="145"/>
      <c r="BG408" s="145"/>
      <c r="BH408" s="138"/>
      <c r="BI408" s="138"/>
      <c r="BJ408" s="138"/>
      <c r="BK408" s="138"/>
      <c r="BL408" s="138"/>
      <c r="BM408" s="138"/>
      <c r="BN408" s="138"/>
    </row>
    <row r="409" spans="1:66" s="91" customFormat="1" ht="63.75" hidden="1" customHeight="1" x14ac:dyDescent="0.2">
      <c r="A409" s="150" t="s">
        <v>1348</v>
      </c>
      <c r="B409" s="18" t="s">
        <v>842</v>
      </c>
      <c r="C409" s="18" t="s">
        <v>843</v>
      </c>
      <c r="D409" s="19" t="s">
        <v>844</v>
      </c>
      <c r="E409" s="55">
        <v>1</v>
      </c>
      <c r="F409" s="55" t="s">
        <v>35</v>
      </c>
      <c r="G409" s="55" t="s">
        <v>5</v>
      </c>
      <c r="H409" s="55" t="s">
        <v>960</v>
      </c>
      <c r="I409" s="55"/>
      <c r="J409" s="55"/>
      <c r="K409" s="19" t="s">
        <v>148</v>
      </c>
      <c r="L409" s="19"/>
      <c r="M409" s="19"/>
      <c r="N409" s="19" t="s">
        <v>1468</v>
      </c>
      <c r="O409" s="151">
        <v>42887</v>
      </c>
      <c r="P409" s="151"/>
      <c r="Q409" s="151"/>
      <c r="R409" s="151"/>
      <c r="S409" s="152">
        <v>180910</v>
      </c>
      <c r="T409" s="152">
        <v>0</v>
      </c>
      <c r="U409" s="145">
        <v>0</v>
      </c>
      <c r="V409" s="145">
        <v>0</v>
      </c>
      <c r="W409" s="145">
        <v>0</v>
      </c>
      <c r="X409" s="145">
        <f t="shared" si="129"/>
        <v>0</v>
      </c>
      <c r="Y409" s="145">
        <v>0</v>
      </c>
      <c r="Z409" s="145">
        <v>0</v>
      </c>
      <c r="AA409" s="145">
        <v>0</v>
      </c>
      <c r="AB409" s="145">
        <v>0</v>
      </c>
      <c r="AC409" s="145">
        <v>0</v>
      </c>
      <c r="AD409" s="145">
        <v>0</v>
      </c>
      <c r="AE409" s="145">
        <v>0</v>
      </c>
      <c r="AF409" s="145">
        <v>0</v>
      </c>
      <c r="AG409" s="145">
        <v>0</v>
      </c>
      <c r="AH409" s="145">
        <v>0</v>
      </c>
      <c r="AI409" s="145">
        <v>162819</v>
      </c>
      <c r="AJ409" s="145">
        <v>0</v>
      </c>
      <c r="AK409" s="145">
        <f t="shared" si="135"/>
        <v>162819</v>
      </c>
      <c r="AL409" s="145">
        <v>18091</v>
      </c>
      <c r="AM409" s="145">
        <v>0</v>
      </c>
      <c r="AN409" s="145">
        <v>0</v>
      </c>
      <c r="AO409" s="145">
        <v>0</v>
      </c>
      <c r="AP409" s="145">
        <v>0</v>
      </c>
      <c r="AQ409" s="145">
        <v>0</v>
      </c>
      <c r="AR409" s="145">
        <v>0</v>
      </c>
      <c r="AS409" s="145">
        <f t="shared" si="137"/>
        <v>180910</v>
      </c>
      <c r="AT409" s="145"/>
      <c r="AU409" s="139">
        <f t="shared" si="136"/>
        <v>180910</v>
      </c>
      <c r="AV409" s="146">
        <f>IFERROR(VLOOKUP(J409,Maksājumu_pieprasījumu_iesn.!G:BL,57,0),0)</f>
        <v>0</v>
      </c>
      <c r="AW409" s="139">
        <f t="shared" si="138"/>
        <v>-180910</v>
      </c>
      <c r="AX409" s="137">
        <f t="shared" si="139"/>
        <v>0</v>
      </c>
      <c r="AY409" s="137"/>
      <c r="AZ409" s="137"/>
      <c r="BA409" s="136"/>
      <c r="BB409" s="145"/>
      <c r="BC409" s="145"/>
      <c r="BD409" s="145"/>
      <c r="BE409" s="145"/>
      <c r="BF409" s="145"/>
      <c r="BG409" s="145"/>
      <c r="BH409" s="138"/>
      <c r="BI409" s="138"/>
      <c r="BJ409" s="138"/>
      <c r="BK409" s="138"/>
      <c r="BL409" s="138"/>
      <c r="BM409" s="138"/>
      <c r="BN409" s="138"/>
    </row>
    <row r="410" spans="1:66" s="91" customFormat="1" ht="63.75" hidden="1" customHeight="1" x14ac:dyDescent="0.2">
      <c r="A410" s="150" t="s">
        <v>1348</v>
      </c>
      <c r="B410" s="18" t="s">
        <v>842</v>
      </c>
      <c r="C410" s="18" t="s">
        <v>843</v>
      </c>
      <c r="D410" s="19" t="s">
        <v>844</v>
      </c>
      <c r="E410" s="55">
        <v>1</v>
      </c>
      <c r="F410" s="55" t="s">
        <v>35</v>
      </c>
      <c r="G410" s="55" t="s">
        <v>5</v>
      </c>
      <c r="H410" s="55" t="s">
        <v>960</v>
      </c>
      <c r="I410" s="55"/>
      <c r="J410" s="55"/>
      <c r="K410" s="19" t="s">
        <v>148</v>
      </c>
      <c r="L410" s="19"/>
      <c r="M410" s="19"/>
      <c r="N410" s="19" t="s">
        <v>1469</v>
      </c>
      <c r="O410" s="151">
        <v>42887</v>
      </c>
      <c r="P410" s="151"/>
      <c r="Q410" s="151"/>
      <c r="R410" s="151"/>
      <c r="S410" s="152">
        <v>180910</v>
      </c>
      <c r="T410" s="152">
        <v>0</v>
      </c>
      <c r="U410" s="145">
        <v>0</v>
      </c>
      <c r="V410" s="145">
        <v>0</v>
      </c>
      <c r="W410" s="145">
        <v>0</v>
      </c>
      <c r="X410" s="145">
        <f t="shared" si="129"/>
        <v>0</v>
      </c>
      <c r="Y410" s="145">
        <v>0</v>
      </c>
      <c r="Z410" s="145">
        <v>0</v>
      </c>
      <c r="AA410" s="145">
        <v>0</v>
      </c>
      <c r="AB410" s="145">
        <v>0</v>
      </c>
      <c r="AC410" s="145">
        <v>0</v>
      </c>
      <c r="AD410" s="145">
        <v>0</v>
      </c>
      <c r="AE410" s="145">
        <v>0</v>
      </c>
      <c r="AF410" s="145">
        <v>0</v>
      </c>
      <c r="AG410" s="145">
        <v>0</v>
      </c>
      <c r="AH410" s="145">
        <v>0</v>
      </c>
      <c r="AI410" s="145">
        <v>162819</v>
      </c>
      <c r="AJ410" s="145">
        <v>0</v>
      </c>
      <c r="AK410" s="145">
        <f t="shared" si="135"/>
        <v>162819</v>
      </c>
      <c r="AL410" s="145">
        <v>18091</v>
      </c>
      <c r="AM410" s="145">
        <v>0</v>
      </c>
      <c r="AN410" s="145">
        <v>0</v>
      </c>
      <c r="AO410" s="145">
        <v>0</v>
      </c>
      <c r="AP410" s="145">
        <v>0</v>
      </c>
      <c r="AQ410" s="145">
        <v>0</v>
      </c>
      <c r="AR410" s="145">
        <v>0</v>
      </c>
      <c r="AS410" s="145">
        <f t="shared" si="137"/>
        <v>180910</v>
      </c>
      <c r="AT410" s="145"/>
      <c r="AU410" s="139">
        <f t="shared" si="136"/>
        <v>180910</v>
      </c>
      <c r="AV410" s="146">
        <f>IFERROR(VLOOKUP(J410,Maksājumu_pieprasījumu_iesn.!G:BL,57,0),0)</f>
        <v>0</v>
      </c>
      <c r="AW410" s="139">
        <f t="shared" si="138"/>
        <v>-180910</v>
      </c>
      <c r="AX410" s="137">
        <f t="shared" si="139"/>
        <v>0</v>
      </c>
      <c r="AY410" s="137"/>
      <c r="AZ410" s="137"/>
      <c r="BA410" s="136"/>
      <c r="BB410" s="145"/>
      <c r="BC410" s="145"/>
      <c r="BD410" s="145"/>
      <c r="BE410" s="145"/>
      <c r="BF410" s="145"/>
      <c r="BG410" s="145"/>
      <c r="BH410" s="138"/>
      <c r="BI410" s="138"/>
      <c r="BJ410" s="138"/>
      <c r="BK410" s="138"/>
      <c r="BL410" s="138"/>
      <c r="BM410" s="138"/>
      <c r="BN410" s="138"/>
    </row>
    <row r="411" spans="1:66" s="91" customFormat="1" ht="63.75" hidden="1" customHeight="1" x14ac:dyDescent="0.2">
      <c r="A411" s="150" t="s">
        <v>1348</v>
      </c>
      <c r="B411" s="18" t="s">
        <v>842</v>
      </c>
      <c r="C411" s="18" t="s">
        <v>843</v>
      </c>
      <c r="D411" s="19" t="s">
        <v>844</v>
      </c>
      <c r="E411" s="55">
        <v>1</v>
      </c>
      <c r="F411" s="55" t="s">
        <v>35</v>
      </c>
      <c r="G411" s="55" t="s">
        <v>5</v>
      </c>
      <c r="H411" s="55" t="s">
        <v>960</v>
      </c>
      <c r="I411" s="55"/>
      <c r="J411" s="55"/>
      <c r="K411" s="19" t="s">
        <v>148</v>
      </c>
      <c r="L411" s="19"/>
      <c r="M411" s="19"/>
      <c r="N411" s="19" t="s">
        <v>1470</v>
      </c>
      <c r="O411" s="151">
        <v>42887</v>
      </c>
      <c r="P411" s="151"/>
      <c r="Q411" s="151"/>
      <c r="R411" s="151"/>
      <c r="S411" s="152">
        <v>180910</v>
      </c>
      <c r="T411" s="152">
        <v>0</v>
      </c>
      <c r="U411" s="145">
        <v>0</v>
      </c>
      <c r="V411" s="145">
        <v>0</v>
      </c>
      <c r="W411" s="145">
        <v>0</v>
      </c>
      <c r="X411" s="145">
        <f t="shared" si="129"/>
        <v>0</v>
      </c>
      <c r="Y411" s="145">
        <v>0</v>
      </c>
      <c r="Z411" s="145">
        <v>0</v>
      </c>
      <c r="AA411" s="145">
        <v>0</v>
      </c>
      <c r="AB411" s="145">
        <v>0</v>
      </c>
      <c r="AC411" s="145">
        <v>0</v>
      </c>
      <c r="AD411" s="145">
        <v>0</v>
      </c>
      <c r="AE411" s="145">
        <v>0</v>
      </c>
      <c r="AF411" s="145">
        <v>0</v>
      </c>
      <c r="AG411" s="145">
        <v>0</v>
      </c>
      <c r="AH411" s="145">
        <v>0</v>
      </c>
      <c r="AI411" s="145">
        <v>162819</v>
      </c>
      <c r="AJ411" s="145">
        <v>0</v>
      </c>
      <c r="AK411" s="145">
        <f t="shared" si="135"/>
        <v>162819</v>
      </c>
      <c r="AL411" s="145">
        <v>18091</v>
      </c>
      <c r="AM411" s="145">
        <v>0</v>
      </c>
      <c r="AN411" s="145">
        <v>0</v>
      </c>
      <c r="AO411" s="145">
        <v>0</v>
      </c>
      <c r="AP411" s="145">
        <v>0</v>
      </c>
      <c r="AQ411" s="145">
        <v>0</v>
      </c>
      <c r="AR411" s="145">
        <v>0</v>
      </c>
      <c r="AS411" s="145">
        <f t="shared" si="137"/>
        <v>180910</v>
      </c>
      <c r="AT411" s="145"/>
      <c r="AU411" s="139">
        <f t="shared" si="136"/>
        <v>180910</v>
      </c>
      <c r="AV411" s="146">
        <f>IFERROR(VLOOKUP(J411,Maksājumu_pieprasījumu_iesn.!G:BL,57,0),0)</f>
        <v>0</v>
      </c>
      <c r="AW411" s="139">
        <f t="shared" si="138"/>
        <v>-180910</v>
      </c>
      <c r="AX411" s="137">
        <f t="shared" si="139"/>
        <v>0</v>
      </c>
      <c r="AY411" s="137"/>
      <c r="AZ411" s="137"/>
      <c r="BA411" s="136"/>
      <c r="BB411" s="145"/>
      <c r="BC411" s="145"/>
      <c r="BD411" s="145"/>
      <c r="BE411" s="145"/>
      <c r="BF411" s="145"/>
      <c r="BG411" s="145"/>
      <c r="BH411" s="138"/>
      <c r="BI411" s="138"/>
      <c r="BJ411" s="138"/>
      <c r="BK411" s="138"/>
      <c r="BL411" s="138"/>
      <c r="BM411" s="138"/>
      <c r="BN411" s="138"/>
    </row>
    <row r="412" spans="1:66" s="91" customFormat="1" ht="63.75" hidden="1" customHeight="1" x14ac:dyDescent="0.2">
      <c r="A412" s="150" t="s">
        <v>1348</v>
      </c>
      <c r="B412" s="18" t="s">
        <v>842</v>
      </c>
      <c r="C412" s="18" t="s">
        <v>843</v>
      </c>
      <c r="D412" s="19" t="s">
        <v>844</v>
      </c>
      <c r="E412" s="55">
        <v>1</v>
      </c>
      <c r="F412" s="55" t="s">
        <v>35</v>
      </c>
      <c r="G412" s="55" t="s">
        <v>5</v>
      </c>
      <c r="H412" s="55" t="s">
        <v>960</v>
      </c>
      <c r="I412" s="55"/>
      <c r="J412" s="55"/>
      <c r="K412" s="19" t="s">
        <v>148</v>
      </c>
      <c r="L412" s="19"/>
      <c r="M412" s="19"/>
      <c r="N412" s="19" t="s">
        <v>1471</v>
      </c>
      <c r="O412" s="151">
        <v>42887</v>
      </c>
      <c r="P412" s="151"/>
      <c r="Q412" s="151"/>
      <c r="R412" s="151"/>
      <c r="S412" s="152">
        <v>180910</v>
      </c>
      <c r="T412" s="152">
        <v>0</v>
      </c>
      <c r="U412" s="145">
        <v>0</v>
      </c>
      <c r="V412" s="145">
        <v>0</v>
      </c>
      <c r="W412" s="145">
        <v>0</v>
      </c>
      <c r="X412" s="145">
        <f t="shared" si="129"/>
        <v>0</v>
      </c>
      <c r="Y412" s="145">
        <v>0</v>
      </c>
      <c r="Z412" s="145">
        <v>0</v>
      </c>
      <c r="AA412" s="145">
        <v>0</v>
      </c>
      <c r="AB412" s="145">
        <v>0</v>
      </c>
      <c r="AC412" s="145">
        <v>0</v>
      </c>
      <c r="AD412" s="145">
        <v>0</v>
      </c>
      <c r="AE412" s="145">
        <v>0</v>
      </c>
      <c r="AF412" s="145">
        <v>0</v>
      </c>
      <c r="AG412" s="145">
        <v>0</v>
      </c>
      <c r="AH412" s="145">
        <v>0</v>
      </c>
      <c r="AI412" s="145">
        <v>162819</v>
      </c>
      <c r="AJ412" s="145">
        <v>0</v>
      </c>
      <c r="AK412" s="145">
        <f t="shared" si="135"/>
        <v>162819</v>
      </c>
      <c r="AL412" s="145">
        <v>18091</v>
      </c>
      <c r="AM412" s="145">
        <v>0</v>
      </c>
      <c r="AN412" s="145">
        <v>0</v>
      </c>
      <c r="AO412" s="145">
        <v>0</v>
      </c>
      <c r="AP412" s="145">
        <v>0</v>
      </c>
      <c r="AQ412" s="145">
        <v>0</v>
      </c>
      <c r="AR412" s="145">
        <v>0</v>
      </c>
      <c r="AS412" s="145">
        <f t="shared" si="137"/>
        <v>180910</v>
      </c>
      <c r="AT412" s="145"/>
      <c r="AU412" s="139">
        <f t="shared" si="136"/>
        <v>180910</v>
      </c>
      <c r="AV412" s="146">
        <f>IFERROR(VLOOKUP(J412,Maksājumu_pieprasījumu_iesn.!G:BL,57,0),0)</f>
        <v>0</v>
      </c>
      <c r="AW412" s="139">
        <f t="shared" si="138"/>
        <v>-180910</v>
      </c>
      <c r="AX412" s="137">
        <f t="shared" si="139"/>
        <v>0</v>
      </c>
      <c r="AY412" s="137"/>
      <c r="AZ412" s="137"/>
      <c r="BA412" s="136"/>
      <c r="BB412" s="145"/>
      <c r="BC412" s="145"/>
      <c r="BD412" s="145"/>
      <c r="BE412" s="145"/>
      <c r="BF412" s="145"/>
      <c r="BG412" s="145"/>
      <c r="BH412" s="138"/>
      <c r="BI412" s="138"/>
      <c r="BJ412" s="138"/>
      <c r="BK412" s="138"/>
      <c r="BL412" s="138"/>
      <c r="BM412" s="138"/>
      <c r="BN412" s="138"/>
    </row>
    <row r="413" spans="1:66" s="91" customFormat="1" ht="63.75" hidden="1" customHeight="1" x14ac:dyDescent="0.2">
      <c r="A413" s="150" t="s">
        <v>1348</v>
      </c>
      <c r="B413" s="18" t="s">
        <v>842</v>
      </c>
      <c r="C413" s="18" t="s">
        <v>843</v>
      </c>
      <c r="D413" s="19" t="s">
        <v>844</v>
      </c>
      <c r="E413" s="55">
        <v>1</v>
      </c>
      <c r="F413" s="55" t="s">
        <v>35</v>
      </c>
      <c r="G413" s="55" t="s">
        <v>5</v>
      </c>
      <c r="H413" s="55" t="s">
        <v>960</v>
      </c>
      <c r="I413" s="55"/>
      <c r="J413" s="55"/>
      <c r="K413" s="19" t="s">
        <v>148</v>
      </c>
      <c r="L413" s="19"/>
      <c r="M413" s="19"/>
      <c r="N413" s="19" t="s">
        <v>1472</v>
      </c>
      <c r="O413" s="151">
        <v>42887</v>
      </c>
      <c r="P413" s="151"/>
      <c r="Q413" s="151"/>
      <c r="R413" s="151"/>
      <c r="S413" s="152">
        <v>180910</v>
      </c>
      <c r="T413" s="152">
        <v>0</v>
      </c>
      <c r="U413" s="145">
        <v>0</v>
      </c>
      <c r="V413" s="145">
        <v>0</v>
      </c>
      <c r="W413" s="145">
        <v>0</v>
      </c>
      <c r="X413" s="145">
        <f t="shared" si="129"/>
        <v>0</v>
      </c>
      <c r="Y413" s="145">
        <v>0</v>
      </c>
      <c r="Z413" s="145">
        <v>0</v>
      </c>
      <c r="AA413" s="145">
        <v>0</v>
      </c>
      <c r="AB413" s="145">
        <v>0</v>
      </c>
      <c r="AC413" s="145">
        <v>0</v>
      </c>
      <c r="AD413" s="145">
        <v>0</v>
      </c>
      <c r="AE413" s="145">
        <v>0</v>
      </c>
      <c r="AF413" s="145">
        <v>0</v>
      </c>
      <c r="AG413" s="145">
        <v>0</v>
      </c>
      <c r="AH413" s="145">
        <v>0</v>
      </c>
      <c r="AI413" s="145">
        <v>162819</v>
      </c>
      <c r="AJ413" s="145">
        <v>0</v>
      </c>
      <c r="AK413" s="145">
        <f t="shared" si="135"/>
        <v>162819</v>
      </c>
      <c r="AL413" s="145">
        <v>18091</v>
      </c>
      <c r="AM413" s="145">
        <v>0</v>
      </c>
      <c r="AN413" s="145">
        <v>0</v>
      </c>
      <c r="AO413" s="145">
        <v>0</v>
      </c>
      <c r="AP413" s="145">
        <v>0</v>
      </c>
      <c r="AQ413" s="145">
        <v>0</v>
      </c>
      <c r="AR413" s="145">
        <v>0</v>
      </c>
      <c r="AS413" s="145">
        <f t="shared" si="137"/>
        <v>180910</v>
      </c>
      <c r="AT413" s="145"/>
      <c r="AU413" s="139">
        <f t="shared" si="136"/>
        <v>180910</v>
      </c>
      <c r="AV413" s="146">
        <f>IFERROR(VLOOKUP(J413,Maksājumu_pieprasījumu_iesn.!G:BL,57,0),0)</f>
        <v>0</v>
      </c>
      <c r="AW413" s="139">
        <f t="shared" si="138"/>
        <v>-180910</v>
      </c>
      <c r="AX413" s="137">
        <f t="shared" si="139"/>
        <v>0</v>
      </c>
      <c r="AY413" s="137"/>
      <c r="AZ413" s="137"/>
      <c r="BA413" s="136"/>
      <c r="BB413" s="145"/>
      <c r="BC413" s="145"/>
      <c r="BD413" s="145"/>
      <c r="BE413" s="145"/>
      <c r="BF413" s="145"/>
      <c r="BG413" s="145"/>
      <c r="BH413" s="138"/>
      <c r="BI413" s="138"/>
      <c r="BJ413" s="138"/>
      <c r="BK413" s="138"/>
      <c r="BL413" s="138"/>
      <c r="BM413" s="138"/>
      <c r="BN413" s="138"/>
    </row>
    <row r="414" spans="1:66" s="91" customFormat="1" ht="63.75" hidden="1" customHeight="1" x14ac:dyDescent="0.2">
      <c r="A414" s="150" t="s">
        <v>1348</v>
      </c>
      <c r="B414" s="18" t="s">
        <v>842</v>
      </c>
      <c r="C414" s="18" t="s">
        <v>843</v>
      </c>
      <c r="D414" s="19" t="s">
        <v>844</v>
      </c>
      <c r="E414" s="55">
        <v>1</v>
      </c>
      <c r="F414" s="55" t="s">
        <v>35</v>
      </c>
      <c r="G414" s="55" t="s">
        <v>5</v>
      </c>
      <c r="H414" s="55" t="s">
        <v>960</v>
      </c>
      <c r="I414" s="55"/>
      <c r="J414" s="55"/>
      <c r="K414" s="19" t="s">
        <v>148</v>
      </c>
      <c r="L414" s="19"/>
      <c r="M414" s="19"/>
      <c r="N414" s="19" t="s">
        <v>1473</v>
      </c>
      <c r="O414" s="151">
        <v>42887</v>
      </c>
      <c r="P414" s="151"/>
      <c r="Q414" s="151"/>
      <c r="R414" s="151"/>
      <c r="S414" s="152">
        <v>180910</v>
      </c>
      <c r="T414" s="152">
        <v>0</v>
      </c>
      <c r="U414" s="145">
        <v>0</v>
      </c>
      <c r="V414" s="145">
        <v>0</v>
      </c>
      <c r="W414" s="145">
        <v>0</v>
      </c>
      <c r="X414" s="145">
        <f t="shared" ref="X414:X433" si="140">W414+V414+U414</f>
        <v>0</v>
      </c>
      <c r="Y414" s="145">
        <v>0</v>
      </c>
      <c r="Z414" s="145">
        <v>0</v>
      </c>
      <c r="AA414" s="145">
        <v>0</v>
      </c>
      <c r="AB414" s="145">
        <v>0</v>
      </c>
      <c r="AC414" s="145">
        <v>0</v>
      </c>
      <c r="AD414" s="145">
        <v>0</v>
      </c>
      <c r="AE414" s="145">
        <v>0</v>
      </c>
      <c r="AF414" s="145">
        <v>0</v>
      </c>
      <c r="AG414" s="145">
        <v>0</v>
      </c>
      <c r="AH414" s="145">
        <v>0</v>
      </c>
      <c r="AI414" s="145">
        <v>162819</v>
      </c>
      <c r="AJ414" s="145">
        <v>0</v>
      </c>
      <c r="AK414" s="145">
        <f t="shared" si="135"/>
        <v>162819</v>
      </c>
      <c r="AL414" s="145">
        <v>18091</v>
      </c>
      <c r="AM414" s="145">
        <v>0</v>
      </c>
      <c r="AN414" s="145">
        <v>0</v>
      </c>
      <c r="AO414" s="145">
        <v>0</v>
      </c>
      <c r="AP414" s="145">
        <v>0</v>
      </c>
      <c r="AQ414" s="145">
        <v>0</v>
      </c>
      <c r="AR414" s="145">
        <v>0</v>
      </c>
      <c r="AS414" s="145">
        <f t="shared" si="137"/>
        <v>180910</v>
      </c>
      <c r="AT414" s="145"/>
      <c r="AU414" s="139">
        <f t="shared" si="136"/>
        <v>180910</v>
      </c>
      <c r="AV414" s="146">
        <f>IFERROR(VLOOKUP(J414,Maksājumu_pieprasījumu_iesn.!G:BL,57,0),0)</f>
        <v>0</v>
      </c>
      <c r="AW414" s="139">
        <f t="shared" si="138"/>
        <v>-180910</v>
      </c>
      <c r="AX414" s="137">
        <f t="shared" si="139"/>
        <v>0</v>
      </c>
      <c r="AY414" s="137"/>
      <c r="AZ414" s="137"/>
      <c r="BA414" s="136"/>
      <c r="BB414" s="145"/>
      <c r="BC414" s="145"/>
      <c r="BD414" s="145"/>
      <c r="BE414" s="145"/>
      <c r="BF414" s="145"/>
      <c r="BG414" s="145"/>
      <c r="BH414" s="138"/>
      <c r="BI414" s="138"/>
      <c r="BJ414" s="138"/>
      <c r="BK414" s="138"/>
      <c r="BL414" s="138"/>
      <c r="BM414" s="138"/>
      <c r="BN414" s="138"/>
    </row>
    <row r="415" spans="1:66" s="91" customFormat="1" ht="63.75" hidden="1" customHeight="1" x14ac:dyDescent="0.2">
      <c r="A415" s="150" t="s">
        <v>1348</v>
      </c>
      <c r="B415" s="18" t="s">
        <v>842</v>
      </c>
      <c r="C415" s="18" t="s">
        <v>843</v>
      </c>
      <c r="D415" s="19" t="s">
        <v>844</v>
      </c>
      <c r="E415" s="55">
        <v>1</v>
      </c>
      <c r="F415" s="55" t="s">
        <v>35</v>
      </c>
      <c r="G415" s="55" t="s">
        <v>5</v>
      </c>
      <c r="H415" s="55" t="s">
        <v>960</v>
      </c>
      <c r="I415" s="55"/>
      <c r="J415" s="55"/>
      <c r="K415" s="19" t="s">
        <v>148</v>
      </c>
      <c r="L415" s="19"/>
      <c r="M415" s="19"/>
      <c r="N415" s="19" t="s">
        <v>1474</v>
      </c>
      <c r="O415" s="151">
        <v>42887</v>
      </c>
      <c r="P415" s="151"/>
      <c r="Q415" s="151"/>
      <c r="R415" s="151"/>
      <c r="S415" s="152">
        <v>180910</v>
      </c>
      <c r="T415" s="152">
        <v>0</v>
      </c>
      <c r="U415" s="145">
        <v>0</v>
      </c>
      <c r="V415" s="145">
        <v>0</v>
      </c>
      <c r="W415" s="145">
        <v>0</v>
      </c>
      <c r="X415" s="145">
        <f t="shared" si="140"/>
        <v>0</v>
      </c>
      <c r="Y415" s="145">
        <v>0</v>
      </c>
      <c r="Z415" s="145">
        <v>0</v>
      </c>
      <c r="AA415" s="145">
        <v>0</v>
      </c>
      <c r="AB415" s="145">
        <v>0</v>
      </c>
      <c r="AC415" s="145">
        <v>0</v>
      </c>
      <c r="AD415" s="145">
        <v>0</v>
      </c>
      <c r="AE415" s="145">
        <v>0</v>
      </c>
      <c r="AF415" s="145">
        <v>0</v>
      </c>
      <c r="AG415" s="145">
        <v>0</v>
      </c>
      <c r="AH415" s="145">
        <v>0</v>
      </c>
      <c r="AI415" s="145">
        <v>162819</v>
      </c>
      <c r="AJ415" s="145">
        <v>0</v>
      </c>
      <c r="AK415" s="145">
        <f t="shared" ref="AK415:AK433" si="141">SUM(Y415:AJ415)</f>
        <v>162819</v>
      </c>
      <c r="AL415" s="145">
        <v>18091</v>
      </c>
      <c r="AM415" s="145">
        <v>0</v>
      </c>
      <c r="AN415" s="145">
        <v>0</v>
      </c>
      <c r="AO415" s="145">
        <v>0</v>
      </c>
      <c r="AP415" s="145">
        <v>0</v>
      </c>
      <c r="AQ415" s="145">
        <v>0</v>
      </c>
      <c r="AR415" s="145">
        <v>0</v>
      </c>
      <c r="AS415" s="145">
        <f t="shared" si="137"/>
        <v>180910</v>
      </c>
      <c r="AT415" s="145"/>
      <c r="AU415" s="139">
        <f t="shared" si="136"/>
        <v>180910</v>
      </c>
      <c r="AV415" s="146">
        <f>IFERROR(VLOOKUP(J415,Maksājumu_pieprasījumu_iesn.!G:BL,57,0),0)</f>
        <v>0</v>
      </c>
      <c r="AW415" s="139">
        <f t="shared" si="138"/>
        <v>-180910</v>
      </c>
      <c r="AX415" s="137">
        <f t="shared" si="139"/>
        <v>0</v>
      </c>
      <c r="AY415" s="137"/>
      <c r="AZ415" s="137"/>
      <c r="BA415" s="136"/>
      <c r="BB415" s="145"/>
      <c r="BC415" s="145"/>
      <c r="BD415" s="145"/>
      <c r="BE415" s="145"/>
      <c r="BF415" s="145"/>
      <c r="BG415" s="145"/>
      <c r="BH415" s="138"/>
      <c r="BI415" s="138"/>
      <c r="BJ415" s="138"/>
      <c r="BK415" s="138"/>
      <c r="BL415" s="138"/>
      <c r="BM415" s="138"/>
      <c r="BN415" s="138"/>
    </row>
    <row r="416" spans="1:66" s="91" customFormat="1" ht="63.75" hidden="1" customHeight="1" x14ac:dyDescent="0.2">
      <c r="A416" s="150" t="s">
        <v>1348</v>
      </c>
      <c r="B416" s="18" t="s">
        <v>842</v>
      </c>
      <c r="C416" s="18" t="s">
        <v>843</v>
      </c>
      <c r="D416" s="19" t="s">
        <v>844</v>
      </c>
      <c r="E416" s="55">
        <v>1</v>
      </c>
      <c r="F416" s="55" t="s">
        <v>35</v>
      </c>
      <c r="G416" s="55" t="s">
        <v>5</v>
      </c>
      <c r="H416" s="55" t="s">
        <v>960</v>
      </c>
      <c r="I416" s="55"/>
      <c r="J416" s="55"/>
      <c r="K416" s="19" t="s">
        <v>148</v>
      </c>
      <c r="L416" s="19"/>
      <c r="M416" s="19"/>
      <c r="N416" s="19" t="s">
        <v>1475</v>
      </c>
      <c r="O416" s="151">
        <v>42887</v>
      </c>
      <c r="P416" s="151"/>
      <c r="Q416" s="151"/>
      <c r="R416" s="151"/>
      <c r="S416" s="152">
        <v>180910</v>
      </c>
      <c r="T416" s="152">
        <v>0</v>
      </c>
      <c r="U416" s="145">
        <v>0</v>
      </c>
      <c r="V416" s="145">
        <v>0</v>
      </c>
      <c r="W416" s="145">
        <v>0</v>
      </c>
      <c r="X416" s="145">
        <f t="shared" si="140"/>
        <v>0</v>
      </c>
      <c r="Y416" s="145">
        <v>0</v>
      </c>
      <c r="Z416" s="145">
        <v>0</v>
      </c>
      <c r="AA416" s="145">
        <v>0</v>
      </c>
      <c r="AB416" s="145">
        <v>0</v>
      </c>
      <c r="AC416" s="145">
        <v>0</v>
      </c>
      <c r="AD416" s="145">
        <v>0</v>
      </c>
      <c r="AE416" s="145">
        <v>0</v>
      </c>
      <c r="AF416" s="145">
        <v>0</v>
      </c>
      <c r="AG416" s="145">
        <v>0</v>
      </c>
      <c r="AH416" s="145">
        <v>0</v>
      </c>
      <c r="AI416" s="145">
        <v>162819</v>
      </c>
      <c r="AJ416" s="145">
        <v>0</v>
      </c>
      <c r="AK416" s="145">
        <f t="shared" si="141"/>
        <v>162819</v>
      </c>
      <c r="AL416" s="145">
        <v>18091</v>
      </c>
      <c r="AM416" s="145">
        <v>0</v>
      </c>
      <c r="AN416" s="145">
        <v>0</v>
      </c>
      <c r="AO416" s="145">
        <v>0</v>
      </c>
      <c r="AP416" s="145">
        <v>0</v>
      </c>
      <c r="AQ416" s="145">
        <v>0</v>
      </c>
      <c r="AR416" s="145">
        <v>0</v>
      </c>
      <c r="AS416" s="145">
        <f t="shared" si="137"/>
        <v>180910</v>
      </c>
      <c r="AT416" s="145"/>
      <c r="AU416" s="139">
        <f t="shared" si="136"/>
        <v>180910</v>
      </c>
      <c r="AV416" s="146">
        <f>IFERROR(VLOOKUP(J416,Maksājumu_pieprasījumu_iesn.!G:BL,57,0),0)</f>
        <v>0</v>
      </c>
      <c r="AW416" s="139">
        <f t="shared" si="138"/>
        <v>-180910</v>
      </c>
      <c r="AX416" s="137">
        <f t="shared" si="139"/>
        <v>0</v>
      </c>
      <c r="AY416" s="137"/>
      <c r="AZ416" s="137"/>
      <c r="BA416" s="136"/>
      <c r="BB416" s="145"/>
      <c r="BC416" s="145"/>
      <c r="BD416" s="145"/>
      <c r="BE416" s="145"/>
      <c r="BF416" s="145"/>
      <c r="BG416" s="145"/>
      <c r="BH416" s="138"/>
      <c r="BI416" s="138"/>
      <c r="BJ416" s="138"/>
      <c r="BK416" s="138"/>
      <c r="BL416" s="138"/>
      <c r="BM416" s="138"/>
      <c r="BN416" s="138"/>
    </row>
    <row r="417" spans="1:66" s="91" customFormat="1" ht="63.75" hidden="1" customHeight="1" x14ac:dyDescent="0.2">
      <c r="A417" s="150" t="s">
        <v>1348</v>
      </c>
      <c r="B417" s="18" t="s">
        <v>842</v>
      </c>
      <c r="C417" s="18" t="s">
        <v>843</v>
      </c>
      <c r="D417" s="19" t="s">
        <v>844</v>
      </c>
      <c r="E417" s="55">
        <v>1</v>
      </c>
      <c r="F417" s="55" t="s">
        <v>35</v>
      </c>
      <c r="G417" s="55" t="s">
        <v>5</v>
      </c>
      <c r="H417" s="55" t="s">
        <v>960</v>
      </c>
      <c r="I417" s="55"/>
      <c r="J417" s="55"/>
      <c r="K417" s="19" t="s">
        <v>148</v>
      </c>
      <c r="L417" s="19"/>
      <c r="M417" s="19"/>
      <c r="N417" s="19" t="s">
        <v>1476</v>
      </c>
      <c r="O417" s="151">
        <v>42887</v>
      </c>
      <c r="P417" s="151"/>
      <c r="Q417" s="151"/>
      <c r="R417" s="151"/>
      <c r="S417" s="152">
        <v>180910</v>
      </c>
      <c r="T417" s="152">
        <v>0</v>
      </c>
      <c r="U417" s="145">
        <v>0</v>
      </c>
      <c r="V417" s="145">
        <v>0</v>
      </c>
      <c r="W417" s="145">
        <v>0</v>
      </c>
      <c r="X417" s="145">
        <f t="shared" si="140"/>
        <v>0</v>
      </c>
      <c r="Y417" s="145">
        <v>0</v>
      </c>
      <c r="Z417" s="145">
        <v>0</v>
      </c>
      <c r="AA417" s="145">
        <v>0</v>
      </c>
      <c r="AB417" s="145">
        <v>0</v>
      </c>
      <c r="AC417" s="145">
        <v>0</v>
      </c>
      <c r="AD417" s="145">
        <v>0</v>
      </c>
      <c r="AE417" s="145">
        <v>0</v>
      </c>
      <c r="AF417" s="145">
        <v>0</v>
      </c>
      <c r="AG417" s="145">
        <v>0</v>
      </c>
      <c r="AH417" s="145">
        <v>0</v>
      </c>
      <c r="AI417" s="145">
        <v>162819</v>
      </c>
      <c r="AJ417" s="145">
        <v>0</v>
      </c>
      <c r="AK417" s="145">
        <f t="shared" si="141"/>
        <v>162819</v>
      </c>
      <c r="AL417" s="145">
        <v>18091</v>
      </c>
      <c r="AM417" s="145">
        <v>0</v>
      </c>
      <c r="AN417" s="145">
        <v>0</v>
      </c>
      <c r="AO417" s="145">
        <v>0</v>
      </c>
      <c r="AP417" s="145">
        <v>0</v>
      </c>
      <c r="AQ417" s="145">
        <v>0</v>
      </c>
      <c r="AR417" s="145">
        <v>0</v>
      </c>
      <c r="AS417" s="145">
        <f t="shared" si="137"/>
        <v>180910</v>
      </c>
      <c r="AT417" s="145"/>
      <c r="AU417" s="139">
        <f t="shared" si="136"/>
        <v>180910</v>
      </c>
      <c r="AV417" s="146">
        <f>IFERROR(VLOOKUP(J417,Maksājumu_pieprasījumu_iesn.!G:BL,57,0),0)</f>
        <v>0</v>
      </c>
      <c r="AW417" s="139">
        <f t="shared" si="138"/>
        <v>-180910</v>
      </c>
      <c r="AX417" s="137">
        <f t="shared" si="139"/>
        <v>0</v>
      </c>
      <c r="AY417" s="137"/>
      <c r="AZ417" s="137"/>
      <c r="BA417" s="136"/>
      <c r="BB417" s="145"/>
      <c r="BC417" s="145"/>
      <c r="BD417" s="145"/>
      <c r="BE417" s="145"/>
      <c r="BF417" s="145"/>
      <c r="BG417" s="145"/>
      <c r="BH417" s="138"/>
      <c r="BI417" s="138"/>
      <c r="BJ417" s="138"/>
      <c r="BK417" s="138"/>
      <c r="BL417" s="138"/>
      <c r="BM417" s="138"/>
      <c r="BN417" s="138"/>
    </row>
    <row r="418" spans="1:66" s="91" customFormat="1" ht="63.75" hidden="1" customHeight="1" x14ac:dyDescent="0.2">
      <c r="A418" s="150" t="s">
        <v>1348</v>
      </c>
      <c r="B418" s="18" t="s">
        <v>842</v>
      </c>
      <c r="C418" s="18" t="s">
        <v>843</v>
      </c>
      <c r="D418" s="19" t="s">
        <v>844</v>
      </c>
      <c r="E418" s="55">
        <v>1</v>
      </c>
      <c r="F418" s="55" t="s">
        <v>35</v>
      </c>
      <c r="G418" s="55" t="s">
        <v>5</v>
      </c>
      <c r="H418" s="55" t="s">
        <v>960</v>
      </c>
      <c r="I418" s="55"/>
      <c r="J418" s="55"/>
      <c r="K418" s="19" t="s">
        <v>148</v>
      </c>
      <c r="L418" s="19"/>
      <c r="M418" s="19"/>
      <c r="N418" s="19" t="s">
        <v>1477</v>
      </c>
      <c r="O418" s="151">
        <v>42887</v>
      </c>
      <c r="P418" s="151"/>
      <c r="Q418" s="151"/>
      <c r="R418" s="151"/>
      <c r="S418" s="152">
        <v>180910</v>
      </c>
      <c r="T418" s="152">
        <v>0</v>
      </c>
      <c r="U418" s="145">
        <v>0</v>
      </c>
      <c r="V418" s="145">
        <v>0</v>
      </c>
      <c r="W418" s="145">
        <v>0</v>
      </c>
      <c r="X418" s="145">
        <f t="shared" si="140"/>
        <v>0</v>
      </c>
      <c r="Y418" s="145">
        <v>0</v>
      </c>
      <c r="Z418" s="145">
        <v>0</v>
      </c>
      <c r="AA418" s="145">
        <v>0</v>
      </c>
      <c r="AB418" s="145">
        <v>0</v>
      </c>
      <c r="AC418" s="145">
        <v>0</v>
      </c>
      <c r="AD418" s="145">
        <v>0</v>
      </c>
      <c r="AE418" s="145">
        <v>0</v>
      </c>
      <c r="AF418" s="145">
        <v>0</v>
      </c>
      <c r="AG418" s="145">
        <v>0</v>
      </c>
      <c r="AH418" s="145">
        <v>0</v>
      </c>
      <c r="AI418" s="145">
        <v>162819</v>
      </c>
      <c r="AJ418" s="145">
        <v>0</v>
      </c>
      <c r="AK418" s="145">
        <f t="shared" si="141"/>
        <v>162819</v>
      </c>
      <c r="AL418" s="145">
        <v>18091</v>
      </c>
      <c r="AM418" s="145">
        <v>0</v>
      </c>
      <c r="AN418" s="145">
        <v>0</v>
      </c>
      <c r="AO418" s="145">
        <v>0</v>
      </c>
      <c r="AP418" s="145">
        <v>0</v>
      </c>
      <c r="AQ418" s="145">
        <v>0</v>
      </c>
      <c r="AR418" s="145">
        <v>0</v>
      </c>
      <c r="AS418" s="145">
        <f t="shared" si="137"/>
        <v>180910</v>
      </c>
      <c r="AT418" s="145"/>
      <c r="AU418" s="139">
        <f t="shared" si="136"/>
        <v>180910</v>
      </c>
      <c r="AV418" s="146">
        <f>IFERROR(VLOOKUP(J418,Maksājumu_pieprasījumu_iesn.!G:BL,57,0),0)</f>
        <v>0</v>
      </c>
      <c r="AW418" s="139">
        <f t="shared" si="138"/>
        <v>-180910</v>
      </c>
      <c r="AX418" s="137">
        <f t="shared" si="139"/>
        <v>0</v>
      </c>
      <c r="AY418" s="137"/>
      <c r="AZ418" s="137"/>
      <c r="BA418" s="136"/>
      <c r="BB418" s="145"/>
      <c r="BC418" s="145"/>
      <c r="BD418" s="145"/>
      <c r="BE418" s="145"/>
      <c r="BF418" s="145"/>
      <c r="BG418" s="145"/>
      <c r="BH418" s="138"/>
      <c r="BI418" s="138"/>
      <c r="BJ418" s="138"/>
      <c r="BK418" s="138"/>
      <c r="BL418" s="138"/>
      <c r="BM418" s="138"/>
      <c r="BN418" s="138"/>
    </row>
    <row r="419" spans="1:66" s="91" customFormat="1" ht="63.75" hidden="1" customHeight="1" x14ac:dyDescent="0.2">
      <c r="A419" s="150" t="s">
        <v>1348</v>
      </c>
      <c r="B419" s="18" t="s">
        <v>842</v>
      </c>
      <c r="C419" s="18" t="s">
        <v>843</v>
      </c>
      <c r="D419" s="19" t="s">
        <v>844</v>
      </c>
      <c r="E419" s="55">
        <v>1</v>
      </c>
      <c r="F419" s="55" t="s">
        <v>35</v>
      </c>
      <c r="G419" s="55" t="s">
        <v>5</v>
      </c>
      <c r="H419" s="55" t="s">
        <v>960</v>
      </c>
      <c r="I419" s="55"/>
      <c r="J419" s="55"/>
      <c r="K419" s="19" t="s">
        <v>148</v>
      </c>
      <c r="L419" s="19"/>
      <c r="M419" s="19"/>
      <c r="N419" s="19" t="s">
        <v>1478</v>
      </c>
      <c r="O419" s="151">
        <v>42887</v>
      </c>
      <c r="P419" s="151"/>
      <c r="Q419" s="151"/>
      <c r="R419" s="151"/>
      <c r="S419" s="152">
        <v>180910</v>
      </c>
      <c r="T419" s="152">
        <v>0</v>
      </c>
      <c r="U419" s="145">
        <v>0</v>
      </c>
      <c r="V419" s="145">
        <v>0</v>
      </c>
      <c r="W419" s="145">
        <v>0</v>
      </c>
      <c r="X419" s="145">
        <f t="shared" si="140"/>
        <v>0</v>
      </c>
      <c r="Y419" s="145">
        <v>0</v>
      </c>
      <c r="Z419" s="145">
        <v>0</v>
      </c>
      <c r="AA419" s="145">
        <v>0</v>
      </c>
      <c r="AB419" s="145">
        <v>0</v>
      </c>
      <c r="AC419" s="145">
        <v>0</v>
      </c>
      <c r="AD419" s="145">
        <v>0</v>
      </c>
      <c r="AE419" s="145">
        <v>0</v>
      </c>
      <c r="AF419" s="145">
        <v>0</v>
      </c>
      <c r="AG419" s="145">
        <v>0</v>
      </c>
      <c r="AH419" s="145">
        <v>0</v>
      </c>
      <c r="AI419" s="145">
        <v>162819</v>
      </c>
      <c r="AJ419" s="145">
        <v>0</v>
      </c>
      <c r="AK419" s="145">
        <f t="shared" si="141"/>
        <v>162819</v>
      </c>
      <c r="AL419" s="145">
        <v>18091</v>
      </c>
      <c r="AM419" s="145">
        <v>0</v>
      </c>
      <c r="AN419" s="145">
        <v>0</v>
      </c>
      <c r="AO419" s="145">
        <v>0</v>
      </c>
      <c r="AP419" s="145">
        <v>0</v>
      </c>
      <c r="AQ419" s="145">
        <v>0</v>
      </c>
      <c r="AR419" s="145">
        <v>0</v>
      </c>
      <c r="AS419" s="145">
        <f t="shared" si="137"/>
        <v>180910</v>
      </c>
      <c r="AT419" s="145"/>
      <c r="AU419" s="139">
        <f t="shared" si="136"/>
        <v>180910</v>
      </c>
      <c r="AV419" s="146">
        <f>IFERROR(VLOOKUP(J419,Maksājumu_pieprasījumu_iesn.!G:BL,57,0),0)</f>
        <v>0</v>
      </c>
      <c r="AW419" s="139">
        <f t="shared" si="138"/>
        <v>-180910</v>
      </c>
      <c r="AX419" s="137">
        <f t="shared" si="139"/>
        <v>0</v>
      </c>
      <c r="AY419" s="137"/>
      <c r="AZ419" s="137"/>
      <c r="BA419" s="136"/>
      <c r="BB419" s="145"/>
      <c r="BC419" s="145"/>
      <c r="BD419" s="145"/>
      <c r="BE419" s="145"/>
      <c r="BF419" s="145"/>
      <c r="BG419" s="145"/>
      <c r="BH419" s="138"/>
      <c r="BI419" s="138"/>
      <c r="BJ419" s="138"/>
      <c r="BK419" s="138"/>
      <c r="BL419" s="138"/>
      <c r="BM419" s="138"/>
      <c r="BN419" s="138"/>
    </row>
    <row r="420" spans="1:66" s="91" customFormat="1" ht="63.75" hidden="1" customHeight="1" x14ac:dyDescent="0.2">
      <c r="A420" s="150" t="s">
        <v>1348</v>
      </c>
      <c r="B420" s="18" t="s">
        <v>842</v>
      </c>
      <c r="C420" s="18" t="s">
        <v>843</v>
      </c>
      <c r="D420" s="19" t="s">
        <v>844</v>
      </c>
      <c r="E420" s="55">
        <v>1</v>
      </c>
      <c r="F420" s="55" t="s">
        <v>35</v>
      </c>
      <c r="G420" s="55" t="s">
        <v>5</v>
      </c>
      <c r="H420" s="55" t="s">
        <v>960</v>
      </c>
      <c r="I420" s="55"/>
      <c r="J420" s="55"/>
      <c r="K420" s="19" t="s">
        <v>148</v>
      </c>
      <c r="L420" s="19"/>
      <c r="M420" s="19"/>
      <c r="N420" s="19" t="s">
        <v>1479</v>
      </c>
      <c r="O420" s="151">
        <v>42887</v>
      </c>
      <c r="P420" s="151"/>
      <c r="Q420" s="151"/>
      <c r="R420" s="151"/>
      <c r="S420" s="152">
        <v>180910</v>
      </c>
      <c r="T420" s="152">
        <v>0</v>
      </c>
      <c r="U420" s="145">
        <v>0</v>
      </c>
      <c r="V420" s="145">
        <v>0</v>
      </c>
      <c r="W420" s="145">
        <v>0</v>
      </c>
      <c r="X420" s="145">
        <f t="shared" si="140"/>
        <v>0</v>
      </c>
      <c r="Y420" s="145">
        <v>0</v>
      </c>
      <c r="Z420" s="145">
        <v>0</v>
      </c>
      <c r="AA420" s="145">
        <v>0</v>
      </c>
      <c r="AB420" s="145">
        <v>0</v>
      </c>
      <c r="AC420" s="145">
        <v>0</v>
      </c>
      <c r="AD420" s="145">
        <v>0</v>
      </c>
      <c r="AE420" s="145">
        <v>0</v>
      </c>
      <c r="AF420" s="145">
        <v>0</v>
      </c>
      <c r="AG420" s="145">
        <v>0</v>
      </c>
      <c r="AH420" s="145">
        <v>0</v>
      </c>
      <c r="AI420" s="145">
        <v>162819</v>
      </c>
      <c r="AJ420" s="145">
        <v>0</v>
      </c>
      <c r="AK420" s="145">
        <f t="shared" si="141"/>
        <v>162819</v>
      </c>
      <c r="AL420" s="145">
        <v>18091</v>
      </c>
      <c r="AM420" s="145">
        <v>0</v>
      </c>
      <c r="AN420" s="145">
        <v>0</v>
      </c>
      <c r="AO420" s="145">
        <v>0</v>
      </c>
      <c r="AP420" s="145">
        <v>0</v>
      </c>
      <c r="AQ420" s="145">
        <v>0</v>
      </c>
      <c r="AR420" s="145">
        <v>0</v>
      </c>
      <c r="AS420" s="145">
        <f t="shared" si="137"/>
        <v>180910</v>
      </c>
      <c r="AT420" s="145"/>
      <c r="AU420" s="139">
        <f t="shared" si="136"/>
        <v>180910</v>
      </c>
      <c r="AV420" s="146">
        <f>IFERROR(VLOOKUP(J420,Maksājumu_pieprasījumu_iesn.!G:BL,57,0),0)</f>
        <v>0</v>
      </c>
      <c r="AW420" s="139">
        <f t="shared" si="138"/>
        <v>-180910</v>
      </c>
      <c r="AX420" s="137">
        <f t="shared" si="139"/>
        <v>0</v>
      </c>
      <c r="AY420" s="137"/>
      <c r="AZ420" s="137"/>
      <c r="BA420" s="136"/>
      <c r="BB420" s="145"/>
      <c r="BC420" s="145"/>
      <c r="BD420" s="145"/>
      <c r="BE420" s="145"/>
      <c r="BF420" s="145"/>
      <c r="BG420" s="145"/>
      <c r="BH420" s="138"/>
      <c r="BI420" s="138"/>
      <c r="BJ420" s="138"/>
      <c r="BK420" s="138"/>
      <c r="BL420" s="138"/>
      <c r="BM420" s="138"/>
      <c r="BN420" s="138"/>
    </row>
    <row r="421" spans="1:66" s="91" customFormat="1" ht="63.75" hidden="1" customHeight="1" x14ac:dyDescent="0.2">
      <c r="A421" s="150" t="s">
        <v>1348</v>
      </c>
      <c r="B421" s="18" t="s">
        <v>842</v>
      </c>
      <c r="C421" s="18" t="s">
        <v>843</v>
      </c>
      <c r="D421" s="19" t="s">
        <v>844</v>
      </c>
      <c r="E421" s="55">
        <v>1</v>
      </c>
      <c r="F421" s="55" t="s">
        <v>35</v>
      </c>
      <c r="G421" s="55" t="s">
        <v>5</v>
      </c>
      <c r="H421" s="55" t="s">
        <v>960</v>
      </c>
      <c r="I421" s="55"/>
      <c r="J421" s="55"/>
      <c r="K421" s="19" t="s">
        <v>148</v>
      </c>
      <c r="L421" s="19"/>
      <c r="M421" s="19"/>
      <c r="N421" s="19" t="s">
        <v>1480</v>
      </c>
      <c r="O421" s="151">
        <v>42887</v>
      </c>
      <c r="P421" s="151"/>
      <c r="Q421" s="151"/>
      <c r="R421" s="151"/>
      <c r="S421" s="152">
        <v>180910</v>
      </c>
      <c r="T421" s="152">
        <v>0</v>
      </c>
      <c r="U421" s="145">
        <v>0</v>
      </c>
      <c r="V421" s="145">
        <v>0</v>
      </c>
      <c r="W421" s="145">
        <v>0</v>
      </c>
      <c r="X421" s="145">
        <f t="shared" si="140"/>
        <v>0</v>
      </c>
      <c r="Y421" s="145">
        <v>0</v>
      </c>
      <c r="Z421" s="145">
        <v>0</v>
      </c>
      <c r="AA421" s="145">
        <v>0</v>
      </c>
      <c r="AB421" s="145">
        <v>0</v>
      </c>
      <c r="AC421" s="145">
        <v>0</v>
      </c>
      <c r="AD421" s="145">
        <v>0</v>
      </c>
      <c r="AE421" s="145">
        <v>0</v>
      </c>
      <c r="AF421" s="145">
        <v>0</v>
      </c>
      <c r="AG421" s="145">
        <v>0</v>
      </c>
      <c r="AH421" s="145">
        <v>0</v>
      </c>
      <c r="AI421" s="145">
        <v>162819</v>
      </c>
      <c r="AJ421" s="145">
        <v>0</v>
      </c>
      <c r="AK421" s="145">
        <f t="shared" si="141"/>
        <v>162819</v>
      </c>
      <c r="AL421" s="145">
        <v>18091</v>
      </c>
      <c r="AM421" s="145">
        <v>0</v>
      </c>
      <c r="AN421" s="145">
        <v>0</v>
      </c>
      <c r="AO421" s="145">
        <v>0</v>
      </c>
      <c r="AP421" s="145">
        <v>0</v>
      </c>
      <c r="AQ421" s="145">
        <v>0</v>
      </c>
      <c r="AR421" s="145">
        <v>0</v>
      </c>
      <c r="AS421" s="145">
        <f t="shared" si="137"/>
        <v>180910</v>
      </c>
      <c r="AT421" s="145"/>
      <c r="AU421" s="139">
        <f t="shared" si="136"/>
        <v>180910</v>
      </c>
      <c r="AV421" s="146">
        <f>IFERROR(VLOOKUP(J421,Maksājumu_pieprasījumu_iesn.!G:BL,57,0),0)</f>
        <v>0</v>
      </c>
      <c r="AW421" s="139">
        <f t="shared" si="138"/>
        <v>-180910</v>
      </c>
      <c r="AX421" s="137">
        <f t="shared" si="139"/>
        <v>0</v>
      </c>
      <c r="AY421" s="137"/>
      <c r="AZ421" s="137"/>
      <c r="BA421" s="136"/>
      <c r="BB421" s="145"/>
      <c r="BC421" s="145"/>
      <c r="BD421" s="145"/>
      <c r="BE421" s="145"/>
      <c r="BF421" s="145"/>
      <c r="BG421" s="145"/>
      <c r="BH421" s="138"/>
      <c r="BI421" s="138"/>
      <c r="BJ421" s="138"/>
      <c r="BK421" s="138"/>
      <c r="BL421" s="138"/>
      <c r="BM421" s="138"/>
      <c r="BN421" s="138"/>
    </row>
    <row r="422" spans="1:66" s="91" customFormat="1" ht="63.75" hidden="1" customHeight="1" x14ac:dyDescent="0.2">
      <c r="A422" s="150" t="s">
        <v>1348</v>
      </c>
      <c r="B422" s="18" t="s">
        <v>842</v>
      </c>
      <c r="C422" s="18" t="s">
        <v>843</v>
      </c>
      <c r="D422" s="19" t="s">
        <v>844</v>
      </c>
      <c r="E422" s="55">
        <v>1</v>
      </c>
      <c r="F422" s="55" t="s">
        <v>35</v>
      </c>
      <c r="G422" s="55" t="s">
        <v>5</v>
      </c>
      <c r="H422" s="55" t="s">
        <v>960</v>
      </c>
      <c r="I422" s="55"/>
      <c r="J422" s="55"/>
      <c r="K422" s="19" t="s">
        <v>148</v>
      </c>
      <c r="L422" s="19"/>
      <c r="M422" s="19"/>
      <c r="N422" s="19" t="s">
        <v>1481</v>
      </c>
      <c r="O422" s="151">
        <v>42887</v>
      </c>
      <c r="P422" s="151"/>
      <c r="Q422" s="151"/>
      <c r="R422" s="151"/>
      <c r="S422" s="152">
        <v>180910</v>
      </c>
      <c r="T422" s="152">
        <v>0</v>
      </c>
      <c r="U422" s="145">
        <v>0</v>
      </c>
      <c r="V422" s="145">
        <v>0</v>
      </c>
      <c r="W422" s="145">
        <v>0</v>
      </c>
      <c r="X422" s="145">
        <f t="shared" si="140"/>
        <v>0</v>
      </c>
      <c r="Y422" s="145">
        <v>0</v>
      </c>
      <c r="Z422" s="145">
        <v>0</v>
      </c>
      <c r="AA422" s="145">
        <v>0</v>
      </c>
      <c r="AB422" s="145">
        <v>0</v>
      </c>
      <c r="AC422" s="145">
        <v>0</v>
      </c>
      <c r="AD422" s="145">
        <v>0</v>
      </c>
      <c r="AE422" s="145">
        <v>0</v>
      </c>
      <c r="AF422" s="145">
        <v>0</v>
      </c>
      <c r="AG422" s="145">
        <v>0</v>
      </c>
      <c r="AH422" s="145">
        <v>0</v>
      </c>
      <c r="AI422" s="145">
        <v>162819</v>
      </c>
      <c r="AJ422" s="145">
        <v>0</v>
      </c>
      <c r="AK422" s="145">
        <f t="shared" si="141"/>
        <v>162819</v>
      </c>
      <c r="AL422" s="145">
        <v>18091</v>
      </c>
      <c r="AM422" s="145">
        <v>0</v>
      </c>
      <c r="AN422" s="145">
        <v>0</v>
      </c>
      <c r="AO422" s="145">
        <v>0</v>
      </c>
      <c r="AP422" s="145">
        <v>0</v>
      </c>
      <c r="AQ422" s="145">
        <v>0</v>
      </c>
      <c r="AR422" s="145">
        <v>0</v>
      </c>
      <c r="AS422" s="145">
        <f t="shared" si="137"/>
        <v>180910</v>
      </c>
      <c r="AT422" s="145"/>
      <c r="AU422" s="139">
        <f t="shared" si="136"/>
        <v>180910</v>
      </c>
      <c r="AV422" s="146">
        <f>IFERROR(VLOOKUP(J422,Maksājumu_pieprasījumu_iesn.!G:BL,57,0),0)</f>
        <v>0</v>
      </c>
      <c r="AW422" s="139">
        <f t="shared" si="138"/>
        <v>-180910</v>
      </c>
      <c r="AX422" s="137">
        <f t="shared" si="139"/>
        <v>0</v>
      </c>
      <c r="AY422" s="137"/>
      <c r="AZ422" s="137"/>
      <c r="BA422" s="136"/>
      <c r="BB422" s="145"/>
      <c r="BC422" s="145"/>
      <c r="BD422" s="145"/>
      <c r="BE422" s="145"/>
      <c r="BF422" s="145"/>
      <c r="BG422" s="145"/>
      <c r="BH422" s="138"/>
      <c r="BI422" s="138"/>
      <c r="BJ422" s="138"/>
      <c r="BK422" s="138"/>
      <c r="BL422" s="138"/>
      <c r="BM422" s="138"/>
      <c r="BN422" s="138"/>
    </row>
    <row r="423" spans="1:66" s="91" customFormat="1" ht="63.75" hidden="1" customHeight="1" x14ac:dyDescent="0.2">
      <c r="A423" s="150" t="s">
        <v>1348</v>
      </c>
      <c r="B423" s="18" t="s">
        <v>842</v>
      </c>
      <c r="C423" s="18" t="s">
        <v>843</v>
      </c>
      <c r="D423" s="19" t="s">
        <v>844</v>
      </c>
      <c r="E423" s="55">
        <v>1</v>
      </c>
      <c r="F423" s="55" t="s">
        <v>35</v>
      </c>
      <c r="G423" s="55" t="s">
        <v>5</v>
      </c>
      <c r="H423" s="55" t="s">
        <v>960</v>
      </c>
      <c r="I423" s="55"/>
      <c r="J423" s="55"/>
      <c r="K423" s="19" t="s">
        <v>148</v>
      </c>
      <c r="L423" s="19"/>
      <c r="M423" s="19"/>
      <c r="N423" s="19" t="s">
        <v>1482</v>
      </c>
      <c r="O423" s="151">
        <v>42887</v>
      </c>
      <c r="P423" s="151"/>
      <c r="Q423" s="151"/>
      <c r="R423" s="151"/>
      <c r="S423" s="152">
        <v>180910</v>
      </c>
      <c r="T423" s="152">
        <v>0</v>
      </c>
      <c r="U423" s="145">
        <v>0</v>
      </c>
      <c r="V423" s="145">
        <v>0</v>
      </c>
      <c r="W423" s="145">
        <v>0</v>
      </c>
      <c r="X423" s="145">
        <f t="shared" si="140"/>
        <v>0</v>
      </c>
      <c r="Y423" s="145">
        <v>0</v>
      </c>
      <c r="Z423" s="145">
        <v>0</v>
      </c>
      <c r="AA423" s="145">
        <v>0</v>
      </c>
      <c r="AB423" s="145">
        <v>0</v>
      </c>
      <c r="AC423" s="145">
        <v>0</v>
      </c>
      <c r="AD423" s="145">
        <v>0</v>
      </c>
      <c r="AE423" s="145">
        <v>0</v>
      </c>
      <c r="AF423" s="145">
        <v>0</v>
      </c>
      <c r="AG423" s="145">
        <v>0</v>
      </c>
      <c r="AH423" s="145">
        <v>0</v>
      </c>
      <c r="AI423" s="145">
        <v>162819</v>
      </c>
      <c r="AJ423" s="145">
        <v>0</v>
      </c>
      <c r="AK423" s="145">
        <f t="shared" si="141"/>
        <v>162819</v>
      </c>
      <c r="AL423" s="145">
        <v>18091</v>
      </c>
      <c r="AM423" s="145">
        <v>0</v>
      </c>
      <c r="AN423" s="145">
        <v>0</v>
      </c>
      <c r="AO423" s="145">
        <v>0</v>
      </c>
      <c r="AP423" s="145">
        <v>0</v>
      </c>
      <c r="AQ423" s="145">
        <v>0</v>
      </c>
      <c r="AR423" s="145">
        <v>0</v>
      </c>
      <c r="AS423" s="145">
        <f t="shared" si="137"/>
        <v>180910</v>
      </c>
      <c r="AT423" s="145"/>
      <c r="AU423" s="139">
        <f t="shared" si="136"/>
        <v>180910</v>
      </c>
      <c r="AV423" s="146">
        <f>IFERROR(VLOOKUP(J423,Maksājumu_pieprasījumu_iesn.!G:BL,57,0),0)</f>
        <v>0</v>
      </c>
      <c r="AW423" s="139">
        <f t="shared" si="138"/>
        <v>-180910</v>
      </c>
      <c r="AX423" s="137">
        <f t="shared" si="139"/>
        <v>0</v>
      </c>
      <c r="AY423" s="137"/>
      <c r="AZ423" s="137"/>
      <c r="BA423" s="136"/>
      <c r="BB423" s="145"/>
      <c r="BC423" s="145"/>
      <c r="BD423" s="145"/>
      <c r="BE423" s="145"/>
      <c r="BF423" s="145"/>
      <c r="BG423" s="145"/>
      <c r="BH423" s="138"/>
      <c r="BI423" s="138"/>
      <c r="BJ423" s="138"/>
      <c r="BK423" s="138"/>
      <c r="BL423" s="138"/>
      <c r="BM423" s="138"/>
      <c r="BN423" s="138"/>
    </row>
    <row r="424" spans="1:66" s="91" customFormat="1" ht="63.75" hidden="1" customHeight="1" x14ac:dyDescent="0.2">
      <c r="A424" s="150" t="s">
        <v>1348</v>
      </c>
      <c r="B424" s="18" t="s">
        <v>842</v>
      </c>
      <c r="C424" s="18" t="s">
        <v>843</v>
      </c>
      <c r="D424" s="19" t="s">
        <v>844</v>
      </c>
      <c r="E424" s="55">
        <v>1</v>
      </c>
      <c r="F424" s="55" t="s">
        <v>35</v>
      </c>
      <c r="G424" s="55" t="s">
        <v>5</v>
      </c>
      <c r="H424" s="55" t="s">
        <v>960</v>
      </c>
      <c r="I424" s="55"/>
      <c r="J424" s="55"/>
      <c r="K424" s="19" t="s">
        <v>148</v>
      </c>
      <c r="L424" s="19"/>
      <c r="M424" s="19"/>
      <c r="N424" s="19" t="s">
        <v>1483</v>
      </c>
      <c r="O424" s="151">
        <v>42887</v>
      </c>
      <c r="P424" s="151"/>
      <c r="Q424" s="151"/>
      <c r="R424" s="151"/>
      <c r="S424" s="152">
        <v>180910</v>
      </c>
      <c r="T424" s="152">
        <v>0</v>
      </c>
      <c r="U424" s="145">
        <v>0</v>
      </c>
      <c r="V424" s="145">
        <v>0</v>
      </c>
      <c r="W424" s="145">
        <v>0</v>
      </c>
      <c r="X424" s="145">
        <f t="shared" si="140"/>
        <v>0</v>
      </c>
      <c r="Y424" s="145">
        <v>0</v>
      </c>
      <c r="Z424" s="145">
        <v>0</v>
      </c>
      <c r="AA424" s="145">
        <v>0</v>
      </c>
      <c r="AB424" s="145">
        <v>0</v>
      </c>
      <c r="AC424" s="145">
        <v>0</v>
      </c>
      <c r="AD424" s="145">
        <v>0</v>
      </c>
      <c r="AE424" s="145">
        <v>0</v>
      </c>
      <c r="AF424" s="145">
        <v>0</v>
      </c>
      <c r="AG424" s="145">
        <v>0</v>
      </c>
      <c r="AH424" s="145">
        <v>0</v>
      </c>
      <c r="AI424" s="145">
        <v>162819</v>
      </c>
      <c r="AJ424" s="145">
        <v>0</v>
      </c>
      <c r="AK424" s="145">
        <f t="shared" si="141"/>
        <v>162819</v>
      </c>
      <c r="AL424" s="145">
        <v>18091</v>
      </c>
      <c r="AM424" s="145">
        <v>0</v>
      </c>
      <c r="AN424" s="145">
        <v>0</v>
      </c>
      <c r="AO424" s="145">
        <v>0</v>
      </c>
      <c r="AP424" s="145">
        <v>0</v>
      </c>
      <c r="AQ424" s="145">
        <v>0</v>
      </c>
      <c r="AR424" s="145">
        <v>0</v>
      </c>
      <c r="AS424" s="145">
        <f t="shared" si="137"/>
        <v>180910</v>
      </c>
      <c r="AT424" s="145"/>
      <c r="AU424" s="139">
        <f t="shared" si="136"/>
        <v>180910</v>
      </c>
      <c r="AV424" s="146">
        <f>IFERROR(VLOOKUP(J424,Maksājumu_pieprasījumu_iesn.!G:BL,57,0),0)</f>
        <v>0</v>
      </c>
      <c r="AW424" s="139">
        <f t="shared" si="138"/>
        <v>-180910</v>
      </c>
      <c r="AX424" s="137">
        <f t="shared" si="139"/>
        <v>0</v>
      </c>
      <c r="AY424" s="137"/>
      <c r="AZ424" s="137"/>
      <c r="BA424" s="136"/>
      <c r="BB424" s="145"/>
      <c r="BC424" s="145"/>
      <c r="BD424" s="145"/>
      <c r="BE424" s="145"/>
      <c r="BF424" s="145"/>
      <c r="BG424" s="145"/>
      <c r="BH424" s="138"/>
      <c r="BI424" s="138"/>
      <c r="BJ424" s="138"/>
      <c r="BK424" s="138"/>
      <c r="BL424" s="138"/>
      <c r="BM424" s="138"/>
      <c r="BN424" s="138"/>
    </row>
    <row r="425" spans="1:66" s="91" customFormat="1" ht="63.75" hidden="1" customHeight="1" x14ac:dyDescent="0.2">
      <c r="A425" s="150" t="s">
        <v>1348</v>
      </c>
      <c r="B425" s="18" t="s">
        <v>842</v>
      </c>
      <c r="C425" s="18" t="s">
        <v>843</v>
      </c>
      <c r="D425" s="19" t="s">
        <v>844</v>
      </c>
      <c r="E425" s="55">
        <v>1</v>
      </c>
      <c r="F425" s="55" t="s">
        <v>35</v>
      </c>
      <c r="G425" s="55" t="s">
        <v>5</v>
      </c>
      <c r="H425" s="55" t="s">
        <v>960</v>
      </c>
      <c r="I425" s="55"/>
      <c r="J425" s="55"/>
      <c r="K425" s="19" t="s">
        <v>148</v>
      </c>
      <c r="L425" s="19"/>
      <c r="M425" s="19"/>
      <c r="N425" s="19" t="s">
        <v>1484</v>
      </c>
      <c r="O425" s="151">
        <v>42887</v>
      </c>
      <c r="P425" s="151"/>
      <c r="Q425" s="151"/>
      <c r="R425" s="151"/>
      <c r="S425" s="152">
        <v>180910</v>
      </c>
      <c r="T425" s="152">
        <v>0</v>
      </c>
      <c r="U425" s="145">
        <v>0</v>
      </c>
      <c r="V425" s="145">
        <v>0</v>
      </c>
      <c r="W425" s="145">
        <v>0</v>
      </c>
      <c r="X425" s="145">
        <f t="shared" si="140"/>
        <v>0</v>
      </c>
      <c r="Y425" s="145">
        <v>0</v>
      </c>
      <c r="Z425" s="145">
        <v>0</v>
      </c>
      <c r="AA425" s="145">
        <v>0</v>
      </c>
      <c r="AB425" s="145">
        <v>0</v>
      </c>
      <c r="AC425" s="145">
        <v>0</v>
      </c>
      <c r="AD425" s="145">
        <v>0</v>
      </c>
      <c r="AE425" s="145">
        <v>0</v>
      </c>
      <c r="AF425" s="145">
        <v>0</v>
      </c>
      <c r="AG425" s="145">
        <v>0</v>
      </c>
      <c r="AH425" s="145">
        <v>0</v>
      </c>
      <c r="AI425" s="145">
        <v>162819</v>
      </c>
      <c r="AJ425" s="145">
        <v>0</v>
      </c>
      <c r="AK425" s="145">
        <f t="shared" si="141"/>
        <v>162819</v>
      </c>
      <c r="AL425" s="145">
        <v>18091</v>
      </c>
      <c r="AM425" s="145">
        <v>0</v>
      </c>
      <c r="AN425" s="145">
        <v>0</v>
      </c>
      <c r="AO425" s="145">
        <v>0</v>
      </c>
      <c r="AP425" s="145">
        <v>0</v>
      </c>
      <c r="AQ425" s="145">
        <v>0</v>
      </c>
      <c r="AR425" s="145">
        <v>0</v>
      </c>
      <c r="AS425" s="145">
        <f t="shared" si="137"/>
        <v>180910</v>
      </c>
      <c r="AT425" s="145"/>
      <c r="AU425" s="139">
        <f t="shared" si="136"/>
        <v>180910</v>
      </c>
      <c r="AV425" s="146">
        <f>IFERROR(VLOOKUP(J425,Maksājumu_pieprasījumu_iesn.!G:BL,57,0),0)</f>
        <v>0</v>
      </c>
      <c r="AW425" s="139">
        <f t="shared" si="138"/>
        <v>-180910</v>
      </c>
      <c r="AX425" s="137">
        <f t="shared" si="139"/>
        <v>0</v>
      </c>
      <c r="AY425" s="137"/>
      <c r="AZ425" s="137"/>
      <c r="BA425" s="136"/>
      <c r="BB425" s="145"/>
      <c r="BC425" s="145"/>
      <c r="BD425" s="145"/>
      <c r="BE425" s="145"/>
      <c r="BF425" s="145"/>
      <c r="BG425" s="145"/>
      <c r="BH425" s="138"/>
      <c r="BI425" s="138"/>
      <c r="BJ425" s="138"/>
      <c r="BK425" s="138"/>
      <c r="BL425" s="138"/>
      <c r="BM425" s="138"/>
      <c r="BN425" s="138"/>
    </row>
    <row r="426" spans="1:66" s="91" customFormat="1" ht="63.75" hidden="1" customHeight="1" x14ac:dyDescent="0.2">
      <c r="A426" s="150" t="s">
        <v>1348</v>
      </c>
      <c r="B426" s="18" t="s">
        <v>842</v>
      </c>
      <c r="C426" s="18" t="s">
        <v>843</v>
      </c>
      <c r="D426" s="19" t="s">
        <v>844</v>
      </c>
      <c r="E426" s="55">
        <v>1</v>
      </c>
      <c r="F426" s="55" t="s">
        <v>35</v>
      </c>
      <c r="G426" s="55" t="s">
        <v>5</v>
      </c>
      <c r="H426" s="55" t="s">
        <v>960</v>
      </c>
      <c r="I426" s="55"/>
      <c r="J426" s="55"/>
      <c r="K426" s="19" t="s">
        <v>148</v>
      </c>
      <c r="L426" s="19"/>
      <c r="M426" s="19"/>
      <c r="N426" s="19" t="s">
        <v>1485</v>
      </c>
      <c r="O426" s="151">
        <v>42887</v>
      </c>
      <c r="P426" s="151"/>
      <c r="Q426" s="151"/>
      <c r="R426" s="151"/>
      <c r="S426" s="152">
        <v>180910</v>
      </c>
      <c r="T426" s="152">
        <v>0</v>
      </c>
      <c r="U426" s="145">
        <v>0</v>
      </c>
      <c r="V426" s="145">
        <v>0</v>
      </c>
      <c r="W426" s="145">
        <v>0</v>
      </c>
      <c r="X426" s="145">
        <f t="shared" si="140"/>
        <v>0</v>
      </c>
      <c r="Y426" s="145">
        <v>0</v>
      </c>
      <c r="Z426" s="145">
        <v>0</v>
      </c>
      <c r="AA426" s="145">
        <v>0</v>
      </c>
      <c r="AB426" s="145">
        <v>0</v>
      </c>
      <c r="AC426" s="145">
        <v>0</v>
      </c>
      <c r="AD426" s="145">
        <v>0</v>
      </c>
      <c r="AE426" s="145">
        <v>0</v>
      </c>
      <c r="AF426" s="145">
        <v>0</v>
      </c>
      <c r="AG426" s="145">
        <v>0</v>
      </c>
      <c r="AH426" s="145">
        <v>0</v>
      </c>
      <c r="AI426" s="145">
        <v>162819</v>
      </c>
      <c r="AJ426" s="145">
        <v>0</v>
      </c>
      <c r="AK426" s="145">
        <f t="shared" si="141"/>
        <v>162819</v>
      </c>
      <c r="AL426" s="145">
        <v>18091</v>
      </c>
      <c r="AM426" s="145">
        <v>0</v>
      </c>
      <c r="AN426" s="145">
        <v>0</v>
      </c>
      <c r="AO426" s="145">
        <v>0</v>
      </c>
      <c r="AP426" s="145">
        <v>0</v>
      </c>
      <c r="AQ426" s="145">
        <v>0</v>
      </c>
      <c r="AR426" s="145">
        <v>0</v>
      </c>
      <c r="AS426" s="145">
        <f t="shared" si="137"/>
        <v>180910</v>
      </c>
      <c r="AT426" s="145"/>
      <c r="AU426" s="139">
        <f t="shared" si="136"/>
        <v>180910</v>
      </c>
      <c r="AV426" s="146">
        <f>IFERROR(VLOOKUP(J426,Maksājumu_pieprasījumu_iesn.!G:BL,57,0),0)</f>
        <v>0</v>
      </c>
      <c r="AW426" s="139">
        <f t="shared" si="138"/>
        <v>-180910</v>
      </c>
      <c r="AX426" s="137">
        <f t="shared" si="139"/>
        <v>0</v>
      </c>
      <c r="AY426" s="137"/>
      <c r="AZ426" s="137"/>
      <c r="BA426" s="136"/>
      <c r="BB426" s="145"/>
      <c r="BC426" s="145"/>
      <c r="BD426" s="145"/>
      <c r="BE426" s="145"/>
      <c r="BF426" s="145"/>
      <c r="BG426" s="145"/>
      <c r="BH426" s="138"/>
      <c r="BI426" s="138"/>
      <c r="BJ426" s="138"/>
      <c r="BK426" s="138"/>
      <c r="BL426" s="138"/>
      <c r="BM426" s="138"/>
      <c r="BN426" s="138"/>
    </row>
    <row r="427" spans="1:66" s="91" customFormat="1" ht="63.75" hidden="1" customHeight="1" x14ac:dyDescent="0.2">
      <c r="A427" s="150" t="s">
        <v>1348</v>
      </c>
      <c r="B427" s="18" t="s">
        <v>842</v>
      </c>
      <c r="C427" s="18" t="s">
        <v>843</v>
      </c>
      <c r="D427" s="19" t="s">
        <v>844</v>
      </c>
      <c r="E427" s="55">
        <v>1</v>
      </c>
      <c r="F427" s="55" t="s">
        <v>35</v>
      </c>
      <c r="G427" s="55" t="s">
        <v>5</v>
      </c>
      <c r="H427" s="55" t="s">
        <v>960</v>
      </c>
      <c r="I427" s="55"/>
      <c r="J427" s="55"/>
      <c r="K427" s="19" t="s">
        <v>148</v>
      </c>
      <c r="L427" s="19"/>
      <c r="M427" s="19"/>
      <c r="N427" s="19" t="s">
        <v>1486</v>
      </c>
      <c r="O427" s="151">
        <v>42887</v>
      </c>
      <c r="P427" s="151"/>
      <c r="Q427" s="151"/>
      <c r="R427" s="151"/>
      <c r="S427" s="152">
        <v>180910</v>
      </c>
      <c r="T427" s="152">
        <v>0</v>
      </c>
      <c r="U427" s="145">
        <v>0</v>
      </c>
      <c r="V427" s="145">
        <v>0</v>
      </c>
      <c r="W427" s="145">
        <v>0</v>
      </c>
      <c r="X427" s="145">
        <f t="shared" si="140"/>
        <v>0</v>
      </c>
      <c r="Y427" s="145">
        <v>0</v>
      </c>
      <c r="Z427" s="145">
        <v>0</v>
      </c>
      <c r="AA427" s="145">
        <v>0</v>
      </c>
      <c r="AB427" s="145">
        <v>0</v>
      </c>
      <c r="AC427" s="145">
        <v>0</v>
      </c>
      <c r="AD427" s="145">
        <v>0</v>
      </c>
      <c r="AE427" s="145">
        <v>0</v>
      </c>
      <c r="AF427" s="145">
        <v>0</v>
      </c>
      <c r="AG427" s="145">
        <v>0</v>
      </c>
      <c r="AH427" s="145">
        <v>0</v>
      </c>
      <c r="AI427" s="145">
        <v>162819</v>
      </c>
      <c r="AJ427" s="145">
        <v>0</v>
      </c>
      <c r="AK427" s="145">
        <f t="shared" si="141"/>
        <v>162819</v>
      </c>
      <c r="AL427" s="145">
        <v>18091</v>
      </c>
      <c r="AM427" s="145">
        <v>0</v>
      </c>
      <c r="AN427" s="145">
        <v>0</v>
      </c>
      <c r="AO427" s="145">
        <v>0</v>
      </c>
      <c r="AP427" s="145">
        <v>0</v>
      </c>
      <c r="AQ427" s="145">
        <v>0</v>
      </c>
      <c r="AR427" s="145">
        <v>0</v>
      </c>
      <c r="AS427" s="145">
        <f t="shared" si="137"/>
        <v>180910</v>
      </c>
      <c r="AT427" s="145"/>
      <c r="AU427" s="139">
        <f t="shared" si="136"/>
        <v>180910</v>
      </c>
      <c r="AV427" s="146">
        <f>IFERROR(VLOOKUP(J427,Maksājumu_pieprasījumu_iesn.!G:BL,57,0),0)</f>
        <v>0</v>
      </c>
      <c r="AW427" s="139">
        <f t="shared" si="138"/>
        <v>-180910</v>
      </c>
      <c r="AX427" s="137">
        <f t="shared" si="139"/>
        <v>0</v>
      </c>
      <c r="AY427" s="137"/>
      <c r="AZ427" s="137"/>
      <c r="BA427" s="136"/>
      <c r="BB427" s="145"/>
      <c r="BC427" s="145"/>
      <c r="BD427" s="145"/>
      <c r="BE427" s="145"/>
      <c r="BF427" s="145"/>
      <c r="BG427" s="145"/>
      <c r="BH427" s="138"/>
      <c r="BI427" s="138"/>
      <c r="BJ427" s="138"/>
      <c r="BK427" s="138"/>
      <c r="BL427" s="138"/>
      <c r="BM427" s="138"/>
      <c r="BN427" s="138"/>
    </row>
    <row r="428" spans="1:66" s="91" customFormat="1" ht="63.75" hidden="1" customHeight="1" x14ac:dyDescent="0.2">
      <c r="A428" s="150" t="s">
        <v>1348</v>
      </c>
      <c r="B428" s="18" t="s">
        <v>842</v>
      </c>
      <c r="C428" s="18" t="s">
        <v>843</v>
      </c>
      <c r="D428" s="19" t="s">
        <v>844</v>
      </c>
      <c r="E428" s="55">
        <v>1</v>
      </c>
      <c r="F428" s="55" t="s">
        <v>35</v>
      </c>
      <c r="G428" s="55" t="s">
        <v>5</v>
      </c>
      <c r="H428" s="55" t="s">
        <v>960</v>
      </c>
      <c r="I428" s="55"/>
      <c r="J428" s="55"/>
      <c r="K428" s="19" t="s">
        <v>148</v>
      </c>
      <c r="L428" s="19"/>
      <c r="M428" s="19"/>
      <c r="N428" s="19" t="s">
        <v>1487</v>
      </c>
      <c r="O428" s="151">
        <v>42887</v>
      </c>
      <c r="P428" s="151"/>
      <c r="Q428" s="151"/>
      <c r="R428" s="151"/>
      <c r="S428" s="152">
        <v>180766.5</v>
      </c>
      <c r="T428" s="152">
        <v>0</v>
      </c>
      <c r="U428" s="145">
        <v>0</v>
      </c>
      <c r="V428" s="145">
        <v>0</v>
      </c>
      <c r="W428" s="145">
        <v>0</v>
      </c>
      <c r="X428" s="145">
        <f t="shared" si="140"/>
        <v>0</v>
      </c>
      <c r="Y428" s="145">
        <v>0</v>
      </c>
      <c r="Z428" s="145">
        <v>0</v>
      </c>
      <c r="AA428" s="145">
        <v>0</v>
      </c>
      <c r="AB428" s="145">
        <v>0</v>
      </c>
      <c r="AC428" s="145">
        <v>0</v>
      </c>
      <c r="AD428" s="145">
        <v>0</v>
      </c>
      <c r="AE428" s="145">
        <v>0</v>
      </c>
      <c r="AF428" s="145">
        <v>0</v>
      </c>
      <c r="AG428" s="145">
        <v>0</v>
      </c>
      <c r="AH428" s="145">
        <v>0</v>
      </c>
      <c r="AI428" s="145">
        <v>162690</v>
      </c>
      <c r="AJ428" s="145">
        <v>0</v>
      </c>
      <c r="AK428" s="145">
        <f t="shared" si="141"/>
        <v>162690</v>
      </c>
      <c r="AL428" s="145">
        <v>18077</v>
      </c>
      <c r="AM428" s="145">
        <v>0</v>
      </c>
      <c r="AN428" s="145">
        <v>0</v>
      </c>
      <c r="AO428" s="145">
        <v>0</v>
      </c>
      <c r="AP428" s="145">
        <v>0</v>
      </c>
      <c r="AQ428" s="145">
        <v>0</v>
      </c>
      <c r="AR428" s="145">
        <v>0</v>
      </c>
      <c r="AS428" s="145">
        <f t="shared" si="137"/>
        <v>180767</v>
      </c>
      <c r="AT428" s="145"/>
      <c r="AU428" s="139">
        <f t="shared" si="136"/>
        <v>180767</v>
      </c>
      <c r="AV428" s="146">
        <f>IFERROR(VLOOKUP(J428,Maksājumu_pieprasījumu_iesn.!G:BL,57,0),0)</f>
        <v>0</v>
      </c>
      <c r="AW428" s="139">
        <f t="shared" si="138"/>
        <v>-180767</v>
      </c>
      <c r="AX428" s="137">
        <f t="shared" si="139"/>
        <v>-0.5</v>
      </c>
      <c r="AY428" s="137"/>
      <c r="AZ428" s="137"/>
      <c r="BA428" s="136"/>
      <c r="BB428" s="145"/>
      <c r="BC428" s="145"/>
      <c r="BD428" s="145"/>
      <c r="BE428" s="145"/>
      <c r="BF428" s="145"/>
      <c r="BG428" s="145"/>
      <c r="BH428" s="138"/>
      <c r="BI428" s="138"/>
      <c r="BJ428" s="138"/>
      <c r="BK428" s="138"/>
      <c r="BL428" s="138"/>
      <c r="BM428" s="138"/>
      <c r="BN428" s="138"/>
    </row>
    <row r="429" spans="1:66" s="91" customFormat="1" ht="25.5" hidden="1" customHeight="1" x14ac:dyDescent="0.2">
      <c r="A429" s="150" t="s">
        <v>1348</v>
      </c>
      <c r="B429" s="18" t="s">
        <v>842</v>
      </c>
      <c r="C429" s="18" t="s">
        <v>843</v>
      </c>
      <c r="D429" s="19" t="s">
        <v>844</v>
      </c>
      <c r="E429" s="55">
        <v>1</v>
      </c>
      <c r="F429" s="55" t="s">
        <v>35</v>
      </c>
      <c r="G429" s="55" t="s">
        <v>5</v>
      </c>
      <c r="H429" s="55" t="s">
        <v>960</v>
      </c>
      <c r="I429" s="55"/>
      <c r="J429" s="55"/>
      <c r="K429" s="19" t="s">
        <v>524</v>
      </c>
      <c r="L429" s="19"/>
      <c r="M429" s="19"/>
      <c r="N429" s="19" t="s">
        <v>1488</v>
      </c>
      <c r="O429" s="151">
        <v>43069</v>
      </c>
      <c r="P429" s="151"/>
      <c r="Q429" s="151"/>
      <c r="R429" s="151"/>
      <c r="S429" s="152">
        <v>380778</v>
      </c>
      <c r="T429" s="152">
        <v>0</v>
      </c>
      <c r="U429" s="145">
        <v>0</v>
      </c>
      <c r="V429" s="145">
        <v>0</v>
      </c>
      <c r="W429" s="145">
        <v>0</v>
      </c>
      <c r="X429" s="145">
        <f t="shared" si="140"/>
        <v>0</v>
      </c>
      <c r="Y429" s="145">
        <v>0</v>
      </c>
      <c r="Z429" s="145">
        <v>0</v>
      </c>
      <c r="AA429" s="145">
        <v>0</v>
      </c>
      <c r="AB429" s="145">
        <v>0</v>
      </c>
      <c r="AC429" s="145">
        <v>0</v>
      </c>
      <c r="AD429" s="145">
        <v>0</v>
      </c>
      <c r="AE429" s="145">
        <v>0</v>
      </c>
      <c r="AF429" s="145">
        <v>0</v>
      </c>
      <c r="AG429" s="145">
        <v>0</v>
      </c>
      <c r="AH429" s="145">
        <v>0</v>
      </c>
      <c r="AI429" s="145">
        <v>0</v>
      </c>
      <c r="AJ429" s="145">
        <v>0</v>
      </c>
      <c r="AK429" s="145">
        <f t="shared" si="141"/>
        <v>0</v>
      </c>
      <c r="AL429" s="145">
        <v>190389</v>
      </c>
      <c r="AM429" s="145">
        <v>190389</v>
      </c>
      <c r="AN429" s="145">
        <v>0</v>
      </c>
      <c r="AO429" s="145">
        <v>0</v>
      </c>
      <c r="AP429" s="145">
        <v>0</v>
      </c>
      <c r="AQ429" s="145">
        <v>0</v>
      </c>
      <c r="AR429" s="145">
        <v>0</v>
      </c>
      <c r="AS429" s="145">
        <f t="shared" ref="AS429:AS434" si="142">U429+V429+W429+AK429+AL429+AM429+AN429+AO429+AP429+AQ429+AR429</f>
        <v>380778</v>
      </c>
      <c r="AT429" s="145"/>
      <c r="AU429" s="139">
        <f t="shared" si="136"/>
        <v>380778</v>
      </c>
      <c r="AV429" s="146">
        <f>IFERROR(VLOOKUP(J429,Maksājumu_pieprasījumu_iesn.!G:BL,57,0),0)</f>
        <v>0</v>
      </c>
      <c r="AW429" s="139">
        <f t="shared" si="138"/>
        <v>-380778</v>
      </c>
      <c r="AX429" s="137">
        <f t="shared" si="139"/>
        <v>0</v>
      </c>
      <c r="AY429" s="137"/>
      <c r="AZ429" s="137"/>
      <c r="BA429" s="136"/>
      <c r="BB429" s="145"/>
      <c r="BC429" s="145"/>
      <c r="BD429" s="145"/>
      <c r="BE429" s="145"/>
      <c r="BF429" s="145"/>
      <c r="BG429" s="145"/>
      <c r="BH429" s="138"/>
      <c r="BI429" s="138"/>
      <c r="BJ429" s="138"/>
      <c r="BK429" s="138"/>
      <c r="BL429" s="138"/>
      <c r="BM429" s="138"/>
      <c r="BN429" s="138"/>
    </row>
    <row r="430" spans="1:66" s="91" customFormat="1" ht="25.5" hidden="1" customHeight="1" x14ac:dyDescent="0.2">
      <c r="A430" s="150" t="s">
        <v>1348</v>
      </c>
      <c r="B430" s="18" t="s">
        <v>842</v>
      </c>
      <c r="C430" s="18" t="s">
        <v>843</v>
      </c>
      <c r="D430" s="19" t="s">
        <v>844</v>
      </c>
      <c r="E430" s="55">
        <v>1</v>
      </c>
      <c r="F430" s="55" t="s">
        <v>35</v>
      </c>
      <c r="G430" s="55" t="s">
        <v>5</v>
      </c>
      <c r="H430" s="55" t="s">
        <v>960</v>
      </c>
      <c r="I430" s="55"/>
      <c r="J430" s="55"/>
      <c r="K430" s="19" t="s">
        <v>524</v>
      </c>
      <c r="L430" s="19"/>
      <c r="M430" s="19"/>
      <c r="N430" s="19" t="s">
        <v>1489</v>
      </c>
      <c r="O430" s="151">
        <v>43069</v>
      </c>
      <c r="P430" s="151"/>
      <c r="Q430" s="151"/>
      <c r="R430" s="151"/>
      <c r="S430" s="152">
        <v>282320</v>
      </c>
      <c r="T430" s="152">
        <v>0</v>
      </c>
      <c r="U430" s="145">
        <v>0</v>
      </c>
      <c r="V430" s="145">
        <v>0</v>
      </c>
      <c r="W430" s="145">
        <v>0</v>
      </c>
      <c r="X430" s="145">
        <f t="shared" si="140"/>
        <v>0</v>
      </c>
      <c r="Y430" s="145">
        <v>0</v>
      </c>
      <c r="Z430" s="145">
        <v>0</v>
      </c>
      <c r="AA430" s="145">
        <v>0</v>
      </c>
      <c r="AB430" s="145">
        <v>0</v>
      </c>
      <c r="AC430" s="145">
        <v>0</v>
      </c>
      <c r="AD430" s="145">
        <v>0</v>
      </c>
      <c r="AE430" s="145">
        <v>0</v>
      </c>
      <c r="AF430" s="145">
        <v>0</v>
      </c>
      <c r="AG430" s="145">
        <v>0</v>
      </c>
      <c r="AH430" s="145">
        <v>0</v>
      </c>
      <c r="AI430" s="145">
        <v>0</v>
      </c>
      <c r="AJ430" s="145">
        <v>0</v>
      </c>
      <c r="AK430" s="145">
        <f t="shared" si="141"/>
        <v>0</v>
      </c>
      <c r="AL430" s="145">
        <v>141160</v>
      </c>
      <c r="AM430" s="145">
        <v>141160</v>
      </c>
      <c r="AN430" s="145">
        <v>0</v>
      </c>
      <c r="AO430" s="145">
        <v>0</v>
      </c>
      <c r="AP430" s="145">
        <v>0</v>
      </c>
      <c r="AQ430" s="145">
        <v>0</v>
      </c>
      <c r="AR430" s="145">
        <v>0</v>
      </c>
      <c r="AS430" s="145">
        <f t="shared" si="142"/>
        <v>282320</v>
      </c>
      <c r="AT430" s="145"/>
      <c r="AU430" s="139">
        <f t="shared" si="136"/>
        <v>282320</v>
      </c>
      <c r="AV430" s="146">
        <f>IFERROR(VLOOKUP(J430,Maksājumu_pieprasījumu_iesn.!G:BL,57,0),0)</f>
        <v>0</v>
      </c>
      <c r="AW430" s="139">
        <f t="shared" si="138"/>
        <v>-282320</v>
      </c>
      <c r="AX430" s="137">
        <f t="shared" si="139"/>
        <v>0</v>
      </c>
      <c r="AY430" s="137"/>
      <c r="AZ430" s="137"/>
      <c r="BA430" s="136"/>
      <c r="BB430" s="145"/>
      <c r="BC430" s="145"/>
      <c r="BD430" s="145"/>
      <c r="BE430" s="145"/>
      <c r="BF430" s="145"/>
      <c r="BG430" s="145"/>
      <c r="BH430" s="138"/>
      <c r="BI430" s="138"/>
      <c r="BJ430" s="138"/>
      <c r="BK430" s="138"/>
      <c r="BL430" s="138"/>
      <c r="BM430" s="138"/>
      <c r="BN430" s="138"/>
    </row>
    <row r="431" spans="1:66" s="91" customFormat="1" ht="38.25" hidden="1" customHeight="1" x14ac:dyDescent="0.2">
      <c r="A431" s="150" t="s">
        <v>1348</v>
      </c>
      <c r="B431" s="18" t="s">
        <v>842</v>
      </c>
      <c r="C431" s="18" t="s">
        <v>843</v>
      </c>
      <c r="D431" s="19" t="s">
        <v>844</v>
      </c>
      <c r="E431" s="55">
        <v>1</v>
      </c>
      <c r="F431" s="55" t="s">
        <v>35</v>
      </c>
      <c r="G431" s="55" t="s">
        <v>5</v>
      </c>
      <c r="H431" s="55" t="s">
        <v>960</v>
      </c>
      <c r="I431" s="55"/>
      <c r="J431" s="55"/>
      <c r="K431" s="19" t="s">
        <v>524</v>
      </c>
      <c r="L431" s="19"/>
      <c r="M431" s="19"/>
      <c r="N431" s="19" t="s">
        <v>1490</v>
      </c>
      <c r="O431" s="151">
        <v>43100</v>
      </c>
      <c r="P431" s="151"/>
      <c r="Q431" s="151"/>
      <c r="R431" s="151"/>
      <c r="S431" s="152">
        <v>205000</v>
      </c>
      <c r="T431" s="152">
        <v>0</v>
      </c>
      <c r="U431" s="145">
        <v>0</v>
      </c>
      <c r="V431" s="145">
        <v>0</v>
      </c>
      <c r="W431" s="145">
        <v>0</v>
      </c>
      <c r="X431" s="145">
        <f t="shared" si="140"/>
        <v>0</v>
      </c>
      <c r="Y431" s="145">
        <v>0</v>
      </c>
      <c r="Z431" s="145">
        <v>0</v>
      </c>
      <c r="AA431" s="145">
        <v>0</v>
      </c>
      <c r="AB431" s="145">
        <v>0</v>
      </c>
      <c r="AC431" s="145">
        <v>0</v>
      </c>
      <c r="AD431" s="145">
        <v>0</v>
      </c>
      <c r="AE431" s="145">
        <v>0</v>
      </c>
      <c r="AF431" s="145">
        <v>0</v>
      </c>
      <c r="AG431" s="145">
        <v>0</v>
      </c>
      <c r="AH431" s="145">
        <v>0</v>
      </c>
      <c r="AI431" s="145">
        <v>0</v>
      </c>
      <c r="AJ431" s="145">
        <v>0</v>
      </c>
      <c r="AK431" s="145">
        <f t="shared" si="141"/>
        <v>0</v>
      </c>
      <c r="AL431" s="145">
        <v>105000</v>
      </c>
      <c r="AM431" s="145">
        <v>100000</v>
      </c>
      <c r="AN431" s="145">
        <v>0</v>
      </c>
      <c r="AO431" s="145">
        <v>0</v>
      </c>
      <c r="AP431" s="145">
        <v>0</v>
      </c>
      <c r="AQ431" s="145">
        <v>0</v>
      </c>
      <c r="AR431" s="145">
        <v>0</v>
      </c>
      <c r="AS431" s="145">
        <f t="shared" si="142"/>
        <v>205000</v>
      </c>
      <c r="AT431" s="145"/>
      <c r="AU431" s="139">
        <f t="shared" si="136"/>
        <v>205000</v>
      </c>
      <c r="AV431" s="146">
        <f>IFERROR(VLOOKUP(J431,Maksājumu_pieprasījumu_iesn.!G:BL,57,0),0)</f>
        <v>0</v>
      </c>
      <c r="AW431" s="139">
        <f t="shared" si="138"/>
        <v>-205000</v>
      </c>
      <c r="AX431" s="137">
        <f t="shared" si="139"/>
        <v>0</v>
      </c>
      <c r="AY431" s="137"/>
      <c r="AZ431" s="137"/>
      <c r="BA431" s="136"/>
      <c r="BB431" s="145"/>
      <c r="BC431" s="145"/>
      <c r="BD431" s="145"/>
      <c r="BE431" s="145"/>
      <c r="BF431" s="145"/>
      <c r="BG431" s="145"/>
      <c r="BH431" s="138"/>
      <c r="BI431" s="138"/>
      <c r="BJ431" s="138"/>
      <c r="BK431" s="138"/>
      <c r="BL431" s="138"/>
      <c r="BM431" s="138"/>
      <c r="BN431" s="138"/>
    </row>
    <row r="432" spans="1:66" s="91" customFormat="1" ht="38.25" hidden="1" customHeight="1" x14ac:dyDescent="0.2">
      <c r="A432" s="150" t="s">
        <v>1348</v>
      </c>
      <c r="B432" s="18" t="s">
        <v>842</v>
      </c>
      <c r="C432" s="18" t="s">
        <v>843</v>
      </c>
      <c r="D432" s="19" t="s">
        <v>844</v>
      </c>
      <c r="E432" s="55">
        <v>1</v>
      </c>
      <c r="F432" s="55" t="s">
        <v>35</v>
      </c>
      <c r="G432" s="55" t="s">
        <v>5</v>
      </c>
      <c r="H432" s="55" t="s">
        <v>960</v>
      </c>
      <c r="I432" s="55"/>
      <c r="J432" s="55"/>
      <c r="K432" s="19" t="s">
        <v>524</v>
      </c>
      <c r="L432" s="19"/>
      <c r="M432" s="19"/>
      <c r="N432" s="19" t="s">
        <v>1491</v>
      </c>
      <c r="O432" s="151">
        <v>43585</v>
      </c>
      <c r="P432" s="151"/>
      <c r="Q432" s="151"/>
      <c r="R432" s="151"/>
      <c r="S432" s="152">
        <v>117000</v>
      </c>
      <c r="T432" s="152">
        <v>0</v>
      </c>
      <c r="U432" s="145">
        <v>0</v>
      </c>
      <c r="V432" s="145">
        <v>0</v>
      </c>
      <c r="W432" s="145">
        <v>0</v>
      </c>
      <c r="X432" s="145">
        <f t="shared" si="140"/>
        <v>0</v>
      </c>
      <c r="Y432" s="145">
        <v>0</v>
      </c>
      <c r="Z432" s="145">
        <v>0</v>
      </c>
      <c r="AA432" s="145">
        <v>0</v>
      </c>
      <c r="AB432" s="145">
        <v>0</v>
      </c>
      <c r="AC432" s="145">
        <v>0</v>
      </c>
      <c r="AD432" s="145">
        <v>0</v>
      </c>
      <c r="AE432" s="145">
        <v>0</v>
      </c>
      <c r="AF432" s="145">
        <v>0</v>
      </c>
      <c r="AG432" s="145">
        <v>0</v>
      </c>
      <c r="AH432" s="145">
        <v>0</v>
      </c>
      <c r="AI432" s="145">
        <v>0</v>
      </c>
      <c r="AJ432" s="145">
        <v>0</v>
      </c>
      <c r="AK432" s="145">
        <f t="shared" si="141"/>
        <v>0</v>
      </c>
      <c r="AL432" s="145">
        <v>0</v>
      </c>
      <c r="AM432" s="145">
        <v>81900</v>
      </c>
      <c r="AN432" s="145">
        <v>35100</v>
      </c>
      <c r="AO432" s="145">
        <v>0</v>
      </c>
      <c r="AP432" s="145">
        <v>0</v>
      </c>
      <c r="AQ432" s="145">
        <v>0</v>
      </c>
      <c r="AR432" s="145">
        <v>0</v>
      </c>
      <c r="AS432" s="145">
        <f t="shared" si="142"/>
        <v>117000</v>
      </c>
      <c r="AT432" s="145"/>
      <c r="AU432" s="139">
        <f t="shared" si="136"/>
        <v>117000</v>
      </c>
      <c r="AV432" s="146">
        <f>IFERROR(VLOOKUP(J432,Maksājumu_pieprasījumu_iesn.!G:BL,57,0),0)</f>
        <v>0</v>
      </c>
      <c r="AW432" s="139">
        <f t="shared" si="138"/>
        <v>-117000</v>
      </c>
      <c r="AX432" s="137">
        <f t="shared" si="139"/>
        <v>0</v>
      </c>
      <c r="AY432" s="137"/>
      <c r="AZ432" s="137"/>
      <c r="BA432" s="136"/>
      <c r="BB432" s="145"/>
      <c r="BC432" s="145"/>
      <c r="BD432" s="145"/>
      <c r="BE432" s="145"/>
      <c r="BF432" s="145"/>
      <c r="BG432" s="145"/>
      <c r="BH432" s="138"/>
      <c r="BI432" s="138"/>
      <c r="BJ432" s="138"/>
      <c r="BK432" s="138"/>
      <c r="BL432" s="138"/>
      <c r="BM432" s="138"/>
      <c r="BN432" s="138"/>
    </row>
    <row r="433" spans="1:66" s="91" customFormat="1" ht="63.75" hidden="1" customHeight="1" x14ac:dyDescent="0.2">
      <c r="A433" s="150" t="s">
        <v>1348</v>
      </c>
      <c r="B433" s="18" t="s">
        <v>842</v>
      </c>
      <c r="C433" s="18" t="s">
        <v>843</v>
      </c>
      <c r="D433" s="19" t="s">
        <v>844</v>
      </c>
      <c r="E433" s="55">
        <v>1</v>
      </c>
      <c r="F433" s="55" t="s">
        <v>35</v>
      </c>
      <c r="G433" s="55" t="s">
        <v>5</v>
      </c>
      <c r="H433" s="55" t="s">
        <v>960</v>
      </c>
      <c r="I433" s="55"/>
      <c r="J433" s="55"/>
      <c r="K433" s="19" t="s">
        <v>524</v>
      </c>
      <c r="L433" s="19"/>
      <c r="M433" s="19"/>
      <c r="N433" s="19" t="s">
        <v>1492</v>
      </c>
      <c r="O433" s="151">
        <v>43462</v>
      </c>
      <c r="P433" s="151"/>
      <c r="Q433" s="151"/>
      <c r="R433" s="151"/>
      <c r="S433" s="152">
        <v>324988</v>
      </c>
      <c r="T433" s="152">
        <v>0</v>
      </c>
      <c r="U433" s="145">
        <v>0</v>
      </c>
      <c r="V433" s="145">
        <v>0</v>
      </c>
      <c r="W433" s="145">
        <v>0</v>
      </c>
      <c r="X433" s="145">
        <f t="shared" si="140"/>
        <v>0</v>
      </c>
      <c r="Y433" s="145">
        <v>0</v>
      </c>
      <c r="Z433" s="145">
        <v>0</v>
      </c>
      <c r="AA433" s="145">
        <v>0</v>
      </c>
      <c r="AB433" s="145">
        <v>0</v>
      </c>
      <c r="AC433" s="145">
        <v>0</v>
      </c>
      <c r="AD433" s="145">
        <v>0</v>
      </c>
      <c r="AE433" s="145">
        <v>0</v>
      </c>
      <c r="AF433" s="145">
        <v>0</v>
      </c>
      <c r="AG433" s="145">
        <v>0</v>
      </c>
      <c r="AH433" s="145">
        <v>0</v>
      </c>
      <c r="AI433" s="145">
        <v>0</v>
      </c>
      <c r="AJ433" s="145">
        <v>0</v>
      </c>
      <c r="AK433" s="145">
        <f t="shared" si="141"/>
        <v>0</v>
      </c>
      <c r="AL433" s="145">
        <v>0</v>
      </c>
      <c r="AM433" s="145">
        <v>227491</v>
      </c>
      <c r="AN433" s="145">
        <v>97497</v>
      </c>
      <c r="AO433" s="145">
        <v>0</v>
      </c>
      <c r="AP433" s="145">
        <v>0</v>
      </c>
      <c r="AQ433" s="145">
        <v>0</v>
      </c>
      <c r="AR433" s="145">
        <v>0</v>
      </c>
      <c r="AS433" s="145">
        <f t="shared" si="142"/>
        <v>324988</v>
      </c>
      <c r="AT433" s="145"/>
      <c r="AU433" s="139">
        <f t="shared" si="136"/>
        <v>324988</v>
      </c>
      <c r="AV433" s="146">
        <f>IFERROR(VLOOKUP(J433,Maksājumu_pieprasījumu_iesn.!G:BL,57,0),0)</f>
        <v>0</v>
      </c>
      <c r="AW433" s="139">
        <f t="shared" si="138"/>
        <v>-324988</v>
      </c>
      <c r="AX433" s="137">
        <f t="shared" si="139"/>
        <v>0</v>
      </c>
      <c r="AY433" s="137"/>
      <c r="AZ433" s="137"/>
      <c r="BA433" s="136"/>
      <c r="BB433" s="145"/>
      <c r="BC433" s="145"/>
      <c r="BD433" s="145"/>
      <c r="BE433" s="145"/>
      <c r="BF433" s="145"/>
      <c r="BG433" s="145"/>
      <c r="BH433" s="138"/>
      <c r="BI433" s="138"/>
      <c r="BJ433" s="138"/>
      <c r="BK433" s="138"/>
      <c r="BL433" s="138"/>
      <c r="BM433" s="138"/>
      <c r="BN433" s="138"/>
    </row>
    <row r="434" spans="1:66" s="91" customFormat="1" ht="25.5" hidden="1" customHeight="1" x14ac:dyDescent="0.2">
      <c r="A434" s="131" t="s">
        <v>1348</v>
      </c>
      <c r="B434" s="132" t="s">
        <v>842</v>
      </c>
      <c r="C434" s="132" t="s">
        <v>843</v>
      </c>
      <c r="D434" s="133" t="s">
        <v>844</v>
      </c>
      <c r="E434" s="22">
        <v>2</v>
      </c>
      <c r="F434" s="22" t="s">
        <v>35</v>
      </c>
      <c r="G434" s="22" t="s">
        <v>5</v>
      </c>
      <c r="H434" s="22" t="s">
        <v>3</v>
      </c>
      <c r="I434" s="22" t="s">
        <v>1022</v>
      </c>
      <c r="J434" s="134" t="s">
        <v>1026</v>
      </c>
      <c r="K434" s="133"/>
      <c r="L434" s="133"/>
      <c r="M434" s="133"/>
      <c r="N434" s="133"/>
      <c r="O434" s="135"/>
      <c r="P434" s="135"/>
      <c r="Q434" s="135"/>
      <c r="R434" s="135"/>
      <c r="S434" s="136">
        <v>15696829</v>
      </c>
      <c r="T434" s="136">
        <v>957431.90853077744</v>
      </c>
      <c r="U434" s="137">
        <f>SUM(U436:U502)</f>
        <v>0</v>
      </c>
      <c r="V434" s="137">
        <f>SUM(V436:V502)</f>
        <v>0</v>
      </c>
      <c r="W434" s="137">
        <f>SUM(W436:W502)</f>
        <v>0</v>
      </c>
      <c r="X434" s="138">
        <f>U434+V434+W434</f>
        <v>0</v>
      </c>
      <c r="Y434" s="137">
        <f t="shared" ref="Y434:AR434" si="143">SUM(Y436:Y502)</f>
        <v>0</v>
      </c>
      <c r="Z434" s="137">
        <f t="shared" si="143"/>
        <v>0</v>
      </c>
      <c r="AA434" s="137">
        <f t="shared" si="143"/>
        <v>0</v>
      </c>
      <c r="AB434" s="137">
        <f t="shared" si="143"/>
        <v>0</v>
      </c>
      <c r="AC434" s="137">
        <f t="shared" si="143"/>
        <v>0</v>
      </c>
      <c r="AD434" s="137">
        <f t="shared" si="143"/>
        <v>0</v>
      </c>
      <c r="AE434" s="137">
        <f t="shared" si="143"/>
        <v>0</v>
      </c>
      <c r="AF434" s="137">
        <f t="shared" si="143"/>
        <v>0</v>
      </c>
      <c r="AG434" s="137">
        <f t="shared" si="143"/>
        <v>0</v>
      </c>
      <c r="AH434" s="137">
        <f t="shared" si="143"/>
        <v>0</v>
      </c>
      <c r="AI434" s="137">
        <f t="shared" si="143"/>
        <v>404053</v>
      </c>
      <c r="AJ434" s="137">
        <f t="shared" si="143"/>
        <v>75000</v>
      </c>
      <c r="AK434" s="137">
        <f t="shared" si="143"/>
        <v>479053</v>
      </c>
      <c r="AL434" s="137">
        <f t="shared" si="143"/>
        <v>12986281.390000001</v>
      </c>
      <c r="AM434" s="137">
        <f t="shared" si="143"/>
        <v>1010698.5</v>
      </c>
      <c r="AN434" s="137">
        <f t="shared" si="143"/>
        <v>0</v>
      </c>
      <c r="AO434" s="137">
        <f t="shared" si="143"/>
        <v>0</v>
      </c>
      <c r="AP434" s="137">
        <f t="shared" si="143"/>
        <v>0</v>
      </c>
      <c r="AQ434" s="137">
        <f t="shared" si="143"/>
        <v>0</v>
      </c>
      <c r="AR434" s="137">
        <f t="shared" si="143"/>
        <v>0</v>
      </c>
      <c r="AS434" s="137">
        <f t="shared" si="142"/>
        <v>14476032.890000001</v>
      </c>
      <c r="AT434" s="137">
        <f>SUM(AT436:AT502)</f>
        <v>0</v>
      </c>
      <c r="AU434" s="139">
        <f t="shared" si="136"/>
        <v>14476032.890000001</v>
      </c>
      <c r="AV434" s="146">
        <f>IFERROR(VLOOKUP(J434,Maksājumu_pieprasījumu_iesn.!G:BL,57,0),0)</f>
        <v>0</v>
      </c>
      <c r="AW434" s="139">
        <f t="shared" si="138"/>
        <v>-14476032.890000001</v>
      </c>
      <c r="AX434" s="140">
        <f>S434-T434-AU434</f>
        <v>263364.20146922208</v>
      </c>
      <c r="AY434" s="137"/>
      <c r="AZ434" s="137"/>
      <c r="BA434" s="138" t="s">
        <v>1493</v>
      </c>
      <c r="BB434" s="140"/>
      <c r="BC434" s="140">
        <f>X434+AK434+AL434/2</f>
        <v>6972193.6950000003</v>
      </c>
      <c r="BD434" s="140"/>
      <c r="BE434" s="140">
        <f>BC434/0.85</f>
        <v>8202580.8176470594</v>
      </c>
      <c r="BF434" s="137"/>
      <c r="BG434" s="137"/>
      <c r="BH434" s="138">
        <v>0</v>
      </c>
      <c r="BI434" s="138">
        <v>2243273.39942163</v>
      </c>
      <c r="BJ434" s="138"/>
      <c r="BK434" s="138"/>
      <c r="BL434" s="138">
        <v>4149318.7723900098</v>
      </c>
      <c r="BM434" s="138"/>
      <c r="BN434" s="138"/>
    </row>
    <row r="435" spans="1:66" ht="12.75" hidden="1" customHeight="1" x14ac:dyDescent="0.2">
      <c r="A435" s="173"/>
      <c r="B435" s="132"/>
      <c r="C435" s="132"/>
      <c r="D435" s="133"/>
      <c r="E435" s="132"/>
      <c r="F435" s="132"/>
      <c r="G435" s="132"/>
      <c r="H435" s="132"/>
      <c r="I435" s="132"/>
      <c r="J435" s="132" t="s">
        <v>1081</v>
      </c>
      <c r="K435" s="133"/>
      <c r="L435" s="133"/>
      <c r="M435" s="133"/>
      <c r="N435" s="133"/>
      <c r="O435" s="230"/>
      <c r="P435" s="230"/>
      <c r="Q435" s="230"/>
      <c r="R435" s="230"/>
      <c r="S435" s="165">
        <f>S434-T434-SUM(S436:S502)</f>
        <v>130563.85146922246</v>
      </c>
      <c r="T435" s="165"/>
      <c r="U435" s="137"/>
      <c r="V435" s="137"/>
      <c r="W435" s="137"/>
      <c r="X435" s="138">
        <f t="shared" ref="X435:X498" si="144">W435+V435+U435</f>
        <v>0</v>
      </c>
      <c r="Y435" s="137"/>
      <c r="Z435" s="137"/>
      <c r="AA435" s="137"/>
      <c r="AB435" s="137"/>
      <c r="AC435" s="137"/>
      <c r="AD435" s="137"/>
      <c r="AE435" s="137"/>
      <c r="AF435" s="137"/>
      <c r="AG435" s="137"/>
      <c r="AH435" s="137"/>
      <c r="AI435" s="137"/>
      <c r="AJ435" s="137"/>
      <c r="AK435" s="137"/>
      <c r="AL435" s="137"/>
      <c r="AM435" s="137"/>
      <c r="AN435" s="137"/>
      <c r="AO435" s="137"/>
      <c r="AP435" s="137"/>
      <c r="AQ435" s="137"/>
      <c r="AR435" s="137"/>
      <c r="AS435" s="165"/>
      <c r="AT435" s="165"/>
      <c r="AU435" s="146">
        <f t="shared" si="136"/>
        <v>0</v>
      </c>
      <c r="AV435" s="146">
        <f>IFERROR(VLOOKUP(J435,Maksājumu_pieprasījumu_iesn.!G:BL,57,0),0)</f>
        <v>0</v>
      </c>
      <c r="AW435" s="139">
        <f t="shared" si="138"/>
        <v>0</v>
      </c>
      <c r="AX435" s="165"/>
      <c r="AY435" s="165">
        <f>S435</f>
        <v>130563.85146922246</v>
      </c>
      <c r="AZ435" s="165"/>
      <c r="BA435" s="149" t="s">
        <v>1494</v>
      </c>
      <c r="BB435" s="231"/>
      <c r="BC435" s="231"/>
      <c r="BD435" s="231"/>
      <c r="BE435" s="231"/>
      <c r="BF435" s="165"/>
      <c r="BG435" s="165"/>
      <c r="BH435" s="149"/>
      <c r="BI435" s="149"/>
      <c r="BJ435" s="149"/>
      <c r="BK435" s="149"/>
      <c r="BL435" s="149"/>
      <c r="BM435" s="149"/>
      <c r="BN435" s="149"/>
    </row>
    <row r="436" spans="1:66" s="91" customFormat="1" ht="25.5" hidden="1" customHeight="1" x14ac:dyDescent="0.2">
      <c r="A436" s="150" t="s">
        <v>1348</v>
      </c>
      <c r="B436" s="18" t="s">
        <v>842</v>
      </c>
      <c r="C436" s="18" t="s">
        <v>843</v>
      </c>
      <c r="D436" s="19" t="s">
        <v>844</v>
      </c>
      <c r="E436" s="55">
        <v>2</v>
      </c>
      <c r="F436" s="55" t="s">
        <v>35</v>
      </c>
      <c r="G436" s="55" t="s">
        <v>5</v>
      </c>
      <c r="H436" s="55" t="s">
        <v>3</v>
      </c>
      <c r="I436" s="55"/>
      <c r="J436" s="55"/>
      <c r="K436" s="19" t="s">
        <v>413</v>
      </c>
      <c r="L436" s="19"/>
      <c r="M436" s="19"/>
      <c r="N436" s="19" t="s">
        <v>1495</v>
      </c>
      <c r="O436" s="151">
        <v>43068</v>
      </c>
      <c r="P436" s="151"/>
      <c r="Q436" s="151"/>
      <c r="R436" s="151"/>
      <c r="S436" s="152">
        <v>451000</v>
      </c>
      <c r="T436" s="152">
        <v>0</v>
      </c>
      <c r="U436" s="145">
        <v>0</v>
      </c>
      <c r="V436" s="145">
        <v>0</v>
      </c>
      <c r="W436" s="145">
        <v>0</v>
      </c>
      <c r="X436" s="145">
        <f>W436+V436+U436</f>
        <v>0</v>
      </c>
      <c r="Y436" s="145">
        <v>0</v>
      </c>
      <c r="Z436" s="145">
        <v>0</v>
      </c>
      <c r="AA436" s="145">
        <v>0</v>
      </c>
      <c r="AB436" s="145">
        <v>0</v>
      </c>
      <c r="AC436" s="145">
        <v>0</v>
      </c>
      <c r="AD436" s="145">
        <v>0</v>
      </c>
      <c r="AE436" s="145">
        <v>0</v>
      </c>
      <c r="AF436" s="145">
        <v>0</v>
      </c>
      <c r="AG436" s="145">
        <v>0</v>
      </c>
      <c r="AH436" s="145">
        <v>0</v>
      </c>
      <c r="AI436" s="145">
        <v>0</v>
      </c>
      <c r="AJ436" s="145">
        <v>0</v>
      </c>
      <c r="AK436" s="145">
        <f>SUM(Y436:AJ436)</f>
        <v>0</v>
      </c>
      <c r="AL436" s="145">
        <v>451000</v>
      </c>
      <c r="AM436" s="145">
        <v>0</v>
      </c>
      <c r="AN436" s="145">
        <v>0</v>
      </c>
      <c r="AO436" s="145">
        <v>0</v>
      </c>
      <c r="AP436" s="145">
        <v>0</v>
      </c>
      <c r="AQ436" s="145">
        <v>0</v>
      </c>
      <c r="AR436" s="145">
        <v>0</v>
      </c>
      <c r="AS436" s="145">
        <f>U436+V436+W436+AK436+AL436+AM436+AN436+AO436+AP436+AQ436+AR436</f>
        <v>451000</v>
      </c>
      <c r="AT436" s="145"/>
      <c r="AU436" s="139">
        <f t="shared" si="136"/>
        <v>451000</v>
      </c>
      <c r="AV436" s="146">
        <f>IFERROR(VLOOKUP(J436,Maksājumu_pieprasījumu_iesn.!G:BL,57,0),0)</f>
        <v>0</v>
      </c>
      <c r="AW436" s="139">
        <f t="shared" si="138"/>
        <v>-451000</v>
      </c>
      <c r="AX436" s="153">
        <f>S436-T436-(AS436-AT436)</f>
        <v>0</v>
      </c>
      <c r="AY436" s="153"/>
      <c r="AZ436" s="153"/>
      <c r="BA436" s="136"/>
      <c r="BB436" s="145"/>
      <c r="BC436" s="145"/>
      <c r="BD436" s="145"/>
      <c r="BE436" s="145"/>
      <c r="BF436" s="145"/>
      <c r="BG436" s="145"/>
      <c r="BH436" s="138"/>
      <c r="BI436" s="138"/>
      <c r="BJ436" s="138"/>
      <c r="BK436" s="138"/>
      <c r="BL436" s="138"/>
      <c r="BM436" s="138"/>
      <c r="BN436" s="138"/>
    </row>
    <row r="437" spans="1:66" s="256" customFormat="1" ht="25.5" hidden="1" customHeight="1" x14ac:dyDescent="0.2">
      <c r="A437" s="249" t="s">
        <v>1348</v>
      </c>
      <c r="B437" s="250" t="s">
        <v>842</v>
      </c>
      <c r="C437" s="250" t="s">
        <v>843</v>
      </c>
      <c r="D437" s="251" t="s">
        <v>844</v>
      </c>
      <c r="E437" s="252">
        <v>2</v>
      </c>
      <c r="F437" s="252" t="s">
        <v>35</v>
      </c>
      <c r="G437" s="252" t="s">
        <v>5</v>
      </c>
      <c r="H437" s="252" t="s">
        <v>3</v>
      </c>
      <c r="I437" s="252"/>
      <c r="J437" s="252"/>
      <c r="K437" s="251" t="s">
        <v>413</v>
      </c>
      <c r="L437" s="251"/>
      <c r="M437" s="251"/>
      <c r="N437" s="253" t="s">
        <v>1496</v>
      </c>
      <c r="O437" s="254"/>
      <c r="P437" s="255"/>
      <c r="Q437" s="255"/>
      <c r="S437" s="257">
        <v>106200</v>
      </c>
      <c r="T437" s="257"/>
      <c r="U437" s="258"/>
      <c r="V437" s="258"/>
      <c r="W437" s="258"/>
      <c r="X437" s="258">
        <f t="shared" si="144"/>
        <v>0</v>
      </c>
      <c r="Y437" s="258"/>
      <c r="Z437" s="258"/>
      <c r="AA437" s="258"/>
      <c r="AB437" s="258"/>
      <c r="AC437" s="258"/>
      <c r="AD437" s="258"/>
      <c r="AE437" s="258"/>
      <c r="AF437" s="258"/>
      <c r="AG437" s="258"/>
      <c r="AH437" s="258"/>
      <c r="AI437" s="258"/>
      <c r="AJ437" s="258"/>
      <c r="AK437" s="258"/>
      <c r="AL437" s="258"/>
      <c r="AM437" s="258"/>
      <c r="AN437" s="258"/>
      <c r="AO437" s="258"/>
      <c r="AP437" s="258"/>
      <c r="AQ437" s="258"/>
      <c r="AR437" s="258"/>
      <c r="AS437" s="258"/>
      <c r="AT437" s="258"/>
      <c r="AU437" s="139">
        <f t="shared" si="136"/>
        <v>0</v>
      </c>
      <c r="AV437" s="146">
        <f>IFERROR(VLOOKUP(J437,Maksājumu_pieprasījumu_iesn.!G:BL,57,0),0)</f>
        <v>0</v>
      </c>
      <c r="AW437" s="139">
        <f t="shared" si="138"/>
        <v>0</v>
      </c>
      <c r="AX437" s="258"/>
      <c r="AY437" s="258"/>
      <c r="AZ437" s="259" t="s">
        <v>1497</v>
      </c>
      <c r="BA437" s="259" t="s">
        <v>1497</v>
      </c>
      <c r="BB437" s="258"/>
      <c r="BC437" s="258"/>
      <c r="BD437" s="258"/>
      <c r="BE437" s="258"/>
      <c r="BF437" s="258"/>
      <c r="BG437" s="258"/>
      <c r="BH437" s="260"/>
      <c r="BI437" s="260"/>
      <c r="BJ437" s="260"/>
      <c r="BK437" s="260"/>
      <c r="BL437" s="260"/>
      <c r="BM437" s="260"/>
      <c r="BN437" s="260"/>
    </row>
    <row r="438" spans="1:66" s="91" customFormat="1" ht="25.5" hidden="1" customHeight="1" x14ac:dyDescent="0.2">
      <c r="A438" s="150" t="s">
        <v>1348</v>
      </c>
      <c r="B438" s="18" t="s">
        <v>842</v>
      </c>
      <c r="C438" s="18" t="s">
        <v>843</v>
      </c>
      <c r="D438" s="19" t="s">
        <v>844</v>
      </c>
      <c r="E438" s="55">
        <v>2</v>
      </c>
      <c r="F438" s="55" t="s">
        <v>35</v>
      </c>
      <c r="G438" s="55" t="s">
        <v>5</v>
      </c>
      <c r="H438" s="55" t="s">
        <v>3</v>
      </c>
      <c r="I438" s="55"/>
      <c r="J438" s="55"/>
      <c r="K438" s="19" t="s">
        <v>416</v>
      </c>
      <c r="L438" s="19"/>
      <c r="M438" s="19"/>
      <c r="N438" s="19" t="s">
        <v>1498</v>
      </c>
      <c r="O438" s="151">
        <v>42853</v>
      </c>
      <c r="P438" s="151"/>
      <c r="Q438" s="151"/>
      <c r="R438" s="151"/>
      <c r="S438" s="152">
        <v>80512</v>
      </c>
      <c r="T438" s="152">
        <v>0</v>
      </c>
      <c r="U438" s="145">
        <v>0</v>
      </c>
      <c r="V438" s="145">
        <v>0</v>
      </c>
      <c r="W438" s="145">
        <v>0</v>
      </c>
      <c r="X438" s="145">
        <f t="shared" si="144"/>
        <v>0</v>
      </c>
      <c r="Y438" s="145">
        <v>0</v>
      </c>
      <c r="Z438" s="145">
        <v>0</v>
      </c>
      <c r="AA438" s="145">
        <v>0</v>
      </c>
      <c r="AB438" s="145">
        <v>0</v>
      </c>
      <c r="AC438" s="145">
        <v>0</v>
      </c>
      <c r="AD438" s="145">
        <v>0</v>
      </c>
      <c r="AE438" s="145">
        <v>0</v>
      </c>
      <c r="AF438" s="145">
        <v>0</v>
      </c>
      <c r="AG438" s="145">
        <v>0</v>
      </c>
      <c r="AH438" s="145">
        <v>0</v>
      </c>
      <c r="AI438" s="145">
        <v>0</v>
      </c>
      <c r="AJ438" s="145">
        <v>0</v>
      </c>
      <c r="AK438" s="145">
        <f t="shared" ref="AK438:AK469" si="145">SUM(Y438:AJ438)</f>
        <v>0</v>
      </c>
      <c r="AL438" s="145">
        <v>80512</v>
      </c>
      <c r="AM438" s="145">
        <v>0</v>
      </c>
      <c r="AN438" s="145">
        <v>0</v>
      </c>
      <c r="AO438" s="145">
        <v>0</v>
      </c>
      <c r="AP438" s="145">
        <v>0</v>
      </c>
      <c r="AQ438" s="145">
        <v>0</v>
      </c>
      <c r="AR438" s="145">
        <v>0</v>
      </c>
      <c r="AS438" s="145">
        <f t="shared" ref="AS438:AS469" si="146">U438+V438+W438+AK438+AL438+AM438+AN438+AO438+AP438+AQ438+AR438</f>
        <v>80512</v>
      </c>
      <c r="AT438" s="145"/>
      <c r="AU438" s="139">
        <f t="shared" si="136"/>
        <v>80512</v>
      </c>
      <c r="AV438" s="146">
        <f>IFERROR(VLOOKUP(J438,Maksājumu_pieprasījumu_iesn.!G:BL,57,0),0)</f>
        <v>0</v>
      </c>
      <c r="AW438" s="139">
        <f t="shared" si="138"/>
        <v>-80512</v>
      </c>
      <c r="AX438" s="153">
        <f t="shared" ref="AX438:AX469" si="147">S438-T438-(AS438-AT438)</f>
        <v>0</v>
      </c>
      <c r="AY438" s="153"/>
      <c r="AZ438" s="153"/>
      <c r="BA438" s="136"/>
      <c r="BB438" s="145"/>
      <c r="BC438" s="145"/>
      <c r="BD438" s="145"/>
      <c r="BE438" s="145"/>
      <c r="BF438" s="145"/>
      <c r="BG438" s="145"/>
      <c r="BH438" s="138"/>
      <c r="BI438" s="138"/>
      <c r="BJ438" s="138"/>
      <c r="BK438" s="138"/>
      <c r="BL438" s="138"/>
      <c r="BM438" s="138"/>
      <c r="BN438" s="138"/>
    </row>
    <row r="439" spans="1:66" ht="38.25" hidden="1" customHeight="1" x14ac:dyDescent="0.2">
      <c r="A439" s="142" t="s">
        <v>1348</v>
      </c>
      <c r="B439" s="18" t="s">
        <v>842</v>
      </c>
      <c r="C439" s="18" t="s">
        <v>843</v>
      </c>
      <c r="D439" s="19" t="s">
        <v>844</v>
      </c>
      <c r="E439" s="18">
        <v>2</v>
      </c>
      <c r="F439" s="18" t="s">
        <v>35</v>
      </c>
      <c r="G439" s="18" t="s">
        <v>5</v>
      </c>
      <c r="H439" s="18" t="s">
        <v>3</v>
      </c>
      <c r="I439" s="18"/>
      <c r="J439" s="18" t="s">
        <v>911</v>
      </c>
      <c r="K439" s="19" t="s">
        <v>63</v>
      </c>
      <c r="L439" s="19"/>
      <c r="M439" s="19"/>
      <c r="N439" s="19" t="s">
        <v>912</v>
      </c>
      <c r="O439" s="143"/>
      <c r="P439" s="143"/>
      <c r="Q439" s="143"/>
      <c r="R439" s="187" t="s">
        <v>1499</v>
      </c>
      <c r="S439" s="144">
        <v>95640</v>
      </c>
      <c r="T439" s="144">
        <v>0</v>
      </c>
      <c r="U439" s="145">
        <v>0</v>
      </c>
      <c r="V439" s="145">
        <v>0</v>
      </c>
      <c r="W439" s="145">
        <v>0</v>
      </c>
      <c r="X439" s="145">
        <f t="shared" si="144"/>
        <v>0</v>
      </c>
      <c r="Y439" s="145">
        <v>0</v>
      </c>
      <c r="Z439" s="145">
        <v>0</v>
      </c>
      <c r="AA439" s="145">
        <v>0</v>
      </c>
      <c r="AB439" s="145">
        <v>0</v>
      </c>
      <c r="AC439" s="145">
        <v>0</v>
      </c>
      <c r="AD439" s="145">
        <v>0</v>
      </c>
      <c r="AE439" s="145">
        <v>0</v>
      </c>
      <c r="AF439" s="145">
        <v>0</v>
      </c>
      <c r="AG439" s="145">
        <v>0</v>
      </c>
      <c r="AH439" s="145">
        <v>0</v>
      </c>
      <c r="AI439" s="145">
        <v>0</v>
      </c>
      <c r="AJ439" s="145">
        <v>0</v>
      </c>
      <c r="AK439" s="145">
        <f t="shared" si="145"/>
        <v>0</v>
      </c>
      <c r="AL439" s="145">
        <v>95640</v>
      </c>
      <c r="AM439" s="145">
        <v>0</v>
      </c>
      <c r="AN439" s="145">
        <v>0</v>
      </c>
      <c r="AO439" s="145">
        <v>0</v>
      </c>
      <c r="AP439" s="145">
        <v>0</v>
      </c>
      <c r="AQ439" s="145">
        <v>0</v>
      </c>
      <c r="AR439" s="145">
        <v>0</v>
      </c>
      <c r="AS439" s="144">
        <f t="shared" si="146"/>
        <v>95640</v>
      </c>
      <c r="AT439" s="144"/>
      <c r="AU439" s="146">
        <f t="shared" si="136"/>
        <v>95640</v>
      </c>
      <c r="AV439" s="146">
        <f>IFERROR(VLOOKUP(J439,Maksājumu_pieprasījumu_iesn.!G:BL,57,0),0)</f>
        <v>0</v>
      </c>
      <c r="AW439" s="139">
        <f t="shared" si="138"/>
        <v>-95640</v>
      </c>
      <c r="AX439" s="147">
        <f t="shared" si="147"/>
        <v>0</v>
      </c>
      <c r="AY439" s="147"/>
      <c r="AZ439" s="147"/>
      <c r="BA439" s="165"/>
      <c r="BB439" s="144"/>
      <c r="BC439" s="144"/>
      <c r="BD439" s="144"/>
      <c r="BE439" s="144"/>
      <c r="BF439" s="144"/>
      <c r="BG439" s="144"/>
      <c r="BH439" s="149"/>
      <c r="BI439" s="149"/>
      <c r="BJ439" s="149"/>
      <c r="BK439" s="149"/>
      <c r="BL439" s="149"/>
      <c r="BM439" s="149"/>
      <c r="BN439" s="149"/>
    </row>
    <row r="440" spans="1:66" s="91" customFormat="1" ht="38.25" hidden="1" customHeight="1" x14ac:dyDescent="0.2">
      <c r="A440" s="150" t="s">
        <v>1348</v>
      </c>
      <c r="B440" s="18" t="s">
        <v>842</v>
      </c>
      <c r="C440" s="18" t="s">
        <v>843</v>
      </c>
      <c r="D440" s="19" t="s">
        <v>844</v>
      </c>
      <c r="E440" s="55">
        <v>2</v>
      </c>
      <c r="F440" s="55" t="s">
        <v>35</v>
      </c>
      <c r="G440" s="55" t="s">
        <v>5</v>
      </c>
      <c r="H440" s="55" t="s">
        <v>3</v>
      </c>
      <c r="I440" s="55"/>
      <c r="J440" s="55"/>
      <c r="K440" s="19" t="s">
        <v>63</v>
      </c>
      <c r="L440" s="19"/>
      <c r="M440" s="19"/>
      <c r="N440" s="19" t="s">
        <v>1500</v>
      </c>
      <c r="O440" s="151">
        <v>43100</v>
      </c>
      <c r="P440" s="151"/>
      <c r="Q440" s="151"/>
      <c r="R440" s="151"/>
      <c r="S440" s="152">
        <v>309000</v>
      </c>
      <c r="T440" s="152">
        <v>0</v>
      </c>
      <c r="U440" s="145">
        <v>0</v>
      </c>
      <c r="V440" s="145">
        <v>0</v>
      </c>
      <c r="W440" s="145">
        <v>0</v>
      </c>
      <c r="X440" s="145">
        <f t="shared" si="144"/>
        <v>0</v>
      </c>
      <c r="Y440" s="145">
        <v>0</v>
      </c>
      <c r="Z440" s="145">
        <v>0</v>
      </c>
      <c r="AA440" s="145">
        <v>0</v>
      </c>
      <c r="AB440" s="145">
        <v>0</v>
      </c>
      <c r="AC440" s="145">
        <v>0</v>
      </c>
      <c r="AD440" s="145">
        <v>0</v>
      </c>
      <c r="AE440" s="145">
        <v>0</v>
      </c>
      <c r="AF440" s="145">
        <v>0</v>
      </c>
      <c r="AG440" s="145">
        <v>0</v>
      </c>
      <c r="AH440" s="145">
        <v>0</v>
      </c>
      <c r="AI440" s="145">
        <v>0</v>
      </c>
      <c r="AJ440" s="145">
        <v>0</v>
      </c>
      <c r="AK440" s="145">
        <f t="shared" si="145"/>
        <v>0</v>
      </c>
      <c r="AL440" s="145">
        <v>154500</v>
      </c>
      <c r="AM440" s="145">
        <v>154500</v>
      </c>
      <c r="AN440" s="145">
        <v>0</v>
      </c>
      <c r="AO440" s="145">
        <v>0</v>
      </c>
      <c r="AP440" s="145">
        <v>0</v>
      </c>
      <c r="AQ440" s="145">
        <v>0</v>
      </c>
      <c r="AR440" s="145">
        <v>0</v>
      </c>
      <c r="AS440" s="145">
        <f t="shared" si="146"/>
        <v>309000</v>
      </c>
      <c r="AT440" s="145"/>
      <c r="AU440" s="139">
        <f t="shared" si="136"/>
        <v>309000</v>
      </c>
      <c r="AV440" s="146">
        <f>IFERROR(VLOOKUP(J440,Maksājumu_pieprasījumu_iesn.!G:BL,57,0),0)</f>
        <v>0</v>
      </c>
      <c r="AW440" s="139">
        <f t="shared" si="138"/>
        <v>-309000</v>
      </c>
      <c r="AX440" s="153">
        <f t="shared" si="147"/>
        <v>0</v>
      </c>
      <c r="AY440" s="153"/>
      <c r="AZ440" s="153"/>
      <c r="BA440" s="136"/>
      <c r="BB440" s="145"/>
      <c r="BC440" s="145"/>
      <c r="BD440" s="145"/>
      <c r="BE440" s="145"/>
      <c r="BF440" s="145"/>
      <c r="BG440" s="145"/>
      <c r="BH440" s="138"/>
      <c r="BI440" s="138"/>
      <c r="BJ440" s="138"/>
      <c r="BK440" s="138"/>
      <c r="BL440" s="138"/>
      <c r="BM440" s="138"/>
      <c r="BN440" s="138"/>
    </row>
    <row r="441" spans="1:66" s="91" customFormat="1" ht="51" hidden="1" customHeight="1" x14ac:dyDescent="0.2">
      <c r="A441" s="150" t="s">
        <v>1348</v>
      </c>
      <c r="B441" s="18" t="s">
        <v>842</v>
      </c>
      <c r="C441" s="18" t="s">
        <v>843</v>
      </c>
      <c r="D441" s="19" t="s">
        <v>844</v>
      </c>
      <c r="E441" s="55">
        <v>2</v>
      </c>
      <c r="F441" s="55" t="s">
        <v>35</v>
      </c>
      <c r="G441" s="55" t="s">
        <v>5</v>
      </c>
      <c r="H441" s="55" t="s">
        <v>3</v>
      </c>
      <c r="I441" s="55"/>
      <c r="J441" s="55"/>
      <c r="K441" s="19" t="s">
        <v>63</v>
      </c>
      <c r="L441" s="19"/>
      <c r="M441" s="19"/>
      <c r="N441" s="19" t="s">
        <v>1501</v>
      </c>
      <c r="O441" s="151">
        <v>43100</v>
      </c>
      <c r="P441" s="151"/>
      <c r="Q441" s="151"/>
      <c r="R441" s="151"/>
      <c r="S441" s="152">
        <v>245075</v>
      </c>
      <c r="T441" s="152">
        <v>0</v>
      </c>
      <c r="U441" s="145">
        <v>0</v>
      </c>
      <c r="V441" s="145">
        <v>0</v>
      </c>
      <c r="W441" s="145">
        <v>0</v>
      </c>
      <c r="X441" s="145">
        <f t="shared" si="144"/>
        <v>0</v>
      </c>
      <c r="Y441" s="145">
        <v>0</v>
      </c>
      <c r="Z441" s="145">
        <v>0</v>
      </c>
      <c r="AA441" s="145">
        <v>0</v>
      </c>
      <c r="AB441" s="145">
        <v>0</v>
      </c>
      <c r="AC441" s="145">
        <v>0</v>
      </c>
      <c r="AD441" s="145">
        <v>0</v>
      </c>
      <c r="AE441" s="145">
        <v>0</v>
      </c>
      <c r="AF441" s="145">
        <v>0</v>
      </c>
      <c r="AG441" s="145">
        <v>0</v>
      </c>
      <c r="AH441" s="145">
        <v>0</v>
      </c>
      <c r="AI441" s="145">
        <v>0</v>
      </c>
      <c r="AJ441" s="145">
        <v>0</v>
      </c>
      <c r="AK441" s="145">
        <f t="shared" si="145"/>
        <v>0</v>
      </c>
      <c r="AL441" s="145">
        <v>100000</v>
      </c>
      <c r="AM441" s="145">
        <v>145075</v>
      </c>
      <c r="AN441" s="145">
        <v>0</v>
      </c>
      <c r="AO441" s="145">
        <v>0</v>
      </c>
      <c r="AP441" s="145">
        <v>0</v>
      </c>
      <c r="AQ441" s="145">
        <v>0</v>
      </c>
      <c r="AR441" s="145">
        <v>0</v>
      </c>
      <c r="AS441" s="145">
        <f t="shared" si="146"/>
        <v>245075</v>
      </c>
      <c r="AT441" s="145"/>
      <c r="AU441" s="139">
        <f t="shared" si="136"/>
        <v>245075</v>
      </c>
      <c r="AV441" s="146">
        <f>IFERROR(VLOOKUP(J441,Maksājumu_pieprasījumu_iesn.!G:BL,57,0),0)</f>
        <v>0</v>
      </c>
      <c r="AW441" s="139">
        <f t="shared" si="138"/>
        <v>-245075</v>
      </c>
      <c r="AX441" s="153">
        <f t="shared" si="147"/>
        <v>0</v>
      </c>
      <c r="AY441" s="153"/>
      <c r="AZ441" s="153"/>
      <c r="BA441" s="136"/>
      <c r="BB441" s="145"/>
      <c r="BC441" s="145"/>
      <c r="BD441" s="145"/>
      <c r="BE441" s="145"/>
      <c r="BF441" s="145"/>
      <c r="BG441" s="145"/>
      <c r="BH441" s="138"/>
      <c r="BI441" s="138"/>
      <c r="BJ441" s="138"/>
      <c r="BK441" s="138"/>
      <c r="BL441" s="138"/>
      <c r="BM441" s="138"/>
      <c r="BN441" s="138"/>
    </row>
    <row r="442" spans="1:66" s="91" customFormat="1" ht="38.25" hidden="1" customHeight="1" x14ac:dyDescent="0.2">
      <c r="A442" s="150" t="s">
        <v>1348</v>
      </c>
      <c r="B442" s="18" t="s">
        <v>842</v>
      </c>
      <c r="C442" s="18" t="s">
        <v>843</v>
      </c>
      <c r="D442" s="19" t="s">
        <v>844</v>
      </c>
      <c r="E442" s="55">
        <v>2</v>
      </c>
      <c r="F442" s="55" t="s">
        <v>35</v>
      </c>
      <c r="G442" s="55" t="s">
        <v>5</v>
      </c>
      <c r="H442" s="55" t="s">
        <v>3</v>
      </c>
      <c r="I442" s="55"/>
      <c r="J442" s="55"/>
      <c r="K442" s="19" t="s">
        <v>870</v>
      </c>
      <c r="L442" s="19"/>
      <c r="M442" s="19"/>
      <c r="N442" s="19" t="s">
        <v>1502</v>
      </c>
      <c r="O442" s="151">
        <v>43068</v>
      </c>
      <c r="P442" s="151"/>
      <c r="Q442" s="151"/>
      <c r="R442" s="151"/>
      <c r="S442" s="152">
        <v>187000</v>
      </c>
      <c r="T442" s="152">
        <v>0</v>
      </c>
      <c r="U442" s="145">
        <v>0</v>
      </c>
      <c r="V442" s="145">
        <v>0</v>
      </c>
      <c r="W442" s="145">
        <v>0</v>
      </c>
      <c r="X442" s="145">
        <f t="shared" si="144"/>
        <v>0</v>
      </c>
      <c r="Y442" s="145">
        <v>0</v>
      </c>
      <c r="Z442" s="145">
        <v>0</v>
      </c>
      <c r="AA442" s="145">
        <v>0</v>
      </c>
      <c r="AB442" s="145">
        <v>0</v>
      </c>
      <c r="AC442" s="145">
        <v>0</v>
      </c>
      <c r="AD442" s="145">
        <v>0</v>
      </c>
      <c r="AE442" s="145">
        <v>0</v>
      </c>
      <c r="AF442" s="145">
        <v>0</v>
      </c>
      <c r="AG442" s="145">
        <v>0</v>
      </c>
      <c r="AH442" s="145">
        <v>0</v>
      </c>
      <c r="AI442" s="145">
        <v>0</v>
      </c>
      <c r="AJ442" s="145">
        <v>0</v>
      </c>
      <c r="AK442" s="145">
        <f t="shared" si="145"/>
        <v>0</v>
      </c>
      <c r="AL442" s="145">
        <v>187000</v>
      </c>
      <c r="AM442" s="145">
        <v>0</v>
      </c>
      <c r="AN442" s="145">
        <v>0</v>
      </c>
      <c r="AO442" s="145">
        <v>0</v>
      </c>
      <c r="AP442" s="145">
        <v>0</v>
      </c>
      <c r="AQ442" s="145">
        <v>0</v>
      </c>
      <c r="AR442" s="145">
        <v>0</v>
      </c>
      <c r="AS442" s="145">
        <f t="shared" si="146"/>
        <v>187000</v>
      </c>
      <c r="AT442" s="145"/>
      <c r="AU442" s="139">
        <f t="shared" si="136"/>
        <v>187000</v>
      </c>
      <c r="AV442" s="146">
        <f>IFERROR(VLOOKUP(J442,Maksājumu_pieprasījumu_iesn.!G:BL,57,0),0)</f>
        <v>0</v>
      </c>
      <c r="AW442" s="139">
        <f t="shared" si="138"/>
        <v>-187000</v>
      </c>
      <c r="AX442" s="153">
        <f t="shared" si="147"/>
        <v>0</v>
      </c>
      <c r="AY442" s="153"/>
      <c r="AZ442" s="153"/>
      <c r="BA442" s="136"/>
      <c r="BB442" s="145"/>
      <c r="BC442" s="145"/>
      <c r="BD442" s="145"/>
      <c r="BE442" s="145"/>
      <c r="BF442" s="145"/>
      <c r="BG442" s="145"/>
      <c r="BH442" s="138"/>
      <c r="BI442" s="138"/>
      <c r="BJ442" s="138"/>
      <c r="BK442" s="138"/>
      <c r="BL442" s="138"/>
      <c r="BM442" s="138"/>
      <c r="BN442" s="138"/>
    </row>
    <row r="443" spans="1:66" s="91" customFormat="1" ht="25.5" hidden="1" customHeight="1" x14ac:dyDescent="0.2">
      <c r="A443" s="150" t="s">
        <v>1348</v>
      </c>
      <c r="B443" s="18" t="s">
        <v>842</v>
      </c>
      <c r="C443" s="18" t="s">
        <v>843</v>
      </c>
      <c r="D443" s="19" t="s">
        <v>844</v>
      </c>
      <c r="E443" s="55">
        <v>2</v>
      </c>
      <c r="F443" s="55" t="s">
        <v>35</v>
      </c>
      <c r="G443" s="55" t="s">
        <v>5</v>
      </c>
      <c r="H443" s="55" t="s">
        <v>3</v>
      </c>
      <c r="I443" s="55"/>
      <c r="J443" s="55"/>
      <c r="K443" s="19" t="s">
        <v>1503</v>
      </c>
      <c r="L443" s="19"/>
      <c r="M443" s="19"/>
      <c r="N443" s="19" t="s">
        <v>1504</v>
      </c>
      <c r="O443" s="151">
        <v>43069</v>
      </c>
      <c r="P443" s="151"/>
      <c r="Q443" s="151"/>
      <c r="R443" s="151"/>
      <c r="S443" s="152">
        <v>159318</v>
      </c>
      <c r="T443" s="152">
        <v>0</v>
      </c>
      <c r="U443" s="145">
        <v>0</v>
      </c>
      <c r="V443" s="145">
        <v>0</v>
      </c>
      <c r="W443" s="145">
        <v>0</v>
      </c>
      <c r="X443" s="145">
        <f t="shared" si="144"/>
        <v>0</v>
      </c>
      <c r="Y443" s="145">
        <v>0</v>
      </c>
      <c r="Z443" s="145">
        <v>0</v>
      </c>
      <c r="AA443" s="145">
        <v>0</v>
      </c>
      <c r="AB443" s="145">
        <v>0</v>
      </c>
      <c r="AC443" s="145">
        <v>0</v>
      </c>
      <c r="AD443" s="145">
        <v>0</v>
      </c>
      <c r="AE443" s="145">
        <v>0</v>
      </c>
      <c r="AF443" s="145">
        <v>0</v>
      </c>
      <c r="AG443" s="145">
        <v>0</v>
      </c>
      <c r="AH443" s="145">
        <v>0</v>
      </c>
      <c r="AI443" s="145">
        <v>0</v>
      </c>
      <c r="AJ443" s="145">
        <v>0</v>
      </c>
      <c r="AK443" s="145">
        <f t="shared" si="145"/>
        <v>0</v>
      </c>
      <c r="AL443" s="145">
        <v>159318</v>
      </c>
      <c r="AM443" s="145">
        <v>0</v>
      </c>
      <c r="AN443" s="145">
        <v>0</v>
      </c>
      <c r="AO443" s="145">
        <v>0</v>
      </c>
      <c r="AP443" s="145">
        <v>0</v>
      </c>
      <c r="AQ443" s="145">
        <v>0</v>
      </c>
      <c r="AR443" s="145">
        <v>0</v>
      </c>
      <c r="AS443" s="145">
        <f t="shared" si="146"/>
        <v>159318</v>
      </c>
      <c r="AT443" s="145"/>
      <c r="AU443" s="139">
        <f t="shared" si="136"/>
        <v>159318</v>
      </c>
      <c r="AV443" s="146">
        <f>IFERROR(VLOOKUP(J443,Maksājumu_pieprasījumu_iesn.!G:BL,57,0),0)</f>
        <v>0</v>
      </c>
      <c r="AW443" s="139">
        <f t="shared" si="138"/>
        <v>-159318</v>
      </c>
      <c r="AX443" s="153">
        <f t="shared" si="147"/>
        <v>0</v>
      </c>
      <c r="AY443" s="153"/>
      <c r="AZ443" s="153"/>
      <c r="BA443" s="136"/>
      <c r="BB443" s="145"/>
      <c r="BC443" s="145"/>
      <c r="BD443" s="145"/>
      <c r="BE443" s="145"/>
      <c r="BF443" s="145"/>
      <c r="BG443" s="145"/>
      <c r="BH443" s="138"/>
      <c r="BI443" s="138"/>
      <c r="BJ443" s="138"/>
      <c r="BK443" s="138"/>
      <c r="BL443" s="138"/>
      <c r="BM443" s="138"/>
      <c r="BN443" s="138"/>
    </row>
    <row r="444" spans="1:66" s="91" customFormat="1" ht="38.25" hidden="1" customHeight="1" x14ac:dyDescent="0.2">
      <c r="A444" s="150" t="s">
        <v>1348</v>
      </c>
      <c r="B444" s="18" t="s">
        <v>842</v>
      </c>
      <c r="C444" s="18" t="s">
        <v>843</v>
      </c>
      <c r="D444" s="19" t="s">
        <v>844</v>
      </c>
      <c r="E444" s="55">
        <v>2</v>
      </c>
      <c r="F444" s="55" t="s">
        <v>35</v>
      </c>
      <c r="G444" s="55" t="s">
        <v>5</v>
      </c>
      <c r="H444" s="55" t="s">
        <v>3</v>
      </c>
      <c r="I444" s="55"/>
      <c r="J444" s="55"/>
      <c r="K444" s="19" t="s">
        <v>1253</v>
      </c>
      <c r="L444" s="19"/>
      <c r="M444" s="19"/>
      <c r="N444" s="19" t="s">
        <v>1505</v>
      </c>
      <c r="O444" s="151">
        <v>43008</v>
      </c>
      <c r="P444" s="151"/>
      <c r="Q444" s="151"/>
      <c r="R444" s="151"/>
      <c r="S444" s="152">
        <v>87896</v>
      </c>
      <c r="T444" s="152">
        <v>0</v>
      </c>
      <c r="U444" s="145">
        <v>0</v>
      </c>
      <c r="V444" s="145">
        <v>0</v>
      </c>
      <c r="W444" s="145">
        <v>0</v>
      </c>
      <c r="X444" s="145">
        <f t="shared" si="144"/>
        <v>0</v>
      </c>
      <c r="Y444" s="145">
        <v>0</v>
      </c>
      <c r="Z444" s="145">
        <v>0</v>
      </c>
      <c r="AA444" s="145">
        <v>0</v>
      </c>
      <c r="AB444" s="145">
        <v>0</v>
      </c>
      <c r="AC444" s="145">
        <v>0</v>
      </c>
      <c r="AD444" s="145">
        <v>0</v>
      </c>
      <c r="AE444" s="145">
        <v>0</v>
      </c>
      <c r="AF444" s="145">
        <v>0</v>
      </c>
      <c r="AG444" s="145">
        <v>0</v>
      </c>
      <c r="AH444" s="145">
        <v>0</v>
      </c>
      <c r="AI444" s="145">
        <v>0</v>
      </c>
      <c r="AJ444" s="145">
        <v>0</v>
      </c>
      <c r="AK444" s="145">
        <f t="shared" si="145"/>
        <v>0</v>
      </c>
      <c r="AL444" s="145">
        <v>87896</v>
      </c>
      <c r="AM444" s="145">
        <v>0</v>
      </c>
      <c r="AN444" s="145">
        <v>0</v>
      </c>
      <c r="AO444" s="145">
        <v>0</v>
      </c>
      <c r="AP444" s="145">
        <v>0</v>
      </c>
      <c r="AQ444" s="145">
        <v>0</v>
      </c>
      <c r="AR444" s="145">
        <v>0</v>
      </c>
      <c r="AS444" s="145">
        <f t="shared" si="146"/>
        <v>87896</v>
      </c>
      <c r="AT444" s="145"/>
      <c r="AU444" s="139">
        <f t="shared" si="136"/>
        <v>87896</v>
      </c>
      <c r="AV444" s="146">
        <f>IFERROR(VLOOKUP(J444,Maksājumu_pieprasījumu_iesn.!G:BL,57,0),0)</f>
        <v>0</v>
      </c>
      <c r="AW444" s="139">
        <f t="shared" si="138"/>
        <v>-87896</v>
      </c>
      <c r="AX444" s="153">
        <f t="shared" si="147"/>
        <v>0</v>
      </c>
      <c r="AY444" s="153"/>
      <c r="AZ444" s="153"/>
      <c r="BA444" s="136"/>
      <c r="BB444" s="145"/>
      <c r="BC444" s="145"/>
      <c r="BD444" s="145"/>
      <c r="BE444" s="145"/>
      <c r="BF444" s="145"/>
      <c r="BG444" s="145"/>
      <c r="BH444" s="138"/>
      <c r="BI444" s="138"/>
      <c r="BJ444" s="138"/>
      <c r="BK444" s="138"/>
      <c r="BL444" s="138"/>
      <c r="BM444" s="138"/>
      <c r="BN444" s="138"/>
    </row>
    <row r="445" spans="1:66" s="91" customFormat="1" ht="25.5" hidden="1" customHeight="1" x14ac:dyDescent="0.2">
      <c r="A445" s="150" t="s">
        <v>1348</v>
      </c>
      <c r="B445" s="18" t="s">
        <v>842</v>
      </c>
      <c r="C445" s="18" t="s">
        <v>843</v>
      </c>
      <c r="D445" s="19" t="s">
        <v>844</v>
      </c>
      <c r="E445" s="55">
        <v>2</v>
      </c>
      <c r="F445" s="55" t="s">
        <v>35</v>
      </c>
      <c r="G445" s="55" t="s">
        <v>5</v>
      </c>
      <c r="H445" s="55" t="s">
        <v>3</v>
      </c>
      <c r="I445" s="55"/>
      <c r="J445" s="55"/>
      <c r="K445" s="19" t="s">
        <v>1259</v>
      </c>
      <c r="L445" s="19"/>
      <c r="M445" s="19"/>
      <c r="N445" s="19" t="s">
        <v>1506</v>
      </c>
      <c r="O445" s="151">
        <v>42916</v>
      </c>
      <c r="P445" s="151"/>
      <c r="Q445" s="151"/>
      <c r="R445" s="151"/>
      <c r="S445" s="152">
        <v>157500</v>
      </c>
      <c r="T445" s="152">
        <v>0</v>
      </c>
      <c r="U445" s="145">
        <v>0</v>
      </c>
      <c r="V445" s="145">
        <v>0</v>
      </c>
      <c r="W445" s="145">
        <v>0</v>
      </c>
      <c r="X445" s="145">
        <f t="shared" si="144"/>
        <v>0</v>
      </c>
      <c r="Y445" s="145">
        <v>0</v>
      </c>
      <c r="Z445" s="145">
        <v>0</v>
      </c>
      <c r="AA445" s="145">
        <v>0</v>
      </c>
      <c r="AB445" s="145">
        <v>0</v>
      </c>
      <c r="AC445" s="145">
        <v>0</v>
      </c>
      <c r="AD445" s="145">
        <v>0</v>
      </c>
      <c r="AE445" s="145">
        <v>0</v>
      </c>
      <c r="AF445" s="145">
        <v>0</v>
      </c>
      <c r="AG445" s="145">
        <v>0</v>
      </c>
      <c r="AH445" s="145">
        <v>0</v>
      </c>
      <c r="AI445" s="145">
        <v>0</v>
      </c>
      <c r="AJ445" s="145">
        <v>0</v>
      </c>
      <c r="AK445" s="145">
        <f t="shared" si="145"/>
        <v>0</v>
      </c>
      <c r="AL445" s="145">
        <v>157500</v>
      </c>
      <c r="AM445" s="145">
        <v>0</v>
      </c>
      <c r="AN445" s="145">
        <v>0</v>
      </c>
      <c r="AO445" s="145">
        <v>0</v>
      </c>
      <c r="AP445" s="145">
        <v>0</v>
      </c>
      <c r="AQ445" s="145">
        <v>0</v>
      </c>
      <c r="AR445" s="145">
        <v>0</v>
      </c>
      <c r="AS445" s="145">
        <f t="shared" si="146"/>
        <v>157500</v>
      </c>
      <c r="AT445" s="145"/>
      <c r="AU445" s="139">
        <f t="shared" si="136"/>
        <v>157500</v>
      </c>
      <c r="AV445" s="146">
        <f>IFERROR(VLOOKUP(J445,Maksājumu_pieprasījumu_iesn.!G:BL,57,0),0)</f>
        <v>0</v>
      </c>
      <c r="AW445" s="139">
        <f t="shared" si="138"/>
        <v>-157500</v>
      </c>
      <c r="AX445" s="153">
        <f t="shared" si="147"/>
        <v>0</v>
      </c>
      <c r="AY445" s="153"/>
      <c r="AZ445" s="153"/>
      <c r="BA445" s="136"/>
      <c r="BB445" s="145"/>
      <c r="BC445" s="145"/>
      <c r="BD445" s="145"/>
      <c r="BE445" s="145"/>
      <c r="BF445" s="145"/>
      <c r="BG445" s="145"/>
      <c r="BH445" s="138"/>
      <c r="BI445" s="138"/>
      <c r="BJ445" s="138"/>
      <c r="BK445" s="138"/>
      <c r="BL445" s="138"/>
      <c r="BM445" s="138"/>
      <c r="BN445" s="138"/>
    </row>
    <row r="446" spans="1:66" s="91" customFormat="1" ht="51" hidden="1" customHeight="1" x14ac:dyDescent="0.2">
      <c r="A446" s="150" t="s">
        <v>1348</v>
      </c>
      <c r="B446" s="18" t="s">
        <v>842</v>
      </c>
      <c r="C446" s="18" t="s">
        <v>843</v>
      </c>
      <c r="D446" s="19" t="s">
        <v>844</v>
      </c>
      <c r="E446" s="55">
        <v>2</v>
      </c>
      <c r="F446" s="55" t="s">
        <v>35</v>
      </c>
      <c r="G446" s="55" t="s">
        <v>5</v>
      </c>
      <c r="H446" s="55" t="s">
        <v>3</v>
      </c>
      <c r="I446" s="55"/>
      <c r="J446" s="55"/>
      <c r="K446" s="19" t="s">
        <v>1218</v>
      </c>
      <c r="L446" s="19"/>
      <c r="M446" s="19"/>
      <c r="N446" s="19" t="s">
        <v>1507</v>
      </c>
      <c r="O446" s="151">
        <v>42916</v>
      </c>
      <c r="P446" s="151"/>
      <c r="Q446" s="151"/>
      <c r="R446" s="151"/>
      <c r="S446" s="152">
        <v>159338</v>
      </c>
      <c r="T446" s="152">
        <v>0</v>
      </c>
      <c r="U446" s="145">
        <v>0</v>
      </c>
      <c r="V446" s="145">
        <v>0</v>
      </c>
      <c r="W446" s="145">
        <v>0</v>
      </c>
      <c r="X446" s="145">
        <f t="shared" si="144"/>
        <v>0</v>
      </c>
      <c r="Y446" s="145">
        <v>0</v>
      </c>
      <c r="Z446" s="145">
        <v>0</v>
      </c>
      <c r="AA446" s="145">
        <v>0</v>
      </c>
      <c r="AB446" s="145">
        <v>0</v>
      </c>
      <c r="AC446" s="145">
        <v>0</v>
      </c>
      <c r="AD446" s="145">
        <v>0</v>
      </c>
      <c r="AE446" s="145">
        <v>0</v>
      </c>
      <c r="AF446" s="145">
        <v>0</v>
      </c>
      <c r="AG446" s="145">
        <v>0</v>
      </c>
      <c r="AH446" s="145">
        <v>0</v>
      </c>
      <c r="AI446" s="145">
        <v>0</v>
      </c>
      <c r="AJ446" s="145">
        <v>0</v>
      </c>
      <c r="AK446" s="145">
        <f t="shared" si="145"/>
        <v>0</v>
      </c>
      <c r="AL446" s="145">
        <v>159338</v>
      </c>
      <c r="AM446" s="145">
        <v>0</v>
      </c>
      <c r="AN446" s="145">
        <v>0</v>
      </c>
      <c r="AO446" s="145">
        <v>0</v>
      </c>
      <c r="AP446" s="145">
        <v>0</v>
      </c>
      <c r="AQ446" s="145">
        <v>0</v>
      </c>
      <c r="AR446" s="145">
        <v>0</v>
      </c>
      <c r="AS446" s="145">
        <f t="shared" si="146"/>
        <v>159338</v>
      </c>
      <c r="AT446" s="145"/>
      <c r="AU446" s="139">
        <f t="shared" si="136"/>
        <v>159338</v>
      </c>
      <c r="AV446" s="146">
        <f>IFERROR(VLOOKUP(J446,Maksājumu_pieprasījumu_iesn.!G:BL,57,0),0)</f>
        <v>0</v>
      </c>
      <c r="AW446" s="139">
        <f t="shared" si="138"/>
        <v>-159338</v>
      </c>
      <c r="AX446" s="153">
        <f t="shared" si="147"/>
        <v>0</v>
      </c>
      <c r="AY446" s="153"/>
      <c r="AZ446" s="153"/>
      <c r="BA446" s="136"/>
      <c r="BB446" s="145"/>
      <c r="BC446" s="145"/>
      <c r="BD446" s="145"/>
      <c r="BE446" s="145"/>
      <c r="BF446" s="145"/>
      <c r="BG446" s="145"/>
      <c r="BH446" s="138"/>
      <c r="BI446" s="138"/>
      <c r="BJ446" s="138"/>
      <c r="BK446" s="138"/>
      <c r="BL446" s="138"/>
      <c r="BM446" s="138"/>
      <c r="BN446" s="138"/>
    </row>
    <row r="447" spans="1:66" s="91" customFormat="1" ht="25.5" hidden="1" customHeight="1" x14ac:dyDescent="0.2">
      <c r="A447" s="150" t="s">
        <v>1348</v>
      </c>
      <c r="B447" s="18" t="s">
        <v>842</v>
      </c>
      <c r="C447" s="18" t="s">
        <v>843</v>
      </c>
      <c r="D447" s="19" t="s">
        <v>844</v>
      </c>
      <c r="E447" s="55">
        <v>2</v>
      </c>
      <c r="F447" s="55" t="s">
        <v>35</v>
      </c>
      <c r="G447" s="55" t="s">
        <v>5</v>
      </c>
      <c r="H447" s="55" t="s">
        <v>3</v>
      </c>
      <c r="I447" s="55"/>
      <c r="J447" s="55"/>
      <c r="K447" s="19" t="s">
        <v>1508</v>
      </c>
      <c r="L447" s="19"/>
      <c r="M447" s="19"/>
      <c r="N447" s="19" t="s">
        <v>1509</v>
      </c>
      <c r="O447" s="151">
        <v>43008</v>
      </c>
      <c r="P447" s="151"/>
      <c r="Q447" s="151"/>
      <c r="R447" s="151"/>
      <c r="S447" s="152">
        <v>169714</v>
      </c>
      <c r="T447" s="152">
        <v>0</v>
      </c>
      <c r="U447" s="145">
        <v>0</v>
      </c>
      <c r="V447" s="145">
        <v>0</v>
      </c>
      <c r="W447" s="145">
        <v>0</v>
      </c>
      <c r="X447" s="145">
        <f t="shared" si="144"/>
        <v>0</v>
      </c>
      <c r="Y447" s="145">
        <v>0</v>
      </c>
      <c r="Z447" s="145">
        <v>0</v>
      </c>
      <c r="AA447" s="145">
        <v>0</v>
      </c>
      <c r="AB447" s="145">
        <v>0</v>
      </c>
      <c r="AC447" s="145">
        <v>0</v>
      </c>
      <c r="AD447" s="145">
        <v>0</v>
      </c>
      <c r="AE447" s="145">
        <v>0</v>
      </c>
      <c r="AF447" s="145">
        <v>0</v>
      </c>
      <c r="AG447" s="145">
        <v>0</v>
      </c>
      <c r="AH447" s="145">
        <v>0</v>
      </c>
      <c r="AI447" s="145">
        <v>0</v>
      </c>
      <c r="AJ447" s="145">
        <v>0</v>
      </c>
      <c r="AK447" s="145">
        <f t="shared" si="145"/>
        <v>0</v>
      </c>
      <c r="AL447" s="145">
        <v>169714</v>
      </c>
      <c r="AM447" s="145">
        <v>0</v>
      </c>
      <c r="AN447" s="145">
        <v>0</v>
      </c>
      <c r="AO447" s="145">
        <v>0</v>
      </c>
      <c r="AP447" s="145">
        <v>0</v>
      </c>
      <c r="AQ447" s="145">
        <v>0</v>
      </c>
      <c r="AR447" s="145">
        <v>0</v>
      </c>
      <c r="AS447" s="145">
        <f t="shared" si="146"/>
        <v>169714</v>
      </c>
      <c r="AT447" s="145"/>
      <c r="AU447" s="139">
        <f t="shared" si="136"/>
        <v>169714</v>
      </c>
      <c r="AV447" s="146">
        <f>IFERROR(VLOOKUP(J447,Maksājumu_pieprasījumu_iesn.!G:BL,57,0),0)</f>
        <v>0</v>
      </c>
      <c r="AW447" s="139">
        <f t="shared" si="138"/>
        <v>-169714</v>
      </c>
      <c r="AX447" s="153">
        <f t="shared" si="147"/>
        <v>0</v>
      </c>
      <c r="AY447" s="153"/>
      <c r="AZ447" s="153"/>
      <c r="BA447" s="136"/>
      <c r="BB447" s="145"/>
      <c r="BC447" s="145"/>
      <c r="BD447" s="145"/>
      <c r="BE447" s="145"/>
      <c r="BF447" s="145"/>
      <c r="BG447" s="145"/>
      <c r="BH447" s="138"/>
      <c r="BI447" s="138"/>
      <c r="BJ447" s="138"/>
      <c r="BK447" s="138"/>
      <c r="BL447" s="138"/>
      <c r="BM447" s="138"/>
      <c r="BN447" s="138"/>
    </row>
    <row r="448" spans="1:66" s="91" customFormat="1" ht="38.25" hidden="1" customHeight="1" x14ac:dyDescent="0.2">
      <c r="A448" s="150" t="s">
        <v>1348</v>
      </c>
      <c r="B448" s="18" t="s">
        <v>842</v>
      </c>
      <c r="C448" s="18" t="s">
        <v>843</v>
      </c>
      <c r="D448" s="19" t="s">
        <v>844</v>
      </c>
      <c r="E448" s="55">
        <v>2</v>
      </c>
      <c r="F448" s="55" t="s">
        <v>35</v>
      </c>
      <c r="G448" s="55" t="s">
        <v>5</v>
      </c>
      <c r="H448" s="55" t="s">
        <v>3</v>
      </c>
      <c r="I448" s="55"/>
      <c r="J448" s="55"/>
      <c r="K448" s="19" t="s">
        <v>1508</v>
      </c>
      <c r="L448" s="19"/>
      <c r="M448" s="19"/>
      <c r="N448" s="19" t="s">
        <v>1510</v>
      </c>
      <c r="O448" s="151">
        <v>43008</v>
      </c>
      <c r="P448" s="151"/>
      <c r="Q448" s="151"/>
      <c r="R448" s="151"/>
      <c r="S448" s="152">
        <v>466171</v>
      </c>
      <c r="T448" s="152">
        <v>0</v>
      </c>
      <c r="U448" s="145">
        <v>0</v>
      </c>
      <c r="V448" s="145">
        <v>0</v>
      </c>
      <c r="W448" s="145">
        <v>0</v>
      </c>
      <c r="X448" s="145">
        <f t="shared" si="144"/>
        <v>0</v>
      </c>
      <c r="Y448" s="145">
        <v>0</v>
      </c>
      <c r="Z448" s="145">
        <v>0</v>
      </c>
      <c r="AA448" s="145">
        <v>0</v>
      </c>
      <c r="AB448" s="145">
        <v>0</v>
      </c>
      <c r="AC448" s="145">
        <v>0</v>
      </c>
      <c r="AD448" s="145">
        <v>0</v>
      </c>
      <c r="AE448" s="145">
        <v>0</v>
      </c>
      <c r="AF448" s="145">
        <v>0</v>
      </c>
      <c r="AG448" s="145">
        <v>0</v>
      </c>
      <c r="AH448" s="145">
        <v>0</v>
      </c>
      <c r="AI448" s="145">
        <v>0</v>
      </c>
      <c r="AJ448" s="145">
        <v>0</v>
      </c>
      <c r="AK448" s="145">
        <f t="shared" si="145"/>
        <v>0</v>
      </c>
      <c r="AL448" s="145">
        <v>466171</v>
      </c>
      <c r="AM448" s="145">
        <v>0</v>
      </c>
      <c r="AN448" s="145">
        <v>0</v>
      </c>
      <c r="AO448" s="145">
        <v>0</v>
      </c>
      <c r="AP448" s="145">
        <v>0</v>
      </c>
      <c r="AQ448" s="145">
        <v>0</v>
      </c>
      <c r="AR448" s="145">
        <v>0</v>
      </c>
      <c r="AS448" s="145">
        <f t="shared" si="146"/>
        <v>466171</v>
      </c>
      <c r="AT448" s="145"/>
      <c r="AU448" s="139">
        <f t="shared" si="136"/>
        <v>466171</v>
      </c>
      <c r="AV448" s="146">
        <f>IFERROR(VLOOKUP(J448,Maksājumu_pieprasījumu_iesn.!G:BL,57,0),0)</f>
        <v>0</v>
      </c>
      <c r="AW448" s="139">
        <f t="shared" si="138"/>
        <v>-466171</v>
      </c>
      <c r="AX448" s="153">
        <f t="shared" si="147"/>
        <v>0</v>
      </c>
      <c r="AY448" s="153"/>
      <c r="AZ448" s="153"/>
      <c r="BA448" s="136"/>
      <c r="BB448" s="145"/>
      <c r="BC448" s="145"/>
      <c r="BD448" s="145"/>
      <c r="BE448" s="145"/>
      <c r="BF448" s="145"/>
      <c r="BG448" s="145"/>
      <c r="BH448" s="138"/>
      <c r="BI448" s="138"/>
      <c r="BJ448" s="138"/>
      <c r="BK448" s="138"/>
      <c r="BL448" s="138"/>
      <c r="BM448" s="138"/>
      <c r="BN448" s="138"/>
    </row>
    <row r="449" spans="1:66" s="91" customFormat="1" ht="25.5" hidden="1" customHeight="1" x14ac:dyDescent="0.2">
      <c r="A449" s="150" t="s">
        <v>1348</v>
      </c>
      <c r="B449" s="18" t="s">
        <v>842</v>
      </c>
      <c r="C449" s="18" t="s">
        <v>843</v>
      </c>
      <c r="D449" s="19" t="s">
        <v>844</v>
      </c>
      <c r="E449" s="55">
        <v>2</v>
      </c>
      <c r="F449" s="55" t="s">
        <v>35</v>
      </c>
      <c r="G449" s="55" t="s">
        <v>5</v>
      </c>
      <c r="H449" s="55" t="s">
        <v>3</v>
      </c>
      <c r="I449" s="55"/>
      <c r="J449" s="55"/>
      <c r="K449" s="19" t="s">
        <v>1270</v>
      </c>
      <c r="L449" s="19"/>
      <c r="M449" s="19"/>
      <c r="N449" s="19" t="s">
        <v>1511</v>
      </c>
      <c r="O449" s="151">
        <v>43008</v>
      </c>
      <c r="P449" s="151"/>
      <c r="Q449" s="151"/>
      <c r="R449" s="151"/>
      <c r="S449" s="152">
        <v>59500</v>
      </c>
      <c r="T449" s="152">
        <v>0</v>
      </c>
      <c r="U449" s="145">
        <v>0</v>
      </c>
      <c r="V449" s="145">
        <v>0</v>
      </c>
      <c r="W449" s="145">
        <v>0</v>
      </c>
      <c r="X449" s="145">
        <f t="shared" si="144"/>
        <v>0</v>
      </c>
      <c r="Y449" s="145">
        <v>0</v>
      </c>
      <c r="Z449" s="145">
        <v>0</v>
      </c>
      <c r="AA449" s="145">
        <v>0</v>
      </c>
      <c r="AB449" s="145">
        <v>0</v>
      </c>
      <c r="AC449" s="145">
        <v>0</v>
      </c>
      <c r="AD449" s="145">
        <v>0</v>
      </c>
      <c r="AE449" s="145">
        <v>0</v>
      </c>
      <c r="AF449" s="145">
        <v>0</v>
      </c>
      <c r="AG449" s="145">
        <v>0</v>
      </c>
      <c r="AH449" s="145">
        <v>0</v>
      </c>
      <c r="AI449" s="145">
        <v>0</v>
      </c>
      <c r="AJ449" s="145">
        <v>0</v>
      </c>
      <c r="AK449" s="145">
        <f t="shared" si="145"/>
        <v>0</v>
      </c>
      <c r="AL449" s="145">
        <v>59500</v>
      </c>
      <c r="AM449" s="145">
        <v>0</v>
      </c>
      <c r="AN449" s="145">
        <v>0</v>
      </c>
      <c r="AO449" s="145">
        <v>0</v>
      </c>
      <c r="AP449" s="145">
        <v>0</v>
      </c>
      <c r="AQ449" s="145">
        <v>0</v>
      </c>
      <c r="AR449" s="145">
        <v>0</v>
      </c>
      <c r="AS449" s="145">
        <f t="shared" si="146"/>
        <v>59500</v>
      </c>
      <c r="AT449" s="145"/>
      <c r="AU449" s="139">
        <f t="shared" ref="AU449:AU514" si="148">AS449-AT449</f>
        <v>59500</v>
      </c>
      <c r="AV449" s="146">
        <f>IFERROR(VLOOKUP(J449,Maksājumu_pieprasījumu_iesn.!G:BL,57,0),0)</f>
        <v>0</v>
      </c>
      <c r="AW449" s="139">
        <f t="shared" si="138"/>
        <v>-59500</v>
      </c>
      <c r="AX449" s="153">
        <f t="shared" si="147"/>
        <v>0</v>
      </c>
      <c r="AY449" s="153"/>
      <c r="AZ449" s="153"/>
      <c r="BA449" s="136"/>
      <c r="BB449" s="145"/>
      <c r="BC449" s="145"/>
      <c r="BD449" s="145"/>
      <c r="BE449" s="145"/>
      <c r="BF449" s="145"/>
      <c r="BG449" s="145"/>
      <c r="BH449" s="138"/>
      <c r="BI449" s="138"/>
      <c r="BJ449" s="138"/>
      <c r="BK449" s="138"/>
      <c r="BL449" s="138"/>
      <c r="BM449" s="138"/>
      <c r="BN449" s="138"/>
    </row>
    <row r="450" spans="1:66" s="91" customFormat="1" ht="38.25" hidden="1" customHeight="1" x14ac:dyDescent="0.2">
      <c r="A450" s="150" t="s">
        <v>1348</v>
      </c>
      <c r="B450" s="18" t="s">
        <v>842</v>
      </c>
      <c r="C450" s="18" t="s">
        <v>843</v>
      </c>
      <c r="D450" s="19" t="s">
        <v>844</v>
      </c>
      <c r="E450" s="55">
        <v>2</v>
      </c>
      <c r="F450" s="55" t="s">
        <v>35</v>
      </c>
      <c r="G450" s="55" t="s">
        <v>5</v>
      </c>
      <c r="H450" s="55" t="s">
        <v>3</v>
      </c>
      <c r="I450" s="55"/>
      <c r="J450" s="55"/>
      <c r="K450" s="19" t="s">
        <v>1512</v>
      </c>
      <c r="L450" s="19"/>
      <c r="M450" s="19"/>
      <c r="N450" s="19" t="s">
        <v>1513</v>
      </c>
      <c r="O450" s="151">
        <v>43039</v>
      </c>
      <c r="P450" s="151"/>
      <c r="Q450" s="151"/>
      <c r="R450" s="151"/>
      <c r="S450" s="152">
        <v>80580</v>
      </c>
      <c r="T450" s="152">
        <v>0</v>
      </c>
      <c r="U450" s="145">
        <v>0</v>
      </c>
      <c r="V450" s="145">
        <v>0</v>
      </c>
      <c r="W450" s="145">
        <v>0</v>
      </c>
      <c r="X450" s="145">
        <f t="shared" si="144"/>
        <v>0</v>
      </c>
      <c r="Y450" s="145">
        <v>0</v>
      </c>
      <c r="Z450" s="145">
        <v>0</v>
      </c>
      <c r="AA450" s="145">
        <v>0</v>
      </c>
      <c r="AB450" s="145">
        <v>0</v>
      </c>
      <c r="AC450" s="145">
        <v>0</v>
      </c>
      <c r="AD450" s="145">
        <v>0</v>
      </c>
      <c r="AE450" s="145">
        <v>0</v>
      </c>
      <c r="AF450" s="145">
        <v>0</v>
      </c>
      <c r="AG450" s="145">
        <v>0</v>
      </c>
      <c r="AH450" s="145">
        <v>0</v>
      </c>
      <c r="AI450" s="145">
        <v>0</v>
      </c>
      <c r="AJ450" s="145">
        <v>0</v>
      </c>
      <c r="AK450" s="145">
        <f t="shared" si="145"/>
        <v>0</v>
      </c>
      <c r="AL450" s="145">
        <v>80580</v>
      </c>
      <c r="AM450" s="145">
        <v>0</v>
      </c>
      <c r="AN450" s="145">
        <v>0</v>
      </c>
      <c r="AO450" s="145">
        <v>0</v>
      </c>
      <c r="AP450" s="145">
        <v>0</v>
      </c>
      <c r="AQ450" s="145">
        <v>0</v>
      </c>
      <c r="AR450" s="145">
        <v>0</v>
      </c>
      <c r="AS450" s="145">
        <f t="shared" si="146"/>
        <v>80580</v>
      </c>
      <c r="AT450" s="145"/>
      <c r="AU450" s="139">
        <f t="shared" si="148"/>
        <v>80580</v>
      </c>
      <c r="AV450" s="146">
        <f>IFERROR(VLOOKUP(J450,Maksājumu_pieprasījumu_iesn.!G:BL,57,0),0)</f>
        <v>0</v>
      </c>
      <c r="AW450" s="139">
        <f t="shared" si="138"/>
        <v>-80580</v>
      </c>
      <c r="AX450" s="153">
        <f t="shared" si="147"/>
        <v>0</v>
      </c>
      <c r="AY450" s="153"/>
      <c r="AZ450" s="153"/>
      <c r="BA450" s="136"/>
      <c r="BB450" s="145"/>
      <c r="BC450" s="145"/>
      <c r="BD450" s="145"/>
      <c r="BE450" s="145"/>
      <c r="BF450" s="145"/>
      <c r="BG450" s="145"/>
      <c r="BH450" s="138"/>
      <c r="BI450" s="138"/>
      <c r="BJ450" s="138"/>
      <c r="BK450" s="138"/>
      <c r="BL450" s="138"/>
      <c r="BM450" s="138"/>
      <c r="BN450" s="138"/>
    </row>
    <row r="451" spans="1:66" s="91" customFormat="1" ht="38.25" hidden="1" customHeight="1" x14ac:dyDescent="0.2">
      <c r="A451" s="150" t="s">
        <v>1348</v>
      </c>
      <c r="B451" s="18" t="s">
        <v>842</v>
      </c>
      <c r="C451" s="18" t="s">
        <v>843</v>
      </c>
      <c r="D451" s="19" t="s">
        <v>844</v>
      </c>
      <c r="E451" s="55">
        <v>2</v>
      </c>
      <c r="F451" s="55" t="s">
        <v>35</v>
      </c>
      <c r="G451" s="55" t="s">
        <v>5</v>
      </c>
      <c r="H451" s="55" t="s">
        <v>3</v>
      </c>
      <c r="I451" s="55"/>
      <c r="J451" s="55"/>
      <c r="K451" s="19" t="s">
        <v>1512</v>
      </c>
      <c r="L451" s="19"/>
      <c r="M451" s="19"/>
      <c r="N451" s="19" t="s">
        <v>1514</v>
      </c>
      <c r="O451" s="151">
        <v>43039</v>
      </c>
      <c r="P451" s="151"/>
      <c r="Q451" s="151"/>
      <c r="R451" s="151"/>
      <c r="S451" s="152">
        <v>55760</v>
      </c>
      <c r="T451" s="152">
        <v>0</v>
      </c>
      <c r="U451" s="145">
        <v>0</v>
      </c>
      <c r="V451" s="145">
        <v>0</v>
      </c>
      <c r="W451" s="145">
        <v>0</v>
      </c>
      <c r="X451" s="145">
        <f t="shared" si="144"/>
        <v>0</v>
      </c>
      <c r="Y451" s="145">
        <v>0</v>
      </c>
      <c r="Z451" s="145">
        <v>0</v>
      </c>
      <c r="AA451" s="145">
        <v>0</v>
      </c>
      <c r="AB451" s="145">
        <v>0</v>
      </c>
      <c r="AC451" s="145">
        <v>0</v>
      </c>
      <c r="AD451" s="145">
        <v>0</v>
      </c>
      <c r="AE451" s="145">
        <v>0</v>
      </c>
      <c r="AF451" s="145">
        <v>0</v>
      </c>
      <c r="AG451" s="145">
        <v>0</v>
      </c>
      <c r="AH451" s="145">
        <v>0</v>
      </c>
      <c r="AI451" s="145">
        <v>0</v>
      </c>
      <c r="AJ451" s="145">
        <v>0</v>
      </c>
      <c r="AK451" s="145">
        <f t="shared" si="145"/>
        <v>0</v>
      </c>
      <c r="AL451" s="145">
        <v>55760</v>
      </c>
      <c r="AM451" s="145">
        <v>0</v>
      </c>
      <c r="AN451" s="145">
        <v>0</v>
      </c>
      <c r="AO451" s="145">
        <v>0</v>
      </c>
      <c r="AP451" s="145">
        <v>0</v>
      </c>
      <c r="AQ451" s="145">
        <v>0</v>
      </c>
      <c r="AR451" s="145">
        <v>0</v>
      </c>
      <c r="AS451" s="145">
        <f t="shared" si="146"/>
        <v>55760</v>
      </c>
      <c r="AT451" s="145"/>
      <c r="AU451" s="139">
        <f t="shared" si="148"/>
        <v>55760</v>
      </c>
      <c r="AV451" s="146">
        <f>IFERROR(VLOOKUP(J451,Maksājumu_pieprasījumu_iesn.!G:BL,57,0),0)</f>
        <v>0</v>
      </c>
      <c r="AW451" s="139">
        <f t="shared" si="138"/>
        <v>-55760</v>
      </c>
      <c r="AX451" s="153">
        <f t="shared" si="147"/>
        <v>0</v>
      </c>
      <c r="AY451" s="153"/>
      <c r="AZ451" s="153"/>
      <c r="BA451" s="136"/>
      <c r="BB451" s="145"/>
      <c r="BC451" s="145"/>
      <c r="BD451" s="145"/>
      <c r="BE451" s="145"/>
      <c r="BF451" s="145"/>
      <c r="BG451" s="145"/>
      <c r="BH451" s="138"/>
      <c r="BI451" s="138"/>
      <c r="BJ451" s="138"/>
      <c r="BK451" s="138"/>
      <c r="BL451" s="138"/>
      <c r="BM451" s="138"/>
      <c r="BN451" s="138"/>
    </row>
    <row r="452" spans="1:66" s="91" customFormat="1" ht="38.25" hidden="1" customHeight="1" x14ac:dyDescent="0.2">
      <c r="A452" s="150" t="s">
        <v>1348</v>
      </c>
      <c r="B452" s="18" t="s">
        <v>842</v>
      </c>
      <c r="C452" s="18" t="s">
        <v>843</v>
      </c>
      <c r="D452" s="19" t="s">
        <v>844</v>
      </c>
      <c r="E452" s="55">
        <v>2</v>
      </c>
      <c r="F452" s="55" t="s">
        <v>35</v>
      </c>
      <c r="G452" s="55" t="s">
        <v>5</v>
      </c>
      <c r="H452" s="55" t="s">
        <v>3</v>
      </c>
      <c r="I452" s="55"/>
      <c r="J452" s="55"/>
      <c r="K452" s="19" t="s">
        <v>1512</v>
      </c>
      <c r="L452" s="19"/>
      <c r="M452" s="19"/>
      <c r="N452" s="19" t="s">
        <v>1515</v>
      </c>
      <c r="O452" s="151">
        <v>43039</v>
      </c>
      <c r="P452" s="151"/>
      <c r="Q452" s="151"/>
      <c r="R452" s="151"/>
      <c r="S452" s="152">
        <v>94095</v>
      </c>
      <c r="T452" s="152">
        <v>0</v>
      </c>
      <c r="U452" s="145">
        <v>0</v>
      </c>
      <c r="V452" s="145">
        <v>0</v>
      </c>
      <c r="W452" s="145">
        <v>0</v>
      </c>
      <c r="X452" s="145">
        <f t="shared" si="144"/>
        <v>0</v>
      </c>
      <c r="Y452" s="145">
        <v>0</v>
      </c>
      <c r="Z452" s="145">
        <v>0</v>
      </c>
      <c r="AA452" s="145">
        <v>0</v>
      </c>
      <c r="AB452" s="145">
        <v>0</v>
      </c>
      <c r="AC452" s="145">
        <v>0</v>
      </c>
      <c r="AD452" s="145">
        <v>0</v>
      </c>
      <c r="AE452" s="145">
        <v>0</v>
      </c>
      <c r="AF452" s="145">
        <v>0</v>
      </c>
      <c r="AG452" s="145">
        <v>0</v>
      </c>
      <c r="AH452" s="145">
        <v>0</v>
      </c>
      <c r="AI452" s="145">
        <v>0</v>
      </c>
      <c r="AJ452" s="145">
        <v>0</v>
      </c>
      <c r="AK452" s="145">
        <f t="shared" si="145"/>
        <v>0</v>
      </c>
      <c r="AL452" s="145">
        <v>83958.75</v>
      </c>
      <c r="AM452" s="145">
        <v>0</v>
      </c>
      <c r="AN452" s="145">
        <v>0</v>
      </c>
      <c r="AO452" s="145">
        <v>0</v>
      </c>
      <c r="AP452" s="145">
        <v>0</v>
      </c>
      <c r="AQ452" s="145">
        <v>0</v>
      </c>
      <c r="AR452" s="145">
        <v>0</v>
      </c>
      <c r="AS452" s="145">
        <f t="shared" si="146"/>
        <v>83958.75</v>
      </c>
      <c r="AT452" s="145"/>
      <c r="AU452" s="139">
        <f t="shared" si="148"/>
        <v>83958.75</v>
      </c>
      <c r="AV452" s="146">
        <f>IFERROR(VLOOKUP(J452,Maksājumu_pieprasījumu_iesn.!G:BL,57,0),0)</f>
        <v>0</v>
      </c>
      <c r="AW452" s="139">
        <f t="shared" si="138"/>
        <v>-83958.75</v>
      </c>
      <c r="AX452" s="153">
        <f t="shared" si="147"/>
        <v>10136.25</v>
      </c>
      <c r="AY452" s="153"/>
      <c r="AZ452" s="138" t="s">
        <v>1427</v>
      </c>
      <c r="BA452" s="138" t="s">
        <v>1427</v>
      </c>
      <c r="BB452" s="145"/>
      <c r="BC452" s="145"/>
      <c r="BD452" s="145"/>
      <c r="BE452" s="145"/>
      <c r="BF452" s="145"/>
      <c r="BG452" s="145"/>
      <c r="BH452" s="138"/>
      <c r="BI452" s="138"/>
      <c r="BJ452" s="138"/>
      <c r="BK452" s="138"/>
      <c r="BL452" s="138"/>
      <c r="BM452" s="138"/>
      <c r="BN452" s="138"/>
    </row>
    <row r="453" spans="1:66" ht="25.5" hidden="1" customHeight="1" x14ac:dyDescent="0.2">
      <c r="A453" s="142" t="s">
        <v>1348</v>
      </c>
      <c r="B453" s="18" t="s">
        <v>842</v>
      </c>
      <c r="C453" s="18" t="s">
        <v>843</v>
      </c>
      <c r="D453" s="19" t="s">
        <v>844</v>
      </c>
      <c r="E453" s="18">
        <v>2</v>
      </c>
      <c r="F453" s="18" t="s">
        <v>35</v>
      </c>
      <c r="G453" s="18" t="s">
        <v>5</v>
      </c>
      <c r="H453" s="18" t="s">
        <v>3</v>
      </c>
      <c r="I453" s="18"/>
      <c r="J453" s="18" t="s">
        <v>1516</v>
      </c>
      <c r="K453" s="19" t="s">
        <v>1517</v>
      </c>
      <c r="L453" s="19"/>
      <c r="M453" s="19"/>
      <c r="N453" s="19" t="s">
        <v>1518</v>
      </c>
      <c r="O453" s="143"/>
      <c r="P453" s="143"/>
      <c r="Q453" s="143"/>
      <c r="R453" s="187" t="s">
        <v>1519</v>
      </c>
      <c r="S453" s="144">
        <v>191715</v>
      </c>
      <c r="T453" s="144">
        <v>0</v>
      </c>
      <c r="U453" s="145">
        <v>0</v>
      </c>
      <c r="V453" s="145">
        <v>0</v>
      </c>
      <c r="W453" s="145">
        <v>0</v>
      </c>
      <c r="X453" s="145">
        <f t="shared" si="144"/>
        <v>0</v>
      </c>
      <c r="Y453" s="145">
        <v>0</v>
      </c>
      <c r="Z453" s="145">
        <v>0</v>
      </c>
      <c r="AA453" s="145">
        <v>0</v>
      </c>
      <c r="AB453" s="145">
        <v>0</v>
      </c>
      <c r="AC453" s="145">
        <v>0</v>
      </c>
      <c r="AD453" s="145">
        <v>0</v>
      </c>
      <c r="AE453" s="145">
        <v>0</v>
      </c>
      <c r="AF453" s="145">
        <v>0</v>
      </c>
      <c r="AG453" s="145">
        <v>0</v>
      </c>
      <c r="AH453" s="145">
        <v>0</v>
      </c>
      <c r="AI453" s="145">
        <v>0</v>
      </c>
      <c r="AJ453" s="145">
        <v>0</v>
      </c>
      <c r="AK453" s="145">
        <f t="shared" si="145"/>
        <v>0</v>
      </c>
      <c r="AL453" s="145">
        <v>191715</v>
      </c>
      <c r="AM453" s="145">
        <v>0</v>
      </c>
      <c r="AN453" s="145">
        <v>0</v>
      </c>
      <c r="AO453" s="145">
        <v>0</v>
      </c>
      <c r="AP453" s="145">
        <v>0</v>
      </c>
      <c r="AQ453" s="145">
        <v>0</v>
      </c>
      <c r="AR453" s="145">
        <v>0</v>
      </c>
      <c r="AS453" s="144">
        <f t="shared" si="146"/>
        <v>191715</v>
      </c>
      <c r="AT453" s="144"/>
      <c r="AU453" s="146">
        <f t="shared" si="148"/>
        <v>191715</v>
      </c>
      <c r="AV453" s="146">
        <f>IFERROR(VLOOKUP(J453,Maksājumu_pieprasījumu_iesn.!G:BL,57,0),0)</f>
        <v>0</v>
      </c>
      <c r="AW453" s="139">
        <f t="shared" si="138"/>
        <v>-191715</v>
      </c>
      <c r="AX453" s="147">
        <f t="shared" si="147"/>
        <v>0</v>
      </c>
      <c r="AY453" s="147"/>
      <c r="AZ453" s="147"/>
      <c r="BA453" s="165"/>
      <c r="BB453" s="144"/>
      <c r="BC453" s="144"/>
      <c r="BD453" s="144"/>
      <c r="BE453" s="144"/>
      <c r="BF453" s="144"/>
      <c r="BG453" s="144"/>
      <c r="BH453" s="149"/>
      <c r="BI453" s="149"/>
      <c r="BJ453" s="149"/>
      <c r="BK453" s="149"/>
      <c r="BL453" s="149"/>
      <c r="BM453" s="149"/>
      <c r="BN453" s="149"/>
    </row>
    <row r="454" spans="1:66" s="91" customFormat="1" ht="25.5" hidden="1" customHeight="1" x14ac:dyDescent="0.2">
      <c r="A454" s="150" t="s">
        <v>1348</v>
      </c>
      <c r="B454" s="18" t="s">
        <v>842</v>
      </c>
      <c r="C454" s="18" t="s">
        <v>843</v>
      </c>
      <c r="D454" s="19" t="s">
        <v>844</v>
      </c>
      <c r="E454" s="55">
        <v>2</v>
      </c>
      <c r="F454" s="55" t="s">
        <v>35</v>
      </c>
      <c r="G454" s="55" t="s">
        <v>5</v>
      </c>
      <c r="H454" s="55" t="s">
        <v>3</v>
      </c>
      <c r="I454" s="55"/>
      <c r="J454" s="55"/>
      <c r="K454" s="19" t="s">
        <v>1517</v>
      </c>
      <c r="L454" s="19"/>
      <c r="M454" s="19"/>
      <c r="N454" s="19" t="s">
        <v>1520</v>
      </c>
      <c r="O454" s="151">
        <v>43007</v>
      </c>
      <c r="P454" s="151"/>
      <c r="Q454" s="151"/>
      <c r="R454" s="151"/>
      <c r="S454" s="152">
        <v>120810</v>
      </c>
      <c r="T454" s="152">
        <v>0</v>
      </c>
      <c r="U454" s="145">
        <v>0</v>
      </c>
      <c r="V454" s="145">
        <v>0</v>
      </c>
      <c r="W454" s="145">
        <v>0</v>
      </c>
      <c r="X454" s="145">
        <f t="shared" si="144"/>
        <v>0</v>
      </c>
      <c r="Y454" s="145">
        <v>0</v>
      </c>
      <c r="Z454" s="145">
        <v>0</v>
      </c>
      <c r="AA454" s="145">
        <v>0</v>
      </c>
      <c r="AB454" s="145">
        <v>0</v>
      </c>
      <c r="AC454" s="145">
        <v>0</v>
      </c>
      <c r="AD454" s="145">
        <v>0</v>
      </c>
      <c r="AE454" s="145">
        <v>0</v>
      </c>
      <c r="AF454" s="145">
        <v>0</v>
      </c>
      <c r="AG454" s="145">
        <v>0</v>
      </c>
      <c r="AH454" s="145">
        <v>0</v>
      </c>
      <c r="AI454" s="145">
        <v>0</v>
      </c>
      <c r="AJ454" s="145">
        <v>0</v>
      </c>
      <c r="AK454" s="145">
        <f t="shared" si="145"/>
        <v>0</v>
      </c>
      <c r="AL454" s="145">
        <v>120810</v>
      </c>
      <c r="AM454" s="145">
        <v>0</v>
      </c>
      <c r="AN454" s="145">
        <v>0</v>
      </c>
      <c r="AO454" s="145">
        <v>0</v>
      </c>
      <c r="AP454" s="145">
        <v>0</v>
      </c>
      <c r="AQ454" s="145">
        <v>0</v>
      </c>
      <c r="AR454" s="145">
        <v>0</v>
      </c>
      <c r="AS454" s="145">
        <f t="shared" si="146"/>
        <v>120810</v>
      </c>
      <c r="AT454" s="145"/>
      <c r="AU454" s="139">
        <f t="shared" si="148"/>
        <v>120810</v>
      </c>
      <c r="AV454" s="146">
        <f>IFERROR(VLOOKUP(J454,Maksājumu_pieprasījumu_iesn.!G:BL,57,0),0)</f>
        <v>0</v>
      </c>
      <c r="AW454" s="139">
        <f t="shared" si="138"/>
        <v>-120810</v>
      </c>
      <c r="AX454" s="153">
        <f t="shared" si="147"/>
        <v>0</v>
      </c>
      <c r="AY454" s="153"/>
      <c r="AZ454" s="153"/>
      <c r="BA454" s="136"/>
      <c r="BB454" s="145"/>
      <c r="BC454" s="145"/>
      <c r="BD454" s="145"/>
      <c r="BE454" s="145"/>
      <c r="BF454" s="145"/>
      <c r="BG454" s="145"/>
      <c r="BH454" s="138"/>
      <c r="BI454" s="138"/>
      <c r="BJ454" s="138"/>
      <c r="BK454" s="138"/>
      <c r="BL454" s="138"/>
      <c r="BM454" s="138"/>
      <c r="BN454" s="138"/>
    </row>
    <row r="455" spans="1:66" s="91" customFormat="1" ht="38.25" hidden="1" customHeight="1" x14ac:dyDescent="0.2">
      <c r="A455" s="150" t="s">
        <v>1348</v>
      </c>
      <c r="B455" s="18" t="s">
        <v>842</v>
      </c>
      <c r="C455" s="18" t="s">
        <v>843</v>
      </c>
      <c r="D455" s="19" t="s">
        <v>844</v>
      </c>
      <c r="E455" s="55">
        <v>2</v>
      </c>
      <c r="F455" s="55" t="s">
        <v>35</v>
      </c>
      <c r="G455" s="55" t="s">
        <v>5</v>
      </c>
      <c r="H455" s="55" t="s">
        <v>3</v>
      </c>
      <c r="I455" s="55"/>
      <c r="J455" s="55"/>
      <c r="K455" s="19" t="s">
        <v>1517</v>
      </c>
      <c r="L455" s="19"/>
      <c r="M455" s="19"/>
      <c r="N455" s="19" t="s">
        <v>1521</v>
      </c>
      <c r="O455" s="151">
        <v>43007</v>
      </c>
      <c r="P455" s="151"/>
      <c r="Q455" s="151"/>
      <c r="R455" s="151"/>
      <c r="S455" s="152">
        <v>134770</v>
      </c>
      <c r="T455" s="152">
        <v>0</v>
      </c>
      <c r="U455" s="145">
        <v>0</v>
      </c>
      <c r="V455" s="145">
        <v>0</v>
      </c>
      <c r="W455" s="145">
        <v>0</v>
      </c>
      <c r="X455" s="145">
        <f t="shared" si="144"/>
        <v>0</v>
      </c>
      <c r="Y455" s="145">
        <v>0</v>
      </c>
      <c r="Z455" s="145">
        <v>0</v>
      </c>
      <c r="AA455" s="145">
        <v>0</v>
      </c>
      <c r="AB455" s="145">
        <v>0</v>
      </c>
      <c r="AC455" s="145">
        <v>0</v>
      </c>
      <c r="AD455" s="145">
        <v>0</v>
      </c>
      <c r="AE455" s="145">
        <v>0</v>
      </c>
      <c r="AF455" s="145">
        <v>0</v>
      </c>
      <c r="AG455" s="145">
        <v>0</v>
      </c>
      <c r="AH455" s="145">
        <v>0</v>
      </c>
      <c r="AI455" s="145">
        <v>0</v>
      </c>
      <c r="AJ455" s="145">
        <v>0</v>
      </c>
      <c r="AK455" s="145">
        <f t="shared" si="145"/>
        <v>0</v>
      </c>
      <c r="AL455" s="145">
        <v>134770</v>
      </c>
      <c r="AM455" s="145">
        <v>0</v>
      </c>
      <c r="AN455" s="145">
        <v>0</v>
      </c>
      <c r="AO455" s="145">
        <v>0</v>
      </c>
      <c r="AP455" s="145">
        <v>0</v>
      </c>
      <c r="AQ455" s="145">
        <v>0</v>
      </c>
      <c r="AR455" s="145">
        <v>0</v>
      </c>
      <c r="AS455" s="145">
        <f t="shared" si="146"/>
        <v>134770</v>
      </c>
      <c r="AT455" s="145"/>
      <c r="AU455" s="139">
        <f t="shared" si="148"/>
        <v>134770</v>
      </c>
      <c r="AV455" s="146">
        <f>IFERROR(VLOOKUP(J455,Maksājumu_pieprasījumu_iesn.!G:BL,57,0),0)</f>
        <v>0</v>
      </c>
      <c r="AW455" s="139">
        <f t="shared" si="138"/>
        <v>-134770</v>
      </c>
      <c r="AX455" s="153">
        <f t="shared" si="147"/>
        <v>0</v>
      </c>
      <c r="AY455" s="153"/>
      <c r="AZ455" s="153"/>
      <c r="BA455" s="136"/>
      <c r="BB455" s="145"/>
      <c r="BC455" s="145"/>
      <c r="BD455" s="145"/>
      <c r="BE455" s="145"/>
      <c r="BF455" s="145"/>
      <c r="BG455" s="145"/>
      <c r="BH455" s="138"/>
      <c r="BI455" s="138"/>
      <c r="BJ455" s="138"/>
      <c r="BK455" s="138"/>
      <c r="BL455" s="138"/>
      <c r="BM455" s="138"/>
      <c r="BN455" s="138"/>
    </row>
    <row r="456" spans="1:66" s="91" customFormat="1" ht="38.25" hidden="1" customHeight="1" x14ac:dyDescent="0.2">
      <c r="A456" s="150" t="s">
        <v>1348</v>
      </c>
      <c r="B456" s="18" t="s">
        <v>842</v>
      </c>
      <c r="C456" s="18" t="s">
        <v>843</v>
      </c>
      <c r="D456" s="19" t="s">
        <v>844</v>
      </c>
      <c r="E456" s="55">
        <v>2</v>
      </c>
      <c r="F456" s="55" t="s">
        <v>35</v>
      </c>
      <c r="G456" s="55" t="s">
        <v>5</v>
      </c>
      <c r="H456" s="55" t="s">
        <v>3</v>
      </c>
      <c r="I456" s="55"/>
      <c r="J456" s="55"/>
      <c r="K456" s="19" t="s">
        <v>708</v>
      </c>
      <c r="L456" s="19"/>
      <c r="M456" s="19"/>
      <c r="N456" s="19" t="s">
        <v>1522</v>
      </c>
      <c r="O456" s="151">
        <v>42916</v>
      </c>
      <c r="P456" s="151"/>
      <c r="Q456" s="151"/>
      <c r="R456" s="151"/>
      <c r="S456" s="152">
        <v>847000</v>
      </c>
      <c r="T456" s="152">
        <v>0</v>
      </c>
      <c r="U456" s="145">
        <v>0</v>
      </c>
      <c r="V456" s="145">
        <v>0</v>
      </c>
      <c r="W456" s="145">
        <v>0</v>
      </c>
      <c r="X456" s="145">
        <f t="shared" si="144"/>
        <v>0</v>
      </c>
      <c r="Y456" s="145">
        <v>0</v>
      </c>
      <c r="Z456" s="145">
        <v>0</v>
      </c>
      <c r="AA456" s="145">
        <v>0</v>
      </c>
      <c r="AB456" s="145">
        <v>0</v>
      </c>
      <c r="AC456" s="145">
        <v>0</v>
      </c>
      <c r="AD456" s="145">
        <v>0</v>
      </c>
      <c r="AE456" s="145">
        <v>0</v>
      </c>
      <c r="AF456" s="145">
        <v>0</v>
      </c>
      <c r="AG456" s="145">
        <v>0</v>
      </c>
      <c r="AH456" s="145">
        <v>0</v>
      </c>
      <c r="AI456" s="145">
        <v>0</v>
      </c>
      <c r="AJ456" s="145">
        <v>50000</v>
      </c>
      <c r="AK456" s="145">
        <f t="shared" si="145"/>
        <v>50000</v>
      </c>
      <c r="AL456" s="145">
        <v>797000</v>
      </c>
      <c r="AM456" s="145">
        <v>0</v>
      </c>
      <c r="AN456" s="145">
        <v>0</v>
      </c>
      <c r="AO456" s="145">
        <v>0</v>
      </c>
      <c r="AP456" s="145">
        <v>0</v>
      </c>
      <c r="AQ456" s="145">
        <v>0</v>
      </c>
      <c r="AR456" s="145">
        <v>0</v>
      </c>
      <c r="AS456" s="145">
        <f t="shared" si="146"/>
        <v>847000</v>
      </c>
      <c r="AT456" s="145"/>
      <c r="AU456" s="139">
        <f t="shared" si="148"/>
        <v>847000</v>
      </c>
      <c r="AV456" s="146">
        <f>IFERROR(VLOOKUP(J456,Maksājumu_pieprasījumu_iesn.!G:BL,57,0),0)</f>
        <v>0</v>
      </c>
      <c r="AW456" s="139">
        <f t="shared" si="138"/>
        <v>-847000</v>
      </c>
      <c r="AX456" s="153">
        <f t="shared" si="147"/>
        <v>0</v>
      </c>
      <c r="AY456" s="153"/>
      <c r="AZ456" s="153"/>
      <c r="BA456" s="136"/>
      <c r="BB456" s="145"/>
      <c r="BC456" s="145"/>
      <c r="BD456" s="145"/>
      <c r="BE456" s="145"/>
      <c r="BF456" s="145"/>
      <c r="BG456" s="145"/>
      <c r="BH456" s="138"/>
      <c r="BI456" s="138"/>
      <c r="BJ456" s="138"/>
      <c r="BK456" s="138"/>
      <c r="BL456" s="138"/>
      <c r="BM456" s="138"/>
      <c r="BN456" s="138"/>
    </row>
    <row r="457" spans="1:66" s="91" customFormat="1" ht="25.5" hidden="1" customHeight="1" x14ac:dyDescent="0.2">
      <c r="A457" s="150" t="s">
        <v>1348</v>
      </c>
      <c r="B457" s="18" t="s">
        <v>842</v>
      </c>
      <c r="C457" s="18" t="s">
        <v>843</v>
      </c>
      <c r="D457" s="19" t="s">
        <v>844</v>
      </c>
      <c r="E457" s="55">
        <v>2</v>
      </c>
      <c r="F457" s="55" t="s">
        <v>35</v>
      </c>
      <c r="G457" s="55" t="s">
        <v>5</v>
      </c>
      <c r="H457" s="55" t="s">
        <v>3</v>
      </c>
      <c r="I457" s="55"/>
      <c r="J457" s="55"/>
      <c r="K457" s="19" t="s">
        <v>708</v>
      </c>
      <c r="L457" s="19"/>
      <c r="M457" s="19"/>
      <c r="N457" s="19" t="s">
        <v>1523</v>
      </c>
      <c r="O457" s="151">
        <v>42886</v>
      </c>
      <c r="P457" s="151"/>
      <c r="Q457" s="151"/>
      <c r="R457" s="151"/>
      <c r="S457" s="152">
        <v>153000</v>
      </c>
      <c r="T457" s="152">
        <v>0</v>
      </c>
      <c r="U457" s="145">
        <v>0</v>
      </c>
      <c r="V457" s="145">
        <v>0</v>
      </c>
      <c r="W457" s="145">
        <v>0</v>
      </c>
      <c r="X457" s="145">
        <f t="shared" si="144"/>
        <v>0</v>
      </c>
      <c r="Y457" s="145">
        <v>0</v>
      </c>
      <c r="Z457" s="145">
        <v>0</v>
      </c>
      <c r="AA457" s="145">
        <v>0</v>
      </c>
      <c r="AB457" s="145">
        <v>0</v>
      </c>
      <c r="AC457" s="145">
        <v>0</v>
      </c>
      <c r="AD457" s="145">
        <v>0</v>
      </c>
      <c r="AE457" s="145">
        <v>0</v>
      </c>
      <c r="AF457" s="145">
        <v>0</v>
      </c>
      <c r="AG457" s="145">
        <v>0</v>
      </c>
      <c r="AH457" s="145">
        <v>0</v>
      </c>
      <c r="AI457" s="145">
        <v>15000</v>
      </c>
      <c r="AJ457" s="145">
        <v>25000</v>
      </c>
      <c r="AK457" s="145">
        <f t="shared" si="145"/>
        <v>40000</v>
      </c>
      <c r="AL457" s="145">
        <v>113000</v>
      </c>
      <c r="AM457" s="145">
        <v>0</v>
      </c>
      <c r="AN457" s="145">
        <v>0</v>
      </c>
      <c r="AO457" s="145">
        <v>0</v>
      </c>
      <c r="AP457" s="145">
        <v>0</v>
      </c>
      <c r="AQ457" s="145">
        <v>0</v>
      </c>
      <c r="AR457" s="145">
        <v>0</v>
      </c>
      <c r="AS457" s="145">
        <f t="shared" si="146"/>
        <v>153000</v>
      </c>
      <c r="AT457" s="145"/>
      <c r="AU457" s="139">
        <f t="shared" si="148"/>
        <v>153000</v>
      </c>
      <c r="AV457" s="146">
        <f>IFERROR(VLOOKUP(J457,Maksājumu_pieprasījumu_iesn.!G:BL,57,0),0)</f>
        <v>0</v>
      </c>
      <c r="AW457" s="139">
        <f t="shared" si="138"/>
        <v>-153000</v>
      </c>
      <c r="AX457" s="153">
        <f t="shared" si="147"/>
        <v>0</v>
      </c>
      <c r="AY457" s="153"/>
      <c r="AZ457" s="153"/>
      <c r="BA457" s="136"/>
      <c r="BB457" s="145"/>
      <c r="BC457" s="145"/>
      <c r="BD457" s="145"/>
      <c r="BE457" s="145"/>
      <c r="BF457" s="145"/>
      <c r="BG457" s="145"/>
      <c r="BH457" s="138"/>
      <c r="BI457" s="138"/>
      <c r="BJ457" s="138"/>
      <c r="BK457" s="138"/>
      <c r="BL457" s="138"/>
      <c r="BM457" s="138"/>
      <c r="BN457" s="138"/>
    </row>
    <row r="458" spans="1:66" s="91" customFormat="1" ht="51" hidden="1" customHeight="1" x14ac:dyDescent="0.2">
      <c r="A458" s="150" t="s">
        <v>1348</v>
      </c>
      <c r="B458" s="18" t="s">
        <v>842</v>
      </c>
      <c r="C458" s="18" t="s">
        <v>843</v>
      </c>
      <c r="D458" s="19" t="s">
        <v>844</v>
      </c>
      <c r="E458" s="55">
        <v>2</v>
      </c>
      <c r="F458" s="55" t="s">
        <v>35</v>
      </c>
      <c r="G458" s="55" t="s">
        <v>5</v>
      </c>
      <c r="H458" s="55" t="s">
        <v>3</v>
      </c>
      <c r="I458" s="55"/>
      <c r="J458" s="55"/>
      <c r="K458" s="19" t="s">
        <v>1275</v>
      </c>
      <c r="L458" s="19"/>
      <c r="M458" s="19"/>
      <c r="N458" s="19" t="s">
        <v>1524</v>
      </c>
      <c r="O458" s="151">
        <v>42978</v>
      </c>
      <c r="P458" s="151"/>
      <c r="Q458" s="151"/>
      <c r="R458" s="151"/>
      <c r="S458" s="152">
        <v>233384</v>
      </c>
      <c r="T458" s="152">
        <v>0</v>
      </c>
      <c r="U458" s="145">
        <v>0</v>
      </c>
      <c r="V458" s="145">
        <v>0</v>
      </c>
      <c r="W458" s="145">
        <v>0</v>
      </c>
      <c r="X458" s="145">
        <f t="shared" si="144"/>
        <v>0</v>
      </c>
      <c r="Y458" s="145">
        <v>0</v>
      </c>
      <c r="Z458" s="145">
        <v>0</v>
      </c>
      <c r="AA458" s="145">
        <v>0</v>
      </c>
      <c r="AB458" s="145">
        <v>0</v>
      </c>
      <c r="AC458" s="145">
        <v>0</v>
      </c>
      <c r="AD458" s="145">
        <v>0</v>
      </c>
      <c r="AE458" s="145">
        <v>0</v>
      </c>
      <c r="AF458" s="145">
        <v>0</v>
      </c>
      <c r="AG458" s="145">
        <v>0</v>
      </c>
      <c r="AH458" s="145">
        <v>0</v>
      </c>
      <c r="AI458" s="145">
        <v>0</v>
      </c>
      <c r="AJ458" s="145">
        <v>0</v>
      </c>
      <c r="AK458" s="145">
        <f t="shared" si="145"/>
        <v>0</v>
      </c>
      <c r="AL458" s="145">
        <v>233384</v>
      </c>
      <c r="AM458" s="145">
        <v>0</v>
      </c>
      <c r="AN458" s="145">
        <v>0</v>
      </c>
      <c r="AO458" s="145">
        <v>0</v>
      </c>
      <c r="AP458" s="145">
        <v>0</v>
      </c>
      <c r="AQ458" s="145">
        <v>0</v>
      </c>
      <c r="AR458" s="145">
        <v>0</v>
      </c>
      <c r="AS458" s="145">
        <f t="shared" si="146"/>
        <v>233384</v>
      </c>
      <c r="AT458" s="145"/>
      <c r="AU458" s="139">
        <f t="shared" si="148"/>
        <v>233384</v>
      </c>
      <c r="AV458" s="146">
        <f>IFERROR(VLOOKUP(J458,Maksājumu_pieprasījumu_iesn.!G:BL,57,0),0)</f>
        <v>0</v>
      </c>
      <c r="AW458" s="139">
        <f t="shared" si="138"/>
        <v>-233384</v>
      </c>
      <c r="AX458" s="153">
        <f t="shared" si="147"/>
        <v>0</v>
      </c>
      <c r="AY458" s="153"/>
      <c r="AZ458" s="153"/>
      <c r="BA458" s="136"/>
      <c r="BB458" s="145"/>
      <c r="BC458" s="145"/>
      <c r="BD458" s="145"/>
      <c r="BE458" s="145"/>
      <c r="BF458" s="145"/>
      <c r="BG458" s="145"/>
      <c r="BH458" s="138"/>
      <c r="BI458" s="138"/>
      <c r="BJ458" s="138"/>
      <c r="BK458" s="138"/>
      <c r="BL458" s="138"/>
      <c r="BM458" s="138"/>
      <c r="BN458" s="138"/>
    </row>
    <row r="459" spans="1:66" s="91" customFormat="1" ht="25.5" hidden="1" customHeight="1" x14ac:dyDescent="0.2">
      <c r="A459" s="150" t="s">
        <v>1348</v>
      </c>
      <c r="B459" s="18" t="s">
        <v>842</v>
      </c>
      <c r="C459" s="18" t="s">
        <v>843</v>
      </c>
      <c r="D459" s="19" t="s">
        <v>844</v>
      </c>
      <c r="E459" s="55">
        <v>2</v>
      </c>
      <c r="F459" s="55" t="s">
        <v>35</v>
      </c>
      <c r="G459" s="55" t="s">
        <v>5</v>
      </c>
      <c r="H459" s="55" t="s">
        <v>3</v>
      </c>
      <c r="I459" s="55"/>
      <c r="J459" s="55"/>
      <c r="K459" s="19" t="s">
        <v>1525</v>
      </c>
      <c r="L459" s="19"/>
      <c r="M459" s="19"/>
      <c r="N459" s="19" t="s">
        <v>1526</v>
      </c>
      <c r="O459" s="151">
        <v>43008</v>
      </c>
      <c r="P459" s="151"/>
      <c r="Q459" s="151"/>
      <c r="R459" s="151"/>
      <c r="S459" s="152">
        <v>148800</v>
      </c>
      <c r="T459" s="152">
        <v>0</v>
      </c>
      <c r="U459" s="145">
        <v>0</v>
      </c>
      <c r="V459" s="145">
        <v>0</v>
      </c>
      <c r="W459" s="145">
        <v>0</v>
      </c>
      <c r="X459" s="145">
        <f t="shared" si="144"/>
        <v>0</v>
      </c>
      <c r="Y459" s="145">
        <v>0</v>
      </c>
      <c r="Z459" s="145">
        <v>0</v>
      </c>
      <c r="AA459" s="145">
        <v>0</v>
      </c>
      <c r="AB459" s="145">
        <v>0</v>
      </c>
      <c r="AC459" s="145">
        <v>0</v>
      </c>
      <c r="AD459" s="145">
        <v>0</v>
      </c>
      <c r="AE459" s="145">
        <v>0</v>
      </c>
      <c r="AF459" s="145">
        <v>0</v>
      </c>
      <c r="AG459" s="145">
        <v>0</v>
      </c>
      <c r="AH459" s="145">
        <v>0</v>
      </c>
      <c r="AI459" s="145">
        <v>0</v>
      </c>
      <c r="AJ459" s="145">
        <v>0</v>
      </c>
      <c r="AK459" s="145">
        <f t="shared" si="145"/>
        <v>0</v>
      </c>
      <c r="AL459" s="145">
        <v>148800</v>
      </c>
      <c r="AM459" s="145">
        <v>0</v>
      </c>
      <c r="AN459" s="145">
        <v>0</v>
      </c>
      <c r="AO459" s="145">
        <v>0</v>
      </c>
      <c r="AP459" s="145">
        <v>0</v>
      </c>
      <c r="AQ459" s="145">
        <v>0</v>
      </c>
      <c r="AR459" s="145">
        <v>0</v>
      </c>
      <c r="AS459" s="145">
        <f t="shared" si="146"/>
        <v>148800</v>
      </c>
      <c r="AT459" s="145"/>
      <c r="AU459" s="139">
        <f t="shared" si="148"/>
        <v>148800</v>
      </c>
      <c r="AV459" s="146">
        <f>IFERROR(VLOOKUP(J459,Maksājumu_pieprasījumu_iesn.!G:BL,57,0),0)</f>
        <v>0</v>
      </c>
      <c r="AW459" s="139">
        <f t="shared" si="138"/>
        <v>-148800</v>
      </c>
      <c r="AX459" s="153">
        <f t="shared" si="147"/>
        <v>0</v>
      </c>
      <c r="AY459" s="153"/>
      <c r="AZ459" s="153"/>
      <c r="BA459" s="136"/>
      <c r="BB459" s="145"/>
      <c r="BC459" s="145"/>
      <c r="BD459" s="145"/>
      <c r="BE459" s="145"/>
      <c r="BF459" s="145"/>
      <c r="BG459" s="145"/>
      <c r="BH459" s="138"/>
      <c r="BI459" s="138"/>
      <c r="BJ459" s="138"/>
      <c r="BK459" s="138"/>
      <c r="BL459" s="138"/>
      <c r="BM459" s="138"/>
      <c r="BN459" s="138"/>
    </row>
    <row r="460" spans="1:66" s="91" customFormat="1" ht="38.25" hidden="1" customHeight="1" x14ac:dyDescent="0.2">
      <c r="A460" s="150" t="s">
        <v>1348</v>
      </c>
      <c r="B460" s="18" t="s">
        <v>842</v>
      </c>
      <c r="C460" s="18" t="s">
        <v>843</v>
      </c>
      <c r="D460" s="19" t="s">
        <v>844</v>
      </c>
      <c r="E460" s="55">
        <v>2</v>
      </c>
      <c r="F460" s="55" t="s">
        <v>35</v>
      </c>
      <c r="G460" s="55" t="s">
        <v>5</v>
      </c>
      <c r="H460" s="55" t="s">
        <v>3</v>
      </c>
      <c r="I460" s="55"/>
      <c r="J460" s="55"/>
      <c r="K460" s="19" t="s">
        <v>913</v>
      </c>
      <c r="L460" s="19"/>
      <c r="M460" s="19"/>
      <c r="N460" s="19" t="s">
        <v>1527</v>
      </c>
      <c r="O460" s="151">
        <v>43056</v>
      </c>
      <c r="P460" s="151"/>
      <c r="Q460" s="151"/>
      <c r="R460" s="151"/>
      <c r="S460" s="152">
        <v>458150</v>
      </c>
      <c r="T460" s="152">
        <v>0</v>
      </c>
      <c r="U460" s="145">
        <v>0</v>
      </c>
      <c r="V460" s="145">
        <v>0</v>
      </c>
      <c r="W460" s="145">
        <v>0</v>
      </c>
      <c r="X460" s="145">
        <f t="shared" si="144"/>
        <v>0</v>
      </c>
      <c r="Y460" s="145">
        <v>0</v>
      </c>
      <c r="Z460" s="145">
        <v>0</v>
      </c>
      <c r="AA460" s="145">
        <v>0</v>
      </c>
      <c r="AB460" s="145">
        <v>0</v>
      </c>
      <c r="AC460" s="145">
        <v>0</v>
      </c>
      <c r="AD460" s="145">
        <v>0</v>
      </c>
      <c r="AE460" s="145">
        <v>0</v>
      </c>
      <c r="AF460" s="145">
        <v>0</v>
      </c>
      <c r="AG460" s="145">
        <v>0</v>
      </c>
      <c r="AH460" s="145">
        <v>0</v>
      </c>
      <c r="AI460" s="145">
        <v>0</v>
      </c>
      <c r="AJ460" s="145">
        <v>0</v>
      </c>
      <c r="AK460" s="145">
        <f t="shared" si="145"/>
        <v>0</v>
      </c>
      <c r="AL460" s="145">
        <v>458150</v>
      </c>
      <c r="AM460" s="145">
        <v>0</v>
      </c>
      <c r="AN460" s="145">
        <v>0</v>
      </c>
      <c r="AO460" s="145">
        <v>0</v>
      </c>
      <c r="AP460" s="145">
        <v>0</v>
      </c>
      <c r="AQ460" s="145">
        <v>0</v>
      </c>
      <c r="AR460" s="145">
        <v>0</v>
      </c>
      <c r="AS460" s="145">
        <f t="shared" si="146"/>
        <v>458150</v>
      </c>
      <c r="AT460" s="145"/>
      <c r="AU460" s="139">
        <f t="shared" si="148"/>
        <v>458150</v>
      </c>
      <c r="AV460" s="146">
        <f>IFERROR(VLOOKUP(J460,Maksājumu_pieprasījumu_iesn.!G:BL,57,0),0)</f>
        <v>0</v>
      </c>
      <c r="AW460" s="139">
        <f t="shared" si="138"/>
        <v>-458150</v>
      </c>
      <c r="AX460" s="153">
        <f t="shared" si="147"/>
        <v>0</v>
      </c>
      <c r="AY460" s="153"/>
      <c r="AZ460" s="153"/>
      <c r="BA460" s="136"/>
      <c r="BB460" s="145"/>
      <c r="BC460" s="145"/>
      <c r="BD460" s="145"/>
      <c r="BE460" s="145"/>
      <c r="BF460" s="145"/>
      <c r="BG460" s="145"/>
      <c r="BH460" s="138"/>
      <c r="BI460" s="138"/>
      <c r="BJ460" s="138"/>
      <c r="BK460" s="138"/>
      <c r="BL460" s="138"/>
      <c r="BM460" s="138"/>
      <c r="BN460" s="138"/>
    </row>
    <row r="461" spans="1:66" s="91" customFormat="1" ht="38.25" hidden="1" customHeight="1" x14ac:dyDescent="0.2">
      <c r="A461" s="150" t="s">
        <v>1348</v>
      </c>
      <c r="B461" s="18" t="s">
        <v>842</v>
      </c>
      <c r="C461" s="18" t="s">
        <v>843</v>
      </c>
      <c r="D461" s="19" t="s">
        <v>844</v>
      </c>
      <c r="E461" s="55">
        <v>2</v>
      </c>
      <c r="F461" s="55" t="s">
        <v>35</v>
      </c>
      <c r="G461" s="55" t="s">
        <v>5</v>
      </c>
      <c r="H461" s="55" t="s">
        <v>3</v>
      </c>
      <c r="I461" s="55"/>
      <c r="J461" s="55"/>
      <c r="K461" s="19" t="s">
        <v>1528</v>
      </c>
      <c r="L461" s="19"/>
      <c r="M461" s="19"/>
      <c r="N461" s="19" t="s">
        <v>1529</v>
      </c>
      <c r="O461" s="151">
        <v>43039</v>
      </c>
      <c r="P461" s="151"/>
      <c r="Q461" s="151"/>
      <c r="R461" s="151"/>
      <c r="S461" s="152">
        <v>147845</v>
      </c>
      <c r="T461" s="152">
        <v>0</v>
      </c>
      <c r="U461" s="145">
        <v>0</v>
      </c>
      <c r="V461" s="145">
        <v>0</v>
      </c>
      <c r="W461" s="145">
        <v>0</v>
      </c>
      <c r="X461" s="145">
        <f t="shared" si="144"/>
        <v>0</v>
      </c>
      <c r="Y461" s="145">
        <v>0</v>
      </c>
      <c r="Z461" s="145">
        <v>0</v>
      </c>
      <c r="AA461" s="145">
        <v>0</v>
      </c>
      <c r="AB461" s="145">
        <v>0</v>
      </c>
      <c r="AC461" s="145">
        <v>0</v>
      </c>
      <c r="AD461" s="145">
        <v>0</v>
      </c>
      <c r="AE461" s="145">
        <v>0</v>
      </c>
      <c r="AF461" s="145">
        <v>0</v>
      </c>
      <c r="AG461" s="145">
        <v>0</v>
      </c>
      <c r="AH461" s="145">
        <v>0</v>
      </c>
      <c r="AI461" s="145">
        <v>0</v>
      </c>
      <c r="AJ461" s="145">
        <v>0</v>
      </c>
      <c r="AK461" s="145">
        <f t="shared" si="145"/>
        <v>0</v>
      </c>
      <c r="AL461" s="145">
        <v>147845</v>
      </c>
      <c r="AM461" s="145">
        <v>0</v>
      </c>
      <c r="AN461" s="145">
        <v>0</v>
      </c>
      <c r="AO461" s="145">
        <v>0</v>
      </c>
      <c r="AP461" s="145">
        <v>0</v>
      </c>
      <c r="AQ461" s="145">
        <v>0</v>
      </c>
      <c r="AR461" s="145">
        <v>0</v>
      </c>
      <c r="AS461" s="145">
        <f t="shared" si="146"/>
        <v>147845</v>
      </c>
      <c r="AT461" s="145"/>
      <c r="AU461" s="139">
        <f t="shared" si="148"/>
        <v>147845</v>
      </c>
      <c r="AV461" s="146">
        <f>IFERROR(VLOOKUP(J461,Maksājumu_pieprasījumu_iesn.!G:BL,57,0),0)</f>
        <v>0</v>
      </c>
      <c r="AW461" s="139">
        <f t="shared" si="138"/>
        <v>-147845</v>
      </c>
      <c r="AX461" s="153">
        <f t="shared" si="147"/>
        <v>0</v>
      </c>
      <c r="AY461" s="153"/>
      <c r="AZ461" s="153"/>
      <c r="BA461" s="136"/>
      <c r="BB461" s="145"/>
      <c r="BC461" s="145"/>
      <c r="BD461" s="145"/>
      <c r="BE461" s="145"/>
      <c r="BF461" s="145"/>
      <c r="BG461" s="145"/>
      <c r="BH461" s="138"/>
      <c r="BI461" s="138"/>
      <c r="BJ461" s="138"/>
      <c r="BK461" s="138"/>
      <c r="BL461" s="138"/>
      <c r="BM461" s="138"/>
      <c r="BN461" s="138"/>
    </row>
    <row r="462" spans="1:66" s="91" customFormat="1" ht="38.25" hidden="1" customHeight="1" x14ac:dyDescent="0.2">
      <c r="A462" s="150" t="s">
        <v>1348</v>
      </c>
      <c r="B462" s="18" t="s">
        <v>842</v>
      </c>
      <c r="C462" s="18" t="s">
        <v>843</v>
      </c>
      <c r="D462" s="19" t="s">
        <v>844</v>
      </c>
      <c r="E462" s="55">
        <v>2</v>
      </c>
      <c r="F462" s="55" t="s">
        <v>35</v>
      </c>
      <c r="G462" s="55" t="s">
        <v>5</v>
      </c>
      <c r="H462" s="55" t="s">
        <v>3</v>
      </c>
      <c r="I462" s="55"/>
      <c r="J462" s="55"/>
      <c r="K462" s="19" t="s">
        <v>1287</v>
      </c>
      <c r="L462" s="19"/>
      <c r="M462" s="19"/>
      <c r="N462" s="19" t="s">
        <v>1530</v>
      </c>
      <c r="O462" s="151">
        <v>43039</v>
      </c>
      <c r="P462" s="151"/>
      <c r="Q462" s="151"/>
      <c r="R462" s="151"/>
      <c r="S462" s="152">
        <v>207498</v>
      </c>
      <c r="T462" s="152">
        <v>0</v>
      </c>
      <c r="U462" s="145">
        <v>0</v>
      </c>
      <c r="V462" s="145">
        <v>0</v>
      </c>
      <c r="W462" s="145">
        <v>0</v>
      </c>
      <c r="X462" s="145">
        <f t="shared" si="144"/>
        <v>0</v>
      </c>
      <c r="Y462" s="145">
        <v>0</v>
      </c>
      <c r="Z462" s="145">
        <v>0</v>
      </c>
      <c r="AA462" s="145">
        <v>0</v>
      </c>
      <c r="AB462" s="145">
        <v>0</v>
      </c>
      <c r="AC462" s="145">
        <v>0</v>
      </c>
      <c r="AD462" s="145">
        <v>0</v>
      </c>
      <c r="AE462" s="145">
        <v>0</v>
      </c>
      <c r="AF462" s="145">
        <v>0</v>
      </c>
      <c r="AG462" s="145">
        <v>0</v>
      </c>
      <c r="AH462" s="145">
        <v>0</v>
      </c>
      <c r="AI462" s="145">
        <v>0</v>
      </c>
      <c r="AJ462" s="145">
        <v>0</v>
      </c>
      <c r="AK462" s="145">
        <f t="shared" si="145"/>
        <v>0</v>
      </c>
      <c r="AL462" s="145">
        <v>207498</v>
      </c>
      <c r="AM462" s="145">
        <v>0</v>
      </c>
      <c r="AN462" s="145">
        <v>0</v>
      </c>
      <c r="AO462" s="145">
        <v>0</v>
      </c>
      <c r="AP462" s="145">
        <v>0</v>
      </c>
      <c r="AQ462" s="145">
        <v>0</v>
      </c>
      <c r="AR462" s="145">
        <v>0</v>
      </c>
      <c r="AS462" s="145">
        <f t="shared" si="146"/>
        <v>207498</v>
      </c>
      <c r="AT462" s="145"/>
      <c r="AU462" s="139">
        <f t="shared" si="148"/>
        <v>207498</v>
      </c>
      <c r="AV462" s="146">
        <f>IFERROR(VLOOKUP(J462,Maksājumu_pieprasījumu_iesn.!G:BL,57,0),0)</f>
        <v>0</v>
      </c>
      <c r="AW462" s="139">
        <f t="shared" si="138"/>
        <v>-207498</v>
      </c>
      <c r="AX462" s="153">
        <f t="shared" si="147"/>
        <v>0</v>
      </c>
      <c r="AY462" s="153"/>
      <c r="AZ462" s="153"/>
      <c r="BA462" s="136"/>
      <c r="BB462" s="145"/>
      <c r="BC462" s="145"/>
      <c r="BD462" s="145"/>
      <c r="BE462" s="145"/>
      <c r="BF462" s="145"/>
      <c r="BG462" s="145"/>
      <c r="BH462" s="138"/>
      <c r="BI462" s="138"/>
      <c r="BJ462" s="138"/>
      <c r="BK462" s="138"/>
      <c r="BL462" s="138"/>
      <c r="BM462" s="138"/>
      <c r="BN462" s="138"/>
    </row>
    <row r="463" spans="1:66" s="91" customFormat="1" ht="38.25" hidden="1" customHeight="1" x14ac:dyDescent="0.2">
      <c r="A463" s="150" t="s">
        <v>1348</v>
      </c>
      <c r="B463" s="18" t="s">
        <v>842</v>
      </c>
      <c r="C463" s="18" t="s">
        <v>843</v>
      </c>
      <c r="D463" s="19" t="s">
        <v>844</v>
      </c>
      <c r="E463" s="55">
        <v>2</v>
      </c>
      <c r="F463" s="55" t="s">
        <v>35</v>
      </c>
      <c r="G463" s="55" t="s">
        <v>5</v>
      </c>
      <c r="H463" s="55" t="s">
        <v>3</v>
      </c>
      <c r="I463" s="55"/>
      <c r="J463" s="55"/>
      <c r="K463" s="19" t="s">
        <v>1287</v>
      </c>
      <c r="L463" s="19"/>
      <c r="M463" s="19"/>
      <c r="N463" s="19" t="s">
        <v>1531</v>
      </c>
      <c r="O463" s="151">
        <v>43039</v>
      </c>
      <c r="P463" s="151"/>
      <c r="Q463" s="151"/>
      <c r="R463" s="151"/>
      <c r="S463" s="152">
        <v>773328</v>
      </c>
      <c r="T463" s="152">
        <v>0</v>
      </c>
      <c r="U463" s="145">
        <v>0</v>
      </c>
      <c r="V463" s="145">
        <v>0</v>
      </c>
      <c r="W463" s="145">
        <v>0</v>
      </c>
      <c r="X463" s="145">
        <f t="shared" si="144"/>
        <v>0</v>
      </c>
      <c r="Y463" s="145">
        <v>0</v>
      </c>
      <c r="Z463" s="145">
        <v>0</v>
      </c>
      <c r="AA463" s="145">
        <v>0</v>
      </c>
      <c r="AB463" s="145">
        <v>0</v>
      </c>
      <c r="AC463" s="145">
        <v>0</v>
      </c>
      <c r="AD463" s="145">
        <v>0</v>
      </c>
      <c r="AE463" s="145">
        <v>0</v>
      </c>
      <c r="AF463" s="145">
        <v>0</v>
      </c>
      <c r="AG463" s="145">
        <v>0</v>
      </c>
      <c r="AH463" s="145">
        <v>0</v>
      </c>
      <c r="AI463" s="145">
        <v>0</v>
      </c>
      <c r="AJ463" s="145">
        <v>0</v>
      </c>
      <c r="AK463" s="145">
        <f t="shared" si="145"/>
        <v>0</v>
      </c>
      <c r="AL463" s="145">
        <v>773328</v>
      </c>
      <c r="AM463" s="145">
        <v>0</v>
      </c>
      <c r="AN463" s="145">
        <v>0</v>
      </c>
      <c r="AO463" s="145">
        <v>0</v>
      </c>
      <c r="AP463" s="145">
        <v>0</v>
      </c>
      <c r="AQ463" s="145">
        <v>0</v>
      </c>
      <c r="AR463" s="145">
        <v>0</v>
      </c>
      <c r="AS463" s="145">
        <f t="shared" si="146"/>
        <v>773328</v>
      </c>
      <c r="AT463" s="145"/>
      <c r="AU463" s="139">
        <f t="shared" si="148"/>
        <v>773328</v>
      </c>
      <c r="AV463" s="146">
        <f>IFERROR(VLOOKUP(J463,Maksājumu_pieprasījumu_iesn.!G:BL,57,0),0)</f>
        <v>0</v>
      </c>
      <c r="AW463" s="139">
        <f t="shared" si="138"/>
        <v>-773328</v>
      </c>
      <c r="AX463" s="153">
        <f t="shared" si="147"/>
        <v>0</v>
      </c>
      <c r="AY463" s="153"/>
      <c r="AZ463" s="153"/>
      <c r="BA463" s="136"/>
      <c r="BB463" s="145"/>
      <c r="BC463" s="145"/>
      <c r="BD463" s="145"/>
      <c r="BE463" s="145"/>
      <c r="BF463" s="145"/>
      <c r="BG463" s="145"/>
      <c r="BH463" s="138"/>
      <c r="BI463" s="138"/>
      <c r="BJ463" s="138"/>
      <c r="BK463" s="138"/>
      <c r="BL463" s="138"/>
      <c r="BM463" s="138"/>
      <c r="BN463" s="138"/>
    </row>
    <row r="464" spans="1:66" ht="51" hidden="1" customHeight="1" x14ac:dyDescent="0.2">
      <c r="A464" s="142" t="s">
        <v>1348</v>
      </c>
      <c r="B464" s="18" t="s">
        <v>842</v>
      </c>
      <c r="C464" s="18" t="s">
        <v>843</v>
      </c>
      <c r="D464" s="19" t="s">
        <v>844</v>
      </c>
      <c r="E464" s="18">
        <v>2</v>
      </c>
      <c r="F464" s="18" t="s">
        <v>35</v>
      </c>
      <c r="G464" s="18" t="s">
        <v>5</v>
      </c>
      <c r="H464" s="18" t="s">
        <v>3</v>
      </c>
      <c r="I464" s="18"/>
      <c r="J464" s="18" t="s">
        <v>775</v>
      </c>
      <c r="K464" s="19" t="s">
        <v>668</v>
      </c>
      <c r="L464" s="19"/>
      <c r="M464" s="19"/>
      <c r="N464" s="19" t="s">
        <v>845</v>
      </c>
      <c r="O464" s="143"/>
      <c r="P464" s="143"/>
      <c r="Q464" s="143"/>
      <c r="R464" s="187" t="s">
        <v>1532</v>
      </c>
      <c r="S464" s="144">
        <v>155521.07</v>
      </c>
      <c r="T464" s="144">
        <v>0</v>
      </c>
      <c r="U464" s="145">
        <v>0</v>
      </c>
      <c r="V464" s="145">
        <v>0</v>
      </c>
      <c r="W464" s="145">
        <v>0</v>
      </c>
      <c r="X464" s="145">
        <f t="shared" si="144"/>
        <v>0</v>
      </c>
      <c r="Y464" s="145">
        <v>0</v>
      </c>
      <c r="Z464" s="145">
        <v>0</v>
      </c>
      <c r="AA464" s="145">
        <v>0</v>
      </c>
      <c r="AB464" s="145">
        <v>0</v>
      </c>
      <c r="AC464" s="145">
        <v>0</v>
      </c>
      <c r="AD464" s="145">
        <v>0</v>
      </c>
      <c r="AE464" s="145">
        <v>0</v>
      </c>
      <c r="AF464" s="145">
        <v>0</v>
      </c>
      <c r="AG464" s="145">
        <v>0</v>
      </c>
      <c r="AH464" s="145">
        <v>0</v>
      </c>
      <c r="AI464" s="145">
        <v>0</v>
      </c>
      <c r="AJ464" s="145">
        <v>0</v>
      </c>
      <c r="AK464" s="145">
        <f t="shared" si="145"/>
        <v>0</v>
      </c>
      <c r="AL464" s="145">
        <v>155521.07</v>
      </c>
      <c r="AM464" s="145">
        <v>0</v>
      </c>
      <c r="AN464" s="145">
        <v>0</v>
      </c>
      <c r="AO464" s="145">
        <v>0</v>
      </c>
      <c r="AP464" s="145">
        <v>0</v>
      </c>
      <c r="AQ464" s="145">
        <v>0</v>
      </c>
      <c r="AR464" s="145">
        <v>0</v>
      </c>
      <c r="AS464" s="144">
        <f t="shared" si="146"/>
        <v>155521.07</v>
      </c>
      <c r="AT464" s="144"/>
      <c r="AU464" s="146">
        <f t="shared" si="148"/>
        <v>155521.07</v>
      </c>
      <c r="AV464" s="146">
        <f>IFERROR(VLOOKUP(J464,Maksājumu_pieprasījumu_iesn.!G:BL,57,0),0)</f>
        <v>0</v>
      </c>
      <c r="AW464" s="139">
        <f t="shared" ref="AW464:AW527" si="149">AV464-AU464</f>
        <v>-155521.07</v>
      </c>
      <c r="AX464" s="147">
        <f t="shared" si="147"/>
        <v>0</v>
      </c>
      <c r="AY464" s="147"/>
      <c r="AZ464" s="147"/>
      <c r="BA464" s="165"/>
      <c r="BB464" s="144"/>
      <c r="BC464" s="144"/>
      <c r="BD464" s="144"/>
      <c r="BE464" s="144"/>
      <c r="BF464" s="144"/>
      <c r="BG464" s="144"/>
      <c r="BH464" s="149"/>
      <c r="BI464" s="149"/>
      <c r="BJ464" s="149"/>
      <c r="BK464" s="149"/>
      <c r="BL464" s="149"/>
      <c r="BM464" s="149"/>
      <c r="BN464" s="149"/>
    </row>
    <row r="465" spans="1:66" s="91" customFormat="1" ht="38.25" hidden="1" customHeight="1" x14ac:dyDescent="0.2">
      <c r="A465" s="150" t="s">
        <v>1348</v>
      </c>
      <c r="B465" s="18" t="s">
        <v>842</v>
      </c>
      <c r="C465" s="18" t="s">
        <v>843</v>
      </c>
      <c r="D465" s="19" t="s">
        <v>844</v>
      </c>
      <c r="E465" s="55">
        <v>2</v>
      </c>
      <c r="F465" s="55" t="s">
        <v>35</v>
      </c>
      <c r="G465" s="55" t="s">
        <v>5</v>
      </c>
      <c r="H465" s="55" t="s">
        <v>3</v>
      </c>
      <c r="I465" s="55"/>
      <c r="J465" s="55"/>
      <c r="K465" s="19" t="s">
        <v>671</v>
      </c>
      <c r="L465" s="19"/>
      <c r="M465" s="19"/>
      <c r="N465" s="19" t="s">
        <v>1533</v>
      </c>
      <c r="O465" s="151">
        <v>43428</v>
      </c>
      <c r="P465" s="151"/>
      <c r="Q465" s="151"/>
      <c r="R465" s="151"/>
      <c r="S465" s="152">
        <v>356691</v>
      </c>
      <c r="T465" s="152">
        <v>0</v>
      </c>
      <c r="U465" s="145">
        <v>0</v>
      </c>
      <c r="V465" s="145">
        <v>0</v>
      </c>
      <c r="W465" s="145">
        <v>0</v>
      </c>
      <c r="X465" s="145">
        <f t="shared" si="144"/>
        <v>0</v>
      </c>
      <c r="Y465" s="145">
        <v>0</v>
      </c>
      <c r="Z465" s="145">
        <v>0</v>
      </c>
      <c r="AA465" s="145">
        <v>0</v>
      </c>
      <c r="AB465" s="145">
        <v>0</v>
      </c>
      <c r="AC465" s="145">
        <v>0</v>
      </c>
      <c r="AD465" s="145">
        <v>0</v>
      </c>
      <c r="AE465" s="145">
        <v>0</v>
      </c>
      <c r="AF465" s="145">
        <v>0</v>
      </c>
      <c r="AG465" s="145">
        <v>0</v>
      </c>
      <c r="AH465" s="145">
        <v>0</v>
      </c>
      <c r="AI465" s="145">
        <v>0</v>
      </c>
      <c r="AJ465" s="145">
        <v>0</v>
      </c>
      <c r="AK465" s="145">
        <f t="shared" si="145"/>
        <v>0</v>
      </c>
      <c r="AL465" s="145">
        <v>285352.8</v>
      </c>
      <c r="AM465" s="145">
        <v>71338.2</v>
      </c>
      <c r="AN465" s="145">
        <v>0</v>
      </c>
      <c r="AO465" s="145">
        <v>0</v>
      </c>
      <c r="AP465" s="145">
        <v>0</v>
      </c>
      <c r="AQ465" s="145">
        <v>0</v>
      </c>
      <c r="AR465" s="145">
        <v>0</v>
      </c>
      <c r="AS465" s="145">
        <f t="shared" si="146"/>
        <v>356691</v>
      </c>
      <c r="AT465" s="145"/>
      <c r="AU465" s="139">
        <f t="shared" si="148"/>
        <v>356691</v>
      </c>
      <c r="AV465" s="146">
        <f>IFERROR(VLOOKUP(J465,Maksājumu_pieprasījumu_iesn.!G:BL,57,0),0)</f>
        <v>0</v>
      </c>
      <c r="AW465" s="139">
        <f t="shared" si="149"/>
        <v>-356691</v>
      </c>
      <c r="AX465" s="153">
        <f t="shared" si="147"/>
        <v>0</v>
      </c>
      <c r="AY465" s="153"/>
      <c r="AZ465" s="153"/>
      <c r="BA465" s="136"/>
      <c r="BB465" s="145"/>
      <c r="BC465" s="145"/>
      <c r="BD465" s="145"/>
      <c r="BE465" s="145"/>
      <c r="BF465" s="145"/>
      <c r="BG465" s="145"/>
      <c r="BH465" s="138"/>
      <c r="BI465" s="138"/>
      <c r="BJ465" s="138"/>
      <c r="BK465" s="138"/>
      <c r="BL465" s="138"/>
      <c r="BM465" s="138"/>
      <c r="BN465" s="138"/>
    </row>
    <row r="466" spans="1:66" ht="51" hidden="1" customHeight="1" x14ac:dyDescent="0.2">
      <c r="A466" s="142" t="s">
        <v>1348</v>
      </c>
      <c r="B466" s="18" t="s">
        <v>842</v>
      </c>
      <c r="C466" s="18" t="s">
        <v>843</v>
      </c>
      <c r="D466" s="19" t="s">
        <v>844</v>
      </c>
      <c r="E466" s="18">
        <v>2</v>
      </c>
      <c r="F466" s="18" t="s">
        <v>35</v>
      </c>
      <c r="G466" s="18" t="s">
        <v>5</v>
      </c>
      <c r="H466" s="18" t="s">
        <v>3</v>
      </c>
      <c r="I466" s="18"/>
      <c r="J466" s="18" t="s">
        <v>1534</v>
      </c>
      <c r="K466" s="19" t="s">
        <v>711</v>
      </c>
      <c r="L466" s="19"/>
      <c r="M466" s="19"/>
      <c r="N466" s="19" t="s">
        <v>1535</v>
      </c>
      <c r="O466" s="143"/>
      <c r="P466" s="143"/>
      <c r="Q466" s="143"/>
      <c r="R466" s="187" t="s">
        <v>1536</v>
      </c>
      <c r="S466" s="144">
        <v>232487.7</v>
      </c>
      <c r="T466" s="144">
        <v>0</v>
      </c>
      <c r="U466" s="145">
        <v>0</v>
      </c>
      <c r="V466" s="145">
        <v>0</v>
      </c>
      <c r="W466" s="145">
        <v>0</v>
      </c>
      <c r="X466" s="145">
        <f t="shared" si="144"/>
        <v>0</v>
      </c>
      <c r="Y466" s="145">
        <v>0</v>
      </c>
      <c r="Z466" s="145">
        <v>0</v>
      </c>
      <c r="AA466" s="145">
        <v>0</v>
      </c>
      <c r="AB466" s="145">
        <v>0</v>
      </c>
      <c r="AC466" s="145">
        <v>0</v>
      </c>
      <c r="AD466" s="145">
        <v>0</v>
      </c>
      <c r="AE466" s="145">
        <v>0</v>
      </c>
      <c r="AF466" s="145">
        <v>0</v>
      </c>
      <c r="AG466" s="145">
        <v>0</v>
      </c>
      <c r="AH466" s="145">
        <v>0</v>
      </c>
      <c r="AI466" s="145">
        <v>0</v>
      </c>
      <c r="AJ466" s="145">
        <v>0</v>
      </c>
      <c r="AK466" s="145">
        <f t="shared" si="145"/>
        <v>0</v>
      </c>
      <c r="AL466" s="145">
        <v>232487.7</v>
      </c>
      <c r="AM466" s="145">
        <v>0</v>
      </c>
      <c r="AN466" s="145">
        <v>0</v>
      </c>
      <c r="AO466" s="145">
        <v>0</v>
      </c>
      <c r="AP466" s="145">
        <v>0</v>
      </c>
      <c r="AQ466" s="145">
        <v>0</v>
      </c>
      <c r="AR466" s="145">
        <v>0</v>
      </c>
      <c r="AS466" s="144">
        <f t="shared" si="146"/>
        <v>232487.7</v>
      </c>
      <c r="AT466" s="144"/>
      <c r="AU466" s="146">
        <f t="shared" si="148"/>
        <v>232487.7</v>
      </c>
      <c r="AV466" s="146">
        <f>IFERROR(VLOOKUP(J466,Maksājumu_pieprasījumu_iesn.!G:BL,57,0),0)</f>
        <v>0</v>
      </c>
      <c r="AW466" s="139">
        <f t="shared" si="149"/>
        <v>-232487.7</v>
      </c>
      <c r="AX466" s="147">
        <f t="shared" si="147"/>
        <v>0</v>
      </c>
      <c r="AY466" s="147"/>
      <c r="AZ466" s="147"/>
      <c r="BA466" s="165"/>
      <c r="BB466" s="144"/>
      <c r="BC466" s="144"/>
      <c r="BD466" s="144"/>
      <c r="BE466" s="144"/>
      <c r="BF466" s="144"/>
      <c r="BG466" s="144"/>
      <c r="BH466" s="149"/>
      <c r="BI466" s="149"/>
      <c r="BJ466" s="149"/>
      <c r="BK466" s="149"/>
      <c r="BL466" s="149"/>
      <c r="BM466" s="149"/>
      <c r="BN466" s="149"/>
    </row>
    <row r="467" spans="1:66" s="91" customFormat="1" ht="38.25" hidden="1" customHeight="1" x14ac:dyDescent="0.2">
      <c r="A467" s="150" t="s">
        <v>1348</v>
      </c>
      <c r="B467" s="18" t="s">
        <v>842</v>
      </c>
      <c r="C467" s="18" t="s">
        <v>843</v>
      </c>
      <c r="D467" s="19" t="s">
        <v>844</v>
      </c>
      <c r="E467" s="55">
        <v>2</v>
      </c>
      <c r="F467" s="55" t="s">
        <v>35</v>
      </c>
      <c r="G467" s="55" t="s">
        <v>5</v>
      </c>
      <c r="H467" s="55" t="s">
        <v>3</v>
      </c>
      <c r="I467" s="55"/>
      <c r="J467" s="55"/>
      <c r="K467" s="19" t="s">
        <v>1293</v>
      </c>
      <c r="L467" s="19"/>
      <c r="M467" s="19"/>
      <c r="N467" s="19" t="s">
        <v>1537</v>
      </c>
      <c r="O467" s="151">
        <v>43063</v>
      </c>
      <c r="P467" s="151"/>
      <c r="Q467" s="151"/>
      <c r="R467" s="151"/>
      <c r="S467" s="152">
        <v>159545</v>
      </c>
      <c r="T467" s="152">
        <v>0</v>
      </c>
      <c r="U467" s="145">
        <v>0</v>
      </c>
      <c r="V467" s="145">
        <v>0</v>
      </c>
      <c r="W467" s="145">
        <v>0</v>
      </c>
      <c r="X467" s="145">
        <f t="shared" si="144"/>
        <v>0</v>
      </c>
      <c r="Y467" s="145">
        <v>0</v>
      </c>
      <c r="Z467" s="145">
        <v>0</v>
      </c>
      <c r="AA467" s="145">
        <v>0</v>
      </c>
      <c r="AB467" s="145">
        <v>0</v>
      </c>
      <c r="AC467" s="145">
        <v>0</v>
      </c>
      <c r="AD467" s="145">
        <v>0</v>
      </c>
      <c r="AE467" s="145">
        <v>0</v>
      </c>
      <c r="AF467" s="145">
        <v>0</v>
      </c>
      <c r="AG467" s="145">
        <v>0</v>
      </c>
      <c r="AH467" s="145">
        <v>0</v>
      </c>
      <c r="AI467" s="145">
        <v>0</v>
      </c>
      <c r="AJ467" s="145">
        <v>0</v>
      </c>
      <c r="AK467" s="145">
        <f t="shared" si="145"/>
        <v>0</v>
      </c>
      <c r="AL467" s="145">
        <v>159545</v>
      </c>
      <c r="AM467" s="145">
        <v>0</v>
      </c>
      <c r="AN467" s="145">
        <v>0</v>
      </c>
      <c r="AO467" s="145">
        <v>0</v>
      </c>
      <c r="AP467" s="145">
        <v>0</v>
      </c>
      <c r="AQ467" s="145">
        <v>0</v>
      </c>
      <c r="AR467" s="145">
        <v>0</v>
      </c>
      <c r="AS467" s="145">
        <f t="shared" si="146"/>
        <v>159545</v>
      </c>
      <c r="AT467" s="145"/>
      <c r="AU467" s="139">
        <f t="shared" si="148"/>
        <v>159545</v>
      </c>
      <c r="AV467" s="146">
        <f>IFERROR(VLOOKUP(J467,Maksājumu_pieprasījumu_iesn.!G:BL,57,0),0)</f>
        <v>0</v>
      </c>
      <c r="AW467" s="139">
        <f t="shared" si="149"/>
        <v>-159545</v>
      </c>
      <c r="AX467" s="153">
        <f t="shared" si="147"/>
        <v>0</v>
      </c>
      <c r="AY467" s="153"/>
      <c r="AZ467" s="153"/>
      <c r="BA467" s="136"/>
      <c r="BB467" s="145"/>
      <c r="BC467" s="145"/>
      <c r="BD467" s="145"/>
      <c r="BE467" s="145"/>
      <c r="BF467" s="145"/>
      <c r="BG467" s="145"/>
      <c r="BH467" s="138"/>
      <c r="BI467" s="138"/>
      <c r="BJ467" s="138"/>
      <c r="BK467" s="138"/>
      <c r="BL467" s="138"/>
      <c r="BM467" s="138"/>
      <c r="BN467" s="138"/>
    </row>
    <row r="468" spans="1:66" s="91" customFormat="1" ht="25.5" hidden="1" customHeight="1" x14ac:dyDescent="0.2">
      <c r="A468" s="150" t="s">
        <v>1348</v>
      </c>
      <c r="B468" s="18" t="s">
        <v>842</v>
      </c>
      <c r="C468" s="18" t="s">
        <v>843</v>
      </c>
      <c r="D468" s="19" t="s">
        <v>844</v>
      </c>
      <c r="E468" s="55">
        <v>2</v>
      </c>
      <c r="F468" s="55" t="s">
        <v>35</v>
      </c>
      <c r="G468" s="55" t="s">
        <v>5</v>
      </c>
      <c r="H468" s="55" t="s">
        <v>3</v>
      </c>
      <c r="I468" s="55"/>
      <c r="J468" s="55"/>
      <c r="K468" s="19" t="s">
        <v>1293</v>
      </c>
      <c r="L468" s="19"/>
      <c r="M468" s="19"/>
      <c r="N468" s="19" t="s">
        <v>1538</v>
      </c>
      <c r="O468" s="151">
        <v>43063</v>
      </c>
      <c r="P468" s="151"/>
      <c r="Q468" s="151"/>
      <c r="R468" s="151"/>
      <c r="S468" s="152">
        <v>236725</v>
      </c>
      <c r="T468" s="152">
        <v>0</v>
      </c>
      <c r="U468" s="145">
        <v>0</v>
      </c>
      <c r="V468" s="145">
        <v>0</v>
      </c>
      <c r="W468" s="145">
        <v>0</v>
      </c>
      <c r="X468" s="145">
        <f t="shared" si="144"/>
        <v>0</v>
      </c>
      <c r="Y468" s="145">
        <v>0</v>
      </c>
      <c r="Z468" s="145">
        <v>0</v>
      </c>
      <c r="AA468" s="145">
        <v>0</v>
      </c>
      <c r="AB468" s="145">
        <v>0</v>
      </c>
      <c r="AC468" s="145">
        <v>0</v>
      </c>
      <c r="AD468" s="145">
        <v>0</v>
      </c>
      <c r="AE468" s="145">
        <v>0</v>
      </c>
      <c r="AF468" s="145">
        <v>0</v>
      </c>
      <c r="AG468" s="145">
        <v>0</v>
      </c>
      <c r="AH468" s="145">
        <v>0</v>
      </c>
      <c r="AI468" s="145">
        <v>0</v>
      </c>
      <c r="AJ468" s="145">
        <v>0</v>
      </c>
      <c r="AK468" s="145">
        <f t="shared" si="145"/>
        <v>0</v>
      </c>
      <c r="AL468" s="145">
        <v>236725</v>
      </c>
      <c r="AM468" s="145">
        <v>0</v>
      </c>
      <c r="AN468" s="145">
        <v>0</v>
      </c>
      <c r="AO468" s="145">
        <v>0</v>
      </c>
      <c r="AP468" s="145">
        <v>0</v>
      </c>
      <c r="AQ468" s="145">
        <v>0</v>
      </c>
      <c r="AR468" s="145">
        <v>0</v>
      </c>
      <c r="AS468" s="145">
        <f t="shared" si="146"/>
        <v>236725</v>
      </c>
      <c r="AT468" s="145"/>
      <c r="AU468" s="139">
        <f t="shared" si="148"/>
        <v>236725</v>
      </c>
      <c r="AV468" s="146">
        <f>IFERROR(VLOOKUP(J468,Maksājumu_pieprasījumu_iesn.!G:BL,57,0),0)</f>
        <v>0</v>
      </c>
      <c r="AW468" s="139">
        <f t="shared" si="149"/>
        <v>-236725</v>
      </c>
      <c r="AX468" s="153">
        <f t="shared" si="147"/>
        <v>0</v>
      </c>
      <c r="AY468" s="153"/>
      <c r="AZ468" s="153"/>
      <c r="BA468" s="136"/>
      <c r="BB468" s="145"/>
      <c r="BC468" s="145"/>
      <c r="BD468" s="145"/>
      <c r="BE468" s="145"/>
      <c r="BF468" s="145"/>
      <c r="BG468" s="145"/>
      <c r="BH468" s="138"/>
      <c r="BI468" s="138"/>
      <c r="BJ468" s="138"/>
      <c r="BK468" s="138"/>
      <c r="BL468" s="138"/>
      <c r="BM468" s="138"/>
      <c r="BN468" s="138"/>
    </row>
    <row r="469" spans="1:66" s="91" customFormat="1" ht="38.25" hidden="1" customHeight="1" x14ac:dyDescent="0.2">
      <c r="A469" s="150" t="s">
        <v>1348</v>
      </c>
      <c r="B469" s="18" t="s">
        <v>842</v>
      </c>
      <c r="C469" s="18" t="s">
        <v>843</v>
      </c>
      <c r="D469" s="19" t="s">
        <v>844</v>
      </c>
      <c r="E469" s="55">
        <v>2</v>
      </c>
      <c r="F469" s="55" t="s">
        <v>35</v>
      </c>
      <c r="G469" s="55" t="s">
        <v>5</v>
      </c>
      <c r="H469" s="55" t="s">
        <v>3</v>
      </c>
      <c r="I469" s="55"/>
      <c r="J469" s="55"/>
      <c r="K469" s="19" t="s">
        <v>1293</v>
      </c>
      <c r="L469" s="19"/>
      <c r="M469" s="19"/>
      <c r="N469" s="19" t="s">
        <v>1539</v>
      </c>
      <c r="O469" s="151">
        <v>43063</v>
      </c>
      <c r="P469" s="151"/>
      <c r="Q469" s="151"/>
      <c r="R469" s="151"/>
      <c r="S469" s="152">
        <v>109480</v>
      </c>
      <c r="T469" s="152">
        <v>0</v>
      </c>
      <c r="U469" s="145">
        <v>0</v>
      </c>
      <c r="V469" s="145">
        <v>0</v>
      </c>
      <c r="W469" s="145">
        <v>0</v>
      </c>
      <c r="X469" s="145">
        <f t="shared" si="144"/>
        <v>0</v>
      </c>
      <c r="Y469" s="145">
        <v>0</v>
      </c>
      <c r="Z469" s="145">
        <v>0</v>
      </c>
      <c r="AA469" s="145">
        <v>0</v>
      </c>
      <c r="AB469" s="145">
        <v>0</v>
      </c>
      <c r="AC469" s="145">
        <v>0</v>
      </c>
      <c r="AD469" s="145">
        <v>0</v>
      </c>
      <c r="AE469" s="145">
        <v>0</v>
      </c>
      <c r="AF469" s="145">
        <v>0</v>
      </c>
      <c r="AG469" s="145">
        <v>0</v>
      </c>
      <c r="AH469" s="145">
        <v>0</v>
      </c>
      <c r="AI469" s="145">
        <v>0</v>
      </c>
      <c r="AJ469" s="145">
        <v>0</v>
      </c>
      <c r="AK469" s="145">
        <f t="shared" si="145"/>
        <v>0</v>
      </c>
      <c r="AL469" s="145">
        <v>109480</v>
      </c>
      <c r="AM469" s="145">
        <v>0</v>
      </c>
      <c r="AN469" s="145">
        <v>0</v>
      </c>
      <c r="AO469" s="145">
        <v>0</v>
      </c>
      <c r="AP469" s="145">
        <v>0</v>
      </c>
      <c r="AQ469" s="145">
        <v>0</v>
      </c>
      <c r="AR469" s="145">
        <v>0</v>
      </c>
      <c r="AS469" s="145">
        <f t="shared" si="146"/>
        <v>109480</v>
      </c>
      <c r="AT469" s="145"/>
      <c r="AU469" s="139">
        <f t="shared" si="148"/>
        <v>109480</v>
      </c>
      <c r="AV469" s="146">
        <f>IFERROR(VLOOKUP(J469,Maksājumu_pieprasījumu_iesn.!G:BL,57,0),0)</f>
        <v>0</v>
      </c>
      <c r="AW469" s="139">
        <f t="shared" si="149"/>
        <v>-109480</v>
      </c>
      <c r="AX469" s="153">
        <f t="shared" si="147"/>
        <v>0</v>
      </c>
      <c r="AY469" s="153"/>
      <c r="AZ469" s="153"/>
      <c r="BA469" s="136"/>
      <c r="BB469" s="145"/>
      <c r="BC469" s="145"/>
      <c r="BD469" s="145"/>
      <c r="BE469" s="145"/>
      <c r="BF469" s="145"/>
      <c r="BG469" s="145"/>
      <c r="BH469" s="138"/>
      <c r="BI469" s="138"/>
      <c r="BJ469" s="138"/>
      <c r="BK469" s="138"/>
      <c r="BL469" s="138"/>
      <c r="BM469" s="138"/>
      <c r="BN469" s="138"/>
    </row>
    <row r="470" spans="1:66" s="91" customFormat="1" ht="25.5" hidden="1" customHeight="1" x14ac:dyDescent="0.2">
      <c r="A470" s="150" t="s">
        <v>1348</v>
      </c>
      <c r="B470" s="18" t="s">
        <v>842</v>
      </c>
      <c r="C470" s="18" t="s">
        <v>843</v>
      </c>
      <c r="D470" s="19" t="s">
        <v>844</v>
      </c>
      <c r="E470" s="55">
        <v>2</v>
      </c>
      <c r="F470" s="55" t="s">
        <v>35</v>
      </c>
      <c r="G470" s="55" t="s">
        <v>5</v>
      </c>
      <c r="H470" s="55" t="s">
        <v>3</v>
      </c>
      <c r="I470" s="55"/>
      <c r="J470" s="55"/>
      <c r="K470" s="19" t="s">
        <v>1226</v>
      </c>
      <c r="L470" s="19"/>
      <c r="M470" s="19"/>
      <c r="N470" s="19" t="s">
        <v>1540</v>
      </c>
      <c r="O470" s="151">
        <v>42978</v>
      </c>
      <c r="P470" s="151"/>
      <c r="Q470" s="151"/>
      <c r="R470" s="151"/>
      <c r="S470" s="152">
        <v>309187</v>
      </c>
      <c r="T470" s="152">
        <v>0</v>
      </c>
      <c r="U470" s="145">
        <v>0</v>
      </c>
      <c r="V470" s="145">
        <v>0</v>
      </c>
      <c r="W470" s="145">
        <v>0</v>
      </c>
      <c r="X470" s="145">
        <f t="shared" si="144"/>
        <v>0</v>
      </c>
      <c r="Y470" s="145">
        <v>0</v>
      </c>
      <c r="Z470" s="145">
        <v>0</v>
      </c>
      <c r="AA470" s="145">
        <v>0</v>
      </c>
      <c r="AB470" s="145">
        <v>0</v>
      </c>
      <c r="AC470" s="145">
        <v>0</v>
      </c>
      <c r="AD470" s="145">
        <v>0</v>
      </c>
      <c r="AE470" s="145">
        <v>0</v>
      </c>
      <c r="AF470" s="145">
        <v>0</v>
      </c>
      <c r="AG470" s="145">
        <v>0</v>
      </c>
      <c r="AH470" s="145">
        <v>0</v>
      </c>
      <c r="AI470" s="145">
        <v>0</v>
      </c>
      <c r="AJ470" s="145">
        <v>0</v>
      </c>
      <c r="AK470" s="145">
        <f t="shared" ref="AK470:AK501" si="150">SUM(Y470:AJ470)</f>
        <v>0</v>
      </c>
      <c r="AL470" s="145">
        <v>309187</v>
      </c>
      <c r="AM470" s="145">
        <v>0</v>
      </c>
      <c r="AN470" s="145">
        <v>0</v>
      </c>
      <c r="AO470" s="145">
        <v>0</v>
      </c>
      <c r="AP470" s="145">
        <v>0</v>
      </c>
      <c r="AQ470" s="145">
        <v>0</v>
      </c>
      <c r="AR470" s="145">
        <v>0</v>
      </c>
      <c r="AS470" s="145">
        <f t="shared" ref="AS470:AS501" si="151">U470+V470+W470+AK470+AL470+AM470+AN470+AO470+AP470+AQ470+AR470</f>
        <v>309187</v>
      </c>
      <c r="AT470" s="145"/>
      <c r="AU470" s="139">
        <f t="shared" si="148"/>
        <v>309187</v>
      </c>
      <c r="AV470" s="146">
        <f>IFERROR(VLOOKUP(J470,Maksājumu_pieprasījumu_iesn.!G:BL,57,0),0)</f>
        <v>0</v>
      </c>
      <c r="AW470" s="139">
        <f t="shared" si="149"/>
        <v>-309187</v>
      </c>
      <c r="AX470" s="153">
        <f t="shared" ref="AX470:AX502" si="152">S470-T470-(AS470-AT470)</f>
        <v>0</v>
      </c>
      <c r="AY470" s="153"/>
      <c r="AZ470" s="153"/>
      <c r="BA470" s="136"/>
      <c r="BB470" s="145"/>
      <c r="BC470" s="145"/>
      <c r="BD470" s="145"/>
      <c r="BE470" s="145"/>
      <c r="BF470" s="145"/>
      <c r="BG470" s="145"/>
      <c r="BH470" s="138"/>
      <c r="BI470" s="138"/>
      <c r="BJ470" s="138"/>
      <c r="BK470" s="138"/>
      <c r="BL470" s="138"/>
      <c r="BM470" s="138"/>
      <c r="BN470" s="138"/>
    </row>
    <row r="471" spans="1:66" s="91" customFormat="1" ht="38.25" hidden="1" customHeight="1" x14ac:dyDescent="0.2">
      <c r="A471" s="150" t="s">
        <v>1348</v>
      </c>
      <c r="B471" s="18" t="s">
        <v>842</v>
      </c>
      <c r="C471" s="18" t="s">
        <v>843</v>
      </c>
      <c r="D471" s="19" t="s">
        <v>844</v>
      </c>
      <c r="E471" s="55">
        <v>2</v>
      </c>
      <c r="F471" s="55" t="s">
        <v>35</v>
      </c>
      <c r="G471" s="55" t="s">
        <v>5</v>
      </c>
      <c r="H471" s="55" t="s">
        <v>3</v>
      </c>
      <c r="I471" s="55"/>
      <c r="J471" s="55"/>
      <c r="K471" s="19" t="s">
        <v>1226</v>
      </c>
      <c r="L471" s="19"/>
      <c r="M471" s="19"/>
      <c r="N471" s="19" t="s">
        <v>1541</v>
      </c>
      <c r="O471" s="151">
        <v>42902</v>
      </c>
      <c r="P471" s="151"/>
      <c r="Q471" s="151"/>
      <c r="R471" s="151"/>
      <c r="S471" s="152">
        <v>143400</v>
      </c>
      <c r="T471" s="152">
        <v>0</v>
      </c>
      <c r="U471" s="145">
        <v>0</v>
      </c>
      <c r="V471" s="145">
        <v>0</v>
      </c>
      <c r="W471" s="145">
        <v>0</v>
      </c>
      <c r="X471" s="145">
        <f t="shared" si="144"/>
        <v>0</v>
      </c>
      <c r="Y471" s="145">
        <v>0</v>
      </c>
      <c r="Z471" s="145">
        <v>0</v>
      </c>
      <c r="AA471" s="145">
        <v>0</v>
      </c>
      <c r="AB471" s="145">
        <v>0</v>
      </c>
      <c r="AC471" s="145">
        <v>0</v>
      </c>
      <c r="AD471" s="145">
        <v>0</v>
      </c>
      <c r="AE471" s="145">
        <v>0</v>
      </c>
      <c r="AF471" s="145">
        <v>0</v>
      </c>
      <c r="AG471" s="145">
        <v>0</v>
      </c>
      <c r="AH471" s="145">
        <v>0</v>
      </c>
      <c r="AI471" s="145">
        <v>0</v>
      </c>
      <c r="AJ471" s="145">
        <v>0</v>
      </c>
      <c r="AK471" s="145">
        <f t="shared" si="150"/>
        <v>0</v>
      </c>
      <c r="AL471" s="145">
        <v>143400</v>
      </c>
      <c r="AM471" s="145">
        <v>0</v>
      </c>
      <c r="AN471" s="145">
        <v>0</v>
      </c>
      <c r="AO471" s="145">
        <v>0</v>
      </c>
      <c r="AP471" s="145">
        <v>0</v>
      </c>
      <c r="AQ471" s="145">
        <v>0</v>
      </c>
      <c r="AR471" s="145">
        <v>0</v>
      </c>
      <c r="AS471" s="145">
        <f t="shared" si="151"/>
        <v>143400</v>
      </c>
      <c r="AT471" s="145"/>
      <c r="AU471" s="139">
        <f t="shared" si="148"/>
        <v>143400</v>
      </c>
      <c r="AV471" s="146">
        <f>IFERROR(VLOOKUP(J471,Maksājumu_pieprasījumu_iesn.!G:BL,57,0),0)</f>
        <v>0</v>
      </c>
      <c r="AW471" s="139">
        <f t="shared" si="149"/>
        <v>-143400</v>
      </c>
      <c r="AX471" s="153">
        <f t="shared" si="152"/>
        <v>0</v>
      </c>
      <c r="AY471" s="153"/>
      <c r="AZ471" s="153"/>
      <c r="BA471" s="136"/>
      <c r="BB471" s="145"/>
      <c r="BC471" s="145"/>
      <c r="BD471" s="145"/>
      <c r="BE471" s="145"/>
      <c r="BF471" s="145"/>
      <c r="BG471" s="145"/>
      <c r="BH471" s="138"/>
      <c r="BI471" s="138"/>
      <c r="BJ471" s="138"/>
      <c r="BK471" s="138"/>
      <c r="BL471" s="138"/>
      <c r="BM471" s="138"/>
      <c r="BN471" s="138"/>
    </row>
    <row r="472" spans="1:66" s="91" customFormat="1" ht="76.5" hidden="1" customHeight="1" x14ac:dyDescent="0.2">
      <c r="A472" s="150" t="s">
        <v>1348</v>
      </c>
      <c r="B472" s="18" t="s">
        <v>842</v>
      </c>
      <c r="C472" s="18" t="s">
        <v>843</v>
      </c>
      <c r="D472" s="19" t="s">
        <v>844</v>
      </c>
      <c r="E472" s="55">
        <v>2</v>
      </c>
      <c r="F472" s="55" t="s">
        <v>35</v>
      </c>
      <c r="G472" s="55" t="s">
        <v>5</v>
      </c>
      <c r="H472" s="55" t="s">
        <v>3</v>
      </c>
      <c r="I472" s="55"/>
      <c r="J472" s="55"/>
      <c r="K472" s="19" t="s">
        <v>422</v>
      </c>
      <c r="L472" s="19"/>
      <c r="M472" s="19"/>
      <c r="N472" s="19" t="s">
        <v>1542</v>
      </c>
      <c r="O472" s="151">
        <v>43069</v>
      </c>
      <c r="P472" s="151"/>
      <c r="Q472" s="151"/>
      <c r="R472" s="151"/>
      <c r="S472" s="152">
        <v>139701</v>
      </c>
      <c r="T472" s="152">
        <v>0</v>
      </c>
      <c r="U472" s="145">
        <v>0</v>
      </c>
      <c r="V472" s="145">
        <v>0</v>
      </c>
      <c r="W472" s="145">
        <v>0</v>
      </c>
      <c r="X472" s="145">
        <f t="shared" si="144"/>
        <v>0</v>
      </c>
      <c r="Y472" s="145">
        <v>0</v>
      </c>
      <c r="Z472" s="145">
        <v>0</v>
      </c>
      <c r="AA472" s="145">
        <v>0</v>
      </c>
      <c r="AB472" s="145">
        <v>0</v>
      </c>
      <c r="AC472" s="145">
        <v>0</v>
      </c>
      <c r="AD472" s="145">
        <v>0</v>
      </c>
      <c r="AE472" s="145">
        <v>0</v>
      </c>
      <c r="AF472" s="145">
        <v>0</v>
      </c>
      <c r="AG472" s="145">
        <v>0</v>
      </c>
      <c r="AH472" s="145">
        <v>0</v>
      </c>
      <c r="AI472" s="145">
        <v>0</v>
      </c>
      <c r="AJ472" s="145">
        <v>0</v>
      </c>
      <c r="AK472" s="145">
        <f t="shared" si="150"/>
        <v>0</v>
      </c>
      <c r="AL472" s="145">
        <v>168393.75</v>
      </c>
      <c r="AM472" s="145">
        <v>0</v>
      </c>
      <c r="AN472" s="145">
        <v>0</v>
      </c>
      <c r="AO472" s="145">
        <v>0</v>
      </c>
      <c r="AP472" s="145">
        <v>0</v>
      </c>
      <c r="AQ472" s="145">
        <v>0</v>
      </c>
      <c r="AR472" s="145">
        <v>0</v>
      </c>
      <c r="AS472" s="145">
        <f t="shared" si="151"/>
        <v>168393.75</v>
      </c>
      <c r="AT472" s="145"/>
      <c r="AU472" s="139">
        <f t="shared" si="148"/>
        <v>168393.75</v>
      </c>
      <c r="AV472" s="146">
        <f>IFERROR(VLOOKUP(J472,Maksājumu_pieprasījumu_iesn.!G:BL,57,0),0)</f>
        <v>0</v>
      </c>
      <c r="AW472" s="139">
        <f t="shared" si="149"/>
        <v>-168393.75</v>
      </c>
      <c r="AX472" s="153">
        <f t="shared" si="152"/>
        <v>-28692.75</v>
      </c>
      <c r="AY472" s="153"/>
      <c r="AZ472" s="200" t="s">
        <v>1424</v>
      </c>
      <c r="BA472" s="200" t="s">
        <v>1424</v>
      </c>
      <c r="BB472" s="145"/>
      <c r="BC472" s="145"/>
      <c r="BD472" s="145"/>
      <c r="BE472" s="145"/>
      <c r="BF472" s="145"/>
      <c r="BG472" s="145"/>
      <c r="BH472" s="138"/>
      <c r="BI472" s="138"/>
      <c r="BJ472" s="138"/>
      <c r="BK472" s="138"/>
      <c r="BL472" s="138"/>
      <c r="BM472" s="138"/>
      <c r="BN472" s="138"/>
    </row>
    <row r="473" spans="1:66" s="91" customFormat="1" ht="63.75" hidden="1" customHeight="1" x14ac:dyDescent="0.2">
      <c r="A473" s="150" t="s">
        <v>1348</v>
      </c>
      <c r="B473" s="18" t="s">
        <v>842</v>
      </c>
      <c r="C473" s="18" t="s">
        <v>843</v>
      </c>
      <c r="D473" s="19" t="s">
        <v>844</v>
      </c>
      <c r="E473" s="55">
        <v>2</v>
      </c>
      <c r="F473" s="55" t="s">
        <v>35</v>
      </c>
      <c r="G473" s="55" t="s">
        <v>5</v>
      </c>
      <c r="H473" s="55" t="s">
        <v>3</v>
      </c>
      <c r="I473" s="55"/>
      <c r="J473" s="55"/>
      <c r="K473" s="19" t="s">
        <v>422</v>
      </c>
      <c r="L473" s="19"/>
      <c r="M473" s="19"/>
      <c r="N473" s="19" t="s">
        <v>1543</v>
      </c>
      <c r="O473" s="151">
        <v>43069</v>
      </c>
      <c r="P473" s="151"/>
      <c r="Q473" s="151"/>
      <c r="R473" s="151"/>
      <c r="S473" s="152">
        <v>36270</v>
      </c>
      <c r="T473" s="152">
        <v>0</v>
      </c>
      <c r="U473" s="145">
        <v>0</v>
      </c>
      <c r="V473" s="145">
        <v>0</v>
      </c>
      <c r="W473" s="145">
        <v>0</v>
      </c>
      <c r="X473" s="145">
        <f t="shared" si="144"/>
        <v>0</v>
      </c>
      <c r="Y473" s="145">
        <v>0</v>
      </c>
      <c r="Z473" s="145">
        <v>0</v>
      </c>
      <c r="AA473" s="145">
        <v>0</v>
      </c>
      <c r="AB473" s="145">
        <v>0</v>
      </c>
      <c r="AC473" s="145">
        <v>0</v>
      </c>
      <c r="AD473" s="145">
        <v>0</v>
      </c>
      <c r="AE473" s="145">
        <v>0</v>
      </c>
      <c r="AF473" s="145">
        <v>0</v>
      </c>
      <c r="AG473" s="145">
        <v>0</v>
      </c>
      <c r="AH473" s="145">
        <v>0</v>
      </c>
      <c r="AI473" s="145">
        <v>0</v>
      </c>
      <c r="AJ473" s="145">
        <v>0</v>
      </c>
      <c r="AK473" s="145">
        <f t="shared" si="150"/>
        <v>0</v>
      </c>
      <c r="AL473" s="145">
        <v>104775.75</v>
      </c>
      <c r="AM473" s="145">
        <v>0</v>
      </c>
      <c r="AN473" s="145">
        <v>0</v>
      </c>
      <c r="AO473" s="145">
        <v>0</v>
      </c>
      <c r="AP473" s="145">
        <v>0</v>
      </c>
      <c r="AQ473" s="145">
        <v>0</v>
      </c>
      <c r="AR473" s="145">
        <v>0</v>
      </c>
      <c r="AS473" s="145">
        <f t="shared" si="151"/>
        <v>104775.75</v>
      </c>
      <c r="AT473" s="145"/>
      <c r="AU473" s="139">
        <f t="shared" si="148"/>
        <v>104775.75</v>
      </c>
      <c r="AV473" s="146">
        <f>IFERROR(VLOOKUP(J473,Maksājumu_pieprasījumu_iesn.!G:BL,57,0),0)</f>
        <v>0</v>
      </c>
      <c r="AW473" s="139">
        <f t="shared" si="149"/>
        <v>-104775.75</v>
      </c>
      <c r="AX473" s="153">
        <f t="shared" si="152"/>
        <v>-68505.75</v>
      </c>
      <c r="AY473" s="153"/>
      <c r="AZ473" s="200" t="s">
        <v>1424</v>
      </c>
      <c r="BA473" s="200" t="s">
        <v>1424</v>
      </c>
      <c r="BB473" s="145"/>
      <c r="BC473" s="145"/>
      <c r="BD473" s="145"/>
      <c r="BE473" s="145"/>
      <c r="BF473" s="145"/>
      <c r="BG473" s="145"/>
      <c r="BH473" s="138"/>
      <c r="BI473" s="138"/>
      <c r="BJ473" s="138"/>
      <c r="BK473" s="138"/>
      <c r="BL473" s="138"/>
      <c r="BM473" s="138"/>
      <c r="BN473" s="138"/>
    </row>
    <row r="474" spans="1:66" s="91" customFormat="1" ht="63.75" hidden="1" customHeight="1" x14ac:dyDescent="0.2">
      <c r="A474" s="150" t="s">
        <v>1348</v>
      </c>
      <c r="B474" s="18" t="s">
        <v>842</v>
      </c>
      <c r="C474" s="18" t="s">
        <v>843</v>
      </c>
      <c r="D474" s="19" t="s">
        <v>844</v>
      </c>
      <c r="E474" s="55">
        <v>2</v>
      </c>
      <c r="F474" s="55" t="s">
        <v>35</v>
      </c>
      <c r="G474" s="55" t="s">
        <v>5</v>
      </c>
      <c r="H474" s="55" t="s">
        <v>3</v>
      </c>
      <c r="I474" s="55"/>
      <c r="J474" s="55"/>
      <c r="K474" s="19" t="s">
        <v>422</v>
      </c>
      <c r="L474" s="19"/>
      <c r="M474" s="19"/>
      <c r="N474" s="19" t="s">
        <v>1544</v>
      </c>
      <c r="O474" s="151">
        <v>43496</v>
      </c>
      <c r="P474" s="151"/>
      <c r="Q474" s="151"/>
      <c r="R474" s="151"/>
      <c r="S474" s="152">
        <v>224525</v>
      </c>
      <c r="T474" s="152">
        <v>0</v>
      </c>
      <c r="U474" s="145">
        <v>0</v>
      </c>
      <c r="V474" s="145">
        <v>0</v>
      </c>
      <c r="W474" s="145">
        <v>0</v>
      </c>
      <c r="X474" s="145">
        <f t="shared" si="144"/>
        <v>0</v>
      </c>
      <c r="Y474" s="145">
        <v>0</v>
      </c>
      <c r="Z474" s="145">
        <v>0</v>
      </c>
      <c r="AA474" s="145">
        <v>0</v>
      </c>
      <c r="AB474" s="145">
        <v>0</v>
      </c>
      <c r="AC474" s="145">
        <v>0</v>
      </c>
      <c r="AD474" s="145">
        <v>0</v>
      </c>
      <c r="AE474" s="145">
        <v>0</v>
      </c>
      <c r="AF474" s="145">
        <v>0</v>
      </c>
      <c r="AG474" s="145">
        <v>0</v>
      </c>
      <c r="AH474" s="145">
        <v>0</v>
      </c>
      <c r="AI474" s="145">
        <v>0</v>
      </c>
      <c r="AJ474" s="145">
        <v>0</v>
      </c>
      <c r="AK474" s="145">
        <f t="shared" si="150"/>
        <v>0</v>
      </c>
      <c r="AL474" s="145">
        <v>0</v>
      </c>
      <c r="AM474" s="145">
        <v>112482.8</v>
      </c>
      <c r="AN474" s="145">
        <v>0</v>
      </c>
      <c r="AO474" s="145">
        <v>0</v>
      </c>
      <c r="AP474" s="145">
        <v>0</v>
      </c>
      <c r="AQ474" s="145">
        <v>0</v>
      </c>
      <c r="AR474" s="145">
        <v>0</v>
      </c>
      <c r="AS474" s="145">
        <f t="shared" si="151"/>
        <v>112482.8</v>
      </c>
      <c r="AT474" s="145"/>
      <c r="AU474" s="139">
        <f t="shared" si="148"/>
        <v>112482.8</v>
      </c>
      <c r="AV474" s="146">
        <f>IFERROR(VLOOKUP(J474,Maksājumu_pieprasījumu_iesn.!G:BL,57,0),0)</f>
        <v>0</v>
      </c>
      <c r="AW474" s="139">
        <f t="shared" si="149"/>
        <v>-112482.8</v>
      </c>
      <c r="AX474" s="153">
        <f t="shared" si="152"/>
        <v>112042.2</v>
      </c>
      <c r="AY474" s="153"/>
      <c r="AZ474" s="138" t="s">
        <v>1427</v>
      </c>
      <c r="BA474" s="138" t="s">
        <v>1427</v>
      </c>
      <c r="BB474" s="145"/>
      <c r="BC474" s="145"/>
      <c r="BD474" s="145"/>
      <c r="BE474" s="145"/>
      <c r="BF474" s="145"/>
      <c r="BG474" s="145"/>
      <c r="BH474" s="138"/>
      <c r="BI474" s="138"/>
      <c r="BJ474" s="138"/>
      <c r="BK474" s="138"/>
      <c r="BL474" s="138"/>
      <c r="BM474" s="138"/>
      <c r="BN474" s="138"/>
    </row>
    <row r="475" spans="1:66" s="91" customFormat="1" ht="38.25" hidden="1" customHeight="1" x14ac:dyDescent="0.2">
      <c r="A475" s="150" t="s">
        <v>1348</v>
      </c>
      <c r="B475" s="18" t="s">
        <v>842</v>
      </c>
      <c r="C475" s="18" t="s">
        <v>843</v>
      </c>
      <c r="D475" s="19" t="s">
        <v>844</v>
      </c>
      <c r="E475" s="55">
        <v>2</v>
      </c>
      <c r="F475" s="55" t="s">
        <v>35</v>
      </c>
      <c r="G475" s="55" t="s">
        <v>5</v>
      </c>
      <c r="H475" s="55" t="s">
        <v>3</v>
      </c>
      <c r="I475" s="55"/>
      <c r="J475" s="55"/>
      <c r="K475" s="19" t="s">
        <v>143</v>
      </c>
      <c r="L475" s="19"/>
      <c r="M475" s="19"/>
      <c r="N475" s="19" t="s">
        <v>1545</v>
      </c>
      <c r="O475" s="151">
        <v>43068</v>
      </c>
      <c r="P475" s="151"/>
      <c r="Q475" s="151"/>
      <c r="R475" s="151"/>
      <c r="S475" s="152">
        <v>425000</v>
      </c>
      <c r="T475" s="152">
        <v>0</v>
      </c>
      <c r="U475" s="145">
        <v>0</v>
      </c>
      <c r="V475" s="145">
        <v>0</v>
      </c>
      <c r="W475" s="145">
        <v>0</v>
      </c>
      <c r="X475" s="145">
        <f t="shared" si="144"/>
        <v>0</v>
      </c>
      <c r="Y475" s="145">
        <v>0</v>
      </c>
      <c r="Z475" s="145">
        <v>0</v>
      </c>
      <c r="AA475" s="145">
        <v>0</v>
      </c>
      <c r="AB475" s="145">
        <v>0</v>
      </c>
      <c r="AC475" s="145">
        <v>0</v>
      </c>
      <c r="AD475" s="145">
        <v>0</v>
      </c>
      <c r="AE475" s="145">
        <v>0</v>
      </c>
      <c r="AF475" s="145">
        <v>0</v>
      </c>
      <c r="AG475" s="145">
        <v>0</v>
      </c>
      <c r="AH475" s="145">
        <v>0</v>
      </c>
      <c r="AI475" s="145">
        <v>0</v>
      </c>
      <c r="AJ475" s="145">
        <v>0</v>
      </c>
      <c r="AK475" s="145">
        <f t="shared" si="150"/>
        <v>0</v>
      </c>
      <c r="AL475" s="145">
        <v>425000</v>
      </c>
      <c r="AM475" s="145">
        <v>0</v>
      </c>
      <c r="AN475" s="145">
        <v>0</v>
      </c>
      <c r="AO475" s="145">
        <v>0</v>
      </c>
      <c r="AP475" s="145">
        <v>0</v>
      </c>
      <c r="AQ475" s="145">
        <v>0</v>
      </c>
      <c r="AR475" s="145">
        <v>0</v>
      </c>
      <c r="AS475" s="145">
        <f t="shared" si="151"/>
        <v>425000</v>
      </c>
      <c r="AT475" s="145"/>
      <c r="AU475" s="139">
        <f t="shared" si="148"/>
        <v>425000</v>
      </c>
      <c r="AV475" s="146">
        <f>IFERROR(VLOOKUP(J475,Maksājumu_pieprasījumu_iesn.!G:BL,57,0),0)</f>
        <v>0</v>
      </c>
      <c r="AW475" s="139">
        <f t="shared" si="149"/>
        <v>-425000</v>
      </c>
      <c r="AX475" s="153">
        <f t="shared" si="152"/>
        <v>0</v>
      </c>
      <c r="AY475" s="153"/>
      <c r="AZ475" s="153"/>
      <c r="BA475" s="136"/>
      <c r="BB475" s="145"/>
      <c r="BC475" s="145"/>
      <c r="BD475" s="145"/>
      <c r="BE475" s="145"/>
      <c r="BF475" s="145"/>
      <c r="BG475" s="145"/>
      <c r="BH475" s="138"/>
      <c r="BI475" s="138"/>
      <c r="BJ475" s="138"/>
      <c r="BK475" s="138"/>
      <c r="BL475" s="138"/>
      <c r="BM475" s="138"/>
      <c r="BN475" s="138"/>
    </row>
    <row r="476" spans="1:66" s="91" customFormat="1" ht="25.5" hidden="1" customHeight="1" x14ac:dyDescent="0.2">
      <c r="A476" s="150" t="s">
        <v>1348</v>
      </c>
      <c r="B476" s="18" t="s">
        <v>842</v>
      </c>
      <c r="C476" s="18" t="s">
        <v>843</v>
      </c>
      <c r="D476" s="19" t="s">
        <v>844</v>
      </c>
      <c r="E476" s="55">
        <v>2</v>
      </c>
      <c r="F476" s="55" t="s">
        <v>35</v>
      </c>
      <c r="G476" s="55" t="s">
        <v>5</v>
      </c>
      <c r="H476" s="55" t="s">
        <v>3</v>
      </c>
      <c r="I476" s="55"/>
      <c r="J476" s="55"/>
      <c r="K476" s="19" t="s">
        <v>143</v>
      </c>
      <c r="L476" s="19"/>
      <c r="M476" s="19"/>
      <c r="N476" s="19" t="s">
        <v>1546</v>
      </c>
      <c r="O476" s="151">
        <v>43068</v>
      </c>
      <c r="P476" s="151"/>
      <c r="Q476" s="151"/>
      <c r="R476" s="151"/>
      <c r="S476" s="152">
        <v>212500</v>
      </c>
      <c r="T476" s="152">
        <v>0</v>
      </c>
      <c r="U476" s="145">
        <v>0</v>
      </c>
      <c r="V476" s="145">
        <v>0</v>
      </c>
      <c r="W476" s="145">
        <v>0</v>
      </c>
      <c r="X476" s="145">
        <f t="shared" si="144"/>
        <v>0</v>
      </c>
      <c r="Y476" s="145">
        <v>0</v>
      </c>
      <c r="Z476" s="145">
        <v>0</v>
      </c>
      <c r="AA476" s="145">
        <v>0</v>
      </c>
      <c r="AB476" s="145">
        <v>0</v>
      </c>
      <c r="AC476" s="145">
        <v>0</v>
      </c>
      <c r="AD476" s="145">
        <v>0</v>
      </c>
      <c r="AE476" s="145">
        <v>0</v>
      </c>
      <c r="AF476" s="145">
        <v>0</v>
      </c>
      <c r="AG476" s="145">
        <v>0</v>
      </c>
      <c r="AH476" s="145">
        <v>0</v>
      </c>
      <c r="AI476" s="145">
        <v>0</v>
      </c>
      <c r="AJ476" s="145">
        <v>0</v>
      </c>
      <c r="AK476" s="145">
        <f t="shared" si="150"/>
        <v>0</v>
      </c>
      <c r="AL476" s="145">
        <v>212500</v>
      </c>
      <c r="AM476" s="145">
        <v>0</v>
      </c>
      <c r="AN476" s="145">
        <v>0</v>
      </c>
      <c r="AO476" s="145">
        <v>0</v>
      </c>
      <c r="AP476" s="145">
        <v>0</v>
      </c>
      <c r="AQ476" s="145">
        <v>0</v>
      </c>
      <c r="AR476" s="145">
        <v>0</v>
      </c>
      <c r="AS476" s="145">
        <f t="shared" si="151"/>
        <v>212500</v>
      </c>
      <c r="AT476" s="145"/>
      <c r="AU476" s="139">
        <f t="shared" si="148"/>
        <v>212500</v>
      </c>
      <c r="AV476" s="146">
        <f>IFERROR(VLOOKUP(J476,Maksājumu_pieprasījumu_iesn.!G:BL,57,0),0)</f>
        <v>0</v>
      </c>
      <c r="AW476" s="139">
        <f t="shared" si="149"/>
        <v>-212500</v>
      </c>
      <c r="AX476" s="153">
        <f t="shared" si="152"/>
        <v>0</v>
      </c>
      <c r="AY476" s="153"/>
      <c r="AZ476" s="153"/>
      <c r="BA476" s="136"/>
      <c r="BB476" s="145"/>
      <c r="BC476" s="145"/>
      <c r="BD476" s="145"/>
      <c r="BE476" s="145"/>
      <c r="BF476" s="145"/>
      <c r="BG476" s="145"/>
      <c r="BH476" s="138"/>
      <c r="BI476" s="138"/>
      <c r="BJ476" s="138"/>
      <c r="BK476" s="138"/>
      <c r="BL476" s="138"/>
      <c r="BM476" s="138"/>
      <c r="BN476" s="138"/>
    </row>
    <row r="477" spans="1:66" s="91" customFormat="1" ht="38.25" hidden="1" customHeight="1" x14ac:dyDescent="0.2">
      <c r="A477" s="150" t="s">
        <v>1348</v>
      </c>
      <c r="B477" s="18" t="s">
        <v>842</v>
      </c>
      <c r="C477" s="18" t="s">
        <v>843</v>
      </c>
      <c r="D477" s="19" t="s">
        <v>844</v>
      </c>
      <c r="E477" s="55">
        <v>2</v>
      </c>
      <c r="F477" s="55" t="s">
        <v>35</v>
      </c>
      <c r="G477" s="55" t="s">
        <v>5</v>
      </c>
      <c r="H477" s="55" t="s">
        <v>3</v>
      </c>
      <c r="I477" s="55"/>
      <c r="J477" s="55"/>
      <c r="K477" s="19" t="s">
        <v>1232</v>
      </c>
      <c r="L477" s="19"/>
      <c r="M477" s="19"/>
      <c r="N477" s="19" t="s">
        <v>1547</v>
      </c>
      <c r="O477" s="151">
        <v>43054</v>
      </c>
      <c r="P477" s="151"/>
      <c r="Q477" s="151"/>
      <c r="R477" s="151"/>
      <c r="S477" s="152">
        <v>481006</v>
      </c>
      <c r="T477" s="152">
        <v>0</v>
      </c>
      <c r="U477" s="145">
        <v>0</v>
      </c>
      <c r="V477" s="145">
        <v>0</v>
      </c>
      <c r="W477" s="145">
        <v>0</v>
      </c>
      <c r="X477" s="145">
        <f t="shared" si="144"/>
        <v>0</v>
      </c>
      <c r="Y477" s="145">
        <v>0</v>
      </c>
      <c r="Z477" s="145">
        <v>0</v>
      </c>
      <c r="AA477" s="145">
        <v>0</v>
      </c>
      <c r="AB477" s="145">
        <v>0</v>
      </c>
      <c r="AC477" s="145">
        <v>0</v>
      </c>
      <c r="AD477" s="145">
        <v>0</v>
      </c>
      <c r="AE477" s="145">
        <v>0</v>
      </c>
      <c r="AF477" s="145">
        <v>0</v>
      </c>
      <c r="AG477" s="145">
        <v>0</v>
      </c>
      <c r="AH477" s="145">
        <v>0</v>
      </c>
      <c r="AI477" s="145">
        <v>0</v>
      </c>
      <c r="AJ477" s="145">
        <v>0</v>
      </c>
      <c r="AK477" s="145">
        <f t="shared" si="150"/>
        <v>0</v>
      </c>
      <c r="AL477" s="145">
        <v>336704</v>
      </c>
      <c r="AM477" s="145">
        <v>144301</v>
      </c>
      <c r="AN477" s="145">
        <v>0</v>
      </c>
      <c r="AO477" s="145">
        <v>0</v>
      </c>
      <c r="AP477" s="145">
        <v>0</v>
      </c>
      <c r="AQ477" s="145">
        <v>0</v>
      </c>
      <c r="AR477" s="145">
        <v>0</v>
      </c>
      <c r="AS477" s="145">
        <f t="shared" si="151"/>
        <v>481005</v>
      </c>
      <c r="AT477" s="145"/>
      <c r="AU477" s="139">
        <f t="shared" si="148"/>
        <v>481005</v>
      </c>
      <c r="AV477" s="146">
        <f>IFERROR(VLOOKUP(J477,Maksājumu_pieprasījumu_iesn.!G:BL,57,0),0)</f>
        <v>0</v>
      </c>
      <c r="AW477" s="139">
        <f t="shared" si="149"/>
        <v>-481005</v>
      </c>
      <c r="AX477" s="153">
        <f t="shared" si="152"/>
        <v>1</v>
      </c>
      <c r="AY477" s="153"/>
      <c r="AZ477" s="153"/>
      <c r="BA477" s="136"/>
      <c r="BB477" s="145"/>
      <c r="BC477" s="145"/>
      <c r="BD477" s="145"/>
      <c r="BE477" s="145"/>
      <c r="BF477" s="145"/>
      <c r="BG477" s="145"/>
      <c r="BH477" s="138"/>
      <c r="BI477" s="138"/>
      <c r="BJ477" s="138"/>
      <c r="BK477" s="138"/>
      <c r="BL477" s="138"/>
      <c r="BM477" s="138"/>
      <c r="BN477" s="138"/>
    </row>
    <row r="478" spans="1:66" s="91" customFormat="1" ht="51" hidden="1" customHeight="1" x14ac:dyDescent="0.2">
      <c r="A478" s="150" t="s">
        <v>1348</v>
      </c>
      <c r="B478" s="18" t="s">
        <v>842</v>
      </c>
      <c r="C478" s="18" t="s">
        <v>843</v>
      </c>
      <c r="D478" s="19" t="s">
        <v>844</v>
      </c>
      <c r="E478" s="55">
        <v>2</v>
      </c>
      <c r="F478" s="55" t="s">
        <v>35</v>
      </c>
      <c r="G478" s="55" t="s">
        <v>5</v>
      </c>
      <c r="H478" s="55" t="s">
        <v>3</v>
      </c>
      <c r="I478" s="55"/>
      <c r="J478" s="55"/>
      <c r="K478" s="19" t="s">
        <v>1232</v>
      </c>
      <c r="L478" s="19"/>
      <c r="M478" s="19"/>
      <c r="N478" s="19" t="s">
        <v>1548</v>
      </c>
      <c r="O478" s="151">
        <v>43054</v>
      </c>
      <c r="P478" s="151"/>
      <c r="Q478" s="151"/>
      <c r="R478" s="151"/>
      <c r="S478" s="152">
        <v>134810</v>
      </c>
      <c r="T478" s="152">
        <v>0</v>
      </c>
      <c r="U478" s="145">
        <v>0</v>
      </c>
      <c r="V478" s="145">
        <v>0</v>
      </c>
      <c r="W478" s="145">
        <v>0</v>
      </c>
      <c r="X478" s="145">
        <f t="shared" si="144"/>
        <v>0</v>
      </c>
      <c r="Y478" s="145">
        <v>0</v>
      </c>
      <c r="Z478" s="145">
        <v>0</v>
      </c>
      <c r="AA478" s="145">
        <v>0</v>
      </c>
      <c r="AB478" s="145">
        <v>0</v>
      </c>
      <c r="AC478" s="145">
        <v>0</v>
      </c>
      <c r="AD478" s="145">
        <v>0</v>
      </c>
      <c r="AE478" s="145">
        <v>0</v>
      </c>
      <c r="AF478" s="145">
        <v>0</v>
      </c>
      <c r="AG478" s="145">
        <v>0</v>
      </c>
      <c r="AH478" s="145">
        <v>0</v>
      </c>
      <c r="AI478" s="145">
        <v>0</v>
      </c>
      <c r="AJ478" s="145">
        <v>0</v>
      </c>
      <c r="AK478" s="145">
        <f t="shared" si="150"/>
        <v>0</v>
      </c>
      <c r="AL478" s="145">
        <v>134810</v>
      </c>
      <c r="AM478" s="145">
        <v>0</v>
      </c>
      <c r="AN478" s="145">
        <v>0</v>
      </c>
      <c r="AO478" s="145">
        <v>0</v>
      </c>
      <c r="AP478" s="145">
        <v>0</v>
      </c>
      <c r="AQ478" s="145">
        <v>0</v>
      </c>
      <c r="AR478" s="145">
        <v>0</v>
      </c>
      <c r="AS478" s="145">
        <f t="shared" si="151"/>
        <v>134810</v>
      </c>
      <c r="AT478" s="145"/>
      <c r="AU478" s="139">
        <f t="shared" si="148"/>
        <v>134810</v>
      </c>
      <c r="AV478" s="146">
        <f>IFERROR(VLOOKUP(J478,Maksājumu_pieprasījumu_iesn.!G:BL,57,0),0)</f>
        <v>0</v>
      </c>
      <c r="AW478" s="139">
        <f t="shared" si="149"/>
        <v>-134810</v>
      </c>
      <c r="AX478" s="153">
        <f t="shared" si="152"/>
        <v>0</v>
      </c>
      <c r="AY478" s="153"/>
      <c r="AZ478" s="153"/>
      <c r="BA478" s="136"/>
      <c r="BB478" s="145"/>
      <c r="BC478" s="145"/>
      <c r="BD478" s="145"/>
      <c r="BE478" s="145"/>
      <c r="BF478" s="145"/>
      <c r="BG478" s="145"/>
      <c r="BH478" s="138"/>
      <c r="BI478" s="138"/>
      <c r="BJ478" s="138"/>
      <c r="BK478" s="138"/>
      <c r="BL478" s="138"/>
      <c r="BM478" s="138"/>
      <c r="BN478" s="138"/>
    </row>
    <row r="479" spans="1:66" ht="38.25" hidden="1" customHeight="1" x14ac:dyDescent="0.2">
      <c r="A479" s="142" t="s">
        <v>1348</v>
      </c>
      <c r="B479" s="18" t="s">
        <v>842</v>
      </c>
      <c r="C479" s="18" t="s">
        <v>843</v>
      </c>
      <c r="D479" s="19" t="s">
        <v>844</v>
      </c>
      <c r="E479" s="18">
        <v>2</v>
      </c>
      <c r="F479" s="18" t="s">
        <v>35</v>
      </c>
      <c r="G479" s="18" t="s">
        <v>5</v>
      </c>
      <c r="H479" s="18" t="s">
        <v>3</v>
      </c>
      <c r="I479" s="18"/>
      <c r="J479" s="18" t="s">
        <v>1549</v>
      </c>
      <c r="K479" s="19" t="s">
        <v>1550</v>
      </c>
      <c r="L479" s="19"/>
      <c r="M479" s="19"/>
      <c r="N479" s="19" t="s">
        <v>1551</v>
      </c>
      <c r="O479" s="187"/>
      <c r="P479" s="187"/>
      <c r="Q479" s="187"/>
      <c r="R479" s="187" t="s">
        <v>1309</v>
      </c>
      <c r="S479" s="144">
        <v>59500</v>
      </c>
      <c r="T479" s="144">
        <v>0</v>
      </c>
      <c r="U479" s="145">
        <v>0</v>
      </c>
      <c r="V479" s="145">
        <v>0</v>
      </c>
      <c r="W479" s="145">
        <v>0</v>
      </c>
      <c r="X479" s="145">
        <f t="shared" si="144"/>
        <v>0</v>
      </c>
      <c r="Y479" s="145">
        <v>0</v>
      </c>
      <c r="Z479" s="145">
        <v>0</v>
      </c>
      <c r="AA479" s="145">
        <v>0</v>
      </c>
      <c r="AB479" s="145">
        <v>0</v>
      </c>
      <c r="AC479" s="145">
        <v>0</v>
      </c>
      <c r="AD479" s="145">
        <v>0</v>
      </c>
      <c r="AE479" s="145">
        <v>0</v>
      </c>
      <c r="AF479" s="145">
        <v>0</v>
      </c>
      <c r="AG479" s="145">
        <v>0</v>
      </c>
      <c r="AH479" s="145">
        <v>0</v>
      </c>
      <c r="AI479" s="145">
        <v>0</v>
      </c>
      <c r="AJ479" s="145">
        <v>0</v>
      </c>
      <c r="AK479" s="145">
        <f t="shared" si="150"/>
        <v>0</v>
      </c>
      <c r="AL479" s="145">
        <v>59500</v>
      </c>
      <c r="AM479" s="145">
        <v>0</v>
      </c>
      <c r="AN479" s="145">
        <v>0</v>
      </c>
      <c r="AO479" s="145">
        <v>0</v>
      </c>
      <c r="AP479" s="145">
        <v>0</v>
      </c>
      <c r="AQ479" s="145">
        <v>0</v>
      </c>
      <c r="AR479" s="145">
        <v>0</v>
      </c>
      <c r="AS479" s="144">
        <f t="shared" si="151"/>
        <v>59500</v>
      </c>
      <c r="AT479" s="144"/>
      <c r="AU479" s="146">
        <f t="shared" si="148"/>
        <v>59500</v>
      </c>
      <c r="AV479" s="146">
        <f>IFERROR(VLOOKUP(J479,Maksājumu_pieprasījumu_iesn.!G:BL,57,0),0)</f>
        <v>0</v>
      </c>
      <c r="AW479" s="139">
        <f t="shared" si="149"/>
        <v>-59500</v>
      </c>
      <c r="AX479" s="147">
        <f t="shared" si="152"/>
        <v>0</v>
      </c>
      <c r="AY479" s="147"/>
      <c r="AZ479" s="147"/>
      <c r="BA479" s="165"/>
      <c r="BB479" s="144"/>
      <c r="BC479" s="144"/>
      <c r="BD479" s="144"/>
      <c r="BE479" s="144"/>
      <c r="BF479" s="144"/>
      <c r="BG479" s="144"/>
      <c r="BH479" s="149"/>
      <c r="BI479" s="149"/>
      <c r="BJ479" s="149"/>
      <c r="BK479" s="149"/>
      <c r="BL479" s="149"/>
      <c r="BM479" s="149"/>
      <c r="BN479" s="149"/>
    </row>
    <row r="480" spans="1:66" s="91" customFormat="1" ht="38.25" hidden="1" customHeight="1" x14ac:dyDescent="0.2">
      <c r="A480" s="150" t="s">
        <v>1348</v>
      </c>
      <c r="B480" s="18" t="s">
        <v>842</v>
      </c>
      <c r="C480" s="18" t="s">
        <v>843</v>
      </c>
      <c r="D480" s="19" t="s">
        <v>844</v>
      </c>
      <c r="E480" s="55">
        <v>2</v>
      </c>
      <c r="F480" s="55" t="s">
        <v>35</v>
      </c>
      <c r="G480" s="55" t="s">
        <v>5</v>
      </c>
      <c r="H480" s="55" t="s">
        <v>3</v>
      </c>
      <c r="I480" s="55"/>
      <c r="J480" s="55"/>
      <c r="K480" s="19" t="s">
        <v>446</v>
      </c>
      <c r="L480" s="19"/>
      <c r="M480" s="19"/>
      <c r="N480" s="19" t="s">
        <v>1552</v>
      </c>
      <c r="O480" s="151">
        <v>43190</v>
      </c>
      <c r="P480" s="151"/>
      <c r="Q480" s="151"/>
      <c r="R480" s="151"/>
      <c r="S480" s="152">
        <v>107700</v>
      </c>
      <c r="T480" s="152">
        <v>0</v>
      </c>
      <c r="U480" s="145">
        <v>0</v>
      </c>
      <c r="V480" s="145">
        <v>0</v>
      </c>
      <c r="W480" s="145">
        <v>0</v>
      </c>
      <c r="X480" s="145">
        <f t="shared" si="144"/>
        <v>0</v>
      </c>
      <c r="Y480" s="145">
        <v>0</v>
      </c>
      <c r="Z480" s="145">
        <v>0</v>
      </c>
      <c r="AA480" s="145">
        <v>0</v>
      </c>
      <c r="AB480" s="145">
        <v>0</v>
      </c>
      <c r="AC480" s="145">
        <v>0</v>
      </c>
      <c r="AD480" s="145">
        <v>0</v>
      </c>
      <c r="AE480" s="145">
        <v>0</v>
      </c>
      <c r="AF480" s="145">
        <v>0</v>
      </c>
      <c r="AG480" s="145">
        <v>0</v>
      </c>
      <c r="AH480" s="145">
        <v>0</v>
      </c>
      <c r="AI480" s="145">
        <v>0</v>
      </c>
      <c r="AJ480" s="145">
        <v>0</v>
      </c>
      <c r="AK480" s="145">
        <f t="shared" si="150"/>
        <v>0</v>
      </c>
      <c r="AL480" s="145">
        <v>107700</v>
      </c>
      <c r="AM480" s="145">
        <v>0</v>
      </c>
      <c r="AN480" s="145">
        <v>0</v>
      </c>
      <c r="AO480" s="145">
        <v>0</v>
      </c>
      <c r="AP480" s="145">
        <v>0</v>
      </c>
      <c r="AQ480" s="145">
        <v>0</v>
      </c>
      <c r="AR480" s="145">
        <v>0</v>
      </c>
      <c r="AS480" s="145">
        <f t="shared" si="151"/>
        <v>107700</v>
      </c>
      <c r="AT480" s="145"/>
      <c r="AU480" s="139">
        <f t="shared" si="148"/>
        <v>107700</v>
      </c>
      <c r="AV480" s="146">
        <f>IFERROR(VLOOKUP(J480,Maksājumu_pieprasījumu_iesn.!G:BL,57,0),0)</f>
        <v>0</v>
      </c>
      <c r="AW480" s="139">
        <f t="shared" si="149"/>
        <v>-107700</v>
      </c>
      <c r="AX480" s="153">
        <f t="shared" si="152"/>
        <v>0</v>
      </c>
      <c r="AY480" s="153"/>
      <c r="AZ480" s="153"/>
      <c r="BA480" s="136"/>
      <c r="BB480" s="145"/>
      <c r="BC480" s="145"/>
      <c r="BD480" s="145"/>
      <c r="BE480" s="145"/>
      <c r="BF480" s="145"/>
      <c r="BG480" s="145"/>
      <c r="BH480" s="138"/>
      <c r="BI480" s="138"/>
      <c r="BJ480" s="138"/>
      <c r="BK480" s="138"/>
      <c r="BL480" s="138"/>
      <c r="BM480" s="138"/>
      <c r="BN480" s="138"/>
    </row>
    <row r="481" spans="1:66" ht="38.25" hidden="1" customHeight="1" x14ac:dyDescent="0.2">
      <c r="A481" s="142" t="s">
        <v>1348</v>
      </c>
      <c r="B481" s="18" t="s">
        <v>842</v>
      </c>
      <c r="C481" s="18" t="s">
        <v>843</v>
      </c>
      <c r="D481" s="19" t="s">
        <v>844</v>
      </c>
      <c r="E481" s="18">
        <v>2</v>
      </c>
      <c r="F481" s="18" t="s">
        <v>35</v>
      </c>
      <c r="G481" s="18" t="s">
        <v>5</v>
      </c>
      <c r="H481" s="18" t="s">
        <v>3</v>
      </c>
      <c r="I481" s="18"/>
      <c r="J481" s="18" t="s">
        <v>1553</v>
      </c>
      <c r="K481" s="19" t="s">
        <v>69</v>
      </c>
      <c r="L481" s="19"/>
      <c r="M481" s="19"/>
      <c r="N481" s="19" t="s">
        <v>1554</v>
      </c>
      <c r="O481" s="143"/>
      <c r="P481" s="143"/>
      <c r="Q481" s="143"/>
      <c r="R481" s="187" t="s">
        <v>1555</v>
      </c>
      <c r="S481" s="144">
        <v>166000</v>
      </c>
      <c r="T481" s="144">
        <v>0</v>
      </c>
      <c r="U481" s="145">
        <v>0</v>
      </c>
      <c r="V481" s="145">
        <v>0</v>
      </c>
      <c r="W481" s="145">
        <v>0</v>
      </c>
      <c r="X481" s="145">
        <f t="shared" si="144"/>
        <v>0</v>
      </c>
      <c r="Y481" s="145">
        <v>0</v>
      </c>
      <c r="Z481" s="145">
        <v>0</v>
      </c>
      <c r="AA481" s="145">
        <v>0</v>
      </c>
      <c r="AB481" s="145">
        <v>0</v>
      </c>
      <c r="AC481" s="145">
        <v>0</v>
      </c>
      <c r="AD481" s="145">
        <v>0</v>
      </c>
      <c r="AE481" s="145">
        <v>0</v>
      </c>
      <c r="AF481" s="145">
        <v>0</v>
      </c>
      <c r="AG481" s="145">
        <v>0</v>
      </c>
      <c r="AH481" s="145">
        <v>0</v>
      </c>
      <c r="AI481" s="145">
        <v>0</v>
      </c>
      <c r="AJ481" s="145">
        <v>0</v>
      </c>
      <c r="AK481" s="145">
        <f t="shared" si="150"/>
        <v>0</v>
      </c>
      <c r="AL481" s="145">
        <v>166000</v>
      </c>
      <c r="AM481" s="145">
        <v>0</v>
      </c>
      <c r="AN481" s="145">
        <v>0</v>
      </c>
      <c r="AO481" s="145">
        <v>0</v>
      </c>
      <c r="AP481" s="145">
        <v>0</v>
      </c>
      <c r="AQ481" s="145">
        <v>0</v>
      </c>
      <c r="AR481" s="145">
        <v>0</v>
      </c>
      <c r="AS481" s="144">
        <f t="shared" si="151"/>
        <v>166000</v>
      </c>
      <c r="AT481" s="144"/>
      <c r="AU481" s="146">
        <f>AS481-AT481</f>
        <v>166000</v>
      </c>
      <c r="AV481" s="146">
        <f>IFERROR(VLOOKUP(J481,Maksājumu_pieprasījumu_iesn.!G:BL,57,0),0)</f>
        <v>0</v>
      </c>
      <c r="AW481" s="139">
        <f t="shared" si="149"/>
        <v>-166000</v>
      </c>
      <c r="AX481" s="147">
        <f t="shared" si="152"/>
        <v>0</v>
      </c>
      <c r="AY481" s="147"/>
      <c r="AZ481" s="147"/>
      <c r="BA481" s="165"/>
      <c r="BB481" s="144"/>
      <c r="BC481" s="144"/>
      <c r="BD481" s="144"/>
      <c r="BE481" s="144"/>
      <c r="BF481" s="144"/>
      <c r="BG481" s="144"/>
      <c r="BH481" s="149"/>
      <c r="BI481" s="149"/>
      <c r="BJ481" s="149"/>
      <c r="BK481" s="149"/>
      <c r="BL481" s="149"/>
      <c r="BM481" s="149"/>
      <c r="BN481" s="149"/>
    </row>
    <row r="482" spans="1:66" s="91" customFormat="1" ht="63.75" hidden="1" customHeight="1" x14ac:dyDescent="0.2">
      <c r="A482" s="150" t="s">
        <v>1348</v>
      </c>
      <c r="B482" s="18" t="s">
        <v>842</v>
      </c>
      <c r="C482" s="18" t="s">
        <v>843</v>
      </c>
      <c r="D482" s="19" t="s">
        <v>844</v>
      </c>
      <c r="E482" s="55">
        <v>2</v>
      </c>
      <c r="F482" s="55" t="s">
        <v>35</v>
      </c>
      <c r="G482" s="55" t="s">
        <v>5</v>
      </c>
      <c r="H482" s="55" t="s">
        <v>3</v>
      </c>
      <c r="I482" s="55"/>
      <c r="J482" s="55"/>
      <c r="K482" s="19" t="s">
        <v>69</v>
      </c>
      <c r="L482" s="19"/>
      <c r="M482" s="19"/>
      <c r="N482" s="19" t="s">
        <v>1556</v>
      </c>
      <c r="O482" s="151">
        <v>42853</v>
      </c>
      <c r="P482" s="151"/>
      <c r="Q482" s="151"/>
      <c r="R482" s="151"/>
      <c r="S482" s="152">
        <v>386200</v>
      </c>
      <c r="T482" s="152">
        <v>0</v>
      </c>
      <c r="U482" s="145">
        <v>0</v>
      </c>
      <c r="V482" s="145">
        <v>0</v>
      </c>
      <c r="W482" s="145">
        <v>0</v>
      </c>
      <c r="X482" s="145">
        <f t="shared" si="144"/>
        <v>0</v>
      </c>
      <c r="Y482" s="145">
        <v>0</v>
      </c>
      <c r="Z482" s="145">
        <v>0</v>
      </c>
      <c r="AA482" s="145">
        <v>0</v>
      </c>
      <c r="AB482" s="145">
        <v>0</v>
      </c>
      <c r="AC482" s="145">
        <v>0</v>
      </c>
      <c r="AD482" s="145">
        <v>0</v>
      </c>
      <c r="AE482" s="145">
        <v>0</v>
      </c>
      <c r="AF482" s="145">
        <v>0</v>
      </c>
      <c r="AG482" s="145">
        <v>0</v>
      </c>
      <c r="AH482" s="145">
        <v>0</v>
      </c>
      <c r="AI482" s="145">
        <v>347580</v>
      </c>
      <c r="AJ482" s="145">
        <v>0</v>
      </c>
      <c r="AK482" s="145">
        <f t="shared" si="150"/>
        <v>347580</v>
      </c>
      <c r="AL482" s="145">
        <v>38620</v>
      </c>
      <c r="AM482" s="145">
        <v>0</v>
      </c>
      <c r="AN482" s="145">
        <v>0</v>
      </c>
      <c r="AO482" s="145">
        <v>0</v>
      </c>
      <c r="AP482" s="145">
        <v>0</v>
      </c>
      <c r="AQ482" s="145">
        <v>0</v>
      </c>
      <c r="AR482" s="145">
        <v>0</v>
      </c>
      <c r="AS482" s="145">
        <f t="shared" si="151"/>
        <v>386200</v>
      </c>
      <c r="AT482" s="145"/>
      <c r="AU482" s="139">
        <f t="shared" si="148"/>
        <v>386200</v>
      </c>
      <c r="AV482" s="146">
        <f>IFERROR(VLOOKUP(J482,Maksājumu_pieprasījumu_iesn.!G:BL,57,0),0)</f>
        <v>0</v>
      </c>
      <c r="AW482" s="139">
        <f t="shared" si="149"/>
        <v>-386200</v>
      </c>
      <c r="AX482" s="153">
        <f t="shared" si="152"/>
        <v>0</v>
      </c>
      <c r="AY482" s="153"/>
      <c r="AZ482" s="153"/>
      <c r="BA482" s="136"/>
      <c r="BB482" s="145"/>
      <c r="BC482" s="145"/>
      <c r="BD482" s="145"/>
      <c r="BE482" s="145"/>
      <c r="BF482" s="145"/>
      <c r="BG482" s="145"/>
      <c r="BH482" s="138"/>
      <c r="BI482" s="138"/>
      <c r="BJ482" s="138"/>
      <c r="BK482" s="138"/>
      <c r="BL482" s="138"/>
      <c r="BM482" s="138"/>
      <c r="BN482" s="138"/>
    </row>
    <row r="483" spans="1:66" s="91" customFormat="1" ht="38.25" hidden="1" customHeight="1" x14ac:dyDescent="0.2">
      <c r="A483" s="150" t="s">
        <v>1348</v>
      </c>
      <c r="B483" s="18" t="s">
        <v>842</v>
      </c>
      <c r="C483" s="18" t="s">
        <v>843</v>
      </c>
      <c r="D483" s="19" t="s">
        <v>844</v>
      </c>
      <c r="E483" s="55">
        <v>2</v>
      </c>
      <c r="F483" s="55" t="s">
        <v>35</v>
      </c>
      <c r="G483" s="55" t="s">
        <v>5</v>
      </c>
      <c r="H483" s="55" t="s">
        <v>3</v>
      </c>
      <c r="I483" s="55"/>
      <c r="J483" s="55"/>
      <c r="K483" s="19" t="s">
        <v>1300</v>
      </c>
      <c r="L483" s="19"/>
      <c r="M483" s="19"/>
      <c r="N483" s="19" t="s">
        <v>1557</v>
      </c>
      <c r="O483" s="151">
        <v>43059</v>
      </c>
      <c r="P483" s="151"/>
      <c r="Q483" s="151"/>
      <c r="R483" s="151"/>
      <c r="S483" s="152">
        <v>244182</v>
      </c>
      <c r="T483" s="152">
        <v>0</v>
      </c>
      <c r="U483" s="145">
        <v>0</v>
      </c>
      <c r="V483" s="145">
        <v>0</v>
      </c>
      <c r="W483" s="145">
        <v>0</v>
      </c>
      <c r="X483" s="145">
        <f t="shared" si="144"/>
        <v>0</v>
      </c>
      <c r="Y483" s="145">
        <v>0</v>
      </c>
      <c r="Z483" s="145">
        <v>0</v>
      </c>
      <c r="AA483" s="145">
        <v>0</v>
      </c>
      <c r="AB483" s="145">
        <v>0</v>
      </c>
      <c r="AC483" s="145">
        <v>0</v>
      </c>
      <c r="AD483" s="145">
        <v>0</v>
      </c>
      <c r="AE483" s="145">
        <v>0</v>
      </c>
      <c r="AF483" s="145">
        <v>0</v>
      </c>
      <c r="AG483" s="145">
        <v>0</v>
      </c>
      <c r="AH483" s="145">
        <v>0</v>
      </c>
      <c r="AI483" s="145">
        <v>0</v>
      </c>
      <c r="AJ483" s="145">
        <v>0</v>
      </c>
      <c r="AK483" s="145">
        <f t="shared" si="150"/>
        <v>0</v>
      </c>
      <c r="AL483" s="145">
        <v>183150</v>
      </c>
      <c r="AM483" s="145">
        <v>61032</v>
      </c>
      <c r="AN483" s="145">
        <v>0</v>
      </c>
      <c r="AO483" s="145">
        <v>0</v>
      </c>
      <c r="AP483" s="145">
        <v>0</v>
      </c>
      <c r="AQ483" s="145">
        <v>0</v>
      </c>
      <c r="AR483" s="145">
        <v>0</v>
      </c>
      <c r="AS483" s="145">
        <f t="shared" si="151"/>
        <v>244182</v>
      </c>
      <c r="AT483" s="145"/>
      <c r="AU483" s="139">
        <f t="shared" si="148"/>
        <v>244182</v>
      </c>
      <c r="AV483" s="146">
        <f>IFERROR(VLOOKUP(J483,Maksājumu_pieprasījumu_iesn.!G:BL,57,0),0)</f>
        <v>0</v>
      </c>
      <c r="AW483" s="139">
        <f t="shared" si="149"/>
        <v>-244182</v>
      </c>
      <c r="AX483" s="153">
        <f t="shared" si="152"/>
        <v>0</v>
      </c>
      <c r="AY483" s="153"/>
      <c r="AZ483" s="153"/>
      <c r="BA483" s="136"/>
      <c r="BB483" s="145"/>
      <c r="BC483" s="145"/>
      <c r="BD483" s="145"/>
      <c r="BE483" s="145"/>
      <c r="BF483" s="145"/>
      <c r="BG483" s="145"/>
      <c r="BH483" s="138"/>
      <c r="BI483" s="138"/>
      <c r="BJ483" s="138"/>
      <c r="BK483" s="138"/>
      <c r="BL483" s="138"/>
      <c r="BM483" s="138"/>
      <c r="BN483" s="138"/>
    </row>
    <row r="484" spans="1:66" s="91" customFormat="1" ht="38.25" hidden="1" customHeight="1" x14ac:dyDescent="0.2">
      <c r="A484" s="150" t="s">
        <v>1348</v>
      </c>
      <c r="B484" s="18" t="s">
        <v>842</v>
      </c>
      <c r="C484" s="18" t="s">
        <v>843</v>
      </c>
      <c r="D484" s="19" t="s">
        <v>844</v>
      </c>
      <c r="E484" s="55">
        <v>2</v>
      </c>
      <c r="F484" s="55" t="s">
        <v>35</v>
      </c>
      <c r="G484" s="55" t="s">
        <v>5</v>
      </c>
      <c r="H484" s="55" t="s">
        <v>3</v>
      </c>
      <c r="I484" s="55"/>
      <c r="J484" s="55"/>
      <c r="K484" s="19" t="s">
        <v>1300</v>
      </c>
      <c r="L484" s="19"/>
      <c r="M484" s="19"/>
      <c r="N484" s="19" t="s">
        <v>1558</v>
      </c>
      <c r="O484" s="151">
        <v>43059</v>
      </c>
      <c r="P484" s="151"/>
      <c r="Q484" s="151"/>
      <c r="R484" s="151"/>
      <c r="S484" s="152">
        <v>158185</v>
      </c>
      <c r="T484" s="152">
        <v>0</v>
      </c>
      <c r="U484" s="145">
        <v>0</v>
      </c>
      <c r="V484" s="145">
        <v>0</v>
      </c>
      <c r="W484" s="145">
        <v>0</v>
      </c>
      <c r="X484" s="145">
        <f t="shared" si="144"/>
        <v>0</v>
      </c>
      <c r="Y484" s="145">
        <v>0</v>
      </c>
      <c r="Z484" s="145">
        <v>0</v>
      </c>
      <c r="AA484" s="145">
        <v>0</v>
      </c>
      <c r="AB484" s="145">
        <v>0</v>
      </c>
      <c r="AC484" s="145">
        <v>0</v>
      </c>
      <c r="AD484" s="145">
        <v>0</v>
      </c>
      <c r="AE484" s="145">
        <v>0</v>
      </c>
      <c r="AF484" s="145">
        <v>0</v>
      </c>
      <c r="AG484" s="145">
        <v>0</v>
      </c>
      <c r="AH484" s="145">
        <v>0</v>
      </c>
      <c r="AI484" s="145">
        <v>0</v>
      </c>
      <c r="AJ484" s="145">
        <v>0</v>
      </c>
      <c r="AK484" s="145">
        <f t="shared" si="150"/>
        <v>0</v>
      </c>
      <c r="AL484" s="145">
        <v>103285.5</v>
      </c>
      <c r="AM484" s="145">
        <v>54899.5</v>
      </c>
      <c r="AN484" s="145">
        <v>0</v>
      </c>
      <c r="AO484" s="145">
        <v>0</v>
      </c>
      <c r="AP484" s="145">
        <v>0</v>
      </c>
      <c r="AQ484" s="145">
        <v>0</v>
      </c>
      <c r="AR484" s="145">
        <v>0</v>
      </c>
      <c r="AS484" s="145">
        <f t="shared" si="151"/>
        <v>158185</v>
      </c>
      <c r="AT484" s="145"/>
      <c r="AU484" s="139">
        <f t="shared" si="148"/>
        <v>158185</v>
      </c>
      <c r="AV484" s="146">
        <f>IFERROR(VLOOKUP(J484,Maksājumu_pieprasījumu_iesn.!G:BL,57,0),0)</f>
        <v>0</v>
      </c>
      <c r="AW484" s="139">
        <f t="shared" si="149"/>
        <v>-158185</v>
      </c>
      <c r="AX484" s="153">
        <f t="shared" si="152"/>
        <v>0</v>
      </c>
      <c r="AY484" s="153"/>
      <c r="AZ484" s="153"/>
      <c r="BA484" s="136"/>
      <c r="BB484" s="145"/>
      <c r="BC484" s="145"/>
      <c r="BD484" s="145"/>
      <c r="BE484" s="145"/>
      <c r="BF484" s="145"/>
      <c r="BG484" s="145"/>
      <c r="BH484" s="138"/>
      <c r="BI484" s="138"/>
      <c r="BJ484" s="138"/>
      <c r="BK484" s="138"/>
      <c r="BL484" s="138"/>
      <c r="BM484" s="138"/>
      <c r="BN484" s="138"/>
    </row>
    <row r="485" spans="1:66" s="91" customFormat="1" ht="51" hidden="1" customHeight="1" x14ac:dyDescent="0.2">
      <c r="A485" s="150" t="s">
        <v>1348</v>
      </c>
      <c r="B485" s="18" t="s">
        <v>842</v>
      </c>
      <c r="C485" s="18" t="s">
        <v>843</v>
      </c>
      <c r="D485" s="19" t="s">
        <v>844</v>
      </c>
      <c r="E485" s="55">
        <v>2</v>
      </c>
      <c r="F485" s="55" t="s">
        <v>35</v>
      </c>
      <c r="G485" s="55" t="s">
        <v>5</v>
      </c>
      <c r="H485" s="55" t="s">
        <v>3</v>
      </c>
      <c r="I485" s="55"/>
      <c r="J485" s="55"/>
      <c r="K485" s="19" t="s">
        <v>1559</v>
      </c>
      <c r="L485" s="19"/>
      <c r="M485" s="19"/>
      <c r="N485" s="19" t="s">
        <v>1560</v>
      </c>
      <c r="O485" s="151">
        <v>42870</v>
      </c>
      <c r="P485" s="151"/>
      <c r="Q485" s="151"/>
      <c r="R485" s="151"/>
      <c r="S485" s="152">
        <v>165100</v>
      </c>
      <c r="T485" s="152">
        <v>0</v>
      </c>
      <c r="U485" s="145">
        <v>0</v>
      </c>
      <c r="V485" s="145">
        <v>0</v>
      </c>
      <c r="W485" s="145">
        <v>0</v>
      </c>
      <c r="X485" s="145">
        <f t="shared" si="144"/>
        <v>0</v>
      </c>
      <c r="Y485" s="145">
        <v>0</v>
      </c>
      <c r="Z485" s="145">
        <v>0</v>
      </c>
      <c r="AA485" s="145">
        <v>0</v>
      </c>
      <c r="AB485" s="145">
        <v>0</v>
      </c>
      <c r="AC485" s="145">
        <v>0</v>
      </c>
      <c r="AD485" s="145">
        <v>0</v>
      </c>
      <c r="AE485" s="145">
        <v>0</v>
      </c>
      <c r="AF485" s="145">
        <v>0</v>
      </c>
      <c r="AG485" s="145">
        <v>0</v>
      </c>
      <c r="AH485" s="145">
        <v>0</v>
      </c>
      <c r="AI485" s="145">
        <v>0</v>
      </c>
      <c r="AJ485" s="145">
        <v>0</v>
      </c>
      <c r="AK485" s="145">
        <f t="shared" si="150"/>
        <v>0</v>
      </c>
      <c r="AL485" s="145">
        <v>165100</v>
      </c>
      <c r="AM485" s="145">
        <v>0</v>
      </c>
      <c r="AN485" s="145">
        <v>0</v>
      </c>
      <c r="AO485" s="145">
        <v>0</v>
      </c>
      <c r="AP485" s="145">
        <v>0</v>
      </c>
      <c r="AQ485" s="145">
        <v>0</v>
      </c>
      <c r="AR485" s="145">
        <v>0</v>
      </c>
      <c r="AS485" s="145">
        <f t="shared" si="151"/>
        <v>165100</v>
      </c>
      <c r="AT485" s="145"/>
      <c r="AU485" s="139">
        <f t="shared" si="148"/>
        <v>165100</v>
      </c>
      <c r="AV485" s="146">
        <f>IFERROR(VLOOKUP(J485,Maksājumu_pieprasījumu_iesn.!G:BL,57,0),0)</f>
        <v>0</v>
      </c>
      <c r="AW485" s="139">
        <f t="shared" si="149"/>
        <v>-165100</v>
      </c>
      <c r="AX485" s="153">
        <f t="shared" si="152"/>
        <v>0</v>
      </c>
      <c r="AY485" s="153"/>
      <c r="AZ485" s="153"/>
      <c r="BA485" s="136"/>
      <c r="BB485" s="145"/>
      <c r="BC485" s="145"/>
      <c r="BD485" s="145"/>
      <c r="BE485" s="145"/>
      <c r="BF485" s="145"/>
      <c r="BG485" s="145"/>
      <c r="BH485" s="138"/>
      <c r="BI485" s="138"/>
      <c r="BJ485" s="138"/>
      <c r="BK485" s="138"/>
      <c r="BL485" s="138"/>
      <c r="BM485" s="138"/>
      <c r="BN485" s="138"/>
    </row>
    <row r="486" spans="1:66" s="91" customFormat="1" ht="38.25" hidden="1" customHeight="1" x14ac:dyDescent="0.2">
      <c r="A486" s="150" t="s">
        <v>1348</v>
      </c>
      <c r="B486" s="18" t="s">
        <v>842</v>
      </c>
      <c r="C486" s="18" t="s">
        <v>843</v>
      </c>
      <c r="D486" s="19" t="s">
        <v>844</v>
      </c>
      <c r="E486" s="55">
        <v>2</v>
      </c>
      <c r="F486" s="55" t="s">
        <v>35</v>
      </c>
      <c r="G486" s="55" t="s">
        <v>5</v>
      </c>
      <c r="H486" s="55" t="s">
        <v>3</v>
      </c>
      <c r="I486" s="55"/>
      <c r="J486" s="55"/>
      <c r="K486" s="19" t="s">
        <v>1234</v>
      </c>
      <c r="L486" s="19"/>
      <c r="M486" s="19"/>
      <c r="N486" s="19" t="s">
        <v>1561</v>
      </c>
      <c r="O486" s="151">
        <v>43068</v>
      </c>
      <c r="P486" s="151"/>
      <c r="Q486" s="151"/>
      <c r="R486" s="151"/>
      <c r="S486" s="152">
        <v>240952</v>
      </c>
      <c r="T486" s="152">
        <v>0</v>
      </c>
      <c r="U486" s="145">
        <v>0</v>
      </c>
      <c r="V486" s="145">
        <v>0</v>
      </c>
      <c r="W486" s="145">
        <v>0</v>
      </c>
      <c r="X486" s="145">
        <f t="shared" si="144"/>
        <v>0</v>
      </c>
      <c r="Y486" s="145">
        <v>0</v>
      </c>
      <c r="Z486" s="145">
        <v>0</v>
      </c>
      <c r="AA486" s="145">
        <v>0</v>
      </c>
      <c r="AB486" s="145">
        <v>0</v>
      </c>
      <c r="AC486" s="145">
        <v>0</v>
      </c>
      <c r="AD486" s="145">
        <v>0</v>
      </c>
      <c r="AE486" s="145">
        <v>0</v>
      </c>
      <c r="AF486" s="145">
        <v>0</v>
      </c>
      <c r="AG486" s="145">
        <v>0</v>
      </c>
      <c r="AH486" s="145">
        <v>0</v>
      </c>
      <c r="AI486" s="145">
        <v>0</v>
      </c>
      <c r="AJ486" s="145">
        <v>0</v>
      </c>
      <c r="AK486" s="145">
        <f t="shared" si="150"/>
        <v>0</v>
      </c>
      <c r="AL486" s="145">
        <v>240952</v>
      </c>
      <c r="AM486" s="145">
        <v>0</v>
      </c>
      <c r="AN486" s="145">
        <v>0</v>
      </c>
      <c r="AO486" s="145">
        <v>0</v>
      </c>
      <c r="AP486" s="145">
        <v>0</v>
      </c>
      <c r="AQ486" s="145">
        <v>0</v>
      </c>
      <c r="AR486" s="145">
        <v>0</v>
      </c>
      <c r="AS486" s="145">
        <f t="shared" si="151"/>
        <v>240952</v>
      </c>
      <c r="AT486" s="145"/>
      <c r="AU486" s="139">
        <f t="shared" si="148"/>
        <v>240952</v>
      </c>
      <c r="AV486" s="146">
        <f>IFERROR(VLOOKUP(J486,Maksājumu_pieprasījumu_iesn.!G:BL,57,0),0)</f>
        <v>0</v>
      </c>
      <c r="AW486" s="139">
        <f t="shared" si="149"/>
        <v>-240952</v>
      </c>
      <c r="AX486" s="153">
        <f t="shared" si="152"/>
        <v>0</v>
      </c>
      <c r="AY486" s="153"/>
      <c r="AZ486" s="153"/>
      <c r="BA486" s="136"/>
      <c r="BB486" s="145"/>
      <c r="BC486" s="145"/>
      <c r="BD486" s="145"/>
      <c r="BE486" s="145"/>
      <c r="BF486" s="145"/>
      <c r="BG486" s="145"/>
      <c r="BH486" s="138"/>
      <c r="BI486" s="138"/>
      <c r="BJ486" s="138"/>
      <c r="BK486" s="138"/>
      <c r="BL486" s="138"/>
      <c r="BM486" s="138"/>
      <c r="BN486" s="138"/>
    </row>
    <row r="487" spans="1:66" s="91" customFormat="1" ht="38.25" hidden="1" customHeight="1" x14ac:dyDescent="0.2">
      <c r="A487" s="150" t="s">
        <v>1348</v>
      </c>
      <c r="B487" s="18" t="s">
        <v>842</v>
      </c>
      <c r="C487" s="18" t="s">
        <v>843</v>
      </c>
      <c r="D487" s="19" t="s">
        <v>844</v>
      </c>
      <c r="E487" s="55">
        <v>2</v>
      </c>
      <c r="F487" s="55" t="s">
        <v>35</v>
      </c>
      <c r="G487" s="55" t="s">
        <v>5</v>
      </c>
      <c r="H487" s="55" t="s">
        <v>3</v>
      </c>
      <c r="I487" s="55"/>
      <c r="J487" s="55"/>
      <c r="K487" s="19" t="s">
        <v>1234</v>
      </c>
      <c r="L487" s="19"/>
      <c r="M487" s="19"/>
      <c r="N487" s="19" t="s">
        <v>1562</v>
      </c>
      <c r="O487" s="151">
        <v>43068</v>
      </c>
      <c r="P487" s="151"/>
      <c r="Q487" s="151"/>
      <c r="R487" s="151"/>
      <c r="S487" s="152">
        <v>102987</v>
      </c>
      <c r="T487" s="152">
        <v>0</v>
      </c>
      <c r="U487" s="145">
        <v>0</v>
      </c>
      <c r="V487" s="145">
        <v>0</v>
      </c>
      <c r="W487" s="145">
        <v>0</v>
      </c>
      <c r="X487" s="145">
        <f t="shared" si="144"/>
        <v>0</v>
      </c>
      <c r="Y487" s="145">
        <v>0</v>
      </c>
      <c r="Z487" s="145">
        <v>0</v>
      </c>
      <c r="AA487" s="145">
        <v>0</v>
      </c>
      <c r="AB487" s="145">
        <v>0</v>
      </c>
      <c r="AC487" s="145">
        <v>0</v>
      </c>
      <c r="AD487" s="145">
        <v>0</v>
      </c>
      <c r="AE487" s="145">
        <v>0</v>
      </c>
      <c r="AF487" s="145">
        <v>0</v>
      </c>
      <c r="AG487" s="145">
        <v>0</v>
      </c>
      <c r="AH487" s="145">
        <v>0</v>
      </c>
      <c r="AI487" s="145">
        <v>0</v>
      </c>
      <c r="AJ487" s="145">
        <v>0</v>
      </c>
      <c r="AK487" s="145">
        <f t="shared" si="150"/>
        <v>0</v>
      </c>
      <c r="AL487" s="145">
        <v>102987</v>
      </c>
      <c r="AM487" s="145">
        <v>0</v>
      </c>
      <c r="AN487" s="145">
        <v>0</v>
      </c>
      <c r="AO487" s="145">
        <v>0</v>
      </c>
      <c r="AP487" s="145">
        <v>0</v>
      </c>
      <c r="AQ487" s="145">
        <v>0</v>
      </c>
      <c r="AR487" s="145">
        <v>0</v>
      </c>
      <c r="AS487" s="145">
        <f t="shared" si="151"/>
        <v>102987</v>
      </c>
      <c r="AT487" s="145"/>
      <c r="AU487" s="139">
        <f t="shared" si="148"/>
        <v>102987</v>
      </c>
      <c r="AV487" s="146">
        <f>IFERROR(VLOOKUP(J487,Maksājumu_pieprasījumu_iesn.!G:BL,57,0),0)</f>
        <v>0</v>
      </c>
      <c r="AW487" s="139">
        <f t="shared" si="149"/>
        <v>-102987</v>
      </c>
      <c r="AX487" s="153">
        <f t="shared" si="152"/>
        <v>0</v>
      </c>
      <c r="AY487" s="153"/>
      <c r="AZ487" s="153"/>
      <c r="BA487" s="136"/>
      <c r="BB487" s="145"/>
      <c r="BC487" s="145"/>
      <c r="BD487" s="145"/>
      <c r="BE487" s="145"/>
      <c r="BF487" s="145"/>
      <c r="BG487" s="145"/>
      <c r="BH487" s="138"/>
      <c r="BI487" s="138"/>
      <c r="BJ487" s="138"/>
      <c r="BK487" s="138"/>
      <c r="BL487" s="138"/>
      <c r="BM487" s="138"/>
      <c r="BN487" s="138"/>
    </row>
    <row r="488" spans="1:66" s="91" customFormat="1" ht="25.5" hidden="1" customHeight="1" x14ac:dyDescent="0.2">
      <c r="A488" s="150" t="s">
        <v>1348</v>
      </c>
      <c r="B488" s="18" t="s">
        <v>842</v>
      </c>
      <c r="C488" s="18" t="s">
        <v>843</v>
      </c>
      <c r="D488" s="19" t="s">
        <v>844</v>
      </c>
      <c r="E488" s="55">
        <v>2</v>
      </c>
      <c r="F488" s="55" t="s">
        <v>35</v>
      </c>
      <c r="G488" s="55" t="s">
        <v>5</v>
      </c>
      <c r="H488" s="55" t="s">
        <v>3</v>
      </c>
      <c r="I488" s="55"/>
      <c r="J488" s="55"/>
      <c r="K488" s="19" t="s">
        <v>822</v>
      </c>
      <c r="L488" s="19"/>
      <c r="M488" s="19"/>
      <c r="N488" s="19" t="s">
        <v>1563</v>
      </c>
      <c r="O488" s="151">
        <v>43069</v>
      </c>
      <c r="P488" s="151"/>
      <c r="Q488" s="151"/>
      <c r="R488" s="151"/>
      <c r="S488" s="152">
        <v>218080</v>
      </c>
      <c r="T488" s="152">
        <v>0</v>
      </c>
      <c r="U488" s="145">
        <v>0</v>
      </c>
      <c r="V488" s="145">
        <v>0</v>
      </c>
      <c r="W488" s="145">
        <v>0</v>
      </c>
      <c r="X488" s="145">
        <f t="shared" si="144"/>
        <v>0</v>
      </c>
      <c r="Y488" s="145">
        <v>0</v>
      </c>
      <c r="Z488" s="145">
        <v>0</v>
      </c>
      <c r="AA488" s="145">
        <v>0</v>
      </c>
      <c r="AB488" s="145">
        <v>0</v>
      </c>
      <c r="AC488" s="145">
        <v>0</v>
      </c>
      <c r="AD488" s="145">
        <v>0</v>
      </c>
      <c r="AE488" s="145">
        <v>0</v>
      </c>
      <c r="AF488" s="145">
        <v>0</v>
      </c>
      <c r="AG488" s="145">
        <v>0</v>
      </c>
      <c r="AH488" s="145">
        <v>0</v>
      </c>
      <c r="AI488" s="145">
        <v>0</v>
      </c>
      <c r="AJ488" s="145">
        <v>0</v>
      </c>
      <c r="AK488" s="145">
        <f t="shared" si="150"/>
        <v>0</v>
      </c>
      <c r="AL488" s="145">
        <v>218080</v>
      </c>
      <c r="AM488" s="145">
        <v>0</v>
      </c>
      <c r="AN488" s="145">
        <v>0</v>
      </c>
      <c r="AO488" s="145">
        <v>0</v>
      </c>
      <c r="AP488" s="145">
        <v>0</v>
      </c>
      <c r="AQ488" s="145">
        <v>0</v>
      </c>
      <c r="AR488" s="145">
        <v>0</v>
      </c>
      <c r="AS488" s="145">
        <f t="shared" si="151"/>
        <v>218080</v>
      </c>
      <c r="AT488" s="145"/>
      <c r="AU488" s="139">
        <f t="shared" si="148"/>
        <v>218080</v>
      </c>
      <c r="AV488" s="146">
        <f>IFERROR(VLOOKUP(J488,Maksājumu_pieprasījumu_iesn.!G:BL,57,0),0)</f>
        <v>0</v>
      </c>
      <c r="AW488" s="139">
        <f t="shared" si="149"/>
        <v>-218080</v>
      </c>
      <c r="AX488" s="153">
        <f t="shared" si="152"/>
        <v>0</v>
      </c>
      <c r="AY488" s="153"/>
      <c r="AZ488" s="153"/>
      <c r="BA488" s="136"/>
      <c r="BB488" s="145"/>
      <c r="BC488" s="145"/>
      <c r="BD488" s="145"/>
      <c r="BE488" s="145"/>
      <c r="BF488" s="145"/>
      <c r="BG488" s="145"/>
      <c r="BH488" s="138"/>
      <c r="BI488" s="138"/>
      <c r="BJ488" s="138"/>
      <c r="BK488" s="138"/>
      <c r="BL488" s="138"/>
      <c r="BM488" s="138"/>
      <c r="BN488" s="138"/>
    </row>
    <row r="489" spans="1:66" s="91" customFormat="1" ht="25.5" hidden="1" customHeight="1" x14ac:dyDescent="0.2">
      <c r="A489" s="150" t="s">
        <v>1348</v>
      </c>
      <c r="B489" s="18" t="s">
        <v>842</v>
      </c>
      <c r="C489" s="18" t="s">
        <v>843</v>
      </c>
      <c r="D489" s="19" t="s">
        <v>844</v>
      </c>
      <c r="E489" s="55">
        <v>2</v>
      </c>
      <c r="F489" s="55" t="s">
        <v>35</v>
      </c>
      <c r="G489" s="55" t="s">
        <v>5</v>
      </c>
      <c r="H489" s="55" t="s">
        <v>3</v>
      </c>
      <c r="I489" s="55"/>
      <c r="J489" s="55"/>
      <c r="K489" s="19" t="s">
        <v>1564</v>
      </c>
      <c r="L489" s="19"/>
      <c r="M489" s="19"/>
      <c r="N489" s="19" t="s">
        <v>1565</v>
      </c>
      <c r="O489" s="151">
        <v>42886</v>
      </c>
      <c r="P489" s="151"/>
      <c r="Q489" s="151"/>
      <c r="R489" s="151"/>
      <c r="S489" s="152">
        <v>285000</v>
      </c>
      <c r="T489" s="152">
        <v>0</v>
      </c>
      <c r="U489" s="145">
        <v>0</v>
      </c>
      <c r="V489" s="145">
        <v>0</v>
      </c>
      <c r="W489" s="145">
        <v>0</v>
      </c>
      <c r="X489" s="145">
        <f t="shared" si="144"/>
        <v>0</v>
      </c>
      <c r="Y489" s="145">
        <v>0</v>
      </c>
      <c r="Z489" s="145">
        <v>0</v>
      </c>
      <c r="AA489" s="145">
        <v>0</v>
      </c>
      <c r="AB489" s="145">
        <v>0</v>
      </c>
      <c r="AC489" s="145">
        <v>0</v>
      </c>
      <c r="AD489" s="145">
        <v>0</v>
      </c>
      <c r="AE489" s="145">
        <v>0</v>
      </c>
      <c r="AF489" s="145">
        <v>0</v>
      </c>
      <c r="AG489" s="145">
        <v>0</v>
      </c>
      <c r="AH489" s="145">
        <v>0</v>
      </c>
      <c r="AI489" s="145">
        <v>0</v>
      </c>
      <c r="AJ489" s="145">
        <v>0</v>
      </c>
      <c r="AK489" s="145">
        <f t="shared" si="150"/>
        <v>0</v>
      </c>
      <c r="AL489" s="145">
        <v>285000</v>
      </c>
      <c r="AM489" s="145">
        <v>0</v>
      </c>
      <c r="AN489" s="145">
        <v>0</v>
      </c>
      <c r="AO489" s="145">
        <v>0</v>
      </c>
      <c r="AP489" s="145">
        <v>0</v>
      </c>
      <c r="AQ489" s="145">
        <v>0</v>
      </c>
      <c r="AR489" s="145">
        <v>0</v>
      </c>
      <c r="AS489" s="145">
        <f t="shared" si="151"/>
        <v>285000</v>
      </c>
      <c r="AT489" s="145"/>
      <c r="AU489" s="139">
        <f t="shared" si="148"/>
        <v>285000</v>
      </c>
      <c r="AV489" s="146">
        <f>IFERROR(VLOOKUP(J489,Maksājumu_pieprasījumu_iesn.!G:BL,57,0),0)</f>
        <v>0</v>
      </c>
      <c r="AW489" s="139">
        <f t="shared" si="149"/>
        <v>-285000</v>
      </c>
      <c r="AX489" s="153">
        <f t="shared" si="152"/>
        <v>0</v>
      </c>
      <c r="AY489" s="153"/>
      <c r="AZ489" s="153"/>
      <c r="BA489" s="136"/>
      <c r="BB489" s="145"/>
      <c r="BC489" s="145"/>
      <c r="BD489" s="145"/>
      <c r="BE489" s="145"/>
      <c r="BF489" s="145"/>
      <c r="BG489" s="145"/>
      <c r="BH489" s="138"/>
      <c r="BI489" s="138"/>
      <c r="BJ489" s="138"/>
      <c r="BK489" s="138"/>
      <c r="BL489" s="138"/>
      <c r="BM489" s="138"/>
      <c r="BN489" s="138"/>
    </row>
    <row r="490" spans="1:66" s="91" customFormat="1" ht="25.5" hidden="1" customHeight="1" x14ac:dyDescent="0.2">
      <c r="A490" s="150" t="s">
        <v>1348</v>
      </c>
      <c r="B490" s="18" t="s">
        <v>842</v>
      </c>
      <c r="C490" s="18" t="s">
        <v>843</v>
      </c>
      <c r="D490" s="19" t="s">
        <v>844</v>
      </c>
      <c r="E490" s="55">
        <v>2</v>
      </c>
      <c r="F490" s="55" t="s">
        <v>35</v>
      </c>
      <c r="G490" s="55" t="s">
        <v>5</v>
      </c>
      <c r="H490" s="55" t="s">
        <v>3</v>
      </c>
      <c r="I490" s="55"/>
      <c r="J490" s="55"/>
      <c r="K490" s="19" t="s">
        <v>1566</v>
      </c>
      <c r="L490" s="19"/>
      <c r="M490" s="19"/>
      <c r="N490" s="19" t="s">
        <v>1567</v>
      </c>
      <c r="O490" s="151">
        <v>43039</v>
      </c>
      <c r="P490" s="151"/>
      <c r="Q490" s="151"/>
      <c r="R490" s="151"/>
      <c r="S490" s="152">
        <v>272213</v>
      </c>
      <c r="T490" s="152">
        <v>0</v>
      </c>
      <c r="U490" s="145">
        <v>0</v>
      </c>
      <c r="V490" s="145">
        <v>0</v>
      </c>
      <c r="W490" s="145">
        <v>0</v>
      </c>
      <c r="X490" s="145">
        <f t="shared" si="144"/>
        <v>0</v>
      </c>
      <c r="Y490" s="145">
        <v>0</v>
      </c>
      <c r="Z490" s="145">
        <v>0</v>
      </c>
      <c r="AA490" s="145">
        <v>0</v>
      </c>
      <c r="AB490" s="145">
        <v>0</v>
      </c>
      <c r="AC490" s="145">
        <v>0</v>
      </c>
      <c r="AD490" s="145">
        <v>0</v>
      </c>
      <c r="AE490" s="145">
        <v>0</v>
      </c>
      <c r="AF490" s="145">
        <v>0</v>
      </c>
      <c r="AG490" s="145">
        <v>0</v>
      </c>
      <c r="AH490" s="145">
        <v>0</v>
      </c>
      <c r="AI490" s="145">
        <v>0</v>
      </c>
      <c r="AJ490" s="145">
        <v>0</v>
      </c>
      <c r="AK490" s="145">
        <f t="shared" si="150"/>
        <v>0</v>
      </c>
      <c r="AL490" s="145">
        <v>272213</v>
      </c>
      <c r="AM490" s="145">
        <v>0</v>
      </c>
      <c r="AN490" s="145">
        <v>0</v>
      </c>
      <c r="AO490" s="145">
        <v>0</v>
      </c>
      <c r="AP490" s="145">
        <v>0</v>
      </c>
      <c r="AQ490" s="145">
        <v>0</v>
      </c>
      <c r="AR490" s="145">
        <v>0</v>
      </c>
      <c r="AS490" s="145">
        <f t="shared" si="151"/>
        <v>272213</v>
      </c>
      <c r="AT490" s="145"/>
      <c r="AU490" s="139">
        <f t="shared" si="148"/>
        <v>272213</v>
      </c>
      <c r="AV490" s="146">
        <f>IFERROR(VLOOKUP(J490,Maksājumu_pieprasījumu_iesn.!G:BL,57,0),0)</f>
        <v>0</v>
      </c>
      <c r="AW490" s="139">
        <f t="shared" si="149"/>
        <v>-272213</v>
      </c>
      <c r="AX490" s="153">
        <f t="shared" si="152"/>
        <v>0</v>
      </c>
      <c r="AY490" s="153"/>
      <c r="AZ490" s="153"/>
      <c r="BA490" s="136"/>
      <c r="BB490" s="145"/>
      <c r="BC490" s="145"/>
      <c r="BD490" s="145"/>
      <c r="BE490" s="145"/>
      <c r="BF490" s="145"/>
      <c r="BG490" s="145"/>
      <c r="BH490" s="138"/>
      <c r="BI490" s="138"/>
      <c r="BJ490" s="138"/>
      <c r="BK490" s="138"/>
      <c r="BL490" s="138"/>
      <c r="BM490" s="138"/>
      <c r="BN490" s="138"/>
    </row>
    <row r="491" spans="1:66" s="91" customFormat="1" ht="51" hidden="1" x14ac:dyDescent="0.2">
      <c r="A491" s="150" t="s">
        <v>1348</v>
      </c>
      <c r="B491" s="18" t="s">
        <v>842</v>
      </c>
      <c r="C491" s="18" t="s">
        <v>843</v>
      </c>
      <c r="D491" s="19" t="s">
        <v>844</v>
      </c>
      <c r="E491" s="55">
        <v>2</v>
      </c>
      <c r="F491" s="55" t="s">
        <v>35</v>
      </c>
      <c r="G491" s="55" t="s">
        <v>5</v>
      </c>
      <c r="H491" s="55" t="s">
        <v>3</v>
      </c>
      <c r="I491" s="55"/>
      <c r="J491" s="55"/>
      <c r="K491" s="19" t="s">
        <v>1566</v>
      </c>
      <c r="L491" s="19"/>
      <c r="M491" s="19"/>
      <c r="N491" s="19" t="s">
        <v>1568</v>
      </c>
      <c r="O491" s="151">
        <v>43039</v>
      </c>
      <c r="P491" s="151"/>
      <c r="Q491" s="151"/>
      <c r="R491" s="151"/>
      <c r="S491" s="152">
        <v>111350</v>
      </c>
      <c r="T491" s="152">
        <v>0</v>
      </c>
      <c r="U491" s="145">
        <v>0</v>
      </c>
      <c r="V491" s="145">
        <v>0</v>
      </c>
      <c r="W491" s="145">
        <v>0</v>
      </c>
      <c r="X491" s="145">
        <f t="shared" si="144"/>
        <v>0</v>
      </c>
      <c r="Y491" s="145">
        <v>0</v>
      </c>
      <c r="Z491" s="145">
        <v>0</v>
      </c>
      <c r="AA491" s="145">
        <v>0</v>
      </c>
      <c r="AB491" s="145">
        <v>0</v>
      </c>
      <c r="AC491" s="145">
        <v>0</v>
      </c>
      <c r="AD491" s="145">
        <v>0</v>
      </c>
      <c r="AE491" s="145">
        <v>0</v>
      </c>
      <c r="AF491" s="145">
        <v>0</v>
      </c>
      <c r="AG491" s="145">
        <v>0</v>
      </c>
      <c r="AH491" s="145">
        <v>0</v>
      </c>
      <c r="AI491" s="145">
        <v>0</v>
      </c>
      <c r="AJ491" s="145">
        <v>0</v>
      </c>
      <c r="AK491" s="145">
        <f t="shared" si="150"/>
        <v>0</v>
      </c>
      <c r="AL491" s="145">
        <v>109730.6</v>
      </c>
      <c r="AM491" s="145">
        <v>0</v>
      </c>
      <c r="AN491" s="145">
        <v>0</v>
      </c>
      <c r="AO491" s="145">
        <v>0</v>
      </c>
      <c r="AP491" s="145">
        <v>0</v>
      </c>
      <c r="AQ491" s="145">
        <v>0</v>
      </c>
      <c r="AR491" s="145">
        <v>0</v>
      </c>
      <c r="AS491" s="145">
        <f t="shared" si="151"/>
        <v>109730.6</v>
      </c>
      <c r="AT491" s="145"/>
      <c r="AU491" s="139">
        <f t="shared" si="148"/>
        <v>109730.6</v>
      </c>
      <c r="AV491" s="146">
        <f>IFERROR(VLOOKUP(J491,Maksājumu_pieprasījumu_iesn.!G:BL,57,0),0)</f>
        <v>0</v>
      </c>
      <c r="AW491" s="139">
        <f t="shared" si="149"/>
        <v>-109730.6</v>
      </c>
      <c r="AX491" s="153">
        <f t="shared" si="152"/>
        <v>1619.3999999999942</v>
      </c>
      <c r="AY491" s="153"/>
      <c r="AZ491" s="138" t="s">
        <v>1427</v>
      </c>
      <c r="BA491" s="138" t="s">
        <v>1427</v>
      </c>
      <c r="BB491" s="145"/>
      <c r="BC491" s="145"/>
      <c r="BD491" s="145"/>
      <c r="BE491" s="145"/>
      <c r="BF491" s="145"/>
      <c r="BG491" s="145"/>
      <c r="BH491" s="138"/>
      <c r="BI491" s="138"/>
      <c r="BJ491" s="138"/>
      <c r="BK491" s="138"/>
      <c r="BL491" s="138"/>
      <c r="BM491" s="138"/>
      <c r="BN491" s="138"/>
    </row>
    <row r="492" spans="1:66" s="91" customFormat="1" ht="25.5" hidden="1" customHeight="1" x14ac:dyDescent="0.2">
      <c r="A492" s="150" t="s">
        <v>1348</v>
      </c>
      <c r="B492" s="18" t="s">
        <v>842</v>
      </c>
      <c r="C492" s="18" t="s">
        <v>843</v>
      </c>
      <c r="D492" s="19" t="s">
        <v>844</v>
      </c>
      <c r="E492" s="55">
        <v>2</v>
      </c>
      <c r="F492" s="55" t="s">
        <v>35</v>
      </c>
      <c r="G492" s="55" t="s">
        <v>5</v>
      </c>
      <c r="H492" s="55" t="s">
        <v>3</v>
      </c>
      <c r="I492" s="55"/>
      <c r="J492" s="55"/>
      <c r="K492" s="19" t="s">
        <v>1569</v>
      </c>
      <c r="L492" s="19"/>
      <c r="M492" s="19"/>
      <c r="N492" s="19" t="s">
        <v>1570</v>
      </c>
      <c r="O492" s="151">
        <v>43008</v>
      </c>
      <c r="P492" s="151"/>
      <c r="Q492" s="151"/>
      <c r="R492" s="151"/>
      <c r="S492" s="152">
        <v>108970</v>
      </c>
      <c r="T492" s="152">
        <v>0</v>
      </c>
      <c r="U492" s="145">
        <v>0</v>
      </c>
      <c r="V492" s="145">
        <v>0</v>
      </c>
      <c r="W492" s="145">
        <v>0</v>
      </c>
      <c r="X492" s="145">
        <f t="shared" si="144"/>
        <v>0</v>
      </c>
      <c r="Y492" s="145">
        <v>0</v>
      </c>
      <c r="Z492" s="145">
        <v>0</v>
      </c>
      <c r="AA492" s="145">
        <v>0</v>
      </c>
      <c r="AB492" s="145">
        <v>0</v>
      </c>
      <c r="AC492" s="145">
        <v>0</v>
      </c>
      <c r="AD492" s="145">
        <v>0</v>
      </c>
      <c r="AE492" s="145">
        <v>0</v>
      </c>
      <c r="AF492" s="145">
        <v>0</v>
      </c>
      <c r="AG492" s="145">
        <v>0</v>
      </c>
      <c r="AH492" s="145">
        <v>0</v>
      </c>
      <c r="AI492" s="145">
        <v>0</v>
      </c>
      <c r="AJ492" s="145">
        <v>0</v>
      </c>
      <c r="AK492" s="145">
        <f t="shared" si="150"/>
        <v>0</v>
      </c>
      <c r="AL492" s="145">
        <v>108970</v>
      </c>
      <c r="AM492" s="145">
        <v>0</v>
      </c>
      <c r="AN492" s="145">
        <v>0</v>
      </c>
      <c r="AO492" s="145">
        <v>0</v>
      </c>
      <c r="AP492" s="145">
        <v>0</v>
      </c>
      <c r="AQ492" s="145">
        <v>0</v>
      </c>
      <c r="AR492" s="145">
        <v>0</v>
      </c>
      <c r="AS492" s="145">
        <f t="shared" si="151"/>
        <v>108970</v>
      </c>
      <c r="AT492" s="145"/>
      <c r="AU492" s="139">
        <f t="shared" si="148"/>
        <v>108970</v>
      </c>
      <c r="AV492" s="146">
        <f>IFERROR(VLOOKUP(J492,Maksājumu_pieprasījumu_iesn.!G:BL,57,0),0)</f>
        <v>0</v>
      </c>
      <c r="AW492" s="139">
        <f t="shared" si="149"/>
        <v>-108970</v>
      </c>
      <c r="AX492" s="153">
        <f t="shared" si="152"/>
        <v>0</v>
      </c>
      <c r="AY492" s="153"/>
      <c r="AZ492" s="153"/>
      <c r="BA492" s="136"/>
      <c r="BB492" s="145"/>
      <c r="BC492" s="145"/>
      <c r="BD492" s="145"/>
      <c r="BE492" s="145"/>
      <c r="BF492" s="145"/>
      <c r="BG492" s="145"/>
      <c r="BH492" s="138"/>
      <c r="BI492" s="138"/>
      <c r="BJ492" s="138"/>
      <c r="BK492" s="138"/>
      <c r="BL492" s="138"/>
      <c r="BM492" s="138"/>
      <c r="BN492" s="138"/>
    </row>
    <row r="493" spans="1:66" ht="25.5" hidden="1" customHeight="1" x14ac:dyDescent="0.2">
      <c r="A493" s="142" t="s">
        <v>1348</v>
      </c>
      <c r="B493" s="18" t="s">
        <v>842</v>
      </c>
      <c r="C493" s="18" t="s">
        <v>843</v>
      </c>
      <c r="D493" s="19" t="s">
        <v>844</v>
      </c>
      <c r="E493" s="18">
        <v>2</v>
      </c>
      <c r="F493" s="18" t="s">
        <v>35</v>
      </c>
      <c r="G493" s="18" t="s">
        <v>5</v>
      </c>
      <c r="H493" s="18" t="s">
        <v>3</v>
      </c>
      <c r="I493" s="18"/>
      <c r="J493" s="18" t="s">
        <v>1571</v>
      </c>
      <c r="K493" s="19" t="s">
        <v>724</v>
      </c>
      <c r="L493" s="19"/>
      <c r="M493" s="19"/>
      <c r="N493" s="19" t="s">
        <v>1572</v>
      </c>
      <c r="O493" s="143"/>
      <c r="P493" s="143"/>
      <c r="Q493" s="143"/>
      <c r="R493" s="187" t="s">
        <v>1573</v>
      </c>
      <c r="S493" s="144">
        <v>277183.65999999997</v>
      </c>
      <c r="T493" s="144">
        <v>0</v>
      </c>
      <c r="U493" s="145">
        <v>0</v>
      </c>
      <c r="V493" s="145">
        <v>0</v>
      </c>
      <c r="W493" s="145">
        <v>0</v>
      </c>
      <c r="X493" s="145">
        <f t="shared" si="144"/>
        <v>0</v>
      </c>
      <c r="Y493" s="145">
        <v>0</v>
      </c>
      <c r="Z493" s="145">
        <v>0</v>
      </c>
      <c r="AA493" s="145">
        <v>0</v>
      </c>
      <c r="AB493" s="145">
        <v>0</v>
      </c>
      <c r="AC493" s="145">
        <v>0</v>
      </c>
      <c r="AD493" s="145">
        <v>0</v>
      </c>
      <c r="AE493" s="145">
        <v>0</v>
      </c>
      <c r="AF493" s="145">
        <v>0</v>
      </c>
      <c r="AG493" s="145">
        <v>0</v>
      </c>
      <c r="AH493" s="145">
        <v>0</v>
      </c>
      <c r="AI493" s="145">
        <v>0</v>
      </c>
      <c r="AJ493" s="145">
        <v>0</v>
      </c>
      <c r="AK493" s="145">
        <f t="shared" si="150"/>
        <v>0</v>
      </c>
      <c r="AL493" s="145">
        <v>277183.66000000003</v>
      </c>
      <c r="AM493" s="145">
        <v>0</v>
      </c>
      <c r="AN493" s="145">
        <v>0</v>
      </c>
      <c r="AO493" s="145">
        <v>0</v>
      </c>
      <c r="AP493" s="145">
        <v>0</v>
      </c>
      <c r="AQ493" s="145">
        <v>0</v>
      </c>
      <c r="AR493" s="145">
        <v>0</v>
      </c>
      <c r="AS493" s="144">
        <f t="shared" si="151"/>
        <v>277183.66000000003</v>
      </c>
      <c r="AT493" s="144"/>
      <c r="AU493" s="146">
        <f t="shared" si="148"/>
        <v>277183.66000000003</v>
      </c>
      <c r="AV493" s="146">
        <f>IFERROR(VLOOKUP(J493,Maksājumu_pieprasījumu_iesn.!G:BL,57,0),0)</f>
        <v>0</v>
      </c>
      <c r="AW493" s="139">
        <f t="shared" si="149"/>
        <v>-277183.66000000003</v>
      </c>
      <c r="AX493" s="147">
        <f t="shared" si="152"/>
        <v>0</v>
      </c>
      <c r="AY493" s="147"/>
      <c r="AZ493" s="147"/>
      <c r="BA493" s="165"/>
      <c r="BB493" s="144"/>
      <c r="BC493" s="144"/>
      <c r="BD493" s="144"/>
      <c r="BE493" s="144"/>
      <c r="BF493" s="144"/>
      <c r="BG493" s="144"/>
      <c r="BH493" s="149"/>
      <c r="BI493" s="149"/>
      <c r="BJ493" s="149"/>
      <c r="BK493" s="149"/>
      <c r="BL493" s="149"/>
      <c r="BM493" s="149"/>
      <c r="BN493" s="149"/>
    </row>
    <row r="494" spans="1:66" ht="38.25" hidden="1" customHeight="1" x14ac:dyDescent="0.2">
      <c r="A494" s="142" t="s">
        <v>1348</v>
      </c>
      <c r="B494" s="18" t="s">
        <v>842</v>
      </c>
      <c r="C494" s="18" t="s">
        <v>843</v>
      </c>
      <c r="D494" s="19" t="s">
        <v>844</v>
      </c>
      <c r="E494" s="18">
        <v>2</v>
      </c>
      <c r="F494" s="18" t="s">
        <v>35</v>
      </c>
      <c r="G494" s="18" t="s">
        <v>5</v>
      </c>
      <c r="H494" s="18" t="s">
        <v>3</v>
      </c>
      <c r="I494" s="18"/>
      <c r="J494" s="18" t="s">
        <v>1574</v>
      </c>
      <c r="K494" s="19" t="s">
        <v>724</v>
      </c>
      <c r="L494" s="19"/>
      <c r="M494" s="19"/>
      <c r="N494" s="19" t="s">
        <v>1575</v>
      </c>
      <c r="O494" s="143"/>
      <c r="P494" s="143"/>
      <c r="Q494" s="143"/>
      <c r="R494" s="187" t="s">
        <v>1576</v>
      </c>
      <c r="S494" s="144">
        <v>241785.81</v>
      </c>
      <c r="T494" s="144">
        <v>0</v>
      </c>
      <c r="U494" s="145">
        <v>0</v>
      </c>
      <c r="V494" s="145">
        <v>0</v>
      </c>
      <c r="W494" s="145">
        <v>0</v>
      </c>
      <c r="X494" s="145">
        <f t="shared" si="144"/>
        <v>0</v>
      </c>
      <c r="Y494" s="145">
        <v>0</v>
      </c>
      <c r="Z494" s="145">
        <v>0</v>
      </c>
      <c r="AA494" s="145">
        <v>0</v>
      </c>
      <c r="AB494" s="145">
        <v>0</v>
      </c>
      <c r="AC494" s="145">
        <v>0</v>
      </c>
      <c r="AD494" s="145">
        <v>0</v>
      </c>
      <c r="AE494" s="145">
        <v>0</v>
      </c>
      <c r="AF494" s="145">
        <v>0</v>
      </c>
      <c r="AG494" s="145">
        <v>0</v>
      </c>
      <c r="AH494" s="145">
        <v>0</v>
      </c>
      <c r="AI494" s="145">
        <v>0</v>
      </c>
      <c r="AJ494" s="145">
        <v>0</v>
      </c>
      <c r="AK494" s="145">
        <f t="shared" si="150"/>
        <v>0</v>
      </c>
      <c r="AL494" s="145">
        <v>241785.81</v>
      </c>
      <c r="AM494" s="145">
        <v>0</v>
      </c>
      <c r="AN494" s="145">
        <v>0</v>
      </c>
      <c r="AO494" s="145">
        <v>0</v>
      </c>
      <c r="AP494" s="145">
        <v>0</v>
      </c>
      <c r="AQ494" s="145">
        <v>0</v>
      </c>
      <c r="AR494" s="145">
        <v>0</v>
      </c>
      <c r="AS494" s="144">
        <f t="shared" si="151"/>
        <v>241785.81</v>
      </c>
      <c r="AT494" s="144"/>
      <c r="AU494" s="146">
        <f t="shared" si="148"/>
        <v>241785.81</v>
      </c>
      <c r="AV494" s="146">
        <f>IFERROR(VLOOKUP(J494,Maksājumu_pieprasījumu_iesn.!G:BL,57,0),0)</f>
        <v>0</v>
      </c>
      <c r="AW494" s="139">
        <f t="shared" si="149"/>
        <v>-241785.81</v>
      </c>
      <c r="AX494" s="147">
        <f t="shared" si="152"/>
        <v>0</v>
      </c>
      <c r="AY494" s="147"/>
      <c r="AZ494" s="147"/>
      <c r="BA494" s="165"/>
      <c r="BB494" s="144"/>
      <c r="BC494" s="144"/>
      <c r="BD494" s="144"/>
      <c r="BE494" s="144"/>
      <c r="BF494" s="144"/>
      <c r="BG494" s="144"/>
      <c r="BH494" s="149"/>
      <c r="BI494" s="149"/>
      <c r="BJ494" s="149"/>
      <c r="BK494" s="149"/>
      <c r="BL494" s="149"/>
      <c r="BM494" s="149"/>
      <c r="BN494" s="149"/>
    </row>
    <row r="495" spans="1:66" s="91" customFormat="1" ht="38.25" hidden="1" customHeight="1" x14ac:dyDescent="0.2">
      <c r="A495" s="150" t="s">
        <v>1348</v>
      </c>
      <c r="B495" s="18" t="s">
        <v>842</v>
      </c>
      <c r="C495" s="18" t="s">
        <v>843</v>
      </c>
      <c r="D495" s="19" t="s">
        <v>844</v>
      </c>
      <c r="E495" s="55">
        <v>2</v>
      </c>
      <c r="F495" s="55" t="s">
        <v>35</v>
      </c>
      <c r="G495" s="55" t="s">
        <v>5</v>
      </c>
      <c r="H495" s="55" t="s">
        <v>3</v>
      </c>
      <c r="I495" s="55"/>
      <c r="J495" s="55"/>
      <c r="K495" s="19" t="s">
        <v>1328</v>
      </c>
      <c r="L495" s="19"/>
      <c r="M495" s="19"/>
      <c r="N495" s="19" t="s">
        <v>1577</v>
      </c>
      <c r="O495" s="151">
        <v>42886</v>
      </c>
      <c r="P495" s="151"/>
      <c r="Q495" s="151"/>
      <c r="R495" s="151"/>
      <c r="S495" s="152">
        <v>206125</v>
      </c>
      <c r="T495" s="152">
        <v>0</v>
      </c>
      <c r="U495" s="145">
        <v>0</v>
      </c>
      <c r="V495" s="145">
        <v>0</v>
      </c>
      <c r="W495" s="145">
        <v>0</v>
      </c>
      <c r="X495" s="145">
        <f t="shared" si="144"/>
        <v>0</v>
      </c>
      <c r="Y495" s="145">
        <v>0</v>
      </c>
      <c r="Z495" s="145">
        <v>0</v>
      </c>
      <c r="AA495" s="145">
        <v>0</v>
      </c>
      <c r="AB495" s="145">
        <v>0</v>
      </c>
      <c r="AC495" s="145">
        <v>0</v>
      </c>
      <c r="AD495" s="145">
        <v>0</v>
      </c>
      <c r="AE495" s="145">
        <v>0</v>
      </c>
      <c r="AF495" s="145">
        <v>0</v>
      </c>
      <c r="AG495" s="145">
        <v>0</v>
      </c>
      <c r="AH495" s="145">
        <v>0</v>
      </c>
      <c r="AI495" s="145">
        <v>0</v>
      </c>
      <c r="AJ495" s="145">
        <v>0</v>
      </c>
      <c r="AK495" s="145">
        <f t="shared" si="150"/>
        <v>0</v>
      </c>
      <c r="AL495" s="145">
        <v>206125</v>
      </c>
      <c r="AM495" s="145">
        <v>0</v>
      </c>
      <c r="AN495" s="145">
        <v>0</v>
      </c>
      <c r="AO495" s="145">
        <v>0</v>
      </c>
      <c r="AP495" s="145">
        <v>0</v>
      </c>
      <c r="AQ495" s="145">
        <v>0</v>
      </c>
      <c r="AR495" s="145">
        <v>0</v>
      </c>
      <c r="AS495" s="145">
        <f t="shared" si="151"/>
        <v>206125</v>
      </c>
      <c r="AT495" s="145"/>
      <c r="AU495" s="139">
        <f t="shared" si="148"/>
        <v>206125</v>
      </c>
      <c r="AV495" s="146">
        <f>IFERROR(VLOOKUP(J495,Maksājumu_pieprasījumu_iesn.!G:BL,57,0),0)</f>
        <v>0</v>
      </c>
      <c r="AW495" s="139">
        <f t="shared" si="149"/>
        <v>-206125</v>
      </c>
      <c r="AX495" s="153">
        <f t="shared" si="152"/>
        <v>0</v>
      </c>
      <c r="AY495" s="153"/>
      <c r="AZ495" s="153"/>
      <c r="BA495" s="136"/>
      <c r="BB495" s="145"/>
      <c r="BC495" s="145"/>
      <c r="BD495" s="145"/>
      <c r="BE495" s="145"/>
      <c r="BF495" s="145"/>
      <c r="BG495" s="145"/>
      <c r="BH495" s="138"/>
      <c r="BI495" s="138"/>
      <c r="BJ495" s="138"/>
      <c r="BK495" s="138"/>
      <c r="BL495" s="138"/>
      <c r="BM495" s="138"/>
      <c r="BN495" s="138"/>
    </row>
    <row r="496" spans="1:66" s="91" customFormat="1" ht="38.25" hidden="1" customHeight="1" x14ac:dyDescent="0.2">
      <c r="A496" s="150" t="s">
        <v>1348</v>
      </c>
      <c r="B496" s="18" t="s">
        <v>842</v>
      </c>
      <c r="C496" s="18" t="s">
        <v>843</v>
      </c>
      <c r="D496" s="19" t="s">
        <v>844</v>
      </c>
      <c r="E496" s="55">
        <v>2</v>
      </c>
      <c r="F496" s="55" t="s">
        <v>35</v>
      </c>
      <c r="G496" s="55" t="s">
        <v>5</v>
      </c>
      <c r="H496" s="55" t="s">
        <v>3</v>
      </c>
      <c r="I496" s="55"/>
      <c r="J496" s="55"/>
      <c r="K496" s="19" t="s">
        <v>1578</v>
      </c>
      <c r="L496" s="19"/>
      <c r="M496" s="19"/>
      <c r="N496" s="19" t="s">
        <v>1579</v>
      </c>
      <c r="O496" s="151">
        <v>42886</v>
      </c>
      <c r="P496" s="151"/>
      <c r="Q496" s="151"/>
      <c r="R496" s="151"/>
      <c r="S496" s="152">
        <v>207364</v>
      </c>
      <c r="T496" s="152">
        <v>0</v>
      </c>
      <c r="U496" s="145">
        <v>0</v>
      </c>
      <c r="V496" s="145">
        <v>0</v>
      </c>
      <c r="W496" s="145">
        <v>0</v>
      </c>
      <c r="X496" s="145">
        <f t="shared" si="144"/>
        <v>0</v>
      </c>
      <c r="Y496" s="145">
        <v>0</v>
      </c>
      <c r="Z496" s="145">
        <v>0</v>
      </c>
      <c r="AA496" s="145">
        <v>0</v>
      </c>
      <c r="AB496" s="145">
        <v>0</v>
      </c>
      <c r="AC496" s="145">
        <v>0</v>
      </c>
      <c r="AD496" s="145">
        <v>0</v>
      </c>
      <c r="AE496" s="145">
        <v>0</v>
      </c>
      <c r="AF496" s="145">
        <v>0</v>
      </c>
      <c r="AG496" s="145">
        <v>0</v>
      </c>
      <c r="AH496" s="145">
        <v>0</v>
      </c>
      <c r="AI496" s="145">
        <v>41473</v>
      </c>
      <c r="AJ496" s="145">
        <v>0</v>
      </c>
      <c r="AK496" s="145">
        <f t="shared" si="150"/>
        <v>41473</v>
      </c>
      <c r="AL496" s="145">
        <v>165891</v>
      </c>
      <c r="AM496" s="145">
        <v>0</v>
      </c>
      <c r="AN496" s="145">
        <v>0</v>
      </c>
      <c r="AO496" s="145">
        <v>0</v>
      </c>
      <c r="AP496" s="145">
        <v>0</v>
      </c>
      <c r="AQ496" s="145">
        <v>0</v>
      </c>
      <c r="AR496" s="145">
        <v>0</v>
      </c>
      <c r="AS496" s="145">
        <f t="shared" si="151"/>
        <v>207364</v>
      </c>
      <c r="AT496" s="145"/>
      <c r="AU496" s="139">
        <f t="shared" si="148"/>
        <v>207364</v>
      </c>
      <c r="AV496" s="146">
        <f>IFERROR(VLOOKUP(J496,Maksājumu_pieprasījumu_iesn.!G:BL,57,0),0)</f>
        <v>0</v>
      </c>
      <c r="AW496" s="139">
        <f t="shared" si="149"/>
        <v>-207364</v>
      </c>
      <c r="AX496" s="153">
        <f t="shared" si="152"/>
        <v>0</v>
      </c>
      <c r="AY496" s="153"/>
      <c r="AZ496" s="153"/>
      <c r="BA496" s="136"/>
      <c r="BB496" s="145"/>
      <c r="BC496" s="145"/>
      <c r="BD496" s="145"/>
      <c r="BE496" s="145"/>
      <c r="BF496" s="145"/>
      <c r="BG496" s="145"/>
      <c r="BH496" s="138"/>
      <c r="BI496" s="138"/>
      <c r="BJ496" s="138"/>
      <c r="BK496" s="138"/>
      <c r="BL496" s="138"/>
      <c r="BM496" s="138"/>
      <c r="BN496" s="138"/>
    </row>
    <row r="497" spans="1:66" s="91" customFormat="1" ht="38.25" hidden="1" customHeight="1" x14ac:dyDescent="0.2">
      <c r="A497" s="150" t="s">
        <v>1348</v>
      </c>
      <c r="B497" s="18" t="s">
        <v>842</v>
      </c>
      <c r="C497" s="18" t="s">
        <v>843</v>
      </c>
      <c r="D497" s="19" t="s">
        <v>844</v>
      </c>
      <c r="E497" s="55">
        <v>2</v>
      </c>
      <c r="F497" s="55" t="s">
        <v>35</v>
      </c>
      <c r="G497" s="55" t="s">
        <v>5</v>
      </c>
      <c r="H497" s="55" t="s">
        <v>3</v>
      </c>
      <c r="I497" s="55"/>
      <c r="J497" s="55"/>
      <c r="K497" s="19" t="s">
        <v>810</v>
      </c>
      <c r="L497" s="19"/>
      <c r="M497" s="19"/>
      <c r="N497" s="19" t="s">
        <v>1580</v>
      </c>
      <c r="O497" s="151">
        <v>43039</v>
      </c>
      <c r="P497" s="151"/>
      <c r="Q497" s="151"/>
      <c r="R497" s="151"/>
      <c r="S497" s="152">
        <v>291975</v>
      </c>
      <c r="T497" s="152">
        <v>0</v>
      </c>
      <c r="U497" s="145">
        <v>0</v>
      </c>
      <c r="V497" s="145">
        <v>0</v>
      </c>
      <c r="W497" s="145">
        <v>0</v>
      </c>
      <c r="X497" s="145">
        <f t="shared" si="144"/>
        <v>0</v>
      </c>
      <c r="Y497" s="145">
        <v>0</v>
      </c>
      <c r="Z497" s="145">
        <v>0</v>
      </c>
      <c r="AA497" s="145">
        <v>0</v>
      </c>
      <c r="AB497" s="145">
        <v>0</v>
      </c>
      <c r="AC497" s="145">
        <v>0</v>
      </c>
      <c r="AD497" s="145">
        <v>0</v>
      </c>
      <c r="AE497" s="145">
        <v>0</v>
      </c>
      <c r="AF497" s="145">
        <v>0</v>
      </c>
      <c r="AG497" s="145">
        <v>0</v>
      </c>
      <c r="AH497" s="145">
        <v>0</v>
      </c>
      <c r="AI497" s="145">
        <v>0</v>
      </c>
      <c r="AJ497" s="145">
        <v>0</v>
      </c>
      <c r="AK497" s="145">
        <f t="shared" si="150"/>
        <v>0</v>
      </c>
      <c r="AL497" s="145">
        <v>291975</v>
      </c>
      <c r="AM497" s="145">
        <v>0</v>
      </c>
      <c r="AN497" s="145">
        <v>0</v>
      </c>
      <c r="AO497" s="145">
        <v>0</v>
      </c>
      <c r="AP497" s="145">
        <v>0</v>
      </c>
      <c r="AQ497" s="145">
        <v>0</v>
      </c>
      <c r="AR497" s="145">
        <v>0</v>
      </c>
      <c r="AS497" s="145">
        <f t="shared" si="151"/>
        <v>291975</v>
      </c>
      <c r="AT497" s="145"/>
      <c r="AU497" s="139">
        <f t="shared" si="148"/>
        <v>291975</v>
      </c>
      <c r="AV497" s="146">
        <f>IFERROR(VLOOKUP(J497,Maksājumu_pieprasījumu_iesn.!G:BL,57,0),0)</f>
        <v>0</v>
      </c>
      <c r="AW497" s="139">
        <f t="shared" si="149"/>
        <v>-291975</v>
      </c>
      <c r="AX497" s="153">
        <f t="shared" si="152"/>
        <v>0</v>
      </c>
      <c r="AY497" s="153"/>
      <c r="AZ497" s="153"/>
      <c r="BA497" s="136"/>
      <c r="BB497" s="145"/>
      <c r="BC497" s="145"/>
      <c r="BD497" s="145"/>
      <c r="BE497" s="145"/>
      <c r="BF497" s="145"/>
      <c r="BG497" s="145"/>
      <c r="BH497" s="138"/>
      <c r="BI497" s="138"/>
      <c r="BJ497" s="138"/>
      <c r="BK497" s="138"/>
      <c r="BL497" s="138"/>
      <c r="BM497" s="138"/>
      <c r="BN497" s="138"/>
    </row>
    <row r="498" spans="1:66" s="91" customFormat="1" ht="38.25" hidden="1" customHeight="1" x14ac:dyDescent="0.2">
      <c r="A498" s="150" t="s">
        <v>1348</v>
      </c>
      <c r="B498" s="18" t="s">
        <v>842</v>
      </c>
      <c r="C498" s="18" t="s">
        <v>843</v>
      </c>
      <c r="D498" s="19" t="s">
        <v>844</v>
      </c>
      <c r="E498" s="55">
        <v>2</v>
      </c>
      <c r="F498" s="55" t="s">
        <v>35</v>
      </c>
      <c r="G498" s="55" t="s">
        <v>5</v>
      </c>
      <c r="H498" s="55" t="s">
        <v>3</v>
      </c>
      <c r="I498" s="55"/>
      <c r="J498" s="55"/>
      <c r="K498" s="19" t="s">
        <v>810</v>
      </c>
      <c r="L498" s="19"/>
      <c r="M498" s="19"/>
      <c r="N498" s="19" t="s">
        <v>1581</v>
      </c>
      <c r="O498" s="151">
        <v>43039</v>
      </c>
      <c r="P498" s="151"/>
      <c r="Q498" s="151"/>
      <c r="R498" s="151"/>
      <c r="S498" s="152">
        <v>267070</v>
      </c>
      <c r="T498" s="152">
        <v>0</v>
      </c>
      <c r="U498" s="145">
        <v>0</v>
      </c>
      <c r="V498" s="145">
        <v>0</v>
      </c>
      <c r="W498" s="145">
        <v>0</v>
      </c>
      <c r="X498" s="145">
        <f t="shared" si="144"/>
        <v>0</v>
      </c>
      <c r="Y498" s="145">
        <v>0</v>
      </c>
      <c r="Z498" s="145">
        <v>0</v>
      </c>
      <c r="AA498" s="145">
        <v>0</v>
      </c>
      <c r="AB498" s="145">
        <v>0</v>
      </c>
      <c r="AC498" s="145">
        <v>0</v>
      </c>
      <c r="AD498" s="145">
        <v>0</v>
      </c>
      <c r="AE498" s="145">
        <v>0</v>
      </c>
      <c r="AF498" s="145">
        <v>0</v>
      </c>
      <c r="AG498" s="145">
        <v>0</v>
      </c>
      <c r="AH498" s="145">
        <v>0</v>
      </c>
      <c r="AI498" s="145">
        <v>0</v>
      </c>
      <c r="AJ498" s="145">
        <v>0</v>
      </c>
      <c r="AK498" s="145">
        <f t="shared" si="150"/>
        <v>0</v>
      </c>
      <c r="AL498" s="145">
        <v>0</v>
      </c>
      <c r="AM498" s="145">
        <v>267070</v>
      </c>
      <c r="AN498" s="145">
        <v>0</v>
      </c>
      <c r="AO498" s="145">
        <v>0</v>
      </c>
      <c r="AP498" s="145">
        <v>0</v>
      </c>
      <c r="AQ498" s="145">
        <v>0</v>
      </c>
      <c r="AR498" s="145">
        <v>0</v>
      </c>
      <c r="AS498" s="145">
        <f t="shared" si="151"/>
        <v>267070</v>
      </c>
      <c r="AT498" s="145"/>
      <c r="AU498" s="139">
        <f t="shared" si="148"/>
        <v>267070</v>
      </c>
      <c r="AV498" s="146">
        <f>IFERROR(VLOOKUP(J498,Maksājumu_pieprasījumu_iesn.!G:BL,57,0),0)</f>
        <v>0</v>
      </c>
      <c r="AW498" s="139">
        <f t="shared" si="149"/>
        <v>-267070</v>
      </c>
      <c r="AX498" s="153">
        <f t="shared" si="152"/>
        <v>0</v>
      </c>
      <c r="AY498" s="153"/>
      <c r="AZ498" s="153"/>
      <c r="BA498" s="136"/>
      <c r="BB498" s="145"/>
      <c r="BC498" s="145"/>
      <c r="BD498" s="145"/>
      <c r="BE498" s="145"/>
      <c r="BF498" s="145"/>
      <c r="BG498" s="145"/>
      <c r="BH498" s="138"/>
      <c r="BI498" s="138"/>
      <c r="BJ498" s="138"/>
      <c r="BK498" s="138"/>
      <c r="BL498" s="138"/>
      <c r="BM498" s="138"/>
      <c r="BN498" s="138"/>
    </row>
    <row r="499" spans="1:66" s="91" customFormat="1" ht="38.25" hidden="1" customHeight="1" x14ac:dyDescent="0.2">
      <c r="A499" s="150" t="s">
        <v>1348</v>
      </c>
      <c r="B499" s="18" t="s">
        <v>842</v>
      </c>
      <c r="C499" s="18" t="s">
        <v>843</v>
      </c>
      <c r="D499" s="19" t="s">
        <v>844</v>
      </c>
      <c r="E499" s="55">
        <v>2</v>
      </c>
      <c r="F499" s="55" t="s">
        <v>35</v>
      </c>
      <c r="G499" s="55" t="s">
        <v>5</v>
      </c>
      <c r="H499" s="55" t="s">
        <v>3</v>
      </c>
      <c r="I499" s="55"/>
      <c r="J499" s="55"/>
      <c r="K499" s="19" t="s">
        <v>838</v>
      </c>
      <c r="L499" s="19"/>
      <c r="M499" s="19"/>
      <c r="N499" s="19" t="s">
        <v>1582</v>
      </c>
      <c r="O499" s="151">
        <v>43008</v>
      </c>
      <c r="P499" s="151"/>
      <c r="Q499" s="151"/>
      <c r="R499" s="151"/>
      <c r="S499" s="152">
        <v>79050</v>
      </c>
      <c r="T499" s="152">
        <v>0</v>
      </c>
      <c r="U499" s="145">
        <v>0</v>
      </c>
      <c r="V499" s="145">
        <v>0</v>
      </c>
      <c r="W499" s="145">
        <v>0</v>
      </c>
      <c r="X499" s="145">
        <f>W499+V499+U499</f>
        <v>0</v>
      </c>
      <c r="Y499" s="145">
        <v>0</v>
      </c>
      <c r="Z499" s="145">
        <v>0</v>
      </c>
      <c r="AA499" s="145">
        <v>0</v>
      </c>
      <c r="AB499" s="145">
        <v>0</v>
      </c>
      <c r="AC499" s="145">
        <v>0</v>
      </c>
      <c r="AD499" s="145">
        <v>0</v>
      </c>
      <c r="AE499" s="145">
        <v>0</v>
      </c>
      <c r="AF499" s="145">
        <v>0</v>
      </c>
      <c r="AG499" s="145">
        <v>0</v>
      </c>
      <c r="AH499" s="145">
        <v>0</v>
      </c>
      <c r="AI499" s="145">
        <v>0</v>
      </c>
      <c r="AJ499" s="145">
        <v>0</v>
      </c>
      <c r="AK499" s="145">
        <f t="shared" si="150"/>
        <v>0</v>
      </c>
      <c r="AL499" s="145">
        <v>79050</v>
      </c>
      <c r="AM499" s="145">
        <v>0</v>
      </c>
      <c r="AN499" s="145">
        <v>0</v>
      </c>
      <c r="AO499" s="145">
        <v>0</v>
      </c>
      <c r="AP499" s="145">
        <v>0</v>
      </c>
      <c r="AQ499" s="145">
        <v>0</v>
      </c>
      <c r="AR499" s="145">
        <v>0</v>
      </c>
      <c r="AS499" s="145">
        <f t="shared" si="151"/>
        <v>79050</v>
      </c>
      <c r="AT499" s="145"/>
      <c r="AU499" s="139">
        <f t="shared" si="148"/>
        <v>79050</v>
      </c>
      <c r="AV499" s="146">
        <f>IFERROR(VLOOKUP(J499,Maksājumu_pieprasījumu_iesn.!G:BL,57,0),0)</f>
        <v>0</v>
      </c>
      <c r="AW499" s="139">
        <f t="shared" si="149"/>
        <v>-79050</v>
      </c>
      <c r="AX499" s="153">
        <f t="shared" si="152"/>
        <v>0</v>
      </c>
      <c r="AY499" s="153"/>
      <c r="AZ499" s="153"/>
      <c r="BA499" s="136"/>
      <c r="BB499" s="145"/>
      <c r="BC499" s="145"/>
      <c r="BD499" s="145"/>
      <c r="BE499" s="145"/>
      <c r="BF499" s="145"/>
      <c r="BG499" s="145"/>
      <c r="BH499" s="138"/>
      <c r="BI499" s="138"/>
      <c r="BJ499" s="138"/>
      <c r="BK499" s="138"/>
      <c r="BL499" s="138"/>
      <c r="BM499" s="138"/>
      <c r="BN499" s="138"/>
    </row>
    <row r="500" spans="1:66" s="91" customFormat="1" ht="25.5" hidden="1" customHeight="1" x14ac:dyDescent="0.2">
      <c r="A500" s="150" t="s">
        <v>1348</v>
      </c>
      <c r="B500" s="18" t="s">
        <v>842</v>
      </c>
      <c r="C500" s="18" t="s">
        <v>843</v>
      </c>
      <c r="D500" s="19" t="s">
        <v>844</v>
      </c>
      <c r="E500" s="55">
        <v>2</v>
      </c>
      <c r="F500" s="55" t="s">
        <v>35</v>
      </c>
      <c r="G500" s="55" t="s">
        <v>5</v>
      </c>
      <c r="H500" s="55" t="s">
        <v>3</v>
      </c>
      <c r="I500" s="55"/>
      <c r="J500" s="55"/>
      <c r="K500" s="19" t="s">
        <v>1337</v>
      </c>
      <c r="L500" s="19"/>
      <c r="M500" s="19"/>
      <c r="N500" s="19" t="s">
        <v>1583</v>
      </c>
      <c r="O500" s="151">
        <v>43040</v>
      </c>
      <c r="P500" s="151"/>
      <c r="Q500" s="151"/>
      <c r="R500" s="151"/>
      <c r="S500" s="152">
        <v>281683</v>
      </c>
      <c r="T500" s="152">
        <v>0</v>
      </c>
      <c r="U500" s="145">
        <v>0</v>
      </c>
      <c r="V500" s="145">
        <v>0</v>
      </c>
      <c r="W500" s="145">
        <v>0</v>
      </c>
      <c r="X500" s="145">
        <f>W500+V500+U500</f>
        <v>0</v>
      </c>
      <c r="Y500" s="145">
        <v>0</v>
      </c>
      <c r="Z500" s="145">
        <v>0</v>
      </c>
      <c r="AA500" s="145">
        <v>0</v>
      </c>
      <c r="AB500" s="145">
        <v>0</v>
      </c>
      <c r="AC500" s="145">
        <v>0</v>
      </c>
      <c r="AD500" s="145">
        <v>0</v>
      </c>
      <c r="AE500" s="145">
        <v>0</v>
      </c>
      <c r="AF500" s="145">
        <v>0</v>
      </c>
      <c r="AG500" s="145">
        <v>0</v>
      </c>
      <c r="AH500" s="145">
        <v>0</v>
      </c>
      <c r="AI500" s="145">
        <v>0</v>
      </c>
      <c r="AJ500" s="145">
        <v>0</v>
      </c>
      <c r="AK500" s="145">
        <f t="shared" si="150"/>
        <v>0</v>
      </c>
      <c r="AL500" s="145">
        <v>281683</v>
      </c>
      <c r="AM500" s="145">
        <v>0</v>
      </c>
      <c r="AN500" s="145">
        <v>0</v>
      </c>
      <c r="AO500" s="145">
        <v>0</v>
      </c>
      <c r="AP500" s="145">
        <v>0</v>
      </c>
      <c r="AQ500" s="145">
        <v>0</v>
      </c>
      <c r="AR500" s="145">
        <v>0</v>
      </c>
      <c r="AS500" s="145">
        <f t="shared" si="151"/>
        <v>281683</v>
      </c>
      <c r="AT500" s="145"/>
      <c r="AU500" s="139">
        <f t="shared" si="148"/>
        <v>281683</v>
      </c>
      <c r="AV500" s="146">
        <f>IFERROR(VLOOKUP(J500,Maksājumu_pieprasījumu_iesn.!G:BL,57,0),0)</f>
        <v>0</v>
      </c>
      <c r="AW500" s="139">
        <f t="shared" si="149"/>
        <v>-281683</v>
      </c>
      <c r="AX500" s="153">
        <f t="shared" si="152"/>
        <v>0</v>
      </c>
      <c r="AY500" s="153"/>
      <c r="AZ500" s="153"/>
      <c r="BA500" s="136"/>
      <c r="BB500" s="145"/>
      <c r="BC500" s="145"/>
      <c r="BD500" s="145"/>
      <c r="BE500" s="145"/>
      <c r="BF500" s="145"/>
      <c r="BG500" s="145"/>
      <c r="BH500" s="138"/>
      <c r="BI500" s="138"/>
      <c r="BJ500" s="138"/>
      <c r="BK500" s="138"/>
      <c r="BL500" s="138"/>
      <c r="BM500" s="138"/>
      <c r="BN500" s="138"/>
    </row>
    <row r="501" spans="1:66" s="91" customFormat="1" ht="38.25" hidden="1" customHeight="1" x14ac:dyDescent="0.2">
      <c r="A501" s="150" t="s">
        <v>1348</v>
      </c>
      <c r="B501" s="18" t="s">
        <v>842</v>
      </c>
      <c r="C501" s="18" t="s">
        <v>843</v>
      </c>
      <c r="D501" s="19" t="s">
        <v>844</v>
      </c>
      <c r="E501" s="55">
        <v>2</v>
      </c>
      <c r="F501" s="55" t="s">
        <v>35</v>
      </c>
      <c r="G501" s="55" t="s">
        <v>5</v>
      </c>
      <c r="H501" s="55" t="s">
        <v>3</v>
      </c>
      <c r="I501" s="55"/>
      <c r="J501" s="55"/>
      <c r="K501" s="19" t="s">
        <v>1584</v>
      </c>
      <c r="L501" s="19"/>
      <c r="M501" s="19"/>
      <c r="N501" s="19" t="s">
        <v>1585</v>
      </c>
      <c r="O501" s="151">
        <v>42855</v>
      </c>
      <c r="P501" s="151"/>
      <c r="Q501" s="151"/>
      <c r="R501" s="151"/>
      <c r="S501" s="152">
        <v>70430</v>
      </c>
      <c r="T501" s="152">
        <v>0</v>
      </c>
      <c r="U501" s="145">
        <v>0</v>
      </c>
      <c r="V501" s="145">
        <v>0</v>
      </c>
      <c r="W501" s="145">
        <v>0</v>
      </c>
      <c r="X501" s="145">
        <f>W501+V501+U501</f>
        <v>0</v>
      </c>
      <c r="Y501" s="145">
        <v>0</v>
      </c>
      <c r="Z501" s="145">
        <v>0</v>
      </c>
      <c r="AA501" s="145">
        <v>0</v>
      </c>
      <c r="AB501" s="145">
        <v>0</v>
      </c>
      <c r="AC501" s="145">
        <v>0</v>
      </c>
      <c r="AD501" s="145">
        <v>0</v>
      </c>
      <c r="AE501" s="145">
        <v>0</v>
      </c>
      <c r="AF501" s="145">
        <v>0</v>
      </c>
      <c r="AG501" s="145">
        <v>0</v>
      </c>
      <c r="AH501" s="145">
        <v>0</v>
      </c>
      <c r="AI501" s="145">
        <v>0</v>
      </c>
      <c r="AJ501" s="145">
        <v>0</v>
      </c>
      <c r="AK501" s="145">
        <f t="shared" si="150"/>
        <v>0</v>
      </c>
      <c r="AL501" s="145">
        <v>70430</v>
      </c>
      <c r="AM501" s="145">
        <v>0</v>
      </c>
      <c r="AN501" s="145">
        <v>0</v>
      </c>
      <c r="AO501" s="145">
        <v>0</v>
      </c>
      <c r="AP501" s="145">
        <v>0</v>
      </c>
      <c r="AQ501" s="145">
        <v>0</v>
      </c>
      <c r="AR501" s="145">
        <v>0</v>
      </c>
      <c r="AS501" s="145">
        <f t="shared" si="151"/>
        <v>70430</v>
      </c>
      <c r="AT501" s="145"/>
      <c r="AU501" s="139">
        <f t="shared" si="148"/>
        <v>70430</v>
      </c>
      <c r="AV501" s="146">
        <f>IFERROR(VLOOKUP(J501,Maksājumu_pieprasījumu_iesn.!G:BL,57,0),0)</f>
        <v>0</v>
      </c>
      <c r="AW501" s="139">
        <f t="shared" si="149"/>
        <v>-70430</v>
      </c>
      <c r="AX501" s="153">
        <f t="shared" si="152"/>
        <v>0</v>
      </c>
      <c r="AY501" s="153"/>
      <c r="AZ501" s="153"/>
      <c r="BA501" s="136"/>
      <c r="BB501" s="145"/>
      <c r="BC501" s="145"/>
      <c r="BD501" s="145"/>
      <c r="BE501" s="145"/>
      <c r="BF501" s="145"/>
      <c r="BG501" s="145"/>
      <c r="BH501" s="138"/>
      <c r="BI501" s="138"/>
      <c r="BJ501" s="138"/>
      <c r="BK501" s="138"/>
      <c r="BL501" s="138"/>
      <c r="BM501" s="138"/>
      <c r="BN501" s="138"/>
    </row>
    <row r="502" spans="1:66" s="91" customFormat="1" ht="38.25" hidden="1" customHeight="1" x14ac:dyDescent="0.2">
      <c r="A502" s="150" t="s">
        <v>1348</v>
      </c>
      <c r="B502" s="18" t="s">
        <v>842</v>
      </c>
      <c r="C502" s="18" t="s">
        <v>843</v>
      </c>
      <c r="D502" s="19" t="s">
        <v>844</v>
      </c>
      <c r="E502" s="55">
        <v>2</v>
      </c>
      <c r="F502" s="55" t="s">
        <v>35</v>
      </c>
      <c r="G502" s="55" t="s">
        <v>5</v>
      </c>
      <c r="H502" s="55" t="s">
        <v>3</v>
      </c>
      <c r="I502" s="55"/>
      <c r="J502" s="55"/>
      <c r="K502" s="19" t="s">
        <v>1584</v>
      </c>
      <c r="L502" s="19"/>
      <c r="M502" s="19"/>
      <c r="N502" s="19" t="s">
        <v>1586</v>
      </c>
      <c r="O502" s="151">
        <v>42855</v>
      </c>
      <c r="P502" s="151"/>
      <c r="Q502" s="151"/>
      <c r="R502" s="151"/>
      <c r="S502" s="152">
        <v>322300</v>
      </c>
      <c r="T502" s="152">
        <v>0</v>
      </c>
      <c r="U502" s="145">
        <v>0</v>
      </c>
      <c r="V502" s="145">
        <v>0</v>
      </c>
      <c r="W502" s="145">
        <v>0</v>
      </c>
      <c r="X502" s="145">
        <f>W502+V502+U502</f>
        <v>0</v>
      </c>
      <c r="Y502" s="145">
        <v>0</v>
      </c>
      <c r="Z502" s="145">
        <v>0</v>
      </c>
      <c r="AA502" s="145">
        <v>0</v>
      </c>
      <c r="AB502" s="145">
        <v>0</v>
      </c>
      <c r="AC502" s="145">
        <v>0</v>
      </c>
      <c r="AD502" s="145">
        <v>0</v>
      </c>
      <c r="AE502" s="145">
        <v>0</v>
      </c>
      <c r="AF502" s="145">
        <v>0</v>
      </c>
      <c r="AG502" s="145">
        <v>0</v>
      </c>
      <c r="AH502" s="145">
        <v>0</v>
      </c>
      <c r="AI502" s="145">
        <v>0</v>
      </c>
      <c r="AJ502" s="145">
        <v>0</v>
      </c>
      <c r="AK502" s="145">
        <f>SUM(Y502:AJ502)</f>
        <v>0</v>
      </c>
      <c r="AL502" s="145">
        <v>322300</v>
      </c>
      <c r="AM502" s="145">
        <v>0</v>
      </c>
      <c r="AN502" s="145">
        <v>0</v>
      </c>
      <c r="AO502" s="145">
        <v>0</v>
      </c>
      <c r="AP502" s="145">
        <v>0</v>
      </c>
      <c r="AQ502" s="145">
        <v>0</v>
      </c>
      <c r="AR502" s="145">
        <v>0</v>
      </c>
      <c r="AS502" s="145">
        <f>U502+V502+W502+AK502+AL502+AM502+AN502+AO502+AP502+AQ502+AR502</f>
        <v>322300</v>
      </c>
      <c r="AT502" s="145"/>
      <c r="AU502" s="139">
        <f t="shared" si="148"/>
        <v>322300</v>
      </c>
      <c r="AV502" s="146">
        <f>IFERROR(VLOOKUP(J502,Maksājumu_pieprasījumu_iesn.!G:BL,57,0),0)</f>
        <v>0</v>
      </c>
      <c r="AW502" s="139">
        <f t="shared" si="149"/>
        <v>-322300</v>
      </c>
      <c r="AX502" s="153">
        <f t="shared" si="152"/>
        <v>0</v>
      </c>
      <c r="AY502" s="153"/>
      <c r="AZ502" s="153"/>
      <c r="BA502" s="136"/>
      <c r="BB502" s="145"/>
      <c r="BC502" s="145"/>
      <c r="BD502" s="145"/>
      <c r="BE502" s="145"/>
      <c r="BF502" s="145"/>
      <c r="BG502" s="145"/>
      <c r="BH502" s="138"/>
      <c r="BI502" s="138"/>
      <c r="BJ502" s="138"/>
      <c r="BK502" s="138"/>
      <c r="BL502" s="138"/>
      <c r="BM502" s="138"/>
      <c r="BN502" s="138"/>
    </row>
    <row r="503" spans="1:66" s="91" customFormat="1" ht="25.5" hidden="1" x14ac:dyDescent="0.2">
      <c r="A503" s="127" t="s">
        <v>1348</v>
      </c>
      <c r="B503" s="127" t="s">
        <v>95</v>
      </c>
      <c r="C503" s="127" t="s">
        <v>1023</v>
      </c>
      <c r="D503" s="128" t="s">
        <v>572</v>
      </c>
      <c r="E503" s="127"/>
      <c r="F503" s="127"/>
      <c r="G503" s="127" t="s">
        <v>5</v>
      </c>
      <c r="H503" s="127"/>
      <c r="I503" s="127"/>
      <c r="J503" s="127"/>
      <c r="K503" s="128"/>
      <c r="L503" s="128"/>
      <c r="M503" s="128"/>
      <c r="N503" s="128"/>
      <c r="O503" s="163"/>
      <c r="P503" s="163"/>
      <c r="Q503" s="163"/>
      <c r="R503" s="163"/>
      <c r="S503" s="164">
        <f>S504</f>
        <v>7092599</v>
      </c>
      <c r="T503" s="164">
        <f>T504</f>
        <v>432614.80372968857</v>
      </c>
      <c r="U503" s="164">
        <f>U504</f>
        <v>0</v>
      </c>
      <c r="V503" s="164">
        <f>V504</f>
        <v>0</v>
      </c>
      <c r="W503" s="164">
        <f>W504</f>
        <v>17789.87</v>
      </c>
      <c r="X503" s="129">
        <f>U503+V503+W503</f>
        <v>17789.87</v>
      </c>
      <c r="Y503" s="164">
        <f t="shared" ref="Y503:AT503" si="153">Y504</f>
        <v>0</v>
      </c>
      <c r="Z503" s="164">
        <f t="shared" si="153"/>
        <v>0</v>
      </c>
      <c r="AA503" s="164">
        <f t="shared" si="153"/>
        <v>0</v>
      </c>
      <c r="AB503" s="164">
        <f t="shared" si="153"/>
        <v>11050</v>
      </c>
      <c r="AC503" s="164">
        <f t="shared" si="153"/>
        <v>0</v>
      </c>
      <c r="AD503" s="164">
        <f t="shared" si="153"/>
        <v>0</v>
      </c>
      <c r="AE503" s="164">
        <f t="shared" si="153"/>
        <v>471100.6</v>
      </c>
      <c r="AF503" s="164">
        <f t="shared" si="153"/>
        <v>0</v>
      </c>
      <c r="AG503" s="164">
        <f t="shared" si="153"/>
        <v>0</v>
      </c>
      <c r="AH503" s="164">
        <f t="shared" si="153"/>
        <v>138747.20000000001</v>
      </c>
      <c r="AI503" s="164">
        <f t="shared" si="153"/>
        <v>0</v>
      </c>
      <c r="AJ503" s="164">
        <f t="shared" si="153"/>
        <v>0</v>
      </c>
      <c r="AK503" s="164">
        <f t="shared" si="153"/>
        <v>620897.80000000005</v>
      </c>
      <c r="AL503" s="164">
        <f t="shared" si="153"/>
        <v>3030445.82</v>
      </c>
      <c r="AM503" s="164">
        <f t="shared" si="153"/>
        <v>1547000</v>
      </c>
      <c r="AN503" s="164">
        <f t="shared" si="153"/>
        <v>1334500</v>
      </c>
      <c r="AO503" s="164">
        <f t="shared" si="153"/>
        <v>109350.51</v>
      </c>
      <c r="AP503" s="164">
        <f t="shared" si="153"/>
        <v>0</v>
      </c>
      <c r="AQ503" s="164">
        <f t="shared" si="153"/>
        <v>0</v>
      </c>
      <c r="AR503" s="164">
        <f t="shared" si="153"/>
        <v>0</v>
      </c>
      <c r="AS503" s="164">
        <f t="shared" si="153"/>
        <v>6659984</v>
      </c>
      <c r="AT503" s="164">
        <f t="shared" si="153"/>
        <v>0</v>
      </c>
      <c r="AU503" s="183">
        <f t="shared" si="148"/>
        <v>6659984</v>
      </c>
      <c r="AV503" s="146">
        <f>IFERROR(VLOOKUP(J503,Maksājumu_pieprasījumu_iesn.!G:BL,57,0),0)</f>
        <v>0</v>
      </c>
      <c r="AW503" s="139">
        <f t="shared" si="149"/>
        <v>-6659984</v>
      </c>
      <c r="AX503" s="164">
        <f>AX504</f>
        <v>0.19627031125128269</v>
      </c>
      <c r="AY503" s="164">
        <f>AY504</f>
        <v>0</v>
      </c>
      <c r="AZ503" s="164"/>
      <c r="BA503" s="164"/>
      <c r="BB503" s="164">
        <f>BB504</f>
        <v>0</v>
      </c>
      <c r="BC503" s="164">
        <f>BC504</f>
        <v>2153910.58</v>
      </c>
      <c r="BD503" s="164">
        <f>BC503*0.86</f>
        <v>1852363.0988</v>
      </c>
      <c r="BE503" s="129">
        <f>BD503/0.85</f>
        <v>2179250.7044705884</v>
      </c>
      <c r="BF503" s="164">
        <f>BF504</f>
        <v>0</v>
      </c>
      <c r="BG503" s="164">
        <f>BG504</f>
        <v>0</v>
      </c>
      <c r="BH503" s="129">
        <f>BH504</f>
        <v>17789.87</v>
      </c>
      <c r="BI503" s="129">
        <f>BI504</f>
        <v>511050</v>
      </c>
      <c r="BJ503" s="129">
        <f>AK503*0.86</f>
        <v>533972.10800000001</v>
      </c>
      <c r="BK503" s="129">
        <f>BJ503-BI503</f>
        <v>22922.108000000007</v>
      </c>
      <c r="BL503" s="129">
        <v>1834354.0797173399</v>
      </c>
      <c r="BM503" s="129">
        <f>AL503*0.86</f>
        <v>2606183.4051999999</v>
      </c>
      <c r="BN503" s="129">
        <f>BM503-BL503</f>
        <v>771829.32548265997</v>
      </c>
    </row>
    <row r="504" spans="1:66" s="91" customFormat="1" ht="25.5" hidden="1" customHeight="1" x14ac:dyDescent="0.2">
      <c r="A504" s="131" t="s">
        <v>1348</v>
      </c>
      <c r="B504" s="132" t="s">
        <v>95</v>
      </c>
      <c r="C504" s="132" t="s">
        <v>96</v>
      </c>
      <c r="D504" s="133" t="s">
        <v>572</v>
      </c>
      <c r="E504" s="22" t="s">
        <v>3</v>
      </c>
      <c r="F504" s="22" t="s">
        <v>29</v>
      </c>
      <c r="G504" s="22" t="s">
        <v>5</v>
      </c>
      <c r="H504" s="22" t="s">
        <v>3</v>
      </c>
      <c r="I504" s="22" t="s">
        <v>1022</v>
      </c>
      <c r="J504" s="134" t="s">
        <v>1026</v>
      </c>
      <c r="K504" s="133"/>
      <c r="L504" s="133"/>
      <c r="M504" s="133"/>
      <c r="N504" s="133"/>
      <c r="O504" s="135"/>
      <c r="P504" s="135"/>
      <c r="Q504" s="135"/>
      <c r="R504" s="135"/>
      <c r="S504" s="136">
        <v>7092599</v>
      </c>
      <c r="T504" s="136">
        <v>432614.80372968857</v>
      </c>
      <c r="U504" s="137">
        <f>SUM(U505)</f>
        <v>0</v>
      </c>
      <c r="V504" s="137">
        <f>SUM(V505)</f>
        <v>0</v>
      </c>
      <c r="W504" s="137">
        <f>SUM(W505)</f>
        <v>17789.87</v>
      </c>
      <c r="X504" s="138">
        <f>U504+V504+W504</f>
        <v>17789.87</v>
      </c>
      <c r="Y504" s="137">
        <f t="shared" ref="Y504:AR504" si="154">SUM(Y505)</f>
        <v>0</v>
      </c>
      <c r="Z504" s="137">
        <f t="shared" si="154"/>
        <v>0</v>
      </c>
      <c r="AA504" s="137">
        <f t="shared" si="154"/>
        <v>0</v>
      </c>
      <c r="AB504" s="137">
        <f t="shared" si="154"/>
        <v>11050</v>
      </c>
      <c r="AC504" s="137">
        <f t="shared" si="154"/>
        <v>0</v>
      </c>
      <c r="AD504" s="137">
        <f t="shared" si="154"/>
        <v>0</v>
      </c>
      <c r="AE504" s="137">
        <f t="shared" si="154"/>
        <v>471100.6</v>
      </c>
      <c r="AF504" s="137">
        <f t="shared" si="154"/>
        <v>0</v>
      </c>
      <c r="AG504" s="137">
        <f t="shared" si="154"/>
        <v>0</v>
      </c>
      <c r="AH504" s="137">
        <f t="shared" si="154"/>
        <v>138747.20000000001</v>
      </c>
      <c r="AI504" s="137">
        <f t="shared" si="154"/>
        <v>0</v>
      </c>
      <c r="AJ504" s="137">
        <f t="shared" si="154"/>
        <v>0</v>
      </c>
      <c r="AK504" s="137">
        <f t="shared" si="154"/>
        <v>620897.80000000005</v>
      </c>
      <c r="AL504" s="137">
        <f t="shared" si="154"/>
        <v>3030445.82</v>
      </c>
      <c r="AM504" s="137">
        <f t="shared" si="154"/>
        <v>1547000</v>
      </c>
      <c r="AN504" s="137">
        <f t="shared" si="154"/>
        <v>1334500</v>
      </c>
      <c r="AO504" s="137">
        <f t="shared" si="154"/>
        <v>109350.51</v>
      </c>
      <c r="AP504" s="137">
        <f t="shared" si="154"/>
        <v>0</v>
      </c>
      <c r="AQ504" s="137">
        <f t="shared" si="154"/>
        <v>0</v>
      </c>
      <c r="AR504" s="137">
        <f t="shared" si="154"/>
        <v>0</v>
      </c>
      <c r="AS504" s="137">
        <f>U504+V504+W504+AK504+AL504+AM504+AN504+AO504+AP504+AQ504+AR504</f>
        <v>6659984</v>
      </c>
      <c r="AT504" s="137">
        <f>SUM(AT505)</f>
        <v>0</v>
      </c>
      <c r="AU504" s="139">
        <f t="shared" si="148"/>
        <v>6659984</v>
      </c>
      <c r="AV504" s="146">
        <f>IFERROR(VLOOKUP(J504,Maksājumu_pieprasījumu_iesn.!G:BL,57,0),0)</f>
        <v>0</v>
      </c>
      <c r="AW504" s="139">
        <f t="shared" si="149"/>
        <v>-6659984</v>
      </c>
      <c r="AX504" s="140">
        <f>S504-T504-AU504</f>
        <v>0.19627031125128269</v>
      </c>
      <c r="AY504" s="137"/>
      <c r="AZ504" s="137"/>
      <c r="BA504" s="138"/>
      <c r="BB504" s="140"/>
      <c r="BC504" s="140">
        <f>X504+AK504+AL504/2</f>
        <v>2153910.58</v>
      </c>
      <c r="BD504" s="140"/>
      <c r="BE504" s="140">
        <f>BC504/0.85</f>
        <v>2534012.4470588239</v>
      </c>
      <c r="BF504" s="137"/>
      <c r="BG504" s="137"/>
      <c r="BH504" s="138">
        <v>17789.87</v>
      </c>
      <c r="BI504" s="138">
        <v>511050</v>
      </c>
      <c r="BJ504" s="138"/>
      <c r="BK504" s="138"/>
      <c r="BL504" s="138">
        <v>1834354.0797173399</v>
      </c>
      <c r="BM504" s="138"/>
      <c r="BN504" s="138"/>
    </row>
    <row r="505" spans="1:66" ht="25.5" hidden="1" customHeight="1" x14ac:dyDescent="0.2">
      <c r="A505" s="142" t="s">
        <v>1348</v>
      </c>
      <c r="B505" s="18" t="s">
        <v>95</v>
      </c>
      <c r="C505" s="18" t="s">
        <v>96</v>
      </c>
      <c r="D505" s="19" t="s">
        <v>572</v>
      </c>
      <c r="E505" s="18" t="s">
        <v>3</v>
      </c>
      <c r="F505" s="18" t="s">
        <v>29</v>
      </c>
      <c r="G505" s="18" t="s">
        <v>5</v>
      </c>
      <c r="H505" s="18" t="s">
        <v>3</v>
      </c>
      <c r="I505" s="18"/>
      <c r="J505" s="18" t="s">
        <v>97</v>
      </c>
      <c r="K505" s="19" t="s">
        <v>98</v>
      </c>
      <c r="L505" s="19"/>
      <c r="M505" s="19"/>
      <c r="N505" s="19" t="s">
        <v>99</v>
      </c>
      <c r="O505" s="143"/>
      <c r="P505" s="143"/>
      <c r="Q505" s="143"/>
      <c r="R505" s="143">
        <v>42471</v>
      </c>
      <c r="S505" s="144">
        <v>6659984</v>
      </c>
      <c r="T505" s="144"/>
      <c r="U505" s="145">
        <v>0</v>
      </c>
      <c r="V505" s="145">
        <v>0</v>
      </c>
      <c r="W505" s="145">
        <v>17789.87</v>
      </c>
      <c r="X505" s="145">
        <f>W505+V505+U505</f>
        <v>17789.87</v>
      </c>
      <c r="Y505" s="145">
        <v>0</v>
      </c>
      <c r="Z505" s="145">
        <v>0</v>
      </c>
      <c r="AA505" s="145">
        <v>0</v>
      </c>
      <c r="AB505" s="145">
        <v>11050</v>
      </c>
      <c r="AC505" s="145">
        <v>0</v>
      </c>
      <c r="AD505" s="166">
        <v>0</v>
      </c>
      <c r="AE505" s="166">
        <v>471100.6</v>
      </c>
      <c r="AF505" s="145">
        <v>0</v>
      </c>
      <c r="AG505" s="145">
        <v>0</v>
      </c>
      <c r="AH505" s="145">
        <v>138747.20000000001</v>
      </c>
      <c r="AI505" s="145">
        <v>0</v>
      </c>
      <c r="AJ505" s="145">
        <v>0</v>
      </c>
      <c r="AK505" s="145">
        <f>SUM(Y505:AJ505)</f>
        <v>620897.80000000005</v>
      </c>
      <c r="AL505" s="145">
        <v>3030445.82</v>
      </c>
      <c r="AM505" s="145">
        <v>1547000</v>
      </c>
      <c r="AN505" s="145">
        <v>1334500</v>
      </c>
      <c r="AO505" s="145">
        <v>109350.51</v>
      </c>
      <c r="AP505" s="145">
        <v>0</v>
      </c>
      <c r="AQ505" s="145">
        <v>0</v>
      </c>
      <c r="AR505" s="145">
        <v>0</v>
      </c>
      <c r="AS505" s="144">
        <f>U505+V505+W505+AK505+AL505+AM505+AN505+AO505+AP505+AQ505+AR505</f>
        <v>6659984</v>
      </c>
      <c r="AT505" s="144"/>
      <c r="AU505" s="146">
        <f t="shared" si="148"/>
        <v>6659984</v>
      </c>
      <c r="AV505" s="146" t="str">
        <f>IFERROR(VLOOKUP(J505,Maksājumu_pieprasījumu_iesn.!G:BL,57,0),0)</f>
        <v>Vairāku iepirkumu rezultātu pārsūdzības Iepirkumu uzraudzības birojam, kā arī vairāku iepirkumu pārtraukšana un izsludināšana no jauna, kas radījusi līgumu noslēgšanas aizkavēšanos. Atbilstoši samazinājumam lielāka maksājuma pieprasījuma summa ir ieplānota 2018.gada jūlijā.</v>
      </c>
      <c r="AW505" s="139" t="e">
        <f t="shared" si="149"/>
        <v>#VALUE!</v>
      </c>
      <c r="AX505" s="147">
        <f>S505-T505-(AS505-AT505)</f>
        <v>0</v>
      </c>
      <c r="AY505" s="147"/>
      <c r="AZ505" s="147"/>
      <c r="BA505" s="165"/>
      <c r="BB505" s="144"/>
      <c r="BC505" s="144"/>
      <c r="BD505" s="144"/>
      <c r="BE505" s="144"/>
      <c r="BF505" s="144"/>
      <c r="BG505" s="144"/>
      <c r="BH505" s="149"/>
      <c r="BI505" s="149"/>
      <c r="BJ505" s="149"/>
      <c r="BK505" s="149"/>
      <c r="BL505" s="149"/>
      <c r="BM505" s="149"/>
      <c r="BN505" s="149"/>
    </row>
    <row r="506" spans="1:66" s="91" customFormat="1" ht="25.5" hidden="1" x14ac:dyDescent="0.2">
      <c r="A506" s="127" t="s">
        <v>1348</v>
      </c>
      <c r="B506" s="127" t="s">
        <v>100</v>
      </c>
      <c r="C506" s="127" t="s">
        <v>1023</v>
      </c>
      <c r="D506" s="128" t="s">
        <v>1587</v>
      </c>
      <c r="E506" s="127"/>
      <c r="F506" s="127"/>
      <c r="G506" s="127" t="s">
        <v>102</v>
      </c>
      <c r="H506" s="127"/>
      <c r="I506" s="127"/>
      <c r="J506" s="127"/>
      <c r="K506" s="128"/>
      <c r="L506" s="128"/>
      <c r="M506" s="128"/>
      <c r="N506" s="128"/>
      <c r="O506" s="163"/>
      <c r="P506" s="163"/>
      <c r="Q506" s="163"/>
      <c r="R506" s="163"/>
      <c r="S506" s="164">
        <f>S507+S514</f>
        <v>108516768</v>
      </c>
      <c r="T506" s="164">
        <f>T507+T514</f>
        <v>6713574.1033218056</v>
      </c>
      <c r="U506" s="164">
        <f>U507+U514</f>
        <v>0</v>
      </c>
      <c r="V506" s="164">
        <f>V507+V514</f>
        <v>0</v>
      </c>
      <c r="W506" s="164">
        <f>W507+W514</f>
        <v>0</v>
      </c>
      <c r="X506" s="129">
        <f>U506+V506+W506</f>
        <v>0</v>
      </c>
      <c r="Y506" s="164">
        <f t="shared" ref="Y506:AT506" si="155">Y507+Y514</f>
        <v>0</v>
      </c>
      <c r="Z506" s="164">
        <f t="shared" si="155"/>
        <v>0</v>
      </c>
      <c r="AA506" s="164">
        <f t="shared" si="155"/>
        <v>0</v>
      </c>
      <c r="AB506" s="164">
        <f t="shared" si="155"/>
        <v>0</v>
      </c>
      <c r="AC506" s="164">
        <f t="shared" si="155"/>
        <v>0</v>
      </c>
      <c r="AD506" s="164">
        <f t="shared" si="155"/>
        <v>0</v>
      </c>
      <c r="AE506" s="164">
        <f t="shared" si="155"/>
        <v>737452.41</v>
      </c>
      <c r="AF506" s="164">
        <f t="shared" si="155"/>
        <v>0</v>
      </c>
      <c r="AG506" s="164">
        <f t="shared" si="155"/>
        <v>625959</v>
      </c>
      <c r="AH506" s="164">
        <f t="shared" si="155"/>
        <v>947797.13</v>
      </c>
      <c r="AI506" s="164">
        <f t="shared" si="155"/>
        <v>717660</v>
      </c>
      <c r="AJ506" s="164">
        <f t="shared" si="155"/>
        <v>2188693</v>
      </c>
      <c r="AK506" s="164">
        <f t="shared" si="155"/>
        <v>5217561.54</v>
      </c>
      <c r="AL506" s="164">
        <f t="shared" si="155"/>
        <v>32365324.859999999</v>
      </c>
      <c r="AM506" s="164">
        <f t="shared" si="155"/>
        <v>23565309.599999998</v>
      </c>
      <c r="AN506" s="164">
        <f t="shared" si="155"/>
        <v>20172945.419999998</v>
      </c>
      <c r="AO506" s="164">
        <f t="shared" si="155"/>
        <v>16161192.699999999</v>
      </c>
      <c r="AP506" s="164">
        <f t="shared" si="155"/>
        <v>4320452.7</v>
      </c>
      <c r="AQ506" s="164">
        <f t="shared" si="155"/>
        <v>0</v>
      </c>
      <c r="AR506" s="164">
        <f t="shared" si="155"/>
        <v>0</v>
      </c>
      <c r="AS506" s="164">
        <f t="shared" si="155"/>
        <v>101802786.82000001</v>
      </c>
      <c r="AT506" s="164">
        <f t="shared" si="155"/>
        <v>5023293.6500000004</v>
      </c>
      <c r="AU506" s="183">
        <f t="shared" si="148"/>
        <v>96779493.170000002</v>
      </c>
      <c r="AV506" s="146">
        <f>IFERROR(VLOOKUP(J506,Maksājumu_pieprasījumu_iesn.!G:BL,57,0),0)</f>
        <v>0</v>
      </c>
      <c r="AW506" s="139">
        <f t="shared" si="149"/>
        <v>-96779493.170000002</v>
      </c>
      <c r="AX506" s="164">
        <f>AX507+AX514</f>
        <v>5023700.7266781926</v>
      </c>
      <c r="AY506" s="164">
        <f>AY507+AY514</f>
        <v>407.18126257508993</v>
      </c>
      <c r="AZ506" s="164"/>
      <c r="BA506" s="164"/>
      <c r="BB506" s="164">
        <f>BB507+BB514</f>
        <v>0</v>
      </c>
      <c r="BC506" s="164">
        <f>BC507+BC514</f>
        <v>21400223.969999999</v>
      </c>
      <c r="BD506" s="129">
        <f>BC506*0.83</f>
        <v>17762185.895099998</v>
      </c>
      <c r="BE506" s="129">
        <f>BD506/0.85</f>
        <v>20896689.28835294</v>
      </c>
      <c r="BF506" s="164">
        <f>BF507+BF514</f>
        <v>0</v>
      </c>
      <c r="BG506" s="164">
        <f>BG507+BG514</f>
        <v>0</v>
      </c>
      <c r="BH506" s="129">
        <f>BH507+BH514</f>
        <v>0</v>
      </c>
      <c r="BI506" s="129">
        <f>BI507+BI514</f>
        <v>3700000</v>
      </c>
      <c r="BJ506" s="129">
        <f>AK506*0.83</f>
        <v>4330576.0781999994</v>
      </c>
      <c r="BK506" s="129">
        <f>BJ506-BI506</f>
        <v>630576.07819999941</v>
      </c>
      <c r="BL506" s="129">
        <f>BL507+BL514</f>
        <v>26301738.836611021</v>
      </c>
      <c r="BM506" s="129">
        <f>AL506*0.83</f>
        <v>26863219.6338</v>
      </c>
      <c r="BN506" s="129">
        <f>BM506-BL506</f>
        <v>561480.79718897864</v>
      </c>
    </row>
    <row r="507" spans="1:66" s="91" customFormat="1" ht="89.25" hidden="1" customHeight="1" x14ac:dyDescent="0.2">
      <c r="A507" s="131" t="s">
        <v>1348</v>
      </c>
      <c r="B507" s="132" t="s">
        <v>100</v>
      </c>
      <c r="C507" s="132" t="s">
        <v>101</v>
      </c>
      <c r="D507" s="133" t="s">
        <v>573</v>
      </c>
      <c r="E507" s="22" t="s">
        <v>3</v>
      </c>
      <c r="F507" s="22" t="s">
        <v>29</v>
      </c>
      <c r="G507" s="22" t="s">
        <v>102</v>
      </c>
      <c r="H507" s="22" t="s">
        <v>3</v>
      </c>
      <c r="I507" s="22" t="s">
        <v>1022</v>
      </c>
      <c r="J507" s="134" t="s">
        <v>1026</v>
      </c>
      <c r="K507" s="133"/>
      <c r="L507" s="133"/>
      <c r="M507" s="133"/>
      <c r="N507" s="133"/>
      <c r="O507" s="135"/>
      <c r="P507" s="135"/>
      <c r="Q507" s="135"/>
      <c r="R507" s="135"/>
      <c r="S507" s="136">
        <v>96000000</v>
      </c>
      <c r="T507" s="136">
        <v>5939202.9987374237</v>
      </c>
      <c r="U507" s="137">
        <f>SUM(U508:U509)+U511</f>
        <v>0</v>
      </c>
      <c r="V507" s="137">
        <f t="shared" ref="V507:AR507" si="156">SUM(V508:V509)+V511</f>
        <v>0</v>
      </c>
      <c r="W507" s="137">
        <f t="shared" si="156"/>
        <v>0</v>
      </c>
      <c r="X507" s="137">
        <f t="shared" si="156"/>
        <v>0</v>
      </c>
      <c r="Y507" s="137">
        <f t="shared" si="156"/>
        <v>0</v>
      </c>
      <c r="Z507" s="137">
        <f t="shared" si="156"/>
        <v>0</v>
      </c>
      <c r="AA507" s="137">
        <f t="shared" si="156"/>
        <v>0</v>
      </c>
      <c r="AB507" s="137">
        <f t="shared" si="156"/>
        <v>0</v>
      </c>
      <c r="AC507" s="137">
        <f t="shared" si="156"/>
        <v>0</v>
      </c>
      <c r="AD507" s="137">
        <f t="shared" si="156"/>
        <v>0</v>
      </c>
      <c r="AE507" s="137">
        <f t="shared" si="156"/>
        <v>737452.41</v>
      </c>
      <c r="AF507" s="137">
        <f t="shared" si="156"/>
        <v>0</v>
      </c>
      <c r="AG507" s="137">
        <f t="shared" si="156"/>
        <v>625959</v>
      </c>
      <c r="AH507" s="137">
        <f t="shared" si="156"/>
        <v>947797.13</v>
      </c>
      <c r="AI507" s="137">
        <f t="shared" si="156"/>
        <v>717660</v>
      </c>
      <c r="AJ507" s="137">
        <f t="shared" si="156"/>
        <v>1508693</v>
      </c>
      <c r="AK507" s="137">
        <f t="shared" si="156"/>
        <v>4537561.54</v>
      </c>
      <c r="AL507" s="137">
        <f t="shared" si="156"/>
        <v>21713309.859999999</v>
      </c>
      <c r="AM507" s="137">
        <f t="shared" si="156"/>
        <v>23154927.599999998</v>
      </c>
      <c r="AN507" s="137">
        <f t="shared" si="156"/>
        <v>20172945.419999998</v>
      </c>
      <c r="AO507" s="137">
        <f t="shared" si="156"/>
        <v>16161192.699999999</v>
      </c>
      <c r="AP507" s="137">
        <f t="shared" si="156"/>
        <v>4320452.7</v>
      </c>
      <c r="AQ507" s="137">
        <f t="shared" si="156"/>
        <v>0</v>
      </c>
      <c r="AR507" s="137">
        <f t="shared" si="156"/>
        <v>0</v>
      </c>
      <c r="AS507" s="137">
        <f>U507+V507+W507+AK507+AL507+AM507+AN507+AO507+AP507+AQ507+AR507+AS513</f>
        <v>90060389.820000008</v>
      </c>
      <c r="AT507" s="137">
        <f>SUM(AT508:AT511)</f>
        <v>5023293.6500000004</v>
      </c>
      <c r="AU507" s="139">
        <f>AS507-AT507</f>
        <v>85037096.170000002</v>
      </c>
      <c r="AV507" s="146">
        <f>IFERROR(VLOOKUP(J507,Maksājumu_pieprasījumu_iesn.!G:BL,57,0),0)</f>
        <v>0</v>
      </c>
      <c r="AW507" s="139">
        <f t="shared" si="149"/>
        <v>-85037096.170000002</v>
      </c>
      <c r="AX507" s="140">
        <f>S507-T507-AU507</f>
        <v>5023700.8312625736</v>
      </c>
      <c r="AY507" s="137">
        <f>AY513</f>
        <v>407.18126257508993</v>
      </c>
      <c r="AZ507" s="137"/>
      <c r="BA507" s="138" t="s">
        <v>1588</v>
      </c>
      <c r="BB507" s="140"/>
      <c r="BC507" s="140">
        <f>X507+AK507+AL507/2</f>
        <v>15394216.469999999</v>
      </c>
      <c r="BD507" s="140"/>
      <c r="BE507" s="140">
        <f>BC507/0.85</f>
        <v>18110842.905882351</v>
      </c>
      <c r="BF507" s="137"/>
      <c r="BG507" s="137"/>
      <c r="BH507" s="138">
        <v>0</v>
      </c>
      <c r="BI507" s="138">
        <v>3700000</v>
      </c>
      <c r="BJ507" s="138"/>
      <c r="BK507" s="138"/>
      <c r="BL507" s="138">
        <v>19217827.098097801</v>
      </c>
      <c r="BM507" s="138"/>
      <c r="BN507" s="138"/>
    </row>
    <row r="508" spans="1:66" ht="38.25" hidden="1" customHeight="1" x14ac:dyDescent="0.2">
      <c r="A508" s="142" t="s">
        <v>1348</v>
      </c>
      <c r="B508" s="18" t="s">
        <v>100</v>
      </c>
      <c r="C508" s="18" t="s">
        <v>101</v>
      </c>
      <c r="D508" s="19" t="s">
        <v>573</v>
      </c>
      <c r="E508" s="18" t="s">
        <v>3</v>
      </c>
      <c r="F508" s="18" t="s">
        <v>29</v>
      </c>
      <c r="G508" s="18" t="s">
        <v>102</v>
      </c>
      <c r="H508" s="18" t="s">
        <v>3</v>
      </c>
      <c r="I508" s="18"/>
      <c r="J508" s="18" t="s">
        <v>1589</v>
      </c>
      <c r="K508" s="19" t="s">
        <v>1590</v>
      </c>
      <c r="L508" s="19"/>
      <c r="M508" s="19"/>
      <c r="N508" s="19" t="s">
        <v>1591</v>
      </c>
      <c r="O508" s="143"/>
      <c r="P508" s="143"/>
      <c r="Q508" s="143"/>
      <c r="R508" s="187" t="s">
        <v>1592</v>
      </c>
      <c r="S508" s="144">
        <v>65669331</v>
      </c>
      <c r="T508" s="172"/>
      <c r="U508" s="145">
        <v>0</v>
      </c>
      <c r="V508" s="145">
        <v>0</v>
      </c>
      <c r="W508" s="145">
        <v>0</v>
      </c>
      <c r="X508" s="145">
        <f>W508+V508+U508</f>
        <v>0</v>
      </c>
      <c r="Y508" s="145">
        <v>0</v>
      </c>
      <c r="Z508" s="145">
        <v>0</v>
      </c>
      <c r="AA508" s="145">
        <v>0</v>
      </c>
      <c r="AB508" s="145">
        <v>0</v>
      </c>
      <c r="AC508" s="145">
        <v>0</v>
      </c>
      <c r="AD508" s="145">
        <v>0</v>
      </c>
      <c r="AE508" s="145">
        <v>0</v>
      </c>
      <c r="AF508" s="145">
        <v>0</v>
      </c>
      <c r="AG508" s="145">
        <v>0</v>
      </c>
      <c r="AH508" s="145">
        <v>0</v>
      </c>
      <c r="AI508" s="145">
        <v>0</v>
      </c>
      <c r="AJ508" s="145">
        <v>0</v>
      </c>
      <c r="AK508" s="145">
        <f>SUM(Y508:AJ508)</f>
        <v>0</v>
      </c>
      <c r="AL508" s="145">
        <v>9034356.4100000001</v>
      </c>
      <c r="AM508" s="145">
        <v>17496154.449999999</v>
      </c>
      <c r="AN508" s="145">
        <v>18657174.739999998</v>
      </c>
      <c r="AO508" s="145">
        <v>16161192.699999999</v>
      </c>
      <c r="AP508" s="145">
        <v>4320452.7</v>
      </c>
      <c r="AQ508" s="145">
        <v>0</v>
      </c>
      <c r="AR508" s="145">
        <v>0</v>
      </c>
      <c r="AS508" s="144">
        <f>U508+V508+W508+AK508+AL508+AM508+AN508+AO508+AP508+AQ508+AR508</f>
        <v>65669331</v>
      </c>
      <c r="AT508" s="144"/>
      <c r="AU508" s="146">
        <f t="shared" si="148"/>
        <v>65669331</v>
      </c>
      <c r="AV508" s="146">
        <f>IFERROR(VLOOKUP(J508,Maksājumu_pieprasījumu_iesn.!G:BL,57,0),0)</f>
        <v>0</v>
      </c>
      <c r="AW508" s="139">
        <f t="shared" si="149"/>
        <v>-65669331</v>
      </c>
      <c r="AX508" s="140">
        <f>S508-T508-AU508</f>
        <v>0</v>
      </c>
      <c r="AY508" s="147"/>
      <c r="AZ508" s="147"/>
      <c r="BA508" s="165"/>
      <c r="BB508" s="144"/>
      <c r="BC508" s="144"/>
      <c r="BD508" s="144"/>
      <c r="BE508" s="144"/>
      <c r="BF508" s="144"/>
      <c r="BG508" s="144"/>
      <c r="BH508" s="149"/>
      <c r="BI508" s="149"/>
      <c r="BJ508" s="149"/>
      <c r="BK508" s="149"/>
      <c r="BL508" s="149"/>
      <c r="BM508" s="149"/>
      <c r="BN508" s="149"/>
    </row>
    <row r="509" spans="1:66" ht="25.5" hidden="1" customHeight="1" x14ac:dyDescent="0.2">
      <c r="A509" s="142" t="s">
        <v>1348</v>
      </c>
      <c r="B509" s="18" t="s">
        <v>100</v>
      </c>
      <c r="C509" s="18" t="s">
        <v>101</v>
      </c>
      <c r="D509" s="19" t="s">
        <v>573</v>
      </c>
      <c r="E509" s="18" t="s">
        <v>3</v>
      </c>
      <c r="F509" s="18" t="s">
        <v>29</v>
      </c>
      <c r="G509" s="18" t="s">
        <v>102</v>
      </c>
      <c r="H509" s="18" t="s">
        <v>3</v>
      </c>
      <c r="I509" s="18"/>
      <c r="J509" s="18" t="s">
        <v>103</v>
      </c>
      <c r="K509" s="19" t="s">
        <v>104</v>
      </c>
      <c r="L509" s="19"/>
      <c r="M509" s="19"/>
      <c r="N509" s="19" t="s">
        <v>105</v>
      </c>
      <c r="O509" s="143"/>
      <c r="P509" s="143"/>
      <c r="Q509" s="143"/>
      <c r="R509" s="143">
        <v>42824</v>
      </c>
      <c r="S509" s="144">
        <v>12195529.41</v>
      </c>
      <c r="T509" s="144"/>
      <c r="U509" s="145">
        <v>0</v>
      </c>
      <c r="V509" s="145">
        <v>0</v>
      </c>
      <c r="W509" s="145">
        <v>0</v>
      </c>
      <c r="X509" s="145">
        <f>W509+V509+U509</f>
        <v>0</v>
      </c>
      <c r="Y509" s="145">
        <v>0</v>
      </c>
      <c r="Z509" s="145">
        <v>0</v>
      </c>
      <c r="AA509" s="145">
        <v>0</v>
      </c>
      <c r="AB509" s="145">
        <v>0</v>
      </c>
      <c r="AC509" s="145">
        <v>0</v>
      </c>
      <c r="AD509" s="145">
        <v>0</v>
      </c>
      <c r="AE509" s="166">
        <v>171441</v>
      </c>
      <c r="AF509" s="145">
        <v>0</v>
      </c>
      <c r="AG509" s="145">
        <v>625959</v>
      </c>
      <c r="AH509" s="145">
        <v>0</v>
      </c>
      <c r="AI509" s="145">
        <v>717660</v>
      </c>
      <c r="AJ509" s="145">
        <v>558180</v>
      </c>
      <c r="AK509" s="145">
        <f>SUM(Y509:AJ509)</f>
        <v>2073240</v>
      </c>
      <c r="AL509" s="145">
        <v>6379200</v>
      </c>
      <c r="AM509" s="145">
        <v>3743089.41</v>
      </c>
      <c r="AN509" s="145">
        <v>0</v>
      </c>
      <c r="AO509" s="145">
        <v>0</v>
      </c>
      <c r="AP509" s="145">
        <v>0</v>
      </c>
      <c r="AQ509" s="145">
        <v>0</v>
      </c>
      <c r="AR509" s="145">
        <v>0</v>
      </c>
      <c r="AS509" s="144">
        <f>U509+V509+W509+AK509+AL509+AM509+AN509+AO509+AP509+AQ509+AR509</f>
        <v>12195529.41</v>
      </c>
      <c r="AT509" s="261"/>
      <c r="AU509" s="146">
        <f t="shared" si="148"/>
        <v>12195529.41</v>
      </c>
      <c r="AV509" s="146">
        <f>IFERROR(VLOOKUP(J509,Maksājumu_pieprasījumu_iesn.!G:BL,57,0),0)</f>
        <v>0</v>
      </c>
      <c r="AW509" s="139">
        <f t="shared" si="149"/>
        <v>-12195529.41</v>
      </c>
      <c r="AX509" s="140">
        <f>S509-T509-AU509</f>
        <v>0</v>
      </c>
      <c r="AY509" s="147"/>
      <c r="AZ509" s="147"/>
      <c r="BA509" s="165"/>
      <c r="BB509" s="144"/>
      <c r="BC509" s="144"/>
      <c r="BD509" s="144"/>
      <c r="BE509" s="144"/>
      <c r="BF509" s="144"/>
      <c r="BG509" s="144"/>
      <c r="BH509" s="149"/>
      <c r="BI509" s="149"/>
      <c r="BJ509" s="149"/>
      <c r="BK509" s="149"/>
      <c r="BL509" s="149"/>
      <c r="BM509" s="149"/>
      <c r="BN509" s="149"/>
    </row>
    <row r="510" spans="1:66" ht="25.5" hidden="1" customHeight="1" x14ac:dyDescent="0.2">
      <c r="A510" s="142" t="s">
        <v>1348</v>
      </c>
      <c r="B510" s="18" t="s">
        <v>100</v>
      </c>
      <c r="C510" s="18" t="s">
        <v>101</v>
      </c>
      <c r="D510" s="19" t="s">
        <v>573</v>
      </c>
      <c r="E510" s="18" t="s">
        <v>3</v>
      </c>
      <c r="F510" s="18" t="s">
        <v>29</v>
      </c>
      <c r="G510" s="18" t="s">
        <v>102</v>
      </c>
      <c r="H510" s="18" t="s">
        <v>3</v>
      </c>
      <c r="I510" s="18"/>
      <c r="J510" s="18" t="s">
        <v>103</v>
      </c>
      <c r="K510" s="19" t="s">
        <v>104</v>
      </c>
      <c r="L510" s="19"/>
      <c r="M510" s="19"/>
      <c r="N510" s="19" t="s">
        <v>105</v>
      </c>
      <c r="O510" s="143" t="s">
        <v>880</v>
      </c>
      <c r="P510" s="143"/>
      <c r="Q510" s="143"/>
      <c r="R510" s="143"/>
      <c r="S510" s="144"/>
      <c r="T510" s="144"/>
      <c r="U510" s="145"/>
      <c r="V510" s="145"/>
      <c r="W510" s="145"/>
      <c r="X510" s="145">
        <f>W510+V510+U510</f>
        <v>0</v>
      </c>
      <c r="Y510" s="145"/>
      <c r="Z510" s="145"/>
      <c r="AA510" s="145">
        <v>440405.35</v>
      </c>
      <c r="AB510" s="145"/>
      <c r="AC510" s="145"/>
      <c r="AD510" s="145"/>
      <c r="AE510" s="145">
        <v>0</v>
      </c>
      <c r="AF510" s="420">
        <v>440405.35</v>
      </c>
      <c r="AG510" s="145"/>
      <c r="AH510" s="145">
        <v>655703.35</v>
      </c>
      <c r="AI510" s="145"/>
      <c r="AJ510" s="145"/>
      <c r="AK510" s="145"/>
      <c r="AL510" s="145">
        <v>5023293.6500000004</v>
      </c>
      <c r="AM510" s="145"/>
      <c r="AN510" s="145"/>
      <c r="AO510" s="145"/>
      <c r="AP510" s="145"/>
      <c r="AQ510" s="145"/>
      <c r="AR510" s="145"/>
      <c r="AS510" s="86"/>
      <c r="AT510" s="144">
        <f>U510+V510+W510+AK510+AL510+AM510+AN510+AO510+AP510+AQ510+AR510</f>
        <v>5023293.6500000004</v>
      </c>
      <c r="AU510" s="146"/>
      <c r="AV510" s="146">
        <f>IFERROR(VLOOKUP(J510,Maksājumu_pieprasījumu_iesn.!G:BL,57,0),0)</f>
        <v>0</v>
      </c>
      <c r="AW510" s="139">
        <f t="shared" si="149"/>
        <v>0</v>
      </c>
      <c r="AX510" s="140"/>
      <c r="AY510" s="147"/>
      <c r="AZ510" s="147"/>
      <c r="BA510" s="165"/>
      <c r="BB510" s="144"/>
      <c r="BC510" s="144"/>
      <c r="BD510" s="144"/>
      <c r="BE510" s="144"/>
      <c r="BF510" s="144"/>
      <c r="BG510" s="144"/>
      <c r="BH510" s="149"/>
      <c r="BI510" s="149"/>
      <c r="BJ510" s="149"/>
      <c r="BK510" s="149"/>
      <c r="BL510" s="149"/>
      <c r="BM510" s="149"/>
      <c r="BN510" s="149"/>
    </row>
    <row r="511" spans="1:66" ht="25.5" hidden="1" customHeight="1" x14ac:dyDescent="0.2">
      <c r="A511" s="142" t="s">
        <v>1348</v>
      </c>
      <c r="B511" s="18" t="s">
        <v>100</v>
      </c>
      <c r="C511" s="18" t="s">
        <v>101</v>
      </c>
      <c r="D511" s="19" t="s">
        <v>573</v>
      </c>
      <c r="E511" s="18" t="s">
        <v>3</v>
      </c>
      <c r="F511" s="18" t="s">
        <v>29</v>
      </c>
      <c r="G511" s="18" t="s">
        <v>102</v>
      </c>
      <c r="H511" s="18" t="s">
        <v>3</v>
      </c>
      <c r="I511" s="18"/>
      <c r="J511" s="18" t="s">
        <v>749</v>
      </c>
      <c r="K511" s="19" t="s">
        <v>750</v>
      </c>
      <c r="L511" s="19"/>
      <c r="M511" s="19"/>
      <c r="N511" s="19" t="s">
        <v>751</v>
      </c>
      <c r="O511" s="143"/>
      <c r="P511" s="143"/>
      <c r="Q511" s="143"/>
      <c r="R511" s="143">
        <v>42804</v>
      </c>
      <c r="S511" s="144">
        <v>12195529.41</v>
      </c>
      <c r="T511" s="144"/>
      <c r="U511" s="145">
        <v>0</v>
      </c>
      <c r="V511" s="145">
        <v>0</v>
      </c>
      <c r="W511" s="145">
        <v>0</v>
      </c>
      <c r="X511" s="145">
        <f>W511+V511+U511</f>
        <v>0</v>
      </c>
      <c r="Y511" s="145">
        <v>0</v>
      </c>
      <c r="Z511" s="145">
        <v>0</v>
      </c>
      <c r="AA511" s="145">
        <v>0</v>
      </c>
      <c r="AB511" s="145">
        <v>0</v>
      </c>
      <c r="AC511" s="145">
        <v>0</v>
      </c>
      <c r="AD511" s="145">
        <v>0</v>
      </c>
      <c r="AE511" s="166">
        <v>566011.41</v>
      </c>
      <c r="AF511" s="145">
        <v>0</v>
      </c>
      <c r="AG511" s="145">
        <v>0</v>
      </c>
      <c r="AH511" s="145">
        <v>947797.13</v>
      </c>
      <c r="AI511" s="145">
        <v>0</v>
      </c>
      <c r="AJ511" s="145">
        <v>950513</v>
      </c>
      <c r="AK511" s="145">
        <f>SUM(Y511:AJ511)</f>
        <v>2464321.54</v>
      </c>
      <c r="AL511" s="145">
        <v>6299753.4500000002</v>
      </c>
      <c r="AM511" s="145">
        <v>1915683.74</v>
      </c>
      <c r="AN511" s="145">
        <v>1515770.68</v>
      </c>
      <c r="AO511" s="145">
        <v>0</v>
      </c>
      <c r="AP511" s="145">
        <v>0</v>
      </c>
      <c r="AQ511" s="145">
        <v>0</v>
      </c>
      <c r="AR511" s="145">
        <v>0</v>
      </c>
      <c r="AS511" s="144">
        <f>U511+V511+W511+AK511+AL511+AM511+AN511+AO511+AP511+AQ511+AR511</f>
        <v>12195529.41</v>
      </c>
      <c r="AT511" s="262">
        <v>0</v>
      </c>
      <c r="AU511" s="146">
        <f t="shared" si="148"/>
        <v>12195529.41</v>
      </c>
      <c r="AV511" s="146" t="str">
        <f>IFERROR(VLOOKUP(J511,Maksājumu_pieprasījumu_iesn.!G:BL,57,0),0)</f>
        <v xml:space="preserve">Iepirkumu uzraudzības biroja iesniegtās sūdzības rezultātā par  2,5 mēnešiem aizkavējusies līguma slēgšana par būvdarbu veikšanu. Līgums par būvniecību noslēgts 30.08.2017. ar būvdarbu izpildes termiņu 18 mēneši.                                                                                                                                                                                                                                                                                                              Ņemot vērā, ka līgums noslēgts augusta beigās, plānoto maksājumu iesniegšanas datumi un summas patreiz ir saplānotas optimistiski un var neizpildīties. Papildus tam finansējuma saņēmējs ir saņēmis vēstuli par tiesvedības ierosināšanu sakarā ar AS “BMGS”  pieteikumu par Iepirkumu uzraudzības biroja 17.07.2017. lēmumu.                                                                                                                                                                                                                                                                                                                                             Ņemot vērā būvdarbu sezonalitātes raksturu, iespējams, ka darbiem varētu būt nepieciešams tehnoloģiskais pārtraukums, kas negatīvi ietekmētu finanšu plūsmas apguvi. Uzsāktās tiesvedības dēļ pagaidām nebūs iespējams uzsākt būvniecības līguma īstenošanu. Pēc būvdarbu izpildes līguma plānoto darbu grafika iesniegšanas, finansējuma saņēmējs tiks lūgts iesniegt precizēto plānoto maksājumu pieprasījumu iesniegšanas grafiku, ņemot vērā paredzēto būvdarbu veikšanas laiku un apjomus. </v>
      </c>
      <c r="AW511" s="139" t="e">
        <f t="shared" si="149"/>
        <v>#VALUE!</v>
      </c>
      <c r="AX511" s="140">
        <f>S511-T511-AU511</f>
        <v>0</v>
      </c>
      <c r="AY511" s="147"/>
      <c r="AZ511" s="147"/>
      <c r="BA511" s="165"/>
      <c r="BB511" s="144"/>
      <c r="BC511" s="144"/>
      <c r="BD511" s="144"/>
      <c r="BE511" s="144"/>
      <c r="BF511" s="144"/>
      <c r="BG511" s="144"/>
      <c r="BH511" s="149"/>
      <c r="BI511" s="149"/>
      <c r="BJ511" s="149"/>
      <c r="BK511" s="149"/>
      <c r="BL511" s="149"/>
      <c r="BM511" s="149"/>
      <c r="BN511" s="149"/>
    </row>
    <row r="512" spans="1:66" ht="25.5" hidden="1" customHeight="1" x14ac:dyDescent="0.2">
      <c r="A512" s="142" t="s">
        <v>1348</v>
      </c>
      <c r="B512" s="18" t="s">
        <v>100</v>
      </c>
      <c r="C512" s="18" t="s">
        <v>101</v>
      </c>
      <c r="D512" s="19" t="s">
        <v>573</v>
      </c>
      <c r="E512" s="18" t="s">
        <v>3</v>
      </c>
      <c r="F512" s="18" t="s">
        <v>29</v>
      </c>
      <c r="G512" s="18" t="s">
        <v>102</v>
      </c>
      <c r="H512" s="18" t="s">
        <v>3</v>
      </c>
      <c r="I512" s="18"/>
      <c r="J512" s="18" t="s">
        <v>749</v>
      </c>
      <c r="K512" s="19" t="s">
        <v>750</v>
      </c>
      <c r="L512" s="19"/>
      <c r="M512" s="19"/>
      <c r="N512" s="19" t="s">
        <v>751</v>
      </c>
      <c r="O512" s="143" t="s">
        <v>880</v>
      </c>
      <c r="P512" s="143"/>
      <c r="Q512" s="143"/>
      <c r="R512" s="143"/>
      <c r="S512" s="144"/>
      <c r="T512" s="144"/>
      <c r="U512" s="145"/>
      <c r="V512" s="145"/>
      <c r="W512" s="145"/>
      <c r="X512" s="145">
        <f>W512+V512+U512</f>
        <v>0</v>
      </c>
      <c r="Y512" s="145"/>
      <c r="Z512" s="145"/>
      <c r="AA512" s="145"/>
      <c r="AB512" s="145"/>
      <c r="AC512" s="145"/>
      <c r="AD512" s="145">
        <v>2195195.29</v>
      </c>
      <c r="AE512" s="145"/>
      <c r="AF512" s="145"/>
      <c r="AG512" s="145"/>
      <c r="AH512" s="145"/>
      <c r="AI512" s="145"/>
      <c r="AJ512" s="145"/>
      <c r="AK512" s="145"/>
      <c r="AL512" s="145"/>
      <c r="AM512" s="145"/>
      <c r="AN512" s="145"/>
      <c r="AO512" s="145"/>
      <c r="AP512" s="145"/>
      <c r="AQ512" s="145"/>
      <c r="AR512" s="145"/>
      <c r="AS512" s="144"/>
      <c r="AT512" s="262">
        <v>2195195.29</v>
      </c>
      <c r="AU512" s="146"/>
      <c r="AV512" s="146" t="str">
        <f>IFERROR(VLOOKUP(J512,Maksājumu_pieprasījumu_iesn.!G:BL,57,0),0)</f>
        <v xml:space="preserve">Iepirkumu uzraudzības biroja iesniegtās sūdzības rezultātā par  2,5 mēnešiem aizkavējusies līguma slēgšana par būvdarbu veikšanu. Līgums par būvniecību noslēgts 30.08.2017. ar būvdarbu izpildes termiņu 18 mēneši.                                                                                                                                                                                                                                                                                                              Ņemot vērā, ka līgums noslēgts augusta beigās, plānoto maksājumu iesniegšanas datumi un summas patreiz ir saplānotas optimistiski un var neizpildīties. Papildus tam finansējuma saņēmējs ir saņēmis vēstuli par tiesvedības ierosināšanu sakarā ar AS “BMGS”  pieteikumu par Iepirkumu uzraudzības biroja 17.07.2017. lēmumu.                                                                                                                                                                                                                                                                                                                                             Ņemot vērā būvdarbu sezonalitātes raksturu, iespējams, ka darbiem varētu būt nepieciešams tehnoloģiskais pārtraukums, kas negatīvi ietekmētu finanšu plūsmas apguvi. Uzsāktās tiesvedības dēļ pagaidām nebūs iespējams uzsākt būvniecības līguma īstenošanu. Pēc būvdarbu izpildes līguma plānoto darbu grafika iesniegšanas, finansējuma saņēmējs tiks lūgts iesniegt precizēto plānoto maksājumu pieprasījumu iesniegšanas grafiku, ņemot vērā paredzēto būvdarbu veikšanas laiku un apjomus. </v>
      </c>
      <c r="AW512" s="139" t="e">
        <f t="shared" si="149"/>
        <v>#VALUE!</v>
      </c>
      <c r="AX512" s="140"/>
      <c r="AY512" s="147"/>
      <c r="AZ512" s="147"/>
      <c r="BA512" s="165"/>
      <c r="BB512" s="144"/>
      <c r="BC512" s="144"/>
      <c r="BD512" s="144"/>
      <c r="BE512" s="144"/>
      <c r="BF512" s="144"/>
      <c r="BG512" s="144"/>
      <c r="BH512" s="149"/>
      <c r="BI512" s="149"/>
      <c r="BJ512" s="149"/>
      <c r="BK512" s="149"/>
      <c r="BL512" s="149"/>
      <c r="BM512" s="149"/>
      <c r="BN512" s="149"/>
    </row>
    <row r="513" spans="1:66" ht="12.75" hidden="1" customHeight="1" x14ac:dyDescent="0.2">
      <c r="A513" s="142" t="s">
        <v>1348</v>
      </c>
      <c r="B513" s="18" t="s">
        <v>100</v>
      </c>
      <c r="C513" s="18" t="s">
        <v>101</v>
      </c>
      <c r="D513" s="19" t="s">
        <v>573</v>
      </c>
      <c r="E513" s="18" t="s">
        <v>3</v>
      </c>
      <c r="F513" s="18" t="s">
        <v>29</v>
      </c>
      <c r="G513" s="18" t="s">
        <v>102</v>
      </c>
      <c r="H513" s="18" t="s">
        <v>3</v>
      </c>
      <c r="I513" s="18"/>
      <c r="J513" s="18" t="s">
        <v>1593</v>
      </c>
      <c r="K513" s="19"/>
      <c r="L513" s="19"/>
      <c r="M513" s="19"/>
      <c r="N513" s="19"/>
      <c r="O513" s="143"/>
      <c r="P513" s="143"/>
      <c r="Q513" s="143"/>
      <c r="R513" s="143"/>
      <c r="S513" s="144">
        <f>S507-T507-S508-S509-S511</f>
        <v>407.18126257508993</v>
      </c>
      <c r="T513" s="144"/>
      <c r="U513" s="145"/>
      <c r="V513" s="145"/>
      <c r="W513" s="145"/>
      <c r="X513" s="145"/>
      <c r="Y513" s="145"/>
      <c r="Z513" s="145"/>
      <c r="AA513" s="145"/>
      <c r="AB513" s="145"/>
      <c r="AC513" s="145"/>
      <c r="AD513" s="145"/>
      <c r="AE513" s="145"/>
      <c r="AF513" s="145"/>
      <c r="AG513" s="145"/>
      <c r="AH513" s="145"/>
      <c r="AI513" s="145"/>
      <c r="AJ513" s="145"/>
      <c r="AK513" s="145"/>
      <c r="AL513" s="145"/>
      <c r="AM513" s="145"/>
      <c r="AN513" s="145"/>
      <c r="AO513" s="145"/>
      <c r="AP513" s="145"/>
      <c r="AQ513" s="145"/>
      <c r="AR513" s="145"/>
      <c r="AS513" s="140"/>
      <c r="AT513" s="262"/>
      <c r="AU513" s="146"/>
      <c r="AV513" s="146">
        <f>IFERROR(VLOOKUP(J513,Maksājumu_pieprasījumu_iesn.!G:BL,57,0),0)</f>
        <v>0</v>
      </c>
      <c r="AW513" s="139">
        <f t="shared" si="149"/>
        <v>0</v>
      </c>
      <c r="AX513" s="140"/>
      <c r="AY513" s="147">
        <f>S513</f>
        <v>407.18126257508993</v>
      </c>
      <c r="AZ513" s="147"/>
      <c r="BA513" s="165"/>
      <c r="BB513" s="144"/>
      <c r="BC513" s="144"/>
      <c r="BD513" s="144"/>
      <c r="BE513" s="144"/>
      <c r="BF513" s="144"/>
      <c r="BG513" s="144"/>
      <c r="BH513" s="149"/>
      <c r="BI513" s="149"/>
      <c r="BJ513" s="149"/>
      <c r="BK513" s="149"/>
      <c r="BL513" s="149"/>
      <c r="BM513" s="149"/>
      <c r="BN513" s="149"/>
    </row>
    <row r="514" spans="1:66" s="91" customFormat="1" ht="12.75" hidden="1" customHeight="1" x14ac:dyDescent="0.2">
      <c r="A514" s="131" t="s">
        <v>1348</v>
      </c>
      <c r="B514" s="132" t="s">
        <v>100</v>
      </c>
      <c r="C514" s="132" t="s">
        <v>1594</v>
      </c>
      <c r="D514" s="133" t="s">
        <v>1595</v>
      </c>
      <c r="E514" s="22" t="s">
        <v>3</v>
      </c>
      <c r="F514" s="22" t="s">
        <v>29</v>
      </c>
      <c r="G514" s="22" t="s">
        <v>102</v>
      </c>
      <c r="H514" s="22" t="s">
        <v>3</v>
      </c>
      <c r="I514" s="22" t="s">
        <v>1022</v>
      </c>
      <c r="J514" s="134" t="s">
        <v>1026</v>
      </c>
      <c r="K514" s="133"/>
      <c r="L514" s="133"/>
      <c r="M514" s="133"/>
      <c r="N514" s="133"/>
      <c r="O514" s="135"/>
      <c r="P514" s="135"/>
      <c r="Q514" s="135"/>
      <c r="R514" s="135"/>
      <c r="S514" s="136">
        <v>12516768</v>
      </c>
      <c r="T514" s="136">
        <v>774371.10458438157</v>
      </c>
      <c r="U514" s="137">
        <f>SUM(U515:U520)</f>
        <v>0</v>
      </c>
      <c r="V514" s="137">
        <f>SUM(V515:V520)</f>
        <v>0</v>
      </c>
      <c r="W514" s="137">
        <f>SUM(W515:W520)</f>
        <v>0</v>
      </c>
      <c r="X514" s="138">
        <f>U514+V514+W514</f>
        <v>0</v>
      </c>
      <c r="Y514" s="137">
        <f t="shared" ref="Y514:AR514" si="157">SUM(Y515:Y520)</f>
        <v>0</v>
      </c>
      <c r="Z514" s="137">
        <f t="shared" si="157"/>
        <v>0</v>
      </c>
      <c r="AA514" s="137">
        <f t="shared" si="157"/>
        <v>0</v>
      </c>
      <c r="AB514" s="137">
        <f t="shared" si="157"/>
        <v>0</v>
      </c>
      <c r="AC514" s="137">
        <f t="shared" si="157"/>
        <v>0</v>
      </c>
      <c r="AD514" s="137">
        <f t="shared" si="157"/>
        <v>0</v>
      </c>
      <c r="AE514" s="137">
        <f t="shared" si="157"/>
        <v>0</v>
      </c>
      <c r="AF514" s="137">
        <f t="shared" si="157"/>
        <v>0</v>
      </c>
      <c r="AG514" s="137">
        <f t="shared" si="157"/>
        <v>0</v>
      </c>
      <c r="AH514" s="137">
        <f t="shared" si="157"/>
        <v>0</v>
      </c>
      <c r="AI514" s="137">
        <f t="shared" si="157"/>
        <v>0</v>
      </c>
      <c r="AJ514" s="137">
        <f t="shared" si="157"/>
        <v>680000</v>
      </c>
      <c r="AK514" s="137">
        <f t="shared" si="157"/>
        <v>680000</v>
      </c>
      <c r="AL514" s="137">
        <f t="shared" si="157"/>
        <v>10652015</v>
      </c>
      <c r="AM514" s="137">
        <f t="shared" si="157"/>
        <v>410382</v>
      </c>
      <c r="AN514" s="137">
        <f t="shared" si="157"/>
        <v>0</v>
      </c>
      <c r="AO514" s="137">
        <f t="shared" si="157"/>
        <v>0</v>
      </c>
      <c r="AP514" s="137">
        <f t="shared" si="157"/>
        <v>0</v>
      </c>
      <c r="AQ514" s="137">
        <f t="shared" si="157"/>
        <v>0</v>
      </c>
      <c r="AR514" s="137">
        <f t="shared" si="157"/>
        <v>0</v>
      </c>
      <c r="AS514" s="137">
        <f t="shared" ref="AS514:AS520" si="158">U514+V514+W514+AK514+AL514+AM514+AN514+AO514+AP514+AQ514+AR514</f>
        <v>11742397</v>
      </c>
      <c r="AT514" s="137">
        <f>SUM(AT515:AT520)</f>
        <v>0</v>
      </c>
      <c r="AU514" s="139">
        <f t="shared" si="148"/>
        <v>11742397</v>
      </c>
      <c r="AV514" s="146">
        <f>IFERROR(VLOOKUP(J514,Maksājumu_pieprasījumu_iesn.!G:BL,57,0),0)</f>
        <v>0</v>
      </c>
      <c r="AW514" s="139">
        <f t="shared" si="149"/>
        <v>-11742397</v>
      </c>
      <c r="AX514" s="140">
        <f>S514-T514-AU514</f>
        <v>-0.10458438098430634</v>
      </c>
      <c r="AY514" s="137"/>
      <c r="AZ514" s="137"/>
      <c r="BA514" s="138"/>
      <c r="BB514" s="140"/>
      <c r="BC514" s="140">
        <f>X514+AK514+AL514/2</f>
        <v>6006007.5</v>
      </c>
      <c r="BD514" s="140"/>
      <c r="BE514" s="140">
        <f>BC514/0.85</f>
        <v>7065891.176470588</v>
      </c>
      <c r="BF514" s="137"/>
      <c r="BG514" s="137"/>
      <c r="BH514" s="138">
        <v>0</v>
      </c>
      <c r="BI514" s="138">
        <v>0</v>
      </c>
      <c r="BJ514" s="138"/>
      <c r="BK514" s="138"/>
      <c r="BL514" s="138">
        <v>7083911.7385132201</v>
      </c>
      <c r="BM514" s="138"/>
      <c r="BN514" s="138"/>
    </row>
    <row r="515" spans="1:66" s="91" customFormat="1" ht="25.5" hidden="1" customHeight="1" x14ac:dyDescent="0.2">
      <c r="A515" s="150" t="s">
        <v>1348</v>
      </c>
      <c r="B515" s="18" t="s">
        <v>100</v>
      </c>
      <c r="C515" s="18" t="s">
        <v>1594</v>
      </c>
      <c r="D515" s="19" t="s">
        <v>1595</v>
      </c>
      <c r="E515" s="55">
        <v>1</v>
      </c>
      <c r="F515" s="55" t="s">
        <v>29</v>
      </c>
      <c r="G515" s="55" t="s">
        <v>102</v>
      </c>
      <c r="H515" s="55" t="s">
        <v>3</v>
      </c>
      <c r="I515" s="55"/>
      <c r="J515" s="55"/>
      <c r="K515" s="19" t="s">
        <v>519</v>
      </c>
      <c r="L515" s="19"/>
      <c r="M515" s="19"/>
      <c r="N515" s="19" t="s">
        <v>1596</v>
      </c>
      <c r="O515" s="151">
        <v>43008</v>
      </c>
      <c r="P515" s="151"/>
      <c r="Q515" s="151"/>
      <c r="R515" s="151"/>
      <c r="S515" s="152">
        <v>1445000</v>
      </c>
      <c r="T515" s="152"/>
      <c r="U515" s="145">
        <v>0</v>
      </c>
      <c r="V515" s="145">
        <v>0</v>
      </c>
      <c r="W515" s="145">
        <v>0</v>
      </c>
      <c r="X515" s="145">
        <f t="shared" ref="X515:X520" si="159">W515+V515+U515</f>
        <v>0</v>
      </c>
      <c r="Y515" s="145">
        <v>0</v>
      </c>
      <c r="Z515" s="145">
        <v>0</v>
      </c>
      <c r="AA515" s="145">
        <v>0</v>
      </c>
      <c r="AB515" s="145">
        <v>0</v>
      </c>
      <c r="AC515" s="145">
        <v>0</v>
      </c>
      <c r="AD515" s="145">
        <v>0</v>
      </c>
      <c r="AE515" s="145">
        <v>0</v>
      </c>
      <c r="AF515" s="145">
        <v>0</v>
      </c>
      <c r="AG515" s="145">
        <v>0</v>
      </c>
      <c r="AH515" s="145">
        <v>0</v>
      </c>
      <c r="AI515" s="145">
        <v>0</v>
      </c>
      <c r="AJ515" s="145">
        <v>0</v>
      </c>
      <c r="AK515" s="145">
        <f t="shared" ref="AK515:AK520" si="160">SUM(Y515:AJ515)</f>
        <v>0</v>
      </c>
      <c r="AL515" s="145">
        <v>1445000</v>
      </c>
      <c r="AM515" s="145">
        <v>0</v>
      </c>
      <c r="AN515" s="145">
        <v>0</v>
      </c>
      <c r="AO515" s="145">
        <v>0</v>
      </c>
      <c r="AP515" s="145">
        <v>0</v>
      </c>
      <c r="AQ515" s="145">
        <v>0</v>
      </c>
      <c r="AR515" s="145">
        <v>0</v>
      </c>
      <c r="AS515" s="145">
        <f t="shared" si="158"/>
        <v>1445000</v>
      </c>
      <c r="AT515" s="145"/>
      <c r="AU515" s="139">
        <f t="shared" ref="AU515:AU584" si="161">AS515-AT515</f>
        <v>1445000</v>
      </c>
      <c r="AV515" s="146">
        <f>IFERROR(VLOOKUP(J515,Maksājumu_pieprasījumu_iesn.!G:BL,57,0),0)</f>
        <v>0</v>
      </c>
      <c r="AW515" s="139">
        <f t="shared" si="149"/>
        <v>-1445000</v>
      </c>
      <c r="AX515" s="153">
        <f t="shared" ref="AX515:AX520" si="162">S515-T515-(AS515-AT515)</f>
        <v>0</v>
      </c>
      <c r="AY515" s="153"/>
      <c r="AZ515" s="153"/>
      <c r="BA515" s="136"/>
      <c r="BB515" s="145"/>
      <c r="BC515" s="145"/>
      <c r="BD515" s="145"/>
      <c r="BE515" s="145"/>
      <c r="BF515" s="145"/>
      <c r="BG515" s="145"/>
      <c r="BH515" s="138"/>
      <c r="BI515" s="138"/>
      <c r="BJ515" s="138"/>
      <c r="BK515" s="138"/>
      <c r="BL515" s="138"/>
      <c r="BM515" s="138"/>
      <c r="BN515" s="138"/>
    </row>
    <row r="516" spans="1:66" s="91" customFormat="1" ht="25.5" hidden="1" customHeight="1" x14ac:dyDescent="0.2">
      <c r="A516" s="150" t="s">
        <v>1348</v>
      </c>
      <c r="B516" s="18" t="s">
        <v>100</v>
      </c>
      <c r="C516" s="18" t="s">
        <v>1594</v>
      </c>
      <c r="D516" s="19" t="s">
        <v>1595</v>
      </c>
      <c r="E516" s="55">
        <v>1</v>
      </c>
      <c r="F516" s="55" t="s">
        <v>29</v>
      </c>
      <c r="G516" s="55" t="s">
        <v>102</v>
      </c>
      <c r="H516" s="55" t="s">
        <v>3</v>
      </c>
      <c r="I516" s="55"/>
      <c r="J516" s="55"/>
      <c r="K516" s="19" t="s">
        <v>488</v>
      </c>
      <c r="L516" s="19"/>
      <c r="M516" s="19"/>
      <c r="N516" s="19" t="s">
        <v>1597</v>
      </c>
      <c r="O516" s="151">
        <v>43007</v>
      </c>
      <c r="P516" s="151"/>
      <c r="Q516" s="151"/>
      <c r="R516" s="151"/>
      <c r="S516" s="152">
        <v>1128825</v>
      </c>
      <c r="T516" s="152"/>
      <c r="U516" s="145">
        <v>0</v>
      </c>
      <c r="V516" s="145">
        <v>0</v>
      </c>
      <c r="W516" s="145">
        <v>0</v>
      </c>
      <c r="X516" s="145">
        <f t="shared" si="159"/>
        <v>0</v>
      </c>
      <c r="Y516" s="145">
        <v>0</v>
      </c>
      <c r="Z516" s="145">
        <v>0</v>
      </c>
      <c r="AA516" s="145">
        <v>0</v>
      </c>
      <c r="AB516" s="145">
        <v>0</v>
      </c>
      <c r="AC516" s="145">
        <v>0</v>
      </c>
      <c r="AD516" s="145">
        <v>0</v>
      </c>
      <c r="AE516" s="145">
        <v>0</v>
      </c>
      <c r="AF516" s="145">
        <v>0</v>
      </c>
      <c r="AG516" s="145">
        <v>0</v>
      </c>
      <c r="AH516" s="145">
        <v>0</v>
      </c>
      <c r="AI516" s="145">
        <v>0</v>
      </c>
      <c r="AJ516" s="145">
        <v>0</v>
      </c>
      <c r="AK516" s="145">
        <f t="shared" si="160"/>
        <v>0</v>
      </c>
      <c r="AL516" s="145">
        <v>1015943</v>
      </c>
      <c r="AM516" s="145">
        <v>112882</v>
      </c>
      <c r="AN516" s="145">
        <v>0</v>
      </c>
      <c r="AO516" s="145">
        <v>0</v>
      </c>
      <c r="AP516" s="145">
        <v>0</v>
      </c>
      <c r="AQ516" s="145">
        <v>0</v>
      </c>
      <c r="AR516" s="145">
        <v>0</v>
      </c>
      <c r="AS516" s="145">
        <f t="shared" si="158"/>
        <v>1128825</v>
      </c>
      <c r="AT516" s="145"/>
      <c r="AU516" s="139">
        <f t="shared" si="161"/>
        <v>1128825</v>
      </c>
      <c r="AV516" s="146">
        <f>IFERROR(VLOOKUP(J516,Maksājumu_pieprasījumu_iesn.!G:BL,57,0),0)</f>
        <v>0</v>
      </c>
      <c r="AW516" s="139">
        <f t="shared" si="149"/>
        <v>-1128825</v>
      </c>
      <c r="AX516" s="153">
        <f t="shared" si="162"/>
        <v>0</v>
      </c>
      <c r="AY516" s="153"/>
      <c r="AZ516" s="153"/>
      <c r="BA516" s="136"/>
      <c r="BB516" s="145"/>
      <c r="BC516" s="145"/>
      <c r="BD516" s="145"/>
      <c r="BE516" s="145"/>
      <c r="BF516" s="145"/>
      <c r="BG516" s="145"/>
      <c r="BH516" s="138"/>
      <c r="BI516" s="138"/>
      <c r="BJ516" s="138"/>
      <c r="BK516" s="138"/>
      <c r="BL516" s="138"/>
      <c r="BM516" s="138"/>
      <c r="BN516" s="138"/>
    </row>
    <row r="517" spans="1:66" s="91" customFormat="1" ht="25.5" hidden="1" customHeight="1" x14ac:dyDescent="0.2">
      <c r="A517" s="150" t="s">
        <v>1348</v>
      </c>
      <c r="B517" s="18" t="s">
        <v>100</v>
      </c>
      <c r="C517" s="18" t="s">
        <v>1594</v>
      </c>
      <c r="D517" s="19" t="s">
        <v>1595</v>
      </c>
      <c r="E517" s="55">
        <v>1</v>
      </c>
      <c r="F517" s="55" t="s">
        <v>29</v>
      </c>
      <c r="G517" s="55" t="s">
        <v>102</v>
      </c>
      <c r="H517" s="55" t="s">
        <v>3</v>
      </c>
      <c r="I517" s="55"/>
      <c r="J517" s="55"/>
      <c r="K517" s="19" t="s">
        <v>1598</v>
      </c>
      <c r="L517" s="19"/>
      <c r="M517" s="19"/>
      <c r="N517" s="19"/>
      <c r="O517" s="151">
        <v>42886</v>
      </c>
      <c r="P517" s="151"/>
      <c r="Q517" s="151"/>
      <c r="R517" s="151"/>
      <c r="S517" s="152">
        <v>1274000</v>
      </c>
      <c r="T517" s="152"/>
      <c r="U517" s="145">
        <v>0</v>
      </c>
      <c r="V517" s="145">
        <v>0</v>
      </c>
      <c r="W517" s="145">
        <v>0</v>
      </c>
      <c r="X517" s="145">
        <f t="shared" si="159"/>
        <v>0</v>
      </c>
      <c r="Y517" s="145">
        <v>0</v>
      </c>
      <c r="Z517" s="145">
        <v>0</v>
      </c>
      <c r="AA517" s="145">
        <v>0</v>
      </c>
      <c r="AB517" s="145">
        <v>0</v>
      </c>
      <c r="AC517" s="145">
        <v>0</v>
      </c>
      <c r="AD517" s="145">
        <v>0</v>
      </c>
      <c r="AE517" s="145">
        <v>0</v>
      </c>
      <c r="AF517" s="145">
        <v>0</v>
      </c>
      <c r="AG517" s="145">
        <v>0</v>
      </c>
      <c r="AH517" s="145">
        <v>0</v>
      </c>
      <c r="AI517" s="145">
        <v>0</v>
      </c>
      <c r="AJ517" s="145">
        <v>0</v>
      </c>
      <c r="AK517" s="145">
        <f t="shared" si="160"/>
        <v>0</v>
      </c>
      <c r="AL517" s="145">
        <v>1274000</v>
      </c>
      <c r="AM517" s="145">
        <v>0</v>
      </c>
      <c r="AN517" s="145">
        <v>0</v>
      </c>
      <c r="AO517" s="145">
        <v>0</v>
      </c>
      <c r="AP517" s="145">
        <v>0</v>
      </c>
      <c r="AQ517" s="145">
        <v>0</v>
      </c>
      <c r="AR517" s="145">
        <v>0</v>
      </c>
      <c r="AS517" s="145">
        <f t="shared" si="158"/>
        <v>1274000</v>
      </c>
      <c r="AT517" s="145"/>
      <c r="AU517" s="139">
        <f t="shared" si="161"/>
        <v>1274000</v>
      </c>
      <c r="AV517" s="146">
        <f>IFERROR(VLOOKUP(J517,Maksājumu_pieprasījumu_iesn.!G:BL,57,0),0)</f>
        <v>0</v>
      </c>
      <c r="AW517" s="139">
        <f t="shared" si="149"/>
        <v>-1274000</v>
      </c>
      <c r="AX517" s="153">
        <f t="shared" si="162"/>
        <v>0</v>
      </c>
      <c r="AY517" s="153"/>
      <c r="AZ517" s="153"/>
      <c r="BA517" s="136"/>
      <c r="BB517" s="145"/>
      <c r="BC517" s="145"/>
      <c r="BD517" s="145"/>
      <c r="BE517" s="145"/>
      <c r="BF517" s="145"/>
      <c r="BG517" s="145"/>
      <c r="BH517" s="138"/>
      <c r="BI517" s="138"/>
      <c r="BJ517" s="138"/>
      <c r="BK517" s="138"/>
      <c r="BL517" s="138"/>
      <c r="BM517" s="138"/>
      <c r="BN517" s="138"/>
    </row>
    <row r="518" spans="1:66" s="91" customFormat="1" ht="25.5" hidden="1" customHeight="1" x14ac:dyDescent="0.2">
      <c r="A518" s="150" t="s">
        <v>1348</v>
      </c>
      <c r="B518" s="18" t="s">
        <v>100</v>
      </c>
      <c r="C518" s="18" t="s">
        <v>1594</v>
      </c>
      <c r="D518" s="19" t="s">
        <v>1595</v>
      </c>
      <c r="E518" s="55">
        <v>1</v>
      </c>
      <c r="F518" s="55" t="s">
        <v>29</v>
      </c>
      <c r="G518" s="55" t="s">
        <v>102</v>
      </c>
      <c r="H518" s="55" t="s">
        <v>3</v>
      </c>
      <c r="I518" s="55"/>
      <c r="J518" s="55"/>
      <c r="K518" s="19" t="s">
        <v>530</v>
      </c>
      <c r="L518" s="19"/>
      <c r="M518" s="19"/>
      <c r="N518" s="19" t="s">
        <v>1599</v>
      </c>
      <c r="O518" s="151">
        <v>42886</v>
      </c>
      <c r="P518" s="151"/>
      <c r="Q518" s="151"/>
      <c r="R518" s="151"/>
      <c r="S518" s="152">
        <v>1360000</v>
      </c>
      <c r="T518" s="152"/>
      <c r="U518" s="145">
        <v>0</v>
      </c>
      <c r="V518" s="145">
        <v>0</v>
      </c>
      <c r="W518" s="145">
        <v>0</v>
      </c>
      <c r="X518" s="145">
        <f t="shared" si="159"/>
        <v>0</v>
      </c>
      <c r="Y518" s="145">
        <v>0</v>
      </c>
      <c r="Z518" s="145">
        <v>0</v>
      </c>
      <c r="AA518" s="145">
        <v>0</v>
      </c>
      <c r="AB518" s="145">
        <v>0</v>
      </c>
      <c r="AC518" s="145">
        <v>0</v>
      </c>
      <c r="AD518" s="145">
        <v>0</v>
      </c>
      <c r="AE518" s="145">
        <v>0</v>
      </c>
      <c r="AF518" s="145">
        <v>0</v>
      </c>
      <c r="AG518" s="145">
        <v>0</v>
      </c>
      <c r="AH518" s="145">
        <v>0</v>
      </c>
      <c r="AI518" s="145">
        <v>0</v>
      </c>
      <c r="AJ518" s="145">
        <v>680000</v>
      </c>
      <c r="AK518" s="145">
        <f t="shared" si="160"/>
        <v>680000</v>
      </c>
      <c r="AL518" s="145">
        <v>680000</v>
      </c>
      <c r="AM518" s="145">
        <v>0</v>
      </c>
      <c r="AN518" s="145">
        <v>0</v>
      </c>
      <c r="AO518" s="145">
        <v>0</v>
      </c>
      <c r="AP518" s="145">
        <v>0</v>
      </c>
      <c r="AQ518" s="145">
        <v>0</v>
      </c>
      <c r="AR518" s="145">
        <v>0</v>
      </c>
      <c r="AS518" s="145">
        <f t="shared" si="158"/>
        <v>1360000</v>
      </c>
      <c r="AT518" s="145"/>
      <c r="AU518" s="139">
        <f t="shared" si="161"/>
        <v>1360000</v>
      </c>
      <c r="AV518" s="146">
        <f>IFERROR(VLOOKUP(J518,Maksājumu_pieprasījumu_iesn.!G:BL,57,0),0)</f>
        <v>0</v>
      </c>
      <c r="AW518" s="139">
        <f t="shared" si="149"/>
        <v>-1360000</v>
      </c>
      <c r="AX518" s="153">
        <f t="shared" si="162"/>
        <v>0</v>
      </c>
      <c r="AY518" s="153"/>
      <c r="AZ518" s="153"/>
      <c r="BA518" s="136"/>
      <c r="BB518" s="145"/>
      <c r="BC518" s="145"/>
      <c r="BD518" s="145"/>
      <c r="BE518" s="145"/>
      <c r="BF518" s="145"/>
      <c r="BG518" s="145"/>
      <c r="BH518" s="138"/>
      <c r="BI518" s="138"/>
      <c r="BJ518" s="138"/>
      <c r="BK518" s="138"/>
      <c r="BL518" s="138"/>
      <c r="BM518" s="138"/>
      <c r="BN518" s="138"/>
    </row>
    <row r="519" spans="1:66" s="91" customFormat="1" ht="38.25" hidden="1" customHeight="1" x14ac:dyDescent="0.2">
      <c r="A519" s="150" t="s">
        <v>1348</v>
      </c>
      <c r="B519" s="18" t="s">
        <v>100</v>
      </c>
      <c r="C519" s="18" t="s">
        <v>1594</v>
      </c>
      <c r="D519" s="19" t="s">
        <v>1595</v>
      </c>
      <c r="E519" s="55">
        <v>1</v>
      </c>
      <c r="F519" s="55" t="s">
        <v>29</v>
      </c>
      <c r="G519" s="55" t="s">
        <v>102</v>
      </c>
      <c r="H519" s="55" t="s">
        <v>3</v>
      </c>
      <c r="I519" s="55"/>
      <c r="J519" s="55"/>
      <c r="K519" s="19" t="s">
        <v>1600</v>
      </c>
      <c r="L519" s="19"/>
      <c r="M519" s="19"/>
      <c r="N519" s="19" t="s">
        <v>1601</v>
      </c>
      <c r="O519" s="151">
        <v>42978</v>
      </c>
      <c r="P519" s="151"/>
      <c r="Q519" s="151"/>
      <c r="R519" s="151"/>
      <c r="S519" s="152">
        <v>1906322</v>
      </c>
      <c r="T519" s="152"/>
      <c r="U519" s="145">
        <v>0</v>
      </c>
      <c r="V519" s="145">
        <v>0</v>
      </c>
      <c r="W519" s="145">
        <v>0</v>
      </c>
      <c r="X519" s="145">
        <f t="shared" si="159"/>
        <v>0</v>
      </c>
      <c r="Y519" s="145">
        <v>0</v>
      </c>
      <c r="Z519" s="145">
        <v>0</v>
      </c>
      <c r="AA519" s="145">
        <v>0</v>
      </c>
      <c r="AB519" s="145">
        <v>0</v>
      </c>
      <c r="AC519" s="145">
        <v>0</v>
      </c>
      <c r="AD519" s="145">
        <v>0</v>
      </c>
      <c r="AE519" s="145">
        <v>0</v>
      </c>
      <c r="AF519" s="145">
        <v>0</v>
      </c>
      <c r="AG519" s="145">
        <v>0</v>
      </c>
      <c r="AH519" s="145">
        <v>0</v>
      </c>
      <c r="AI519" s="145">
        <v>0</v>
      </c>
      <c r="AJ519" s="145">
        <v>0</v>
      </c>
      <c r="AK519" s="145">
        <f t="shared" si="160"/>
        <v>0</v>
      </c>
      <c r="AL519" s="145">
        <v>1906322</v>
      </c>
      <c r="AM519" s="145">
        <v>0</v>
      </c>
      <c r="AN519" s="145">
        <v>0</v>
      </c>
      <c r="AO519" s="145">
        <v>0</v>
      </c>
      <c r="AP519" s="145">
        <v>0</v>
      </c>
      <c r="AQ519" s="145">
        <v>0</v>
      </c>
      <c r="AR519" s="145">
        <v>0</v>
      </c>
      <c r="AS519" s="145">
        <f t="shared" si="158"/>
        <v>1906322</v>
      </c>
      <c r="AT519" s="145"/>
      <c r="AU519" s="139">
        <f t="shared" si="161"/>
        <v>1906322</v>
      </c>
      <c r="AV519" s="146">
        <f>IFERROR(VLOOKUP(J519,Maksājumu_pieprasījumu_iesn.!G:BL,57,0),0)</f>
        <v>0</v>
      </c>
      <c r="AW519" s="139">
        <f t="shared" si="149"/>
        <v>-1906322</v>
      </c>
      <c r="AX519" s="153">
        <f t="shared" si="162"/>
        <v>0</v>
      </c>
      <c r="AY519" s="153"/>
      <c r="AZ519" s="153"/>
      <c r="BA519" s="136"/>
      <c r="BB519" s="145"/>
      <c r="BC519" s="145"/>
      <c r="BD519" s="145"/>
      <c r="BE519" s="145"/>
      <c r="BF519" s="145"/>
      <c r="BG519" s="145"/>
      <c r="BH519" s="138"/>
      <c r="BI519" s="138"/>
      <c r="BJ519" s="138"/>
      <c r="BK519" s="138"/>
      <c r="BL519" s="138"/>
      <c r="BM519" s="138"/>
      <c r="BN519" s="138"/>
    </row>
    <row r="520" spans="1:66" s="91" customFormat="1" ht="12.75" hidden="1" customHeight="1" x14ac:dyDescent="0.2">
      <c r="A520" s="150" t="s">
        <v>1348</v>
      </c>
      <c r="B520" s="18" t="s">
        <v>100</v>
      </c>
      <c r="C520" s="18" t="s">
        <v>1594</v>
      </c>
      <c r="D520" s="19" t="s">
        <v>1595</v>
      </c>
      <c r="E520" s="55">
        <v>1</v>
      </c>
      <c r="F520" s="55" t="s">
        <v>29</v>
      </c>
      <c r="G520" s="55" t="s">
        <v>102</v>
      </c>
      <c r="H520" s="55" t="s">
        <v>3</v>
      </c>
      <c r="I520" s="55"/>
      <c r="J520" s="55"/>
      <c r="K520" s="19" t="s">
        <v>1602</v>
      </c>
      <c r="L520" s="19"/>
      <c r="M520" s="19"/>
      <c r="N520" s="19"/>
      <c r="O520" s="151">
        <v>43054</v>
      </c>
      <c r="P520" s="151"/>
      <c r="Q520" s="151"/>
      <c r="R520" s="151"/>
      <c r="S520" s="152">
        <v>4628250</v>
      </c>
      <c r="T520" s="152"/>
      <c r="U520" s="145">
        <v>0</v>
      </c>
      <c r="V520" s="145">
        <v>0</v>
      </c>
      <c r="W520" s="145">
        <v>0</v>
      </c>
      <c r="X520" s="145">
        <f t="shared" si="159"/>
        <v>0</v>
      </c>
      <c r="Y520" s="145">
        <v>0</v>
      </c>
      <c r="Z520" s="145">
        <v>0</v>
      </c>
      <c r="AA520" s="145">
        <v>0</v>
      </c>
      <c r="AB520" s="145">
        <v>0</v>
      </c>
      <c r="AC520" s="145">
        <v>0</v>
      </c>
      <c r="AD520" s="145">
        <v>0</v>
      </c>
      <c r="AE520" s="145">
        <v>0</v>
      </c>
      <c r="AF520" s="145">
        <v>0</v>
      </c>
      <c r="AG520" s="145">
        <v>0</v>
      </c>
      <c r="AH520" s="145">
        <v>0</v>
      </c>
      <c r="AI520" s="145">
        <v>0</v>
      </c>
      <c r="AJ520" s="145">
        <v>0</v>
      </c>
      <c r="AK520" s="145">
        <f t="shared" si="160"/>
        <v>0</v>
      </c>
      <c r="AL520" s="145">
        <v>4330750</v>
      </c>
      <c r="AM520" s="145">
        <v>297500</v>
      </c>
      <c r="AN520" s="145">
        <v>0</v>
      </c>
      <c r="AO520" s="145">
        <v>0</v>
      </c>
      <c r="AP520" s="145">
        <v>0</v>
      </c>
      <c r="AQ520" s="145">
        <v>0</v>
      </c>
      <c r="AR520" s="145">
        <v>0</v>
      </c>
      <c r="AS520" s="145">
        <f t="shared" si="158"/>
        <v>4628250</v>
      </c>
      <c r="AT520" s="145"/>
      <c r="AU520" s="139">
        <f t="shared" si="161"/>
        <v>4628250</v>
      </c>
      <c r="AV520" s="146">
        <f>IFERROR(VLOOKUP(J520,Maksājumu_pieprasījumu_iesn.!G:BL,57,0),0)</f>
        <v>0</v>
      </c>
      <c r="AW520" s="139">
        <f t="shared" si="149"/>
        <v>-4628250</v>
      </c>
      <c r="AX520" s="153">
        <f t="shared" si="162"/>
        <v>0</v>
      </c>
      <c r="AY520" s="153"/>
      <c r="AZ520" s="153"/>
      <c r="BA520" s="136"/>
      <c r="BB520" s="145"/>
      <c r="BC520" s="145"/>
      <c r="BD520" s="145"/>
      <c r="BE520" s="145"/>
      <c r="BF520" s="145"/>
      <c r="BG520" s="145"/>
      <c r="BH520" s="138"/>
      <c r="BI520" s="138"/>
      <c r="BJ520" s="138"/>
      <c r="BK520" s="138"/>
      <c r="BL520" s="138"/>
      <c r="BM520" s="138"/>
      <c r="BN520" s="138"/>
    </row>
    <row r="521" spans="1:66" ht="12.75" hidden="1" customHeight="1" x14ac:dyDescent="0.2">
      <c r="A521" s="121" t="s">
        <v>1603</v>
      </c>
      <c r="B521" s="120" t="s">
        <v>1020</v>
      </c>
      <c r="C521" s="121" t="s">
        <v>5</v>
      </c>
      <c r="D521" s="122" t="s">
        <v>1604</v>
      </c>
      <c r="E521" s="121"/>
      <c r="F521" s="121"/>
      <c r="G521" s="121" t="s">
        <v>5</v>
      </c>
      <c r="H521" s="121"/>
      <c r="I521" s="121"/>
      <c r="J521" s="120"/>
      <c r="K521" s="191"/>
      <c r="L521" s="263"/>
      <c r="M521" s="263"/>
      <c r="N521" s="191"/>
      <c r="O521" s="264"/>
      <c r="P521" s="264"/>
      <c r="Q521" s="264"/>
      <c r="R521" s="264"/>
      <c r="S521" s="265">
        <f t="shared" ref="S521:AU521" si="163">S523+S540+S668+S671+S685+S692+S812</f>
        <v>478716132</v>
      </c>
      <c r="T521" s="265">
        <f t="shared" si="163"/>
        <v>33317896.707944859</v>
      </c>
      <c r="U521" s="265">
        <f t="shared" si="163"/>
        <v>0</v>
      </c>
      <c r="V521" s="265">
        <f t="shared" si="163"/>
        <v>0</v>
      </c>
      <c r="W521" s="265">
        <f t="shared" si="163"/>
        <v>862547.02</v>
      </c>
      <c r="X521" s="265">
        <f t="shared" si="163"/>
        <v>862547.02</v>
      </c>
      <c r="Y521" s="265">
        <f t="shared" si="163"/>
        <v>40228.449999999997</v>
      </c>
      <c r="Z521" s="265">
        <f t="shared" si="163"/>
        <v>0</v>
      </c>
      <c r="AA521" s="265">
        <f t="shared" si="163"/>
        <v>89197.56</v>
      </c>
      <c r="AB521" s="265">
        <f t="shared" si="163"/>
        <v>69476.05</v>
      </c>
      <c r="AC521" s="265">
        <f t="shared" si="163"/>
        <v>700893.15999999992</v>
      </c>
      <c r="AD521" s="265">
        <f t="shared" si="163"/>
        <v>7291719.3399999999</v>
      </c>
      <c r="AE521" s="265">
        <f t="shared" si="163"/>
        <v>452975.68</v>
      </c>
      <c r="AF521" s="265">
        <f t="shared" si="163"/>
        <v>3600000</v>
      </c>
      <c r="AG521" s="265">
        <f t="shared" si="163"/>
        <v>7449159.1300000008</v>
      </c>
      <c r="AH521" s="265">
        <f t="shared" si="163"/>
        <v>3015280.0464999997</v>
      </c>
      <c r="AI521" s="265">
        <f t="shared" si="163"/>
        <v>2559477.182</v>
      </c>
      <c r="AJ521" s="265">
        <f t="shared" si="163"/>
        <v>2753969.182</v>
      </c>
      <c r="AK521" s="265">
        <f t="shared" si="163"/>
        <v>28022375.780499998</v>
      </c>
      <c r="AL521" s="265">
        <f t="shared" si="163"/>
        <v>248444569.86172011</v>
      </c>
      <c r="AM521" s="265">
        <f t="shared" si="163"/>
        <v>99219730.880203143</v>
      </c>
      <c r="AN521" s="265">
        <f t="shared" si="163"/>
        <v>55311439.319133312</v>
      </c>
      <c r="AO521" s="265">
        <f t="shared" si="163"/>
        <v>11385987.630000003</v>
      </c>
      <c r="AP521" s="265">
        <f t="shared" si="163"/>
        <v>2235584.8999999994</v>
      </c>
      <c r="AQ521" s="265">
        <f t="shared" si="163"/>
        <v>0</v>
      </c>
      <c r="AR521" s="265">
        <f t="shared" si="163"/>
        <v>0</v>
      </c>
      <c r="AS521" s="265">
        <f t="shared" si="163"/>
        <v>445482235.39155656</v>
      </c>
      <c r="AT521" s="265">
        <f t="shared" si="163"/>
        <v>10909590.549999999</v>
      </c>
      <c r="AU521" s="265">
        <f t="shared" si="163"/>
        <v>434572644.84155661</v>
      </c>
      <c r="AV521" s="146">
        <f>IFERROR(VLOOKUP(J521,Maksājumu_pieprasījumu_iesn.!G:BL,57,0),0)</f>
        <v>0</v>
      </c>
      <c r="AW521" s="139">
        <f t="shared" si="149"/>
        <v>-434572644.84155661</v>
      </c>
      <c r="AX521" s="265">
        <f>AX523+AX540+AX668+AX671+AX685+AX692+AX812</f>
        <v>10705528.450498577</v>
      </c>
      <c r="AY521" s="265">
        <f>AY523+AY540+AY668+AY671+AY685+AY692+AY812</f>
        <v>122094</v>
      </c>
      <c r="AZ521" s="265"/>
      <c r="BA521" s="265"/>
      <c r="BB521" s="265">
        <v>109957466</v>
      </c>
      <c r="BC521" s="265">
        <f t="shared" ref="BC521:BN521" si="164">BC523+BC540+BC668+BC671+BC685+BC692+BC812</f>
        <v>153107207.73136005</v>
      </c>
      <c r="BD521" s="265">
        <f t="shared" si="164"/>
        <v>131672198.64896962</v>
      </c>
      <c r="BE521" s="265">
        <f t="shared" si="164"/>
        <v>154908468.99878779</v>
      </c>
      <c r="BF521" s="265">
        <f t="shared" si="164"/>
        <v>0</v>
      </c>
      <c r="BG521" s="265">
        <f t="shared" si="164"/>
        <v>0</v>
      </c>
      <c r="BH521" s="265">
        <f t="shared" si="164"/>
        <v>902712.07</v>
      </c>
      <c r="BI521" s="265">
        <f t="shared" si="164"/>
        <v>49199393.717242748</v>
      </c>
      <c r="BJ521" s="265">
        <f t="shared" si="164"/>
        <v>24099243.171229996</v>
      </c>
      <c r="BK521" s="265">
        <f t="shared" si="164"/>
        <v>-25100150.546012755</v>
      </c>
      <c r="BL521" s="265">
        <f t="shared" si="164"/>
        <v>87518917.345803082</v>
      </c>
      <c r="BM521" s="265">
        <f t="shared" si="164"/>
        <v>213662330.0810793</v>
      </c>
      <c r="BN521" s="265">
        <f t="shared" si="164"/>
        <v>126143412.73527619</v>
      </c>
    </row>
    <row r="522" spans="1:66" ht="12.75" hidden="1" customHeight="1" x14ac:dyDescent="0.2">
      <c r="A522" s="121" t="s">
        <v>1603</v>
      </c>
      <c r="B522" s="120" t="s">
        <v>1020</v>
      </c>
      <c r="C522" s="121" t="s">
        <v>102</v>
      </c>
      <c r="D522" s="122" t="s">
        <v>1604</v>
      </c>
      <c r="E522" s="121"/>
      <c r="F522" s="121"/>
      <c r="G522" s="121" t="s">
        <v>102</v>
      </c>
      <c r="H522" s="121"/>
      <c r="I522" s="121"/>
      <c r="J522" s="120"/>
      <c r="K522" s="191"/>
      <c r="L522" s="263"/>
      <c r="M522" s="263"/>
      <c r="N522" s="191"/>
      <c r="O522" s="264"/>
      <c r="P522" s="264"/>
      <c r="Q522" s="264"/>
      <c r="R522" s="264"/>
      <c r="S522" s="265">
        <f>S591+S661</f>
        <v>140965420</v>
      </c>
      <c r="T522" s="265">
        <f t="shared" ref="T522:AY522" si="165">T591+T661</f>
        <v>2289729</v>
      </c>
      <c r="U522" s="265">
        <f t="shared" si="165"/>
        <v>0</v>
      </c>
      <c r="V522" s="265">
        <f t="shared" si="165"/>
        <v>0</v>
      </c>
      <c r="W522" s="265">
        <f t="shared" si="165"/>
        <v>0</v>
      </c>
      <c r="X522" s="265">
        <f t="shared" si="165"/>
        <v>0</v>
      </c>
      <c r="Y522" s="265">
        <f t="shared" si="165"/>
        <v>52289.599999999999</v>
      </c>
      <c r="Z522" s="265">
        <f t="shared" si="165"/>
        <v>0</v>
      </c>
      <c r="AA522" s="265">
        <f t="shared" si="165"/>
        <v>0</v>
      </c>
      <c r="AB522" s="265">
        <f t="shared" si="165"/>
        <v>25194.14</v>
      </c>
      <c r="AC522" s="265">
        <f t="shared" si="165"/>
        <v>1698007.3</v>
      </c>
      <c r="AD522" s="265">
        <f t="shared" si="165"/>
        <v>120890.97</v>
      </c>
      <c r="AE522" s="265">
        <f t="shared" si="165"/>
        <v>987215.58000000007</v>
      </c>
      <c r="AF522" s="265">
        <f t="shared" si="165"/>
        <v>519146.33</v>
      </c>
      <c r="AG522" s="265">
        <f t="shared" si="165"/>
        <v>640688.75</v>
      </c>
      <c r="AH522" s="265">
        <f t="shared" si="165"/>
        <v>1821161.73</v>
      </c>
      <c r="AI522" s="265">
        <f t="shared" si="165"/>
        <v>4548801.7300000004</v>
      </c>
      <c r="AJ522" s="265">
        <f t="shared" si="165"/>
        <v>791809.22</v>
      </c>
      <c r="AK522" s="265">
        <f>AK591+AK661</f>
        <v>11205205.350000001</v>
      </c>
      <c r="AL522" s="265">
        <f t="shared" si="165"/>
        <v>54209683.427842438</v>
      </c>
      <c r="AM522" s="265">
        <f t="shared" si="165"/>
        <v>36008258.536821239</v>
      </c>
      <c r="AN522" s="265">
        <f t="shared" si="165"/>
        <v>20478023.928302515</v>
      </c>
      <c r="AO522" s="265">
        <f t="shared" si="165"/>
        <v>8391834.25</v>
      </c>
      <c r="AP522" s="265">
        <f t="shared" si="165"/>
        <v>521341.38000000012</v>
      </c>
      <c r="AQ522" s="265">
        <f t="shared" si="165"/>
        <v>0</v>
      </c>
      <c r="AR522" s="265">
        <f t="shared" si="165"/>
        <v>0</v>
      </c>
      <c r="AS522" s="265">
        <f>AS591+AS661</f>
        <v>130814346.87296619</v>
      </c>
      <c r="AT522" s="265">
        <f>AT591+AT661</f>
        <v>7744013.0300000003</v>
      </c>
      <c r="AU522" s="265">
        <f>AU591+AU661</f>
        <v>123070333.84296618</v>
      </c>
      <c r="AV522" s="146">
        <f>IFERROR(VLOOKUP(J522,Maksājumu_pieprasījumu_iesn.!G:BL,57,0),0)</f>
        <v>0</v>
      </c>
      <c r="AW522" s="139">
        <f t="shared" si="149"/>
        <v>-123070333.84296618</v>
      </c>
      <c r="AX522" s="265">
        <f>AX591+AX661</f>
        <v>12991786.15703382</v>
      </c>
      <c r="AY522" s="265">
        <f t="shared" si="165"/>
        <v>7861344.4200000037</v>
      </c>
      <c r="AZ522" s="265"/>
      <c r="BA522" s="265"/>
      <c r="BB522" s="265">
        <v>46013028</v>
      </c>
      <c r="BC522" s="265">
        <f t="shared" ref="BC522:BN522" si="166">BC591+BC661</f>
        <v>38310047.063921221</v>
      </c>
      <c r="BD522" s="265">
        <f t="shared" si="166"/>
        <v>31797339.06305461</v>
      </c>
      <c r="BE522" s="265">
        <f t="shared" si="166"/>
        <v>37408634.191828959</v>
      </c>
      <c r="BF522" s="265">
        <f t="shared" si="166"/>
        <v>0</v>
      </c>
      <c r="BG522" s="265">
        <f t="shared" si="166"/>
        <v>0</v>
      </c>
      <c r="BH522" s="265">
        <f t="shared" si="166"/>
        <v>0</v>
      </c>
      <c r="BI522" s="265">
        <f t="shared" si="166"/>
        <v>13038617</v>
      </c>
      <c r="BJ522" s="265">
        <f t="shared" si="166"/>
        <v>9300320.4405000005</v>
      </c>
      <c r="BK522" s="265">
        <f t="shared" si="166"/>
        <v>-3738296.559499999</v>
      </c>
      <c r="BL522" s="265">
        <f t="shared" si="166"/>
        <v>24724921.342948638</v>
      </c>
      <c r="BM522" s="265">
        <f t="shared" si="166"/>
        <v>44994037.245109223</v>
      </c>
      <c r="BN522" s="265">
        <f t="shared" si="166"/>
        <v>20269115.902160585</v>
      </c>
    </row>
    <row r="523" spans="1:66" ht="25.5" hidden="1" x14ac:dyDescent="0.2">
      <c r="A523" s="266" t="s">
        <v>1603</v>
      </c>
      <c r="B523" s="266" t="s">
        <v>618</v>
      </c>
      <c r="C523" s="266" t="s">
        <v>1023</v>
      </c>
      <c r="D523" s="267" t="s">
        <v>620</v>
      </c>
      <c r="E523" s="266"/>
      <c r="F523" s="266"/>
      <c r="G523" s="266" t="s">
        <v>5</v>
      </c>
      <c r="H523" s="266"/>
      <c r="I523" s="266"/>
      <c r="J523" s="266"/>
      <c r="K523" s="267"/>
      <c r="L523" s="268"/>
      <c r="M523" s="268"/>
      <c r="N523" s="267"/>
      <c r="O523" s="269"/>
      <c r="P523" s="269"/>
      <c r="Q523" s="269"/>
      <c r="R523" s="269"/>
      <c r="S523" s="270">
        <f>S524+S526+S536+S539</f>
        <v>28937804</v>
      </c>
      <c r="T523" s="270">
        <f>T524+T526+T536</f>
        <v>1765068</v>
      </c>
      <c r="U523" s="164">
        <f>U524+U526+U536</f>
        <v>0</v>
      </c>
      <c r="V523" s="164">
        <f>V524+V526+V536</f>
        <v>0</v>
      </c>
      <c r="W523" s="164">
        <f>W524+W526+W536</f>
        <v>785970.33</v>
      </c>
      <c r="X523" s="129">
        <f>U523+V523+W523</f>
        <v>785970.33</v>
      </c>
      <c r="Y523" s="164">
        <f t="shared" ref="Y523:AT523" si="167">Y524+Y526+Y536</f>
        <v>0</v>
      </c>
      <c r="Z523" s="164">
        <f t="shared" si="167"/>
        <v>0</v>
      </c>
      <c r="AA523" s="164">
        <f t="shared" si="167"/>
        <v>0</v>
      </c>
      <c r="AB523" s="164">
        <f t="shared" si="167"/>
        <v>0</v>
      </c>
      <c r="AC523" s="164">
        <f t="shared" si="167"/>
        <v>0</v>
      </c>
      <c r="AD523" s="164">
        <f t="shared" si="167"/>
        <v>0</v>
      </c>
      <c r="AE523" s="164">
        <f t="shared" si="167"/>
        <v>0</v>
      </c>
      <c r="AF523" s="164">
        <f t="shared" si="167"/>
        <v>0</v>
      </c>
      <c r="AG523" s="164">
        <f t="shared" si="167"/>
        <v>0</v>
      </c>
      <c r="AH523" s="164">
        <f t="shared" si="167"/>
        <v>0</v>
      </c>
      <c r="AI523" s="164">
        <f t="shared" si="167"/>
        <v>50350</v>
      </c>
      <c r="AJ523" s="164">
        <f t="shared" si="167"/>
        <v>85000</v>
      </c>
      <c r="AK523" s="164">
        <f t="shared" si="167"/>
        <v>135350</v>
      </c>
      <c r="AL523" s="164">
        <f t="shared" si="167"/>
        <v>15598381</v>
      </c>
      <c r="AM523" s="164">
        <f t="shared" si="167"/>
        <v>7488760</v>
      </c>
      <c r="AN523" s="164">
        <f t="shared" si="167"/>
        <v>3108900</v>
      </c>
      <c r="AO523" s="164">
        <f t="shared" si="167"/>
        <v>0</v>
      </c>
      <c r="AP523" s="164">
        <f t="shared" si="167"/>
        <v>0</v>
      </c>
      <c r="AQ523" s="164">
        <f t="shared" si="167"/>
        <v>0</v>
      </c>
      <c r="AR523" s="164">
        <f t="shared" si="167"/>
        <v>0</v>
      </c>
      <c r="AS523" s="270">
        <f t="shared" si="167"/>
        <v>27117361.329999998</v>
      </c>
      <c r="AT523" s="270">
        <f t="shared" si="167"/>
        <v>0</v>
      </c>
      <c r="AU523" s="271">
        <f t="shared" si="161"/>
        <v>27117361.329999998</v>
      </c>
      <c r="AV523" s="146">
        <f>IFERROR(VLOOKUP(J523,Maksājumu_pieprasījumu_iesn.!G:BL,57,0),0)</f>
        <v>0</v>
      </c>
      <c r="AW523" s="139">
        <f t="shared" si="149"/>
        <v>-27117361.329999998</v>
      </c>
      <c r="AX523" s="270">
        <f>AX524+AX526+AX536</f>
        <v>-0.32999999995809048</v>
      </c>
      <c r="AY523" s="270">
        <f>AY524+AY526+AY536+AY539</f>
        <v>55375</v>
      </c>
      <c r="AZ523" s="270"/>
      <c r="BA523" s="270"/>
      <c r="BB523" s="270">
        <f>BB524+BB526+BB536</f>
        <v>0</v>
      </c>
      <c r="BC523" s="270">
        <f>BC524+BC526+BC536</f>
        <v>8720510.8300000001</v>
      </c>
      <c r="BD523" s="270">
        <f>BC523*0.86</f>
        <v>7499639.3137999997</v>
      </c>
      <c r="BE523" s="272">
        <f>BD523/0.85</f>
        <v>8823105.0750588235</v>
      </c>
      <c r="BF523" s="270">
        <f>BF524+BF526+BF536</f>
        <v>0</v>
      </c>
      <c r="BG523" s="270">
        <f>BG524+BG526+BG536</f>
        <v>0</v>
      </c>
      <c r="BH523" s="272">
        <f>BH524+BH526+BH536</f>
        <v>785970.33</v>
      </c>
      <c r="BI523" s="272">
        <f>BI524+BI526+BI536</f>
        <v>1420000</v>
      </c>
      <c r="BJ523" s="272">
        <f>AK523*0.86</f>
        <v>116401</v>
      </c>
      <c r="BK523" s="272">
        <f>BJ523-BI523</f>
        <v>-1303599</v>
      </c>
      <c r="BL523" s="272">
        <f>BL524+BL526+BL536</f>
        <v>5745541.79681635</v>
      </c>
      <c r="BM523" s="272">
        <f>AL523*0.86</f>
        <v>13414607.66</v>
      </c>
      <c r="BN523" s="272">
        <f>BM523-BL523</f>
        <v>7669065.8631836502</v>
      </c>
    </row>
    <row r="524" spans="1:66" ht="25.5" hidden="1" customHeight="1" x14ac:dyDescent="0.2">
      <c r="A524" s="173" t="s">
        <v>1603</v>
      </c>
      <c r="B524" s="132" t="s">
        <v>618</v>
      </c>
      <c r="C524" s="132" t="s">
        <v>619</v>
      </c>
      <c r="D524" s="133" t="s">
        <v>620</v>
      </c>
      <c r="E524" s="132">
        <v>1</v>
      </c>
      <c r="F524" s="132" t="s">
        <v>35</v>
      </c>
      <c r="G524" s="132" t="s">
        <v>5</v>
      </c>
      <c r="H524" s="132" t="s">
        <v>3</v>
      </c>
      <c r="I524" s="132" t="s">
        <v>1022</v>
      </c>
      <c r="J524" s="273" t="s">
        <v>1026</v>
      </c>
      <c r="K524" s="133"/>
      <c r="L524" s="274"/>
      <c r="M524" s="274"/>
      <c r="N524" s="133"/>
      <c r="O524" s="230"/>
      <c r="P524" s="230"/>
      <c r="Q524" s="230"/>
      <c r="R524" s="230"/>
      <c r="S524" s="165">
        <v>785970</v>
      </c>
      <c r="T524" s="165">
        <v>0</v>
      </c>
      <c r="U524" s="137">
        <f>SUM(U525)</f>
        <v>0</v>
      </c>
      <c r="V524" s="137">
        <f>SUM(V525)</f>
        <v>0</v>
      </c>
      <c r="W524" s="137">
        <f>SUM(W525)</f>
        <v>785970.33</v>
      </c>
      <c r="X524" s="138">
        <f>U524+V524+W524</f>
        <v>785970.33</v>
      </c>
      <c r="Y524" s="137">
        <f t="shared" ref="Y524:AR524" si="168">SUM(Y525)</f>
        <v>0</v>
      </c>
      <c r="Z524" s="137">
        <f t="shared" si="168"/>
        <v>0</v>
      </c>
      <c r="AA524" s="137">
        <f t="shared" si="168"/>
        <v>0</v>
      </c>
      <c r="AB524" s="137">
        <f t="shared" si="168"/>
        <v>0</v>
      </c>
      <c r="AC524" s="137">
        <f t="shared" si="168"/>
        <v>0</v>
      </c>
      <c r="AD524" s="137">
        <f t="shared" si="168"/>
        <v>0</v>
      </c>
      <c r="AE524" s="137">
        <f t="shared" si="168"/>
        <v>0</v>
      </c>
      <c r="AF524" s="137">
        <f t="shared" si="168"/>
        <v>0</v>
      </c>
      <c r="AG524" s="137">
        <f t="shared" si="168"/>
        <v>0</v>
      </c>
      <c r="AH524" s="137">
        <f t="shared" si="168"/>
        <v>0</v>
      </c>
      <c r="AI524" s="137">
        <f t="shared" si="168"/>
        <v>0</v>
      </c>
      <c r="AJ524" s="137">
        <f t="shared" si="168"/>
        <v>0</v>
      </c>
      <c r="AK524" s="137">
        <f t="shared" si="168"/>
        <v>0</v>
      </c>
      <c r="AL524" s="137">
        <f t="shared" si="168"/>
        <v>0</v>
      </c>
      <c r="AM524" s="137">
        <f t="shared" si="168"/>
        <v>0</v>
      </c>
      <c r="AN524" s="137">
        <f t="shared" si="168"/>
        <v>0</v>
      </c>
      <c r="AO524" s="137">
        <f t="shared" si="168"/>
        <v>0</v>
      </c>
      <c r="AP524" s="137">
        <f t="shared" si="168"/>
        <v>0</v>
      </c>
      <c r="AQ524" s="137">
        <f t="shared" si="168"/>
        <v>0</v>
      </c>
      <c r="AR524" s="137">
        <f t="shared" si="168"/>
        <v>0</v>
      </c>
      <c r="AS524" s="165">
        <f t="shared" ref="AS524:AS538" si="169">U524+V524+W524+AK524+AL524+AM524+AN524+AO524+AP524+AQ524+AR524</f>
        <v>785970.33</v>
      </c>
      <c r="AT524" s="165">
        <f>SUM(AT525)</f>
        <v>0</v>
      </c>
      <c r="AU524" s="146">
        <f t="shared" si="161"/>
        <v>785970.33</v>
      </c>
      <c r="AV524" s="146">
        <f>IFERROR(VLOOKUP(J524,Maksājumu_pieprasījumu_iesn.!G:BL,57,0),0)</f>
        <v>0</v>
      </c>
      <c r="AW524" s="139">
        <f t="shared" si="149"/>
        <v>-785970.33</v>
      </c>
      <c r="AX524" s="231">
        <f t="shared" ref="AX524:AX536" si="170">S524-T524-AU524</f>
        <v>-0.32999999995809048</v>
      </c>
      <c r="AY524" s="165"/>
      <c r="AZ524" s="165"/>
      <c r="BA524" s="149"/>
      <c r="BB524" s="231"/>
      <c r="BC524" s="231">
        <f>X524+AK524+AL524/2</f>
        <v>785970.33</v>
      </c>
      <c r="BD524" s="231"/>
      <c r="BE524" s="231">
        <f>BC524/0.85</f>
        <v>924670.97647058824</v>
      </c>
      <c r="BF524" s="165"/>
      <c r="BG524" s="165"/>
      <c r="BH524" s="149">
        <v>785970.33</v>
      </c>
      <c r="BI524" s="149">
        <v>0</v>
      </c>
      <c r="BJ524" s="149"/>
      <c r="BK524" s="149"/>
      <c r="BL524" s="149">
        <v>0</v>
      </c>
      <c r="BM524" s="149"/>
      <c r="BN524" s="149"/>
    </row>
    <row r="525" spans="1:66" ht="51" hidden="1" customHeight="1" x14ac:dyDescent="0.2">
      <c r="A525" s="142" t="s">
        <v>1603</v>
      </c>
      <c r="B525" s="18" t="s">
        <v>618</v>
      </c>
      <c r="C525" s="18" t="s">
        <v>619</v>
      </c>
      <c r="D525" s="19" t="s">
        <v>620</v>
      </c>
      <c r="E525" s="18">
        <v>1</v>
      </c>
      <c r="F525" s="18" t="s">
        <v>35</v>
      </c>
      <c r="G525" s="18" t="s">
        <v>5</v>
      </c>
      <c r="H525" s="18" t="s">
        <v>3</v>
      </c>
      <c r="I525" s="18"/>
      <c r="J525" s="18" t="s">
        <v>621</v>
      </c>
      <c r="K525" s="19" t="s">
        <v>69</v>
      </c>
      <c r="L525" s="275" t="s">
        <v>1605</v>
      </c>
      <c r="M525" s="275" t="s">
        <v>1606</v>
      </c>
      <c r="N525" s="19" t="s">
        <v>622</v>
      </c>
      <c r="O525" s="143"/>
      <c r="P525" s="143"/>
      <c r="Q525" s="143"/>
      <c r="R525" s="143">
        <v>42403</v>
      </c>
      <c r="S525" s="144">
        <v>785970</v>
      </c>
      <c r="T525" s="144"/>
      <c r="U525" s="145">
        <v>0</v>
      </c>
      <c r="V525" s="145">
        <v>0</v>
      </c>
      <c r="W525" s="145">
        <v>785970.33</v>
      </c>
      <c r="X525" s="145">
        <f>W525+V525+U525</f>
        <v>785970.33</v>
      </c>
      <c r="Y525" s="145">
        <v>0</v>
      </c>
      <c r="Z525" s="145">
        <v>0</v>
      </c>
      <c r="AA525" s="145">
        <v>0</v>
      </c>
      <c r="AB525" s="145">
        <v>0</v>
      </c>
      <c r="AC525" s="145">
        <v>0</v>
      </c>
      <c r="AD525" s="145">
        <v>0</v>
      </c>
      <c r="AE525" s="145">
        <v>0</v>
      </c>
      <c r="AF525" s="145">
        <v>0</v>
      </c>
      <c r="AG525" s="145">
        <v>0</v>
      </c>
      <c r="AH525" s="145">
        <v>0</v>
      </c>
      <c r="AI525" s="145">
        <v>0</v>
      </c>
      <c r="AJ525" s="145">
        <v>0</v>
      </c>
      <c r="AK525" s="145">
        <f>SUM(Y525:AJ525)</f>
        <v>0</v>
      </c>
      <c r="AL525" s="145">
        <v>0</v>
      </c>
      <c r="AM525" s="145">
        <v>0</v>
      </c>
      <c r="AN525" s="145">
        <v>0</v>
      </c>
      <c r="AO525" s="145">
        <v>0</v>
      </c>
      <c r="AP525" s="145">
        <v>0</v>
      </c>
      <c r="AQ525" s="145">
        <v>0</v>
      </c>
      <c r="AR525" s="145">
        <v>0</v>
      </c>
      <c r="AS525" s="144">
        <f t="shared" si="169"/>
        <v>785970.33</v>
      </c>
      <c r="AT525" s="144">
        <v>0</v>
      </c>
      <c r="AU525" s="146">
        <f t="shared" si="161"/>
        <v>785970.33</v>
      </c>
      <c r="AV525" s="146">
        <f>IFERROR(VLOOKUP(J525,Maksājumu_pieprasījumu_iesn.!G:BL,57,0),0)</f>
        <v>0</v>
      </c>
      <c r="AW525" s="139">
        <f t="shared" si="149"/>
        <v>-785970.33</v>
      </c>
      <c r="AX525" s="147">
        <f t="shared" si="170"/>
        <v>-0.32999999995809048</v>
      </c>
      <c r="AY525" s="147"/>
      <c r="AZ525" s="147"/>
      <c r="BA525" s="165"/>
      <c r="BB525" s="144"/>
      <c r="BC525" s="144"/>
      <c r="BD525" s="144"/>
      <c r="BE525" s="144"/>
      <c r="BF525" s="144"/>
      <c r="BG525" s="144"/>
      <c r="BH525" s="149"/>
      <c r="BI525" s="149"/>
      <c r="BJ525" s="149"/>
      <c r="BK525" s="149"/>
      <c r="BL525" s="149"/>
      <c r="BM525" s="149"/>
      <c r="BN525" s="149"/>
    </row>
    <row r="526" spans="1:66" ht="25.5" hidden="1" customHeight="1" x14ac:dyDescent="0.2">
      <c r="A526" s="173" t="s">
        <v>1603</v>
      </c>
      <c r="B526" s="132" t="s">
        <v>618</v>
      </c>
      <c r="C526" s="132" t="s">
        <v>619</v>
      </c>
      <c r="D526" s="133" t="s">
        <v>620</v>
      </c>
      <c r="E526" s="132">
        <v>2</v>
      </c>
      <c r="F526" s="132" t="s">
        <v>35</v>
      </c>
      <c r="G526" s="132" t="s">
        <v>5</v>
      </c>
      <c r="H526" s="132" t="s">
        <v>3</v>
      </c>
      <c r="I526" s="132" t="s">
        <v>1022</v>
      </c>
      <c r="J526" s="273" t="s">
        <v>1026</v>
      </c>
      <c r="K526" s="133"/>
      <c r="L526" s="274"/>
      <c r="M526" s="274"/>
      <c r="N526" s="133"/>
      <c r="O526" s="230"/>
      <c r="P526" s="230"/>
      <c r="Q526" s="230"/>
      <c r="R526" s="230"/>
      <c r="S526" s="165">
        <v>25184501</v>
      </c>
      <c r="T526" s="165">
        <v>0</v>
      </c>
      <c r="U526" s="137">
        <f>SUM(U527:U535)</f>
        <v>0</v>
      </c>
      <c r="V526" s="137">
        <f>SUM(V527:V535)</f>
        <v>0</v>
      </c>
      <c r="W526" s="137">
        <f>SUM(W527:W535)</f>
        <v>0</v>
      </c>
      <c r="X526" s="138">
        <f>U526+V526+W526</f>
        <v>0</v>
      </c>
      <c r="Y526" s="137">
        <f t="shared" ref="Y526:AR526" si="171">SUM(Y527:Y535)</f>
        <v>0</v>
      </c>
      <c r="Z526" s="137">
        <f t="shared" si="171"/>
        <v>0</v>
      </c>
      <c r="AA526" s="137">
        <f t="shared" si="171"/>
        <v>0</v>
      </c>
      <c r="AB526" s="137">
        <f t="shared" si="171"/>
        <v>0</v>
      </c>
      <c r="AC526" s="137">
        <f t="shared" si="171"/>
        <v>0</v>
      </c>
      <c r="AD526" s="137">
        <f t="shared" si="171"/>
        <v>0</v>
      </c>
      <c r="AE526" s="137">
        <f t="shared" si="171"/>
        <v>0</v>
      </c>
      <c r="AF526" s="137">
        <f t="shared" si="171"/>
        <v>0</v>
      </c>
      <c r="AG526" s="137">
        <f t="shared" si="171"/>
        <v>0</v>
      </c>
      <c r="AH526" s="137">
        <f t="shared" si="171"/>
        <v>0</v>
      </c>
      <c r="AI526" s="137">
        <f t="shared" si="171"/>
        <v>50350</v>
      </c>
      <c r="AJ526" s="137">
        <f t="shared" si="171"/>
        <v>85000</v>
      </c>
      <c r="AK526" s="137">
        <f t="shared" si="171"/>
        <v>135350</v>
      </c>
      <c r="AL526" s="137">
        <f t="shared" si="171"/>
        <v>14451491</v>
      </c>
      <c r="AM526" s="137">
        <f t="shared" si="171"/>
        <v>7488760</v>
      </c>
      <c r="AN526" s="137">
        <f t="shared" si="171"/>
        <v>3108900</v>
      </c>
      <c r="AO526" s="137">
        <f t="shared" si="171"/>
        <v>0</v>
      </c>
      <c r="AP526" s="137">
        <f t="shared" si="171"/>
        <v>0</v>
      </c>
      <c r="AQ526" s="137">
        <f t="shared" si="171"/>
        <v>0</v>
      </c>
      <c r="AR526" s="137">
        <f t="shared" si="171"/>
        <v>0</v>
      </c>
      <c r="AS526" s="165">
        <f t="shared" si="169"/>
        <v>25184501</v>
      </c>
      <c r="AT526" s="165">
        <f>SUM(AT527:AT535)</f>
        <v>0</v>
      </c>
      <c r="AU526" s="146">
        <f t="shared" si="161"/>
        <v>25184501</v>
      </c>
      <c r="AV526" s="146">
        <f>IFERROR(VLOOKUP(J526,Maksājumu_pieprasījumu_iesn.!G:BL,57,0),0)</f>
        <v>0</v>
      </c>
      <c r="AW526" s="139">
        <f t="shared" si="149"/>
        <v>-25184501</v>
      </c>
      <c r="AX526" s="231">
        <f t="shared" si="170"/>
        <v>0</v>
      </c>
      <c r="AY526" s="165"/>
      <c r="AZ526" s="165"/>
      <c r="BA526" s="149"/>
      <c r="BB526" s="231"/>
      <c r="BC526" s="231">
        <f>X526+AK526+AL526/2</f>
        <v>7361095.5</v>
      </c>
      <c r="BD526" s="231"/>
      <c r="BE526" s="231">
        <f>BC526/0.85</f>
        <v>8660112.3529411759</v>
      </c>
      <c r="BF526" s="165"/>
      <c r="BG526" s="165"/>
      <c r="BH526" s="149">
        <v>0</v>
      </c>
      <c r="BI526" s="149">
        <v>1420000</v>
      </c>
      <c r="BJ526" s="149"/>
      <c r="BK526" s="149"/>
      <c r="BL526" s="149">
        <v>5745541.79681635</v>
      </c>
      <c r="BM526" s="149"/>
      <c r="BN526" s="149"/>
    </row>
    <row r="527" spans="1:66" ht="25.5" hidden="1" customHeight="1" x14ac:dyDescent="0.2">
      <c r="A527" s="142" t="s">
        <v>1603</v>
      </c>
      <c r="B527" s="18" t="s">
        <v>618</v>
      </c>
      <c r="C527" s="18" t="s">
        <v>619</v>
      </c>
      <c r="D527" s="19" t="s">
        <v>620</v>
      </c>
      <c r="E527" s="18">
        <v>2</v>
      </c>
      <c r="F527" s="18" t="s">
        <v>35</v>
      </c>
      <c r="G527" s="18" t="s">
        <v>5</v>
      </c>
      <c r="H527" s="18" t="s">
        <v>3</v>
      </c>
      <c r="I527" s="18"/>
      <c r="J527" s="18"/>
      <c r="K527" s="19" t="s">
        <v>893</v>
      </c>
      <c r="L527" s="275" t="s">
        <v>1605</v>
      </c>
      <c r="M527" s="275" t="s">
        <v>1606</v>
      </c>
      <c r="N527" s="19" t="s">
        <v>1607</v>
      </c>
      <c r="O527" s="143">
        <v>43039</v>
      </c>
      <c r="P527" s="143"/>
      <c r="Q527" s="143"/>
      <c r="R527" s="143"/>
      <c r="S527" s="144">
        <v>2550000</v>
      </c>
      <c r="T527" s="144"/>
      <c r="U527" s="145">
        <v>0</v>
      </c>
      <c r="V527" s="145">
        <v>0</v>
      </c>
      <c r="W527" s="145">
        <v>0</v>
      </c>
      <c r="X527" s="145">
        <f t="shared" ref="X527:X535" si="172">W527+V527+U527</f>
        <v>0</v>
      </c>
      <c r="Y527" s="145">
        <v>0</v>
      </c>
      <c r="Z527" s="145">
        <v>0</v>
      </c>
      <c r="AA527" s="145">
        <v>0</v>
      </c>
      <c r="AB527" s="145">
        <v>0</v>
      </c>
      <c r="AC527" s="145">
        <v>0</v>
      </c>
      <c r="AD527" s="145">
        <v>0</v>
      </c>
      <c r="AE527" s="145">
        <v>0</v>
      </c>
      <c r="AF527" s="145">
        <v>0</v>
      </c>
      <c r="AG527" s="145">
        <v>0</v>
      </c>
      <c r="AH527" s="145">
        <v>0</v>
      </c>
      <c r="AI527" s="145">
        <v>0</v>
      </c>
      <c r="AJ527" s="145">
        <v>0</v>
      </c>
      <c r="AK527" s="145">
        <f t="shared" ref="AK527:AK535" si="173">SUM(Y527:AJ527)</f>
        <v>0</v>
      </c>
      <c r="AL527" s="145">
        <v>1530000</v>
      </c>
      <c r="AM527" s="145">
        <v>510000</v>
      </c>
      <c r="AN527" s="145">
        <v>510000</v>
      </c>
      <c r="AO527" s="145">
        <v>0</v>
      </c>
      <c r="AP527" s="145">
        <v>0</v>
      </c>
      <c r="AQ527" s="145">
        <v>0</v>
      </c>
      <c r="AR527" s="145">
        <v>0</v>
      </c>
      <c r="AS527" s="144">
        <f t="shared" si="169"/>
        <v>2550000</v>
      </c>
      <c r="AT527" s="144"/>
      <c r="AU527" s="146">
        <f t="shared" si="161"/>
        <v>2550000</v>
      </c>
      <c r="AV527" s="146">
        <f>IFERROR(VLOOKUP(J527,Maksājumu_pieprasījumu_iesn.!G:BL,57,0),0)</f>
        <v>0</v>
      </c>
      <c r="AW527" s="139">
        <f t="shared" si="149"/>
        <v>-2550000</v>
      </c>
      <c r="AX527" s="147">
        <f t="shared" si="170"/>
        <v>0</v>
      </c>
      <c r="AY527" s="147"/>
      <c r="AZ527" s="147"/>
      <c r="BA527" s="165"/>
      <c r="BB527" s="144"/>
      <c r="BC527" s="144"/>
      <c r="BD527" s="144"/>
      <c r="BE527" s="144"/>
      <c r="BF527" s="144"/>
      <c r="BG527" s="144"/>
      <c r="BH527" s="149"/>
      <c r="BI527" s="149"/>
      <c r="BJ527" s="149"/>
      <c r="BK527" s="149"/>
      <c r="BL527" s="149"/>
      <c r="BM527" s="149"/>
      <c r="BN527" s="149"/>
    </row>
    <row r="528" spans="1:66" ht="25.5" hidden="1" customHeight="1" x14ac:dyDescent="0.2">
      <c r="A528" s="142" t="s">
        <v>1603</v>
      </c>
      <c r="B528" s="18" t="s">
        <v>618</v>
      </c>
      <c r="C528" s="18" t="s">
        <v>619</v>
      </c>
      <c r="D528" s="19" t="s">
        <v>620</v>
      </c>
      <c r="E528" s="18">
        <v>2</v>
      </c>
      <c r="F528" s="18" t="s">
        <v>35</v>
      </c>
      <c r="G528" s="18" t="s">
        <v>5</v>
      </c>
      <c r="H528" s="18" t="s">
        <v>3</v>
      </c>
      <c r="I528" s="18"/>
      <c r="J528" s="18"/>
      <c r="K528" s="19" t="s">
        <v>893</v>
      </c>
      <c r="L528" s="275" t="s">
        <v>1605</v>
      </c>
      <c r="M528" s="275" t="s">
        <v>1606</v>
      </c>
      <c r="N528" s="19" t="s">
        <v>1608</v>
      </c>
      <c r="O528" s="143">
        <v>43039</v>
      </c>
      <c r="P528" s="143"/>
      <c r="Q528" s="143"/>
      <c r="R528" s="143"/>
      <c r="S528" s="144">
        <v>2227000</v>
      </c>
      <c r="T528" s="144"/>
      <c r="U528" s="145">
        <v>0</v>
      </c>
      <c r="V528" s="145">
        <v>0</v>
      </c>
      <c r="W528" s="145">
        <v>0</v>
      </c>
      <c r="X528" s="145">
        <f t="shared" si="172"/>
        <v>0</v>
      </c>
      <c r="Y528" s="145">
        <v>0</v>
      </c>
      <c r="Z528" s="145">
        <v>0</v>
      </c>
      <c r="AA528" s="145">
        <v>0</v>
      </c>
      <c r="AB528" s="145">
        <v>0</v>
      </c>
      <c r="AC528" s="145">
        <v>0</v>
      </c>
      <c r="AD528" s="145">
        <v>0</v>
      </c>
      <c r="AE528" s="145">
        <v>0</v>
      </c>
      <c r="AF528" s="145">
        <v>0</v>
      </c>
      <c r="AG528" s="145">
        <v>0</v>
      </c>
      <c r="AH528" s="145">
        <v>0</v>
      </c>
      <c r="AI528" s="145">
        <v>0</v>
      </c>
      <c r="AJ528" s="145">
        <v>0</v>
      </c>
      <c r="AK528" s="145">
        <f t="shared" si="173"/>
        <v>0</v>
      </c>
      <c r="AL528" s="145">
        <v>1336200</v>
      </c>
      <c r="AM528" s="145">
        <v>445400</v>
      </c>
      <c r="AN528" s="145">
        <v>445400</v>
      </c>
      <c r="AO528" s="145">
        <v>0</v>
      </c>
      <c r="AP528" s="145">
        <v>0</v>
      </c>
      <c r="AQ528" s="145">
        <v>0</v>
      </c>
      <c r="AR528" s="145">
        <v>0</v>
      </c>
      <c r="AS528" s="144">
        <f t="shared" si="169"/>
        <v>2227000</v>
      </c>
      <c r="AT528" s="144"/>
      <c r="AU528" s="146">
        <f t="shared" si="161"/>
        <v>2227000</v>
      </c>
      <c r="AV528" s="146">
        <f>IFERROR(VLOOKUP(J528,Maksājumu_pieprasījumu_iesn.!G:BL,57,0),0)</f>
        <v>0</v>
      </c>
      <c r="AW528" s="139">
        <f t="shared" ref="AW528:AW591" si="174">AV528-AU528</f>
        <v>-2227000</v>
      </c>
      <c r="AX528" s="147">
        <f t="shared" si="170"/>
        <v>0</v>
      </c>
      <c r="AY528" s="147"/>
      <c r="AZ528" s="147"/>
      <c r="BA528" s="165"/>
      <c r="BB528" s="144"/>
      <c r="BC528" s="144"/>
      <c r="BD528" s="144"/>
      <c r="BE528" s="144"/>
      <c r="BF528" s="144"/>
      <c r="BG528" s="144"/>
      <c r="BH528" s="149"/>
      <c r="BI528" s="149"/>
      <c r="BJ528" s="149"/>
      <c r="BK528" s="149"/>
      <c r="BL528" s="149"/>
      <c r="BM528" s="149"/>
      <c r="BN528" s="149"/>
    </row>
    <row r="529" spans="1:66" ht="38.25" hidden="1" customHeight="1" x14ac:dyDescent="0.2">
      <c r="A529" s="142" t="s">
        <v>1603</v>
      </c>
      <c r="B529" s="18" t="s">
        <v>618</v>
      </c>
      <c r="C529" s="18" t="s">
        <v>619</v>
      </c>
      <c r="D529" s="19" t="s">
        <v>620</v>
      </c>
      <c r="E529" s="18">
        <v>2</v>
      </c>
      <c r="F529" s="18" t="s">
        <v>35</v>
      </c>
      <c r="G529" s="18" t="s">
        <v>5</v>
      </c>
      <c r="H529" s="18" t="s">
        <v>3</v>
      </c>
      <c r="I529" s="18"/>
      <c r="J529" s="18"/>
      <c r="K529" s="19" t="s">
        <v>1195</v>
      </c>
      <c r="L529" s="275" t="s">
        <v>1605</v>
      </c>
      <c r="M529" s="275" t="s">
        <v>1606</v>
      </c>
      <c r="N529" s="19" t="s">
        <v>1609</v>
      </c>
      <c r="O529" s="143">
        <v>43008</v>
      </c>
      <c r="P529" s="143"/>
      <c r="Q529" s="143"/>
      <c r="R529" s="143"/>
      <c r="S529" s="144">
        <v>1814750</v>
      </c>
      <c r="T529" s="144"/>
      <c r="U529" s="145">
        <v>0</v>
      </c>
      <c r="V529" s="145">
        <v>0</v>
      </c>
      <c r="W529" s="145">
        <v>0</v>
      </c>
      <c r="X529" s="145">
        <f t="shared" si="172"/>
        <v>0</v>
      </c>
      <c r="Y529" s="145">
        <v>0</v>
      </c>
      <c r="Z529" s="145">
        <v>0</v>
      </c>
      <c r="AA529" s="145">
        <v>0</v>
      </c>
      <c r="AB529" s="145">
        <v>0</v>
      </c>
      <c r="AC529" s="145">
        <v>0</v>
      </c>
      <c r="AD529" s="145">
        <v>0</v>
      </c>
      <c r="AE529" s="145">
        <v>0</v>
      </c>
      <c r="AF529" s="145">
        <v>0</v>
      </c>
      <c r="AG529" s="145">
        <v>0</v>
      </c>
      <c r="AH529" s="145">
        <v>0</v>
      </c>
      <c r="AI529" s="145">
        <v>0</v>
      </c>
      <c r="AJ529" s="145">
        <v>0</v>
      </c>
      <c r="AK529" s="145">
        <f t="shared" si="173"/>
        <v>0</v>
      </c>
      <c r="AL529" s="145">
        <v>744425</v>
      </c>
      <c r="AM529" s="145">
        <v>1070325</v>
      </c>
      <c r="AN529" s="145">
        <v>0</v>
      </c>
      <c r="AO529" s="145">
        <v>0</v>
      </c>
      <c r="AP529" s="145">
        <v>0</v>
      </c>
      <c r="AQ529" s="145">
        <v>0</v>
      </c>
      <c r="AR529" s="145">
        <v>0</v>
      </c>
      <c r="AS529" s="144">
        <f t="shared" si="169"/>
        <v>1814750</v>
      </c>
      <c r="AT529" s="144"/>
      <c r="AU529" s="146">
        <f t="shared" si="161"/>
        <v>1814750</v>
      </c>
      <c r="AV529" s="146">
        <f>IFERROR(VLOOKUP(J529,Maksājumu_pieprasījumu_iesn.!G:BL,57,0),0)</f>
        <v>0</v>
      </c>
      <c r="AW529" s="139">
        <f t="shared" si="174"/>
        <v>-1814750</v>
      </c>
      <c r="AX529" s="147">
        <f t="shared" si="170"/>
        <v>0</v>
      </c>
      <c r="AY529" s="147"/>
      <c r="AZ529" s="147"/>
      <c r="BA529" s="165"/>
      <c r="BB529" s="144"/>
      <c r="BC529" s="144"/>
      <c r="BD529" s="144"/>
      <c r="BE529" s="144"/>
      <c r="BF529" s="144"/>
      <c r="BG529" s="144"/>
      <c r="BH529" s="149"/>
      <c r="BI529" s="149"/>
      <c r="BJ529" s="149"/>
      <c r="BK529" s="149"/>
      <c r="BL529" s="149"/>
      <c r="BM529" s="149"/>
      <c r="BN529" s="149"/>
    </row>
    <row r="530" spans="1:66" ht="51" hidden="1" customHeight="1" x14ac:dyDescent="0.2">
      <c r="A530" s="142" t="s">
        <v>1603</v>
      </c>
      <c r="B530" s="18" t="s">
        <v>618</v>
      </c>
      <c r="C530" s="18" t="s">
        <v>619</v>
      </c>
      <c r="D530" s="19" t="s">
        <v>620</v>
      </c>
      <c r="E530" s="18">
        <v>2</v>
      </c>
      <c r="F530" s="18" t="s">
        <v>35</v>
      </c>
      <c r="G530" s="18" t="s">
        <v>5</v>
      </c>
      <c r="H530" s="18" t="s">
        <v>3</v>
      </c>
      <c r="I530" s="18"/>
      <c r="J530" s="18"/>
      <c r="K530" s="19" t="s">
        <v>1195</v>
      </c>
      <c r="L530" s="275" t="s">
        <v>1605</v>
      </c>
      <c r="M530" s="275" t="s">
        <v>1606</v>
      </c>
      <c r="N530" s="19" t="s">
        <v>1610</v>
      </c>
      <c r="O530" s="143">
        <v>43008</v>
      </c>
      <c r="P530" s="143"/>
      <c r="Q530" s="143"/>
      <c r="R530" s="143"/>
      <c r="S530" s="144">
        <v>1785765</v>
      </c>
      <c r="T530" s="144"/>
      <c r="U530" s="145">
        <v>0</v>
      </c>
      <c r="V530" s="145">
        <v>0</v>
      </c>
      <c r="W530" s="145">
        <v>0</v>
      </c>
      <c r="X530" s="145">
        <f t="shared" si="172"/>
        <v>0</v>
      </c>
      <c r="Y530" s="145">
        <v>0</v>
      </c>
      <c r="Z530" s="145">
        <v>0</v>
      </c>
      <c r="AA530" s="145">
        <v>0</v>
      </c>
      <c r="AB530" s="145">
        <v>0</v>
      </c>
      <c r="AC530" s="145">
        <v>0</v>
      </c>
      <c r="AD530" s="145">
        <v>0</v>
      </c>
      <c r="AE530" s="145">
        <v>0</v>
      </c>
      <c r="AF530" s="145">
        <v>0</v>
      </c>
      <c r="AG530" s="145">
        <v>0</v>
      </c>
      <c r="AH530" s="145">
        <v>0</v>
      </c>
      <c r="AI530" s="145">
        <v>0</v>
      </c>
      <c r="AJ530" s="145">
        <v>0</v>
      </c>
      <c r="AK530" s="145">
        <f t="shared" si="173"/>
        <v>0</v>
      </c>
      <c r="AL530" s="145">
        <v>835730</v>
      </c>
      <c r="AM530" s="145">
        <v>950035</v>
      </c>
      <c r="AN530" s="145">
        <v>0</v>
      </c>
      <c r="AO530" s="145">
        <v>0</v>
      </c>
      <c r="AP530" s="145">
        <v>0</v>
      </c>
      <c r="AQ530" s="145">
        <v>0</v>
      </c>
      <c r="AR530" s="145">
        <v>0</v>
      </c>
      <c r="AS530" s="144">
        <f t="shared" si="169"/>
        <v>1785765</v>
      </c>
      <c r="AT530" s="144"/>
      <c r="AU530" s="146">
        <f t="shared" si="161"/>
        <v>1785765</v>
      </c>
      <c r="AV530" s="146">
        <f>IFERROR(VLOOKUP(J530,Maksājumu_pieprasījumu_iesn.!G:BL,57,0),0)</f>
        <v>0</v>
      </c>
      <c r="AW530" s="139">
        <f t="shared" si="174"/>
        <v>-1785765</v>
      </c>
      <c r="AX530" s="147">
        <f t="shared" si="170"/>
        <v>0</v>
      </c>
      <c r="AY530" s="147"/>
      <c r="AZ530" s="147"/>
      <c r="BA530" s="165"/>
      <c r="BB530" s="144"/>
      <c r="BC530" s="144"/>
      <c r="BD530" s="144"/>
      <c r="BE530" s="144"/>
      <c r="BF530" s="144"/>
      <c r="BG530" s="144"/>
      <c r="BH530" s="149"/>
      <c r="BI530" s="149"/>
      <c r="BJ530" s="149"/>
      <c r="BK530" s="149"/>
      <c r="BL530" s="149"/>
      <c r="BM530" s="149"/>
      <c r="BN530" s="149"/>
    </row>
    <row r="531" spans="1:66" ht="51" hidden="1" customHeight="1" x14ac:dyDescent="0.2">
      <c r="A531" s="142" t="s">
        <v>1603</v>
      </c>
      <c r="B531" s="18" t="s">
        <v>618</v>
      </c>
      <c r="C531" s="18" t="s">
        <v>619</v>
      </c>
      <c r="D531" s="19" t="s">
        <v>620</v>
      </c>
      <c r="E531" s="18">
        <v>2</v>
      </c>
      <c r="F531" s="18" t="s">
        <v>35</v>
      </c>
      <c r="G531" s="18" t="s">
        <v>5</v>
      </c>
      <c r="H531" s="18" t="s">
        <v>3</v>
      </c>
      <c r="I531" s="18"/>
      <c r="J531" s="18"/>
      <c r="K531" s="19" t="s">
        <v>1432</v>
      </c>
      <c r="L531" s="275" t="s">
        <v>1605</v>
      </c>
      <c r="M531" s="275" t="s">
        <v>1606</v>
      </c>
      <c r="N531" s="19" t="s">
        <v>1611</v>
      </c>
      <c r="O531" s="143">
        <v>43039</v>
      </c>
      <c r="P531" s="143"/>
      <c r="Q531" s="143"/>
      <c r="R531" s="143"/>
      <c r="S531" s="144">
        <v>3230000</v>
      </c>
      <c r="T531" s="144"/>
      <c r="U531" s="145">
        <v>0</v>
      </c>
      <c r="V531" s="145">
        <v>0</v>
      </c>
      <c r="W531" s="145">
        <v>0</v>
      </c>
      <c r="X531" s="145">
        <f t="shared" si="172"/>
        <v>0</v>
      </c>
      <c r="Y531" s="145">
        <v>0</v>
      </c>
      <c r="Z531" s="145">
        <v>0</v>
      </c>
      <c r="AA531" s="145">
        <v>0</v>
      </c>
      <c r="AB531" s="145">
        <v>0</v>
      </c>
      <c r="AC531" s="145">
        <v>0</v>
      </c>
      <c r="AD531" s="145">
        <v>0</v>
      </c>
      <c r="AE531" s="145">
        <v>0</v>
      </c>
      <c r="AF531" s="145">
        <v>0</v>
      </c>
      <c r="AG531" s="145">
        <v>0</v>
      </c>
      <c r="AH531" s="145">
        <v>0</v>
      </c>
      <c r="AI531" s="145">
        <v>0</v>
      </c>
      <c r="AJ531" s="145">
        <v>0</v>
      </c>
      <c r="AK531" s="145">
        <f t="shared" si="173"/>
        <v>0</v>
      </c>
      <c r="AL531" s="145">
        <v>969000</v>
      </c>
      <c r="AM531" s="145">
        <v>1453500</v>
      </c>
      <c r="AN531" s="145">
        <v>807500</v>
      </c>
      <c r="AO531" s="145">
        <v>0</v>
      </c>
      <c r="AP531" s="145">
        <v>0</v>
      </c>
      <c r="AQ531" s="145">
        <v>0</v>
      </c>
      <c r="AR531" s="145">
        <v>0</v>
      </c>
      <c r="AS531" s="144">
        <f t="shared" si="169"/>
        <v>3230000</v>
      </c>
      <c r="AT531" s="144"/>
      <c r="AU531" s="146">
        <f t="shared" si="161"/>
        <v>3230000</v>
      </c>
      <c r="AV531" s="146">
        <f>IFERROR(VLOOKUP(J531,Maksājumu_pieprasījumu_iesn.!G:BL,57,0),0)</f>
        <v>0</v>
      </c>
      <c r="AW531" s="139">
        <f t="shared" si="174"/>
        <v>-3230000</v>
      </c>
      <c r="AX531" s="147">
        <f t="shared" si="170"/>
        <v>0</v>
      </c>
      <c r="AY531" s="147"/>
      <c r="AZ531" s="147"/>
      <c r="BA531" s="165"/>
      <c r="BB531" s="144"/>
      <c r="BC531" s="144"/>
      <c r="BD531" s="144"/>
      <c r="BE531" s="144"/>
      <c r="BF531" s="144"/>
      <c r="BG531" s="144"/>
      <c r="BH531" s="149"/>
      <c r="BI531" s="149"/>
      <c r="BJ531" s="149"/>
      <c r="BK531" s="149"/>
      <c r="BL531" s="149"/>
      <c r="BM531" s="149"/>
      <c r="BN531" s="149"/>
    </row>
    <row r="532" spans="1:66" ht="25.5" hidden="1" customHeight="1" x14ac:dyDescent="0.2">
      <c r="A532" s="142" t="s">
        <v>1603</v>
      </c>
      <c r="B532" s="18" t="s">
        <v>618</v>
      </c>
      <c r="C532" s="18" t="s">
        <v>619</v>
      </c>
      <c r="D532" s="19" t="s">
        <v>620</v>
      </c>
      <c r="E532" s="18">
        <v>2</v>
      </c>
      <c r="F532" s="18" t="s">
        <v>35</v>
      </c>
      <c r="G532" s="18" t="s">
        <v>5</v>
      </c>
      <c r="H532" s="18" t="s">
        <v>3</v>
      </c>
      <c r="I532" s="18"/>
      <c r="J532" s="18"/>
      <c r="K532" s="19" t="s">
        <v>499</v>
      </c>
      <c r="L532" s="275" t="s">
        <v>1605</v>
      </c>
      <c r="M532" s="275" t="s">
        <v>1606</v>
      </c>
      <c r="N532" s="19" t="s">
        <v>1612</v>
      </c>
      <c r="O532" s="143">
        <v>42978</v>
      </c>
      <c r="P532" s="143"/>
      <c r="Q532" s="143"/>
      <c r="R532" s="143"/>
      <c r="S532" s="144">
        <v>4675000</v>
      </c>
      <c r="T532" s="144"/>
      <c r="U532" s="145">
        <v>0</v>
      </c>
      <c r="V532" s="145">
        <v>0</v>
      </c>
      <c r="W532" s="145">
        <v>0</v>
      </c>
      <c r="X532" s="145">
        <f t="shared" si="172"/>
        <v>0</v>
      </c>
      <c r="Y532" s="145">
        <v>0</v>
      </c>
      <c r="Z532" s="145">
        <v>0</v>
      </c>
      <c r="AA532" s="145">
        <v>0</v>
      </c>
      <c r="AB532" s="145">
        <v>0</v>
      </c>
      <c r="AC532" s="145">
        <v>0</v>
      </c>
      <c r="AD532" s="145">
        <v>0</v>
      </c>
      <c r="AE532" s="145">
        <v>0</v>
      </c>
      <c r="AF532" s="145">
        <v>0</v>
      </c>
      <c r="AG532" s="145">
        <v>0</v>
      </c>
      <c r="AH532" s="145">
        <v>0</v>
      </c>
      <c r="AI532" s="145">
        <v>0</v>
      </c>
      <c r="AJ532" s="145">
        <v>0</v>
      </c>
      <c r="AK532" s="145">
        <f t="shared" si="173"/>
        <v>0</v>
      </c>
      <c r="AL532" s="145">
        <v>3272500</v>
      </c>
      <c r="AM532" s="145">
        <v>1402500</v>
      </c>
      <c r="AN532" s="145">
        <v>0</v>
      </c>
      <c r="AO532" s="145">
        <v>0</v>
      </c>
      <c r="AP532" s="145">
        <v>0</v>
      </c>
      <c r="AQ532" s="145">
        <v>0</v>
      </c>
      <c r="AR532" s="145">
        <v>0</v>
      </c>
      <c r="AS532" s="144">
        <f t="shared" si="169"/>
        <v>4675000</v>
      </c>
      <c r="AT532" s="144"/>
      <c r="AU532" s="146">
        <f t="shared" si="161"/>
        <v>4675000</v>
      </c>
      <c r="AV532" s="146">
        <f>IFERROR(VLOOKUP(J532,Maksājumu_pieprasījumu_iesn.!G:BL,57,0),0)</f>
        <v>0</v>
      </c>
      <c r="AW532" s="139">
        <f t="shared" si="174"/>
        <v>-4675000</v>
      </c>
      <c r="AX532" s="147">
        <f t="shared" si="170"/>
        <v>0</v>
      </c>
      <c r="AY532" s="147"/>
      <c r="AZ532" s="147"/>
      <c r="BA532" s="165"/>
      <c r="BB532" s="144"/>
      <c r="BC532" s="144"/>
      <c r="BD532" s="144"/>
      <c r="BE532" s="144"/>
      <c r="BF532" s="144"/>
      <c r="BG532" s="144"/>
      <c r="BH532" s="149"/>
      <c r="BI532" s="149"/>
      <c r="BJ532" s="149"/>
      <c r="BK532" s="149"/>
      <c r="BL532" s="149"/>
      <c r="BM532" s="149"/>
      <c r="BN532" s="149"/>
    </row>
    <row r="533" spans="1:66" ht="76.5" hidden="1" customHeight="1" x14ac:dyDescent="0.2">
      <c r="A533" s="142" t="s">
        <v>1603</v>
      </c>
      <c r="B533" s="18" t="s">
        <v>618</v>
      </c>
      <c r="C533" s="18" t="s">
        <v>619</v>
      </c>
      <c r="D533" s="19" t="s">
        <v>620</v>
      </c>
      <c r="E533" s="18">
        <v>2</v>
      </c>
      <c r="F533" s="18" t="s">
        <v>35</v>
      </c>
      <c r="G533" s="18" t="s">
        <v>5</v>
      </c>
      <c r="H533" s="18" t="s">
        <v>3</v>
      </c>
      <c r="I533" s="18"/>
      <c r="J533" s="18" t="s">
        <v>1613</v>
      </c>
      <c r="K533" s="19" t="s">
        <v>69</v>
      </c>
      <c r="L533" s="275" t="s">
        <v>1605</v>
      </c>
      <c r="M533" s="275" t="s">
        <v>1606</v>
      </c>
      <c r="N533" s="19" t="s">
        <v>1614</v>
      </c>
      <c r="O533" s="143"/>
      <c r="P533" s="143"/>
      <c r="Q533" s="143"/>
      <c r="R533" s="187" t="s">
        <v>1615</v>
      </c>
      <c r="S533" s="144">
        <v>3570000</v>
      </c>
      <c r="T533" s="172"/>
      <c r="U533" s="145">
        <v>0</v>
      </c>
      <c r="V533" s="145">
        <v>0</v>
      </c>
      <c r="W533" s="145">
        <v>0</v>
      </c>
      <c r="X533" s="145">
        <f t="shared" si="172"/>
        <v>0</v>
      </c>
      <c r="Y533" s="145">
        <v>0</v>
      </c>
      <c r="Z533" s="145">
        <v>0</v>
      </c>
      <c r="AA533" s="145">
        <v>0</v>
      </c>
      <c r="AB533" s="145">
        <v>0</v>
      </c>
      <c r="AC533" s="145">
        <v>0</v>
      </c>
      <c r="AD533" s="145">
        <v>0</v>
      </c>
      <c r="AE533" s="145">
        <v>0</v>
      </c>
      <c r="AF533" s="145">
        <v>0</v>
      </c>
      <c r="AG533" s="145">
        <v>0</v>
      </c>
      <c r="AH533" s="145">
        <v>0</v>
      </c>
      <c r="AI533" s="145">
        <v>0</v>
      </c>
      <c r="AJ533" s="145">
        <v>0</v>
      </c>
      <c r="AK533" s="145">
        <f t="shared" si="173"/>
        <v>0</v>
      </c>
      <c r="AL533" s="145">
        <v>3213000</v>
      </c>
      <c r="AM533" s="145">
        <v>357000</v>
      </c>
      <c r="AN533" s="145">
        <v>0</v>
      </c>
      <c r="AO533" s="145">
        <v>0</v>
      </c>
      <c r="AP533" s="145">
        <v>0</v>
      </c>
      <c r="AQ533" s="145">
        <v>0</v>
      </c>
      <c r="AR533" s="145">
        <v>0</v>
      </c>
      <c r="AS533" s="144">
        <f t="shared" si="169"/>
        <v>3570000</v>
      </c>
      <c r="AT533" s="144">
        <v>0</v>
      </c>
      <c r="AU533" s="146">
        <f t="shared" si="161"/>
        <v>3570000</v>
      </c>
      <c r="AV533" s="146">
        <f>IFERROR(VLOOKUP(J533,Maksājumu_pieprasījumu_iesn.!G:BL,57,0),0)</f>
        <v>0</v>
      </c>
      <c r="AW533" s="139">
        <f t="shared" si="174"/>
        <v>-3570000</v>
      </c>
      <c r="AX533" s="147">
        <f t="shared" si="170"/>
        <v>0</v>
      </c>
      <c r="AY533" s="147"/>
      <c r="AZ533" s="147"/>
      <c r="BA533" s="165"/>
      <c r="BB533" s="144"/>
      <c r="BC533" s="144"/>
      <c r="BD533" s="144"/>
      <c r="BE533" s="144"/>
      <c r="BF533" s="144"/>
      <c r="BG533" s="144"/>
      <c r="BH533" s="149"/>
      <c r="BI533" s="149"/>
      <c r="BJ533" s="149"/>
      <c r="BK533" s="149"/>
      <c r="BL533" s="149"/>
      <c r="BM533" s="149"/>
      <c r="BN533" s="149"/>
    </row>
    <row r="534" spans="1:66" ht="25.5" hidden="1" customHeight="1" x14ac:dyDescent="0.2">
      <c r="A534" s="142" t="s">
        <v>1603</v>
      </c>
      <c r="B534" s="18" t="s">
        <v>618</v>
      </c>
      <c r="C534" s="18" t="s">
        <v>619</v>
      </c>
      <c r="D534" s="19" t="s">
        <v>620</v>
      </c>
      <c r="E534" s="18">
        <v>2</v>
      </c>
      <c r="F534" s="18" t="s">
        <v>35</v>
      </c>
      <c r="G534" s="18" t="s">
        <v>5</v>
      </c>
      <c r="H534" s="18" t="s">
        <v>3</v>
      </c>
      <c r="I534" s="18"/>
      <c r="J534" s="18"/>
      <c r="K534" s="19" t="s">
        <v>148</v>
      </c>
      <c r="L534" s="275" t="s">
        <v>1605</v>
      </c>
      <c r="M534" s="275" t="s">
        <v>1606</v>
      </c>
      <c r="N534" s="19" t="s">
        <v>1616</v>
      </c>
      <c r="O534" s="143">
        <v>43018</v>
      </c>
      <c r="P534" s="143"/>
      <c r="Q534" s="143"/>
      <c r="R534" s="143"/>
      <c r="S534" s="144">
        <v>3846000</v>
      </c>
      <c r="T534" s="144"/>
      <c r="U534" s="145">
        <v>0</v>
      </c>
      <c r="V534" s="145">
        <v>0</v>
      </c>
      <c r="W534" s="145">
        <v>0</v>
      </c>
      <c r="X534" s="145">
        <f t="shared" si="172"/>
        <v>0</v>
      </c>
      <c r="Y534" s="145">
        <v>0</v>
      </c>
      <c r="Z534" s="145">
        <v>0</v>
      </c>
      <c r="AA534" s="145">
        <v>0</v>
      </c>
      <c r="AB534" s="145">
        <v>0</v>
      </c>
      <c r="AC534" s="145">
        <v>0</v>
      </c>
      <c r="AD534" s="145">
        <v>0</v>
      </c>
      <c r="AE534" s="145">
        <v>0</v>
      </c>
      <c r="AF534" s="145">
        <v>0</v>
      </c>
      <c r="AG534" s="145">
        <v>0</v>
      </c>
      <c r="AH534" s="145">
        <v>0</v>
      </c>
      <c r="AI534" s="145">
        <v>0</v>
      </c>
      <c r="AJ534" s="145">
        <v>0</v>
      </c>
      <c r="AK534" s="145">
        <f t="shared" si="173"/>
        <v>0</v>
      </c>
      <c r="AL534" s="145">
        <v>1200000</v>
      </c>
      <c r="AM534" s="145">
        <v>1300000</v>
      </c>
      <c r="AN534" s="145">
        <v>1346000</v>
      </c>
      <c r="AO534" s="145">
        <v>0</v>
      </c>
      <c r="AP534" s="145">
        <v>0</v>
      </c>
      <c r="AQ534" s="145">
        <v>0</v>
      </c>
      <c r="AR534" s="145">
        <v>0</v>
      </c>
      <c r="AS534" s="144">
        <f t="shared" si="169"/>
        <v>3846000</v>
      </c>
      <c r="AT534" s="144"/>
      <c r="AU534" s="146">
        <f t="shared" si="161"/>
        <v>3846000</v>
      </c>
      <c r="AV534" s="146">
        <f>IFERROR(VLOOKUP(J534,Maksājumu_pieprasījumu_iesn.!G:BL,57,0),0)</f>
        <v>0</v>
      </c>
      <c r="AW534" s="139">
        <f t="shared" si="174"/>
        <v>-3846000</v>
      </c>
      <c r="AX534" s="147">
        <f t="shared" si="170"/>
        <v>0</v>
      </c>
      <c r="AY534" s="147"/>
      <c r="AZ534" s="147"/>
      <c r="BA534" s="165"/>
      <c r="BB534" s="144"/>
      <c r="BC534" s="144"/>
      <c r="BD534" s="144"/>
      <c r="BE534" s="144"/>
      <c r="BF534" s="144"/>
      <c r="BG534" s="144"/>
      <c r="BH534" s="149"/>
      <c r="BI534" s="149"/>
      <c r="BJ534" s="149"/>
      <c r="BK534" s="149"/>
      <c r="BL534" s="149"/>
      <c r="BM534" s="149"/>
      <c r="BN534" s="149"/>
    </row>
    <row r="535" spans="1:66" ht="25.5" hidden="1" customHeight="1" x14ac:dyDescent="0.2">
      <c r="A535" s="142" t="s">
        <v>1603</v>
      </c>
      <c r="B535" s="18" t="s">
        <v>618</v>
      </c>
      <c r="C535" s="18" t="s">
        <v>619</v>
      </c>
      <c r="D535" s="19" t="s">
        <v>620</v>
      </c>
      <c r="E535" s="18">
        <v>2</v>
      </c>
      <c r="F535" s="18" t="s">
        <v>35</v>
      </c>
      <c r="G535" s="18" t="s">
        <v>5</v>
      </c>
      <c r="H535" s="18" t="s">
        <v>3</v>
      </c>
      <c r="I535" s="18"/>
      <c r="J535" s="18"/>
      <c r="K535" s="19" t="s">
        <v>1617</v>
      </c>
      <c r="L535" s="275" t="s">
        <v>1605</v>
      </c>
      <c r="M535" s="275" t="s">
        <v>1606</v>
      </c>
      <c r="N535" s="19" t="s">
        <v>1618</v>
      </c>
      <c r="O535" s="143">
        <v>42856</v>
      </c>
      <c r="P535" s="143"/>
      <c r="Q535" s="143"/>
      <c r="R535" s="143"/>
      <c r="S535" s="144">
        <v>1485986</v>
      </c>
      <c r="T535" s="144"/>
      <c r="U535" s="145">
        <v>0</v>
      </c>
      <c r="V535" s="145">
        <v>0</v>
      </c>
      <c r="W535" s="145">
        <v>0</v>
      </c>
      <c r="X535" s="145">
        <f t="shared" si="172"/>
        <v>0</v>
      </c>
      <c r="Y535" s="145">
        <v>0</v>
      </c>
      <c r="Z535" s="145">
        <v>0</v>
      </c>
      <c r="AA535" s="145">
        <v>0</v>
      </c>
      <c r="AB535" s="145">
        <v>0</v>
      </c>
      <c r="AC535" s="145">
        <v>0</v>
      </c>
      <c r="AD535" s="145">
        <v>0</v>
      </c>
      <c r="AE535" s="145">
        <v>0</v>
      </c>
      <c r="AF535" s="145">
        <v>0</v>
      </c>
      <c r="AG535" s="145">
        <v>0</v>
      </c>
      <c r="AH535" s="145">
        <v>0</v>
      </c>
      <c r="AI535" s="145">
        <v>50350</v>
      </c>
      <c r="AJ535" s="145">
        <v>85000</v>
      </c>
      <c r="AK535" s="145">
        <f t="shared" si="173"/>
        <v>135350</v>
      </c>
      <c r="AL535" s="145">
        <v>1350636</v>
      </c>
      <c r="AM535" s="145">
        <v>0</v>
      </c>
      <c r="AN535" s="145">
        <v>0</v>
      </c>
      <c r="AO535" s="145">
        <v>0</v>
      </c>
      <c r="AP535" s="145">
        <v>0</v>
      </c>
      <c r="AQ535" s="145">
        <v>0</v>
      </c>
      <c r="AR535" s="145">
        <v>0</v>
      </c>
      <c r="AS535" s="144">
        <f t="shared" si="169"/>
        <v>1485986</v>
      </c>
      <c r="AT535" s="144"/>
      <c r="AU535" s="146">
        <f t="shared" si="161"/>
        <v>1485986</v>
      </c>
      <c r="AV535" s="146">
        <f>IFERROR(VLOOKUP(J535,Maksājumu_pieprasījumu_iesn.!G:BL,57,0),0)</f>
        <v>0</v>
      </c>
      <c r="AW535" s="139">
        <f t="shared" si="174"/>
        <v>-1485986</v>
      </c>
      <c r="AX535" s="147">
        <f t="shared" si="170"/>
        <v>0</v>
      </c>
      <c r="AY535" s="147"/>
      <c r="AZ535" s="147"/>
      <c r="BA535" s="165"/>
      <c r="BB535" s="144"/>
      <c r="BC535" s="144"/>
      <c r="BD535" s="144"/>
      <c r="BE535" s="144"/>
      <c r="BF535" s="144"/>
      <c r="BG535" s="144"/>
      <c r="BH535" s="149"/>
      <c r="BI535" s="149"/>
      <c r="BJ535" s="149"/>
      <c r="BK535" s="149"/>
      <c r="BL535" s="149"/>
      <c r="BM535" s="149"/>
      <c r="BN535" s="149"/>
    </row>
    <row r="536" spans="1:66" ht="25.5" hidden="1" customHeight="1" x14ac:dyDescent="0.2">
      <c r="A536" s="173" t="s">
        <v>1603</v>
      </c>
      <c r="B536" s="132" t="s">
        <v>618</v>
      </c>
      <c r="C536" s="132" t="s">
        <v>619</v>
      </c>
      <c r="D536" s="133" t="s">
        <v>620</v>
      </c>
      <c r="E536" s="132">
        <v>3</v>
      </c>
      <c r="F536" s="132" t="s">
        <v>35</v>
      </c>
      <c r="G536" s="132" t="s">
        <v>5</v>
      </c>
      <c r="H536" s="132" t="s">
        <v>3</v>
      </c>
      <c r="I536" s="132" t="s">
        <v>1022</v>
      </c>
      <c r="J536" s="273" t="s">
        <v>1026</v>
      </c>
      <c r="K536" s="133"/>
      <c r="L536" s="274"/>
      <c r="M536" s="274"/>
      <c r="N536" s="133"/>
      <c r="O536" s="230"/>
      <c r="P536" s="230"/>
      <c r="Q536" s="230"/>
      <c r="R536" s="230"/>
      <c r="S536" s="165">
        <v>2911958</v>
      </c>
      <c r="T536" s="165">
        <v>1765068</v>
      </c>
      <c r="U536" s="137">
        <f>SUM(U537:U538)</f>
        <v>0</v>
      </c>
      <c r="V536" s="137">
        <f>SUM(V537:V538)</f>
        <v>0</v>
      </c>
      <c r="W536" s="137">
        <f>SUM(W537:W538)</f>
        <v>0</v>
      </c>
      <c r="X536" s="138">
        <f>U536+V536+W536</f>
        <v>0</v>
      </c>
      <c r="Y536" s="137">
        <f t="shared" ref="Y536:AL536" si="175">SUM(Y537:Y538)</f>
        <v>0</v>
      </c>
      <c r="Z536" s="137">
        <f t="shared" si="175"/>
        <v>0</v>
      </c>
      <c r="AA536" s="137">
        <f t="shared" si="175"/>
        <v>0</v>
      </c>
      <c r="AB536" s="137">
        <f t="shared" si="175"/>
        <v>0</v>
      </c>
      <c r="AC536" s="137">
        <f t="shared" si="175"/>
        <v>0</v>
      </c>
      <c r="AD536" s="137">
        <f t="shared" si="175"/>
        <v>0</v>
      </c>
      <c r="AE536" s="137">
        <f t="shared" si="175"/>
        <v>0</v>
      </c>
      <c r="AF536" s="137">
        <f t="shared" si="175"/>
        <v>0</v>
      </c>
      <c r="AG536" s="137">
        <f t="shared" si="175"/>
        <v>0</v>
      </c>
      <c r="AH536" s="137">
        <f t="shared" si="175"/>
        <v>0</v>
      </c>
      <c r="AI536" s="137">
        <f t="shared" si="175"/>
        <v>0</v>
      </c>
      <c r="AJ536" s="137">
        <f t="shared" si="175"/>
        <v>0</v>
      </c>
      <c r="AK536" s="137">
        <f t="shared" si="175"/>
        <v>0</v>
      </c>
      <c r="AL536" s="137">
        <f t="shared" si="175"/>
        <v>1146890</v>
      </c>
      <c r="AM536" s="137">
        <f>AM537</f>
        <v>0</v>
      </c>
      <c r="AN536" s="137">
        <f>AN537</f>
        <v>0</v>
      </c>
      <c r="AO536" s="137">
        <f>SUM(AO537:AO538)</f>
        <v>0</v>
      </c>
      <c r="AP536" s="137">
        <f>SUM(AP537:AP538)</f>
        <v>0</v>
      </c>
      <c r="AQ536" s="137">
        <f>SUM(AQ537:AQ538)</f>
        <v>0</v>
      </c>
      <c r="AR536" s="137">
        <f>SUM(AR537:AR538)</f>
        <v>0</v>
      </c>
      <c r="AS536" s="165">
        <f t="shared" si="169"/>
        <v>1146890</v>
      </c>
      <c r="AT536" s="165">
        <f>SUM(AT537:AT538)</f>
        <v>0</v>
      </c>
      <c r="AU536" s="146">
        <f t="shared" si="161"/>
        <v>1146890</v>
      </c>
      <c r="AV536" s="146">
        <f>IFERROR(VLOOKUP(J536,Maksājumu_pieprasījumu_iesn.!G:BL,57,0),0)</f>
        <v>0</v>
      </c>
      <c r="AW536" s="139">
        <f t="shared" si="174"/>
        <v>-1146890</v>
      </c>
      <c r="AX536" s="231">
        <f t="shared" si="170"/>
        <v>0</v>
      </c>
      <c r="AY536" s="165"/>
      <c r="AZ536" s="165"/>
      <c r="BA536" s="149" t="s">
        <v>1619</v>
      </c>
      <c r="BB536" s="231"/>
      <c r="BC536" s="231">
        <f>X536+AK536+AL536/2</f>
        <v>573445</v>
      </c>
      <c r="BD536" s="231"/>
      <c r="BE536" s="231">
        <f>BC536/0.85</f>
        <v>674641.17647058831</v>
      </c>
      <c r="BF536" s="165"/>
      <c r="BG536" s="165"/>
      <c r="BH536" s="149">
        <v>0</v>
      </c>
      <c r="BI536" s="149">
        <v>0</v>
      </c>
      <c r="BJ536" s="149"/>
      <c r="BK536" s="149"/>
      <c r="BL536" s="149">
        <v>0</v>
      </c>
      <c r="BM536" s="149"/>
      <c r="BN536" s="149"/>
    </row>
    <row r="537" spans="1:66" ht="25.5" hidden="1" customHeight="1" x14ac:dyDescent="0.2">
      <c r="A537" s="142" t="s">
        <v>1603</v>
      </c>
      <c r="B537" s="18" t="s">
        <v>618</v>
      </c>
      <c r="C537" s="18" t="s">
        <v>619</v>
      </c>
      <c r="D537" s="19" t="s">
        <v>620</v>
      </c>
      <c r="E537" s="18">
        <v>3</v>
      </c>
      <c r="F537" s="18" t="s">
        <v>35</v>
      </c>
      <c r="G537" s="18" t="s">
        <v>5</v>
      </c>
      <c r="H537" s="18" t="s">
        <v>3</v>
      </c>
      <c r="I537" s="18"/>
      <c r="J537" s="18"/>
      <c r="K537" s="19" t="s">
        <v>413</v>
      </c>
      <c r="L537" s="275" t="s">
        <v>1605</v>
      </c>
      <c r="M537" s="275" t="s">
        <v>1606</v>
      </c>
      <c r="N537" s="19" t="s">
        <v>1620</v>
      </c>
      <c r="O537" s="143">
        <v>43098</v>
      </c>
      <c r="P537" s="143"/>
      <c r="Q537" s="143"/>
      <c r="R537" s="143"/>
      <c r="S537" s="144"/>
      <c r="T537" s="144"/>
      <c r="U537" s="145">
        <v>0</v>
      </c>
      <c r="V537" s="145">
        <v>0</v>
      </c>
      <c r="W537" s="145">
        <v>0</v>
      </c>
      <c r="X537" s="145">
        <f>W537+V537+U537</f>
        <v>0</v>
      </c>
      <c r="Y537" s="145">
        <v>0</v>
      </c>
      <c r="Z537" s="145">
        <v>0</v>
      </c>
      <c r="AA537" s="145">
        <v>0</v>
      </c>
      <c r="AB537" s="145">
        <v>0</v>
      </c>
      <c r="AC537" s="145">
        <v>0</v>
      </c>
      <c r="AD537" s="145">
        <v>0</v>
      </c>
      <c r="AE537" s="145">
        <v>0</v>
      </c>
      <c r="AF537" s="145">
        <v>0</v>
      </c>
      <c r="AG537" s="145">
        <v>0</v>
      </c>
      <c r="AH537" s="145">
        <v>0</v>
      </c>
      <c r="AI537" s="145">
        <v>0</v>
      </c>
      <c r="AJ537" s="145">
        <v>0</v>
      </c>
      <c r="AK537" s="145">
        <f>SUM(Y537:AJ537)</f>
        <v>0</v>
      </c>
      <c r="AL537" s="145">
        <v>1146890</v>
      </c>
      <c r="AM537" s="145">
        <v>0</v>
      </c>
      <c r="AN537" s="145">
        <v>0</v>
      </c>
      <c r="AO537" s="145">
        <v>0</v>
      </c>
      <c r="AP537" s="145">
        <v>0</v>
      </c>
      <c r="AQ537" s="145">
        <v>0</v>
      </c>
      <c r="AR537" s="145">
        <v>0</v>
      </c>
      <c r="AS537" s="144">
        <f t="shared" si="169"/>
        <v>1146890</v>
      </c>
      <c r="AT537" s="144"/>
      <c r="AU537" s="146">
        <f t="shared" si="161"/>
        <v>1146890</v>
      </c>
      <c r="AV537" s="146">
        <f>IFERROR(VLOOKUP(J537,Maksājumu_pieprasījumu_iesn.!G:BL,57,0),0)</f>
        <v>0</v>
      </c>
      <c r="AW537" s="139">
        <f t="shared" si="174"/>
        <v>-1146890</v>
      </c>
      <c r="AX537" s="147"/>
      <c r="AY537" s="147"/>
      <c r="AZ537" s="147"/>
      <c r="BA537" s="165"/>
      <c r="BB537" s="144"/>
      <c r="BC537" s="144"/>
      <c r="BD537" s="144"/>
      <c r="BE537" s="144"/>
      <c r="BF537" s="144"/>
      <c r="BG537" s="144"/>
      <c r="BH537" s="149"/>
      <c r="BI537" s="149"/>
      <c r="BJ537" s="149"/>
      <c r="BK537" s="149"/>
      <c r="BL537" s="149"/>
      <c r="BM537" s="149"/>
      <c r="BN537" s="149"/>
    </row>
    <row r="538" spans="1:66" ht="25.5" hidden="1" customHeight="1" x14ac:dyDescent="0.2">
      <c r="A538" s="142" t="s">
        <v>1603</v>
      </c>
      <c r="B538" s="18" t="s">
        <v>618</v>
      </c>
      <c r="C538" s="18" t="s">
        <v>619</v>
      </c>
      <c r="D538" s="19" t="s">
        <v>620</v>
      </c>
      <c r="E538" s="18">
        <v>3</v>
      </c>
      <c r="F538" s="18" t="s">
        <v>35</v>
      </c>
      <c r="G538" s="18" t="s">
        <v>5</v>
      </c>
      <c r="H538" s="18" t="s">
        <v>3</v>
      </c>
      <c r="I538" s="18"/>
      <c r="J538" s="18" t="s">
        <v>1621</v>
      </c>
      <c r="K538" s="19" t="s">
        <v>413</v>
      </c>
      <c r="L538" s="275" t="s">
        <v>1605</v>
      </c>
      <c r="M538" s="275" t="s">
        <v>1606</v>
      </c>
      <c r="N538" s="19" t="s">
        <v>1620</v>
      </c>
      <c r="O538" s="143">
        <v>43525</v>
      </c>
      <c r="P538" s="143"/>
      <c r="Q538" s="143"/>
      <c r="R538" s="143"/>
      <c r="S538" s="144"/>
      <c r="T538" s="144"/>
      <c r="U538" s="145">
        <v>0</v>
      </c>
      <c r="V538" s="145">
        <v>0</v>
      </c>
      <c r="W538" s="145">
        <v>0</v>
      </c>
      <c r="X538" s="145">
        <f>W538+V538+U538</f>
        <v>0</v>
      </c>
      <c r="Y538" s="145">
        <v>0</v>
      </c>
      <c r="Z538" s="145">
        <v>0</v>
      </c>
      <c r="AA538" s="145">
        <v>0</v>
      </c>
      <c r="AB538" s="145">
        <v>0</v>
      </c>
      <c r="AC538" s="145">
        <v>0</v>
      </c>
      <c r="AD538" s="145">
        <v>0</v>
      </c>
      <c r="AE538" s="145">
        <v>0</v>
      </c>
      <c r="AF538" s="145">
        <v>0</v>
      </c>
      <c r="AG538" s="145">
        <v>0</v>
      </c>
      <c r="AH538" s="145">
        <v>0</v>
      </c>
      <c r="AI538" s="145">
        <v>0</v>
      </c>
      <c r="AJ538" s="145">
        <v>0</v>
      </c>
      <c r="AK538" s="145">
        <f>SUM(Y538:AJ538)</f>
        <v>0</v>
      </c>
      <c r="AL538" s="145">
        <v>0</v>
      </c>
      <c r="AM538" s="145">
        <v>0</v>
      </c>
      <c r="AN538" s="145">
        <v>0</v>
      </c>
      <c r="AO538" s="145">
        <v>0</v>
      </c>
      <c r="AP538" s="145">
        <v>0</v>
      </c>
      <c r="AQ538" s="145">
        <v>0</v>
      </c>
      <c r="AR538" s="145">
        <v>0</v>
      </c>
      <c r="AS538" s="144">
        <f t="shared" si="169"/>
        <v>0</v>
      </c>
      <c r="AT538" s="144"/>
      <c r="AU538" s="146">
        <f t="shared" si="161"/>
        <v>0</v>
      </c>
      <c r="AV538" s="146">
        <f>IFERROR(VLOOKUP(J538,Maksājumu_pieprasījumu_iesn.!G:BL,57,0),0)</f>
        <v>0</v>
      </c>
      <c r="AW538" s="139">
        <f t="shared" si="174"/>
        <v>0</v>
      </c>
      <c r="AX538" s="147"/>
      <c r="AY538" s="147"/>
      <c r="AZ538" s="147"/>
      <c r="BA538" s="165"/>
      <c r="BB538" s="144"/>
      <c r="BC538" s="144"/>
      <c r="BD538" s="144"/>
      <c r="BE538" s="144"/>
      <c r="BF538" s="144"/>
      <c r="BG538" s="144"/>
      <c r="BH538" s="149"/>
      <c r="BI538" s="149"/>
      <c r="BJ538" s="149"/>
      <c r="BK538" s="149"/>
      <c r="BL538" s="149"/>
      <c r="BM538" s="149"/>
      <c r="BN538" s="149"/>
    </row>
    <row r="539" spans="1:66" ht="38.25" hidden="1" customHeight="1" x14ac:dyDescent="0.2">
      <c r="A539" s="173" t="s">
        <v>1603</v>
      </c>
      <c r="B539" s="132" t="s">
        <v>618</v>
      </c>
      <c r="C539" s="132" t="s">
        <v>619</v>
      </c>
      <c r="D539" s="133" t="s">
        <v>620</v>
      </c>
      <c r="E539" s="132" t="s">
        <v>1622</v>
      </c>
      <c r="F539" s="132" t="s">
        <v>35</v>
      </c>
      <c r="G539" s="132" t="s">
        <v>5</v>
      </c>
      <c r="H539" s="132" t="s">
        <v>3</v>
      </c>
      <c r="I539" s="132" t="s">
        <v>1022</v>
      </c>
      <c r="J539" s="132" t="s">
        <v>1593</v>
      </c>
      <c r="K539" s="133"/>
      <c r="L539" s="274"/>
      <c r="M539" s="274"/>
      <c r="N539" s="133"/>
      <c r="O539" s="230"/>
      <c r="P539" s="230"/>
      <c r="Q539" s="230"/>
      <c r="R539" s="230"/>
      <c r="S539" s="147">
        <v>55375</v>
      </c>
      <c r="T539" s="147"/>
      <c r="U539" s="153"/>
      <c r="V539" s="153"/>
      <c r="W539" s="153"/>
      <c r="X539" s="145">
        <f>W539+V539+U539</f>
        <v>0</v>
      </c>
      <c r="Y539" s="153"/>
      <c r="Z539" s="153"/>
      <c r="AA539" s="153"/>
      <c r="AB539" s="153"/>
      <c r="AC539" s="153"/>
      <c r="AD539" s="153"/>
      <c r="AE539" s="153">
        <f>AD540+AD547+AD549+AD551+AD553</f>
        <v>1609354.8800000001</v>
      </c>
      <c r="AF539" s="153"/>
      <c r="AG539" s="153"/>
      <c r="AH539" s="153"/>
      <c r="AI539" s="153"/>
      <c r="AJ539" s="153"/>
      <c r="AK539" s="153"/>
      <c r="AL539" s="153"/>
      <c r="AM539" s="153"/>
      <c r="AN539" s="153">
        <v>0</v>
      </c>
      <c r="AO539" s="153"/>
      <c r="AP539" s="153"/>
      <c r="AQ539" s="153"/>
      <c r="AR539" s="153"/>
      <c r="AS539" s="147">
        <v>55375</v>
      </c>
      <c r="AT539" s="147"/>
      <c r="AU539" s="146">
        <f t="shared" si="161"/>
        <v>55375</v>
      </c>
      <c r="AV539" s="146">
        <f>IFERROR(VLOOKUP(J539,Maksājumu_pieprasījumu_iesn.!G:BL,57,0),0)</f>
        <v>0</v>
      </c>
      <c r="AW539" s="139">
        <f t="shared" si="174"/>
        <v>-55375</v>
      </c>
      <c r="AX539" s="147"/>
      <c r="AY539" s="147">
        <v>55375</v>
      </c>
      <c r="AZ539" s="147"/>
      <c r="BA539" s="149" t="s">
        <v>1623</v>
      </c>
      <c r="BB539" s="147"/>
      <c r="BC539" s="147"/>
      <c r="BD539" s="147"/>
      <c r="BE539" s="147"/>
      <c r="BF539" s="147"/>
      <c r="BG539" s="147"/>
      <c r="BH539" s="149"/>
      <c r="BI539" s="149"/>
      <c r="BJ539" s="149"/>
      <c r="BK539" s="149"/>
      <c r="BL539" s="149"/>
      <c r="BM539" s="149"/>
      <c r="BN539" s="149"/>
    </row>
    <row r="540" spans="1:66" ht="76.5" hidden="1" x14ac:dyDescent="0.2">
      <c r="A540" s="266" t="s">
        <v>1603</v>
      </c>
      <c r="B540" s="266" t="s">
        <v>106</v>
      </c>
      <c r="C540" s="266" t="s">
        <v>1023</v>
      </c>
      <c r="D540" s="267" t="s">
        <v>1624</v>
      </c>
      <c r="E540" s="266"/>
      <c r="F540" s="266"/>
      <c r="G540" s="266" t="s">
        <v>5</v>
      </c>
      <c r="H540" s="266"/>
      <c r="I540" s="266"/>
      <c r="J540" s="266"/>
      <c r="K540" s="267"/>
      <c r="L540" s="268"/>
      <c r="M540" s="268"/>
      <c r="N540" s="267"/>
      <c r="O540" s="269"/>
      <c r="P540" s="269"/>
      <c r="Q540" s="269"/>
      <c r="R540" s="269"/>
      <c r="S540" s="270">
        <f>S541</f>
        <v>36881516</v>
      </c>
      <c r="T540" s="270">
        <f>T541</f>
        <v>2249596.9460619083</v>
      </c>
      <c r="U540" s="164">
        <f>U541</f>
        <v>0</v>
      </c>
      <c r="V540" s="164">
        <f>V541</f>
        <v>0</v>
      </c>
      <c r="W540" s="164">
        <f>W541</f>
        <v>76576.69</v>
      </c>
      <c r="X540" s="129">
        <f>U540+V540+W540</f>
        <v>76576.69</v>
      </c>
      <c r="Y540" s="164">
        <f t="shared" ref="Y540:AT540" si="176">Y541</f>
        <v>40228.449999999997</v>
      </c>
      <c r="Z540" s="164">
        <f t="shared" si="176"/>
        <v>0</v>
      </c>
      <c r="AA540" s="164">
        <f t="shared" si="176"/>
        <v>0</v>
      </c>
      <c r="AB540" s="164">
        <f t="shared" si="176"/>
        <v>69476.05</v>
      </c>
      <c r="AC540" s="164">
        <f t="shared" si="176"/>
        <v>55146.450000000004</v>
      </c>
      <c r="AD540" s="164">
        <f t="shared" si="176"/>
        <v>415650.91999999993</v>
      </c>
      <c r="AE540" s="164">
        <f t="shared" si="176"/>
        <v>12723.54</v>
      </c>
      <c r="AF540" s="164">
        <f t="shared" si="176"/>
        <v>0</v>
      </c>
      <c r="AG540" s="164">
        <f t="shared" si="176"/>
        <v>2979154.47</v>
      </c>
      <c r="AH540" s="164">
        <f t="shared" si="176"/>
        <v>0</v>
      </c>
      <c r="AI540" s="164">
        <f t="shared" si="176"/>
        <v>2501215.96</v>
      </c>
      <c r="AJ540" s="164">
        <f t="shared" si="176"/>
        <v>1315330.6600000001</v>
      </c>
      <c r="AK540" s="164">
        <f t="shared" si="176"/>
        <v>7388926.4999999981</v>
      </c>
      <c r="AL540" s="164">
        <f t="shared" si="176"/>
        <v>15035425.25</v>
      </c>
      <c r="AM540" s="164">
        <f t="shared" si="176"/>
        <v>9154500</v>
      </c>
      <c r="AN540" s="164">
        <f t="shared" si="176"/>
        <v>4811000</v>
      </c>
      <c r="AO540" s="164">
        <f t="shared" si="176"/>
        <v>0</v>
      </c>
      <c r="AP540" s="164">
        <f t="shared" si="176"/>
        <v>0</v>
      </c>
      <c r="AQ540" s="164">
        <f t="shared" si="176"/>
        <v>0</v>
      </c>
      <c r="AR540" s="164">
        <f t="shared" si="176"/>
        <v>0</v>
      </c>
      <c r="AS540" s="270">
        <f t="shared" si="176"/>
        <v>36466428.439999998</v>
      </c>
      <c r="AT540" s="270">
        <f t="shared" si="176"/>
        <v>7945599.7899999991</v>
      </c>
      <c r="AU540" s="271">
        <f t="shared" si="161"/>
        <v>28520828.649999999</v>
      </c>
      <c r="AV540" s="146">
        <f>IFERROR(VLOOKUP(J540,Maksājumu_pieprasījumu_iesn.!G:BL,57,0),0)</f>
        <v>0</v>
      </c>
      <c r="AW540" s="139">
        <f t="shared" si="174"/>
        <v>-28520828.649999999</v>
      </c>
      <c r="AX540" s="270">
        <f>AX541</f>
        <v>6111090.4039380923</v>
      </c>
      <c r="AY540" s="270">
        <f>SUM(AY542:AY590)</f>
        <v>2032</v>
      </c>
      <c r="AZ540" s="270"/>
      <c r="BA540" s="272" t="s">
        <v>1625</v>
      </c>
      <c r="BB540" s="270">
        <f>BB541</f>
        <v>0</v>
      </c>
      <c r="BC540" s="270">
        <f>BC541</f>
        <v>14983215.814999998</v>
      </c>
      <c r="BD540" s="270">
        <f>BC540*0.86</f>
        <v>12885565.600899998</v>
      </c>
      <c r="BE540" s="272">
        <f>BD540/0.85</f>
        <v>15159488.942235293</v>
      </c>
      <c r="BF540" s="270">
        <f>BF541</f>
        <v>0</v>
      </c>
      <c r="BG540" s="270">
        <f>BG541</f>
        <v>0</v>
      </c>
      <c r="BH540" s="272">
        <f>BH541</f>
        <v>116741.74</v>
      </c>
      <c r="BI540" s="272">
        <f>BI541</f>
        <v>5359395.3502281196</v>
      </c>
      <c r="BJ540" s="272">
        <f>AK540*0.86</f>
        <v>6354476.7899999982</v>
      </c>
      <c r="BK540" s="272">
        <f>BJ540-BI540</f>
        <v>995081.43977187853</v>
      </c>
      <c r="BL540" s="272">
        <f>BL541</f>
        <v>10343467.4441336</v>
      </c>
      <c r="BM540" s="272">
        <f>AL540*0.86</f>
        <v>12930465.715</v>
      </c>
      <c r="BN540" s="272">
        <f>BM540-BL540</f>
        <v>2586998.2708663996</v>
      </c>
    </row>
    <row r="541" spans="1:66" ht="25.5" hidden="1" customHeight="1" x14ac:dyDescent="0.2">
      <c r="A541" s="173" t="s">
        <v>1603</v>
      </c>
      <c r="B541" s="132" t="s">
        <v>106</v>
      </c>
      <c r="C541" s="132" t="s">
        <v>107</v>
      </c>
      <c r="D541" s="133" t="s">
        <v>1624</v>
      </c>
      <c r="E541" s="132" t="s">
        <v>3</v>
      </c>
      <c r="F541" s="132" t="s">
        <v>109</v>
      </c>
      <c r="G541" s="132" t="s">
        <v>5</v>
      </c>
      <c r="H541" s="132" t="s">
        <v>3</v>
      </c>
      <c r="I541" s="132" t="s">
        <v>1022</v>
      </c>
      <c r="J541" s="273" t="s">
        <v>1026</v>
      </c>
      <c r="K541" s="133"/>
      <c r="L541" s="274"/>
      <c r="M541" s="274"/>
      <c r="N541" s="133"/>
      <c r="O541" s="230"/>
      <c r="P541" s="230"/>
      <c r="Q541" s="230"/>
      <c r="R541" s="230"/>
      <c r="S541" s="165">
        <v>36881516</v>
      </c>
      <c r="T541" s="165">
        <v>2249596.9460619083</v>
      </c>
      <c r="U541" s="137">
        <f>U542+U544+U546+U548+U550+U552+U554+U555+U556+U557+U558+U559+U560+U561+U562+U563+U564+U565+U566+U567+U568+U569+U570+U571+U572+U573+U574+U575+U576+U577+U578+U579+U580+U581+U582+U583+U584+U585+U586+U587+U588+U589+U590</f>
        <v>0</v>
      </c>
      <c r="V541" s="137">
        <f t="shared" ref="V541:AR541" si="177">V542+V544+V546+V548+V550+V552+V554+V555+V556+V557+V558+V559+V560+V561+V562+V563+V564+V565+V566+V567+V568+V569+V570+V571+V572+V573+V574+V575+V576+V577+V578+V579+V580+V581+V582+V583+V584+V585+V586+V587+V588+V589+V590</f>
        <v>0</v>
      </c>
      <c r="W541" s="137">
        <f t="shared" si="177"/>
        <v>76576.69</v>
      </c>
      <c r="X541" s="137">
        <f t="shared" si="177"/>
        <v>76576.69</v>
      </c>
      <c r="Y541" s="137">
        <f t="shared" si="177"/>
        <v>40228.449999999997</v>
      </c>
      <c r="Z541" s="137">
        <f t="shared" si="177"/>
        <v>0</v>
      </c>
      <c r="AA541" s="137">
        <f t="shared" si="177"/>
        <v>0</v>
      </c>
      <c r="AB541" s="137">
        <f t="shared" si="177"/>
        <v>69476.05</v>
      </c>
      <c r="AC541" s="137">
        <f t="shared" si="177"/>
        <v>55146.450000000004</v>
      </c>
      <c r="AD541" s="137">
        <f t="shared" si="177"/>
        <v>415650.91999999993</v>
      </c>
      <c r="AE541" s="137">
        <f t="shared" si="177"/>
        <v>12723.54</v>
      </c>
      <c r="AF541" s="137">
        <f t="shared" si="177"/>
        <v>0</v>
      </c>
      <c r="AG541" s="137">
        <f t="shared" si="177"/>
        <v>2979154.47</v>
      </c>
      <c r="AH541" s="137">
        <f t="shared" si="177"/>
        <v>0</v>
      </c>
      <c r="AI541" s="137">
        <f t="shared" si="177"/>
        <v>2501215.96</v>
      </c>
      <c r="AJ541" s="137">
        <f t="shared" si="177"/>
        <v>1315330.6600000001</v>
      </c>
      <c r="AK541" s="137">
        <f t="shared" si="177"/>
        <v>7388926.4999999981</v>
      </c>
      <c r="AL541" s="137">
        <f t="shared" si="177"/>
        <v>15035425.25</v>
      </c>
      <c r="AM541" s="137">
        <f t="shared" si="177"/>
        <v>9154500</v>
      </c>
      <c r="AN541" s="137">
        <f t="shared" si="177"/>
        <v>4811000</v>
      </c>
      <c r="AO541" s="137">
        <f t="shared" si="177"/>
        <v>0</v>
      </c>
      <c r="AP541" s="137">
        <f t="shared" si="177"/>
        <v>0</v>
      </c>
      <c r="AQ541" s="137">
        <f t="shared" si="177"/>
        <v>0</v>
      </c>
      <c r="AR541" s="137">
        <f t="shared" si="177"/>
        <v>0</v>
      </c>
      <c r="AS541" s="165">
        <f>U541+V541+W541+AK541+AL541+AM541+AN541+AO541+AP541+AQ541+AR541</f>
        <v>36466428.439999998</v>
      </c>
      <c r="AT541" s="165">
        <f>SUM(AT542:AT590)</f>
        <v>7945599.7899999991</v>
      </c>
      <c r="AU541" s="146">
        <f t="shared" si="161"/>
        <v>28520828.649999999</v>
      </c>
      <c r="AV541" s="146">
        <f>IFERROR(VLOOKUP(J541,Maksājumu_pieprasījumu_iesn.!G:BL,57,0),0)</f>
        <v>0</v>
      </c>
      <c r="AW541" s="139">
        <f t="shared" si="174"/>
        <v>-28520828.649999999</v>
      </c>
      <c r="AX541" s="231">
        <f>S541-T541-AU541</f>
        <v>6111090.4039380923</v>
      </c>
      <c r="AY541" s="165"/>
      <c r="AZ541" s="165"/>
      <c r="BA541" s="149"/>
      <c r="BB541" s="231"/>
      <c r="BC541" s="231">
        <f>X541+AK541+AL541/2</f>
        <v>14983215.814999998</v>
      </c>
      <c r="BD541" s="231"/>
      <c r="BE541" s="231">
        <f>BC541/0.85</f>
        <v>17627312.72352941</v>
      </c>
      <c r="BF541" s="165"/>
      <c r="BG541" s="165"/>
      <c r="BH541" s="149">
        <v>116741.74</v>
      </c>
      <c r="BI541" s="149">
        <v>5359395.3502281196</v>
      </c>
      <c r="BJ541" s="149"/>
      <c r="BK541" s="149"/>
      <c r="BL541" s="149">
        <v>10343467.4441336</v>
      </c>
      <c r="BM541" s="149"/>
      <c r="BN541" s="149"/>
    </row>
    <row r="542" spans="1:66" ht="38.25" hidden="1" customHeight="1" x14ac:dyDescent="0.2">
      <c r="A542" s="142" t="s">
        <v>1603</v>
      </c>
      <c r="B542" s="18" t="s">
        <v>106</v>
      </c>
      <c r="C542" s="18" t="s">
        <v>107</v>
      </c>
      <c r="D542" s="19" t="s">
        <v>108</v>
      </c>
      <c r="E542" s="18">
        <v>1</v>
      </c>
      <c r="F542" s="18" t="s">
        <v>109</v>
      </c>
      <c r="G542" s="18" t="s">
        <v>5</v>
      </c>
      <c r="H542" s="18" t="s">
        <v>3</v>
      </c>
      <c r="I542" s="18"/>
      <c r="J542" s="18" t="s">
        <v>623</v>
      </c>
      <c r="K542" s="19" t="s">
        <v>111</v>
      </c>
      <c r="L542" s="275" t="s">
        <v>1626</v>
      </c>
      <c r="M542" s="275" t="s">
        <v>1627</v>
      </c>
      <c r="N542" s="19" t="s">
        <v>624</v>
      </c>
      <c r="O542" s="143"/>
      <c r="P542" s="143"/>
      <c r="Q542" s="143"/>
      <c r="R542" s="143">
        <v>42611</v>
      </c>
      <c r="S542" s="144">
        <v>2842416.4</v>
      </c>
      <c r="T542" s="144"/>
      <c r="U542" s="145">
        <v>0</v>
      </c>
      <c r="V542" s="145">
        <v>0</v>
      </c>
      <c r="W542" s="145">
        <v>45793.68</v>
      </c>
      <c r="X542" s="145">
        <f t="shared" ref="X542:X590" si="178">W542+V542+U542</f>
        <v>45793.68</v>
      </c>
      <c r="Y542" s="145">
        <v>11027.45</v>
      </c>
      <c r="Z542" s="145">
        <v>0</v>
      </c>
      <c r="AA542" s="145">
        <v>0</v>
      </c>
      <c r="AB542" s="145">
        <v>0</v>
      </c>
      <c r="AC542" s="145">
        <v>11073.72</v>
      </c>
      <c r="AD542" s="145">
        <v>0</v>
      </c>
      <c r="AE542" s="145">
        <v>0</v>
      </c>
      <c r="AF542" s="145">
        <v>0</v>
      </c>
      <c r="AG542" s="145">
        <v>1351406.62</v>
      </c>
      <c r="AH542" s="145">
        <v>0</v>
      </c>
      <c r="AI542" s="145">
        <v>1272450</v>
      </c>
      <c r="AJ542" s="145">
        <v>149649.28</v>
      </c>
      <c r="AK542" s="145">
        <f t="shared" ref="AK542:AK573" si="179">SUM(Y542:AJ542)</f>
        <v>2795607.07</v>
      </c>
      <c r="AL542" s="145">
        <v>0</v>
      </c>
      <c r="AM542" s="145">
        <v>0</v>
      </c>
      <c r="AN542" s="145">
        <v>0</v>
      </c>
      <c r="AO542" s="145">
        <v>0</v>
      </c>
      <c r="AP542" s="145">
        <v>0</v>
      </c>
      <c r="AQ542" s="145">
        <v>0</v>
      </c>
      <c r="AR542" s="145">
        <v>0</v>
      </c>
      <c r="AS542" s="144">
        <f>U542+V542+W542+AK542+AL542+AM542+AN542+AO542+AP542+AQ542+AR542</f>
        <v>2841400.75</v>
      </c>
      <c r="AT542" s="261">
        <v>0</v>
      </c>
      <c r="AU542" s="146">
        <f t="shared" si="161"/>
        <v>2841400.75</v>
      </c>
      <c r="AV542" s="146">
        <f>IFERROR(VLOOKUP(J542,Maksājumu_pieprasījumu_iesn.!G:BL,57,0),0)</f>
        <v>0</v>
      </c>
      <c r="AW542" s="139">
        <f t="shared" si="174"/>
        <v>-2841400.75</v>
      </c>
      <c r="AX542" s="276">
        <f>S542-T542-(AS542-AT542)</f>
        <v>1015.6499999999069</v>
      </c>
      <c r="AY542" s="276">
        <v>1016</v>
      </c>
      <c r="AZ542" s="276"/>
      <c r="BA542" s="165" t="s">
        <v>1628</v>
      </c>
      <c r="BB542" s="144"/>
      <c r="BC542" s="144"/>
      <c r="BD542" s="144"/>
      <c r="BE542" s="144"/>
      <c r="BF542" s="144"/>
      <c r="BG542" s="144"/>
      <c r="BH542" s="149"/>
      <c r="BI542" s="149"/>
      <c r="BJ542" s="149"/>
      <c r="BK542" s="149"/>
      <c r="BL542" s="149"/>
      <c r="BM542" s="149"/>
      <c r="BN542" s="149"/>
    </row>
    <row r="543" spans="1:66" s="161" customFormat="1" ht="38.25" hidden="1" customHeight="1" x14ac:dyDescent="0.2">
      <c r="A543" s="158" t="s">
        <v>1603</v>
      </c>
      <c r="B543" s="20" t="s">
        <v>106</v>
      </c>
      <c r="C543" s="20" t="s">
        <v>107</v>
      </c>
      <c r="D543" s="21" t="s">
        <v>108</v>
      </c>
      <c r="E543" s="20">
        <v>1</v>
      </c>
      <c r="F543" s="20" t="s">
        <v>109</v>
      </c>
      <c r="G543" s="20" t="s">
        <v>5</v>
      </c>
      <c r="H543" s="20" t="s">
        <v>3</v>
      </c>
      <c r="I543" s="20"/>
      <c r="J543" s="20" t="s">
        <v>623</v>
      </c>
      <c r="K543" s="21" t="s">
        <v>111</v>
      </c>
      <c r="L543" s="277" t="s">
        <v>1626</v>
      </c>
      <c r="M543" s="277" t="s">
        <v>1627</v>
      </c>
      <c r="N543" s="21" t="s">
        <v>624</v>
      </c>
      <c r="O543" s="159" t="s">
        <v>880</v>
      </c>
      <c r="P543" s="159"/>
      <c r="Q543" s="159"/>
      <c r="R543" s="159"/>
      <c r="S543" s="147"/>
      <c r="T543" s="147"/>
      <c r="U543" s="153"/>
      <c r="V543" s="153"/>
      <c r="W543" s="153"/>
      <c r="X543" s="153">
        <f t="shared" si="178"/>
        <v>0</v>
      </c>
      <c r="Y543" s="153">
        <v>11993.38</v>
      </c>
      <c r="Z543" s="153"/>
      <c r="AA543" s="153"/>
      <c r="AB543" s="153"/>
      <c r="AC543" s="153">
        <v>1351406.62</v>
      </c>
      <c r="AD543" s="153"/>
      <c r="AE543" s="153"/>
      <c r="AF543" s="153"/>
      <c r="AG543" s="153">
        <v>1419778.2</v>
      </c>
      <c r="AH543" s="153"/>
      <c r="AI543" s="153"/>
      <c r="AJ543" s="153"/>
      <c r="AK543" s="153">
        <f t="shared" si="179"/>
        <v>2783178.2</v>
      </c>
      <c r="AL543" s="153"/>
      <c r="AM543" s="153"/>
      <c r="AN543" s="153"/>
      <c r="AO543" s="153"/>
      <c r="AP543" s="153"/>
      <c r="AQ543" s="153"/>
      <c r="AR543" s="153"/>
      <c r="AT543" s="147">
        <f>U543+V543+W543+AK543+AL543+AM543+AN543+AO543+AP543+AQ543+AR543</f>
        <v>2783178.2</v>
      </c>
      <c r="AU543" s="146"/>
      <c r="AV543" s="146">
        <f>IFERROR(VLOOKUP(J543,Maksājumu_pieprasījumu_iesn.!G:BL,57,0),0)</f>
        <v>0</v>
      </c>
      <c r="AW543" s="139">
        <f t="shared" si="174"/>
        <v>0</v>
      </c>
      <c r="AX543" s="276"/>
      <c r="AY543" s="276"/>
      <c r="AZ543" s="276"/>
      <c r="BA543" s="165"/>
      <c r="BB543" s="147"/>
      <c r="BC543" s="147"/>
      <c r="BD543" s="147"/>
      <c r="BE543" s="147"/>
      <c r="BF543" s="147"/>
      <c r="BG543" s="147"/>
      <c r="BH543" s="149"/>
      <c r="BI543" s="149"/>
      <c r="BJ543" s="149"/>
      <c r="BK543" s="149"/>
      <c r="BL543" s="149"/>
      <c r="BM543" s="149"/>
      <c r="BN543" s="149"/>
    </row>
    <row r="544" spans="1:66" ht="38.25" hidden="1" customHeight="1" x14ac:dyDescent="0.2">
      <c r="A544" s="142" t="s">
        <v>1603</v>
      </c>
      <c r="B544" s="18" t="s">
        <v>106</v>
      </c>
      <c r="C544" s="18" t="s">
        <v>107</v>
      </c>
      <c r="D544" s="19" t="s">
        <v>108</v>
      </c>
      <c r="E544" s="18">
        <v>1</v>
      </c>
      <c r="F544" s="18" t="s">
        <v>109</v>
      </c>
      <c r="G544" s="18" t="s">
        <v>5</v>
      </c>
      <c r="H544" s="18" t="s">
        <v>3</v>
      </c>
      <c r="I544" s="18"/>
      <c r="J544" s="18" t="s">
        <v>625</v>
      </c>
      <c r="K544" s="19" t="s">
        <v>111</v>
      </c>
      <c r="L544" s="275" t="s">
        <v>1626</v>
      </c>
      <c r="M544" s="275" t="s">
        <v>1627</v>
      </c>
      <c r="N544" s="19" t="s">
        <v>626</v>
      </c>
      <c r="O544" s="143"/>
      <c r="P544" s="143"/>
      <c r="Q544" s="143"/>
      <c r="R544" s="143">
        <v>42622</v>
      </c>
      <c r="S544" s="144">
        <v>2798609.87</v>
      </c>
      <c r="T544" s="144"/>
      <c r="U544" s="145">
        <v>0</v>
      </c>
      <c r="V544" s="145">
        <v>0</v>
      </c>
      <c r="W544" s="145">
        <v>30783.010000000002</v>
      </c>
      <c r="X544" s="145">
        <f t="shared" si="178"/>
        <v>30783.010000000002</v>
      </c>
      <c r="Y544" s="145">
        <v>29201</v>
      </c>
      <c r="Z544" s="145">
        <v>0</v>
      </c>
      <c r="AA544" s="145">
        <v>0</v>
      </c>
      <c r="AB544" s="145">
        <v>0</v>
      </c>
      <c r="AC544" s="145">
        <v>0</v>
      </c>
      <c r="AD544" s="166">
        <v>0</v>
      </c>
      <c r="AE544" s="166">
        <v>12723.54</v>
      </c>
      <c r="AF544" s="145">
        <v>0</v>
      </c>
      <c r="AG544" s="145">
        <v>1347335</v>
      </c>
      <c r="AH544" s="145">
        <v>0</v>
      </c>
      <c r="AI544" s="145">
        <v>1228765.96</v>
      </c>
      <c r="AJ544" s="145">
        <v>148785.71</v>
      </c>
      <c r="AK544" s="145">
        <f t="shared" si="179"/>
        <v>2766811.21</v>
      </c>
      <c r="AL544" s="145">
        <v>0</v>
      </c>
      <c r="AM544" s="145">
        <v>0</v>
      </c>
      <c r="AN544" s="145">
        <v>0</v>
      </c>
      <c r="AO544" s="145">
        <v>0</v>
      </c>
      <c r="AP544" s="145">
        <v>0</v>
      </c>
      <c r="AQ544" s="145">
        <v>0</v>
      </c>
      <c r="AR544" s="145">
        <v>0</v>
      </c>
      <c r="AS544" s="144">
        <f>U544+V544+W544+AK544+AL544+AM544+AN544+AO544+AP544+AQ544+AR544</f>
        <v>2797594.2199999997</v>
      </c>
      <c r="AT544" s="278"/>
      <c r="AU544" s="146">
        <v>2798609.87</v>
      </c>
      <c r="AV544" s="146" t="str">
        <f>IFERROR(VLOOKUP(J544,Maksājumu_pieprasījumu_iesn.!G:BL,57,0),0)</f>
        <v>Būvniecības darbi projekta ietvaros ir uzsākušies nesen. Septembrī aktualizēts plānoto maksājumu pieprasījumu iesniegšanas grafiks, precizējot prognozējamās būvniecības darbu izmaksas un nākamo starpposma un avansa maksājumu no septembra pārceļot uz oktobri.</v>
      </c>
      <c r="AW544" s="139" t="e">
        <f t="shared" si="174"/>
        <v>#VALUE!</v>
      </c>
      <c r="AX544" s="276">
        <f>S544-T544-(AS544-AT544)</f>
        <v>1015.6500000003725</v>
      </c>
      <c r="AY544" s="276">
        <v>1016</v>
      </c>
      <c r="AZ544" s="276"/>
      <c r="BA544" s="165" t="s">
        <v>1628</v>
      </c>
      <c r="BB544" s="144"/>
      <c r="BC544" s="144"/>
      <c r="BD544" s="144"/>
      <c r="BE544" s="144"/>
      <c r="BF544" s="144"/>
      <c r="BG544" s="144"/>
      <c r="BH544" s="149"/>
      <c r="BI544" s="149"/>
      <c r="BJ544" s="149"/>
      <c r="BK544" s="149"/>
      <c r="BL544" s="149"/>
      <c r="BM544" s="149"/>
      <c r="BN544" s="149"/>
    </row>
    <row r="545" spans="1:66" s="161" customFormat="1" ht="38.25" hidden="1" customHeight="1" x14ac:dyDescent="0.2">
      <c r="A545" s="158" t="s">
        <v>1603</v>
      </c>
      <c r="B545" s="20" t="s">
        <v>106</v>
      </c>
      <c r="C545" s="20" t="s">
        <v>107</v>
      </c>
      <c r="D545" s="21" t="s">
        <v>108</v>
      </c>
      <c r="E545" s="20">
        <v>1</v>
      </c>
      <c r="F545" s="20" t="s">
        <v>109</v>
      </c>
      <c r="G545" s="20" t="s">
        <v>5</v>
      </c>
      <c r="H545" s="20" t="s">
        <v>3</v>
      </c>
      <c r="I545" s="20"/>
      <c r="J545" s="20" t="s">
        <v>625</v>
      </c>
      <c r="K545" s="21" t="s">
        <v>111</v>
      </c>
      <c r="L545" s="277" t="s">
        <v>1626</v>
      </c>
      <c r="M545" s="277" t="s">
        <v>1627</v>
      </c>
      <c r="N545" s="21" t="s">
        <v>626</v>
      </c>
      <c r="O545" s="159" t="s">
        <v>880</v>
      </c>
      <c r="P545" s="159"/>
      <c r="Q545" s="159"/>
      <c r="R545" s="159"/>
      <c r="S545" s="147"/>
      <c r="T545" s="147"/>
      <c r="U545" s="153"/>
      <c r="V545" s="153"/>
      <c r="W545" s="153">
        <v>29174.55</v>
      </c>
      <c r="X545" s="153">
        <f t="shared" si="178"/>
        <v>29174.55</v>
      </c>
      <c r="Y545" s="153">
        <v>11863.23</v>
      </c>
      <c r="Z545" s="153"/>
      <c r="AA545" s="153"/>
      <c r="AB545" s="153"/>
      <c r="AC545" s="153"/>
      <c r="AD545" s="166"/>
      <c r="AE545" s="166">
        <v>1347335</v>
      </c>
      <c r="AF545" s="153"/>
      <c r="AG545" s="153">
        <v>1377551.66</v>
      </c>
      <c r="AH545" s="153"/>
      <c r="AI545" s="153"/>
      <c r="AJ545" s="153"/>
      <c r="AK545" s="153">
        <f t="shared" si="179"/>
        <v>2736749.8899999997</v>
      </c>
      <c r="AL545" s="153"/>
      <c r="AM545" s="153"/>
      <c r="AN545" s="153"/>
      <c r="AO545" s="153"/>
      <c r="AP545" s="153"/>
      <c r="AQ545" s="153"/>
      <c r="AR545" s="153"/>
      <c r="AT545" s="147">
        <f>U545+V545+W545+AK545+AL545+AM545+AN545+AO545+AP545+AQ545+AR545</f>
        <v>2765924.4399999995</v>
      </c>
      <c r="AU545" s="146"/>
      <c r="AV545" s="146" t="str">
        <f>IFERROR(VLOOKUP(J545,Maksājumu_pieprasījumu_iesn.!G:BL,57,0),0)</f>
        <v>Būvniecības darbi projekta ietvaros ir uzsākušies nesen. Septembrī aktualizēts plānoto maksājumu pieprasījumu iesniegšanas grafiks, precizējot prognozējamās būvniecības darbu izmaksas un nākamo starpposma un avansa maksājumu no septembra pārceļot uz oktobri.</v>
      </c>
      <c r="AW545" s="139" t="e">
        <f t="shared" si="174"/>
        <v>#VALUE!</v>
      </c>
      <c r="AX545" s="276"/>
      <c r="AY545" s="276"/>
      <c r="AZ545" s="276"/>
      <c r="BA545" s="165"/>
      <c r="BB545" s="147"/>
      <c r="BC545" s="147"/>
      <c r="BD545" s="147"/>
      <c r="BE545" s="147"/>
      <c r="BF545" s="147"/>
      <c r="BG545" s="147"/>
      <c r="BH545" s="149"/>
      <c r="BI545" s="149"/>
      <c r="BJ545" s="149"/>
      <c r="BK545" s="149"/>
      <c r="BL545" s="149"/>
      <c r="BM545" s="149"/>
      <c r="BN545" s="149"/>
    </row>
    <row r="546" spans="1:66" ht="38.25" hidden="1" customHeight="1" x14ac:dyDescent="0.2">
      <c r="A546" s="142" t="s">
        <v>1603</v>
      </c>
      <c r="B546" s="18" t="s">
        <v>106</v>
      </c>
      <c r="C546" s="18" t="s">
        <v>107</v>
      </c>
      <c r="D546" s="19" t="s">
        <v>108</v>
      </c>
      <c r="E546" s="18">
        <v>1</v>
      </c>
      <c r="F546" s="18" t="s">
        <v>109</v>
      </c>
      <c r="G546" s="18" t="s">
        <v>5</v>
      </c>
      <c r="H546" s="18" t="s">
        <v>3</v>
      </c>
      <c r="I546" s="18"/>
      <c r="J546" s="18" t="s">
        <v>110</v>
      </c>
      <c r="K546" s="19" t="s">
        <v>111</v>
      </c>
      <c r="L546" s="275" t="s">
        <v>1626</v>
      </c>
      <c r="M546" s="275" t="s">
        <v>1627</v>
      </c>
      <c r="N546" s="19" t="s">
        <v>112</v>
      </c>
      <c r="O546" s="143"/>
      <c r="P546" s="143"/>
      <c r="Q546" s="143"/>
      <c r="R546" s="143">
        <v>42828</v>
      </c>
      <c r="S546" s="144">
        <v>595318.30000000005</v>
      </c>
      <c r="T546" s="144">
        <v>0</v>
      </c>
      <c r="U546" s="145">
        <v>0</v>
      </c>
      <c r="V546" s="145">
        <v>0</v>
      </c>
      <c r="W546" s="145">
        <v>0</v>
      </c>
      <c r="X546" s="145">
        <f t="shared" si="178"/>
        <v>0</v>
      </c>
      <c r="Y546" s="145">
        <v>0</v>
      </c>
      <c r="Z546" s="145">
        <v>0</v>
      </c>
      <c r="AA546" s="145">
        <v>0</v>
      </c>
      <c r="AB546" s="145">
        <v>0</v>
      </c>
      <c r="AC546" s="145">
        <v>44072.73</v>
      </c>
      <c r="AD546" s="145">
        <v>32705.39</v>
      </c>
      <c r="AE546" s="145">
        <v>0</v>
      </c>
      <c r="AF546" s="145">
        <v>0</v>
      </c>
      <c r="AG546" s="145">
        <v>280412.84999999998</v>
      </c>
      <c r="AH546" s="145">
        <v>0</v>
      </c>
      <c r="AI546" s="145">
        <v>0</v>
      </c>
      <c r="AJ546" s="145">
        <v>59531.83</v>
      </c>
      <c r="AK546" s="145">
        <f t="shared" si="179"/>
        <v>416722.8</v>
      </c>
      <c r="AL546" s="145">
        <v>178595.5</v>
      </c>
      <c r="AM546" s="145">
        <v>0</v>
      </c>
      <c r="AN546" s="145">
        <v>0</v>
      </c>
      <c r="AO546" s="145">
        <v>0</v>
      </c>
      <c r="AP546" s="145">
        <v>0</v>
      </c>
      <c r="AQ546" s="145">
        <v>0</v>
      </c>
      <c r="AR546" s="145">
        <v>0</v>
      </c>
      <c r="AS546" s="144">
        <f>U546+V546+W546+AK546+AL546+AM546+AN546+AO546+AP546+AQ546+AR546</f>
        <v>595318.30000000005</v>
      </c>
      <c r="AT546" s="279">
        <v>0</v>
      </c>
      <c r="AU546" s="146">
        <f t="shared" si="161"/>
        <v>595318.30000000005</v>
      </c>
      <c r="AV546" s="146">
        <f>IFERROR(VLOOKUP(J546,Maksājumu_pieprasījumu_iesn.!G:BL,57,0),0)</f>
        <v>0</v>
      </c>
      <c r="AW546" s="139">
        <f t="shared" si="174"/>
        <v>-595318.30000000005</v>
      </c>
      <c r="AX546" s="276">
        <f>S546-T546-(AS546-AT546)</f>
        <v>0</v>
      </c>
      <c r="AY546" s="276"/>
      <c r="AZ546" s="276"/>
      <c r="BA546" s="165"/>
      <c r="BB546" s="144"/>
      <c r="BC546" s="144"/>
      <c r="BD546" s="144"/>
      <c r="BE546" s="144"/>
      <c r="BF546" s="144"/>
      <c r="BG546" s="144"/>
      <c r="BH546" s="149"/>
      <c r="BI546" s="149"/>
      <c r="BJ546" s="149"/>
      <c r="BK546" s="149"/>
      <c r="BL546" s="149"/>
      <c r="BM546" s="149"/>
      <c r="BN546" s="149"/>
    </row>
    <row r="547" spans="1:66" s="161" customFormat="1" ht="38.25" hidden="1" customHeight="1" x14ac:dyDescent="0.2">
      <c r="A547" s="158" t="s">
        <v>1603</v>
      </c>
      <c r="B547" s="20" t="s">
        <v>106</v>
      </c>
      <c r="C547" s="20" t="s">
        <v>107</v>
      </c>
      <c r="D547" s="21" t="s">
        <v>108</v>
      </c>
      <c r="E547" s="20">
        <v>1</v>
      </c>
      <c r="F547" s="20" t="s">
        <v>109</v>
      </c>
      <c r="G547" s="20" t="s">
        <v>5</v>
      </c>
      <c r="H547" s="20" t="s">
        <v>3</v>
      </c>
      <c r="I547" s="20"/>
      <c r="J547" s="20" t="s">
        <v>110</v>
      </c>
      <c r="K547" s="21" t="s">
        <v>111</v>
      </c>
      <c r="L547" s="277" t="s">
        <v>1626</v>
      </c>
      <c r="M547" s="277" t="s">
        <v>1627</v>
      </c>
      <c r="N547" s="21" t="s">
        <v>112</v>
      </c>
      <c r="O547" s="159" t="s">
        <v>880</v>
      </c>
      <c r="P547" s="159"/>
      <c r="Q547" s="159"/>
      <c r="R547" s="159"/>
      <c r="S547" s="147"/>
      <c r="T547" s="147"/>
      <c r="U547" s="153"/>
      <c r="V547" s="153"/>
      <c r="W547" s="153"/>
      <c r="X547" s="153">
        <f t="shared" si="178"/>
        <v>0</v>
      </c>
      <c r="Y547" s="153"/>
      <c r="Z547" s="153"/>
      <c r="AA547" s="153"/>
      <c r="AB547" s="153">
        <v>76778.12</v>
      </c>
      <c r="AC547" s="153"/>
      <c r="AD547" s="153">
        <v>236340.12</v>
      </c>
      <c r="AE547" s="153"/>
      <c r="AF547" s="153"/>
      <c r="AG547" s="153">
        <v>59531.83</v>
      </c>
      <c r="AH547" s="153"/>
      <c r="AI547" s="153"/>
      <c r="AJ547" s="153">
        <v>168368.2</v>
      </c>
      <c r="AK547" s="153">
        <f t="shared" si="179"/>
        <v>541018.27</v>
      </c>
      <c r="AL547" s="153">
        <v>10227.290000000001</v>
      </c>
      <c r="AM547" s="153"/>
      <c r="AN547" s="153"/>
      <c r="AO547" s="153"/>
      <c r="AP547" s="153"/>
      <c r="AQ547" s="153"/>
      <c r="AR547" s="153"/>
      <c r="AT547" s="147">
        <f>U547+V547+W547+AK547+AL547+AM547+AN547+AO547+AP547+AQ547+AR547</f>
        <v>551245.56000000006</v>
      </c>
      <c r="AU547" s="146"/>
      <c r="AV547" s="146">
        <f>IFERROR(VLOOKUP(J547,Maksājumu_pieprasījumu_iesn.!G:BL,57,0),0)</f>
        <v>0</v>
      </c>
      <c r="AW547" s="139">
        <f t="shared" si="174"/>
        <v>0</v>
      </c>
      <c r="AX547" s="276"/>
      <c r="AY547" s="276"/>
      <c r="AZ547" s="276"/>
      <c r="BA547" s="165"/>
      <c r="BB547" s="147"/>
      <c r="BC547" s="147"/>
      <c r="BD547" s="147"/>
      <c r="BE547" s="147"/>
      <c r="BF547" s="147"/>
      <c r="BG547" s="147"/>
      <c r="BH547" s="149"/>
      <c r="BI547" s="149"/>
      <c r="BJ547" s="149"/>
      <c r="BK547" s="149"/>
      <c r="BL547" s="149"/>
      <c r="BM547" s="149"/>
      <c r="BN547" s="149"/>
    </row>
    <row r="548" spans="1:66" ht="38.25" hidden="1" customHeight="1" x14ac:dyDescent="0.2">
      <c r="A548" s="142" t="s">
        <v>1603</v>
      </c>
      <c r="B548" s="18" t="s">
        <v>106</v>
      </c>
      <c r="C548" s="18" t="s">
        <v>107</v>
      </c>
      <c r="D548" s="19" t="s">
        <v>108</v>
      </c>
      <c r="E548" s="18">
        <v>1</v>
      </c>
      <c r="F548" s="18" t="s">
        <v>109</v>
      </c>
      <c r="G548" s="18" t="s">
        <v>5</v>
      </c>
      <c r="H548" s="18" t="s">
        <v>3</v>
      </c>
      <c r="I548" s="18"/>
      <c r="J548" s="18" t="s">
        <v>113</v>
      </c>
      <c r="K548" s="19" t="s">
        <v>111</v>
      </c>
      <c r="L548" s="275" t="s">
        <v>1626</v>
      </c>
      <c r="M548" s="275" t="s">
        <v>1627</v>
      </c>
      <c r="N548" s="19" t="s">
        <v>114</v>
      </c>
      <c r="O548" s="143"/>
      <c r="P548" s="143"/>
      <c r="Q548" s="143"/>
      <c r="R548" s="143">
        <v>42828</v>
      </c>
      <c r="S548" s="144">
        <v>611948.92000000004</v>
      </c>
      <c r="T548" s="144"/>
      <c r="U548" s="145">
        <v>0</v>
      </c>
      <c r="V548" s="145">
        <v>0</v>
      </c>
      <c r="W548" s="145">
        <v>0</v>
      </c>
      <c r="X548" s="145">
        <f t="shared" si="178"/>
        <v>0</v>
      </c>
      <c r="Y548" s="145">
        <v>0</v>
      </c>
      <c r="Z548" s="145">
        <v>0</v>
      </c>
      <c r="AA548" s="145">
        <v>0</v>
      </c>
      <c r="AB548" s="145">
        <v>30413.49</v>
      </c>
      <c r="AC548" s="145">
        <v>0</v>
      </c>
      <c r="AD548" s="145">
        <v>122389.78</v>
      </c>
      <c r="AE548" s="145">
        <v>0</v>
      </c>
      <c r="AF548" s="145">
        <v>0</v>
      </c>
      <c r="AG548" s="145">
        <v>0</v>
      </c>
      <c r="AH548" s="145">
        <v>0</v>
      </c>
      <c r="AI548" s="145">
        <v>0</v>
      </c>
      <c r="AJ548" s="145">
        <v>305974.46000000002</v>
      </c>
      <c r="AK548" s="145">
        <f t="shared" si="179"/>
        <v>458777.73</v>
      </c>
      <c r="AL548" s="145">
        <v>153171.19</v>
      </c>
      <c r="AM548" s="145">
        <v>0</v>
      </c>
      <c r="AN548" s="145">
        <v>0</v>
      </c>
      <c r="AO548" s="145">
        <v>0</v>
      </c>
      <c r="AP548" s="145">
        <v>0</v>
      </c>
      <c r="AQ548" s="145">
        <v>0</v>
      </c>
      <c r="AR548" s="145">
        <v>0</v>
      </c>
      <c r="AS548" s="144">
        <f>U548+V548+W548+AK548+AL548+AM548+AN548+AO548+AP548+AQ548+AR548</f>
        <v>611948.91999999993</v>
      </c>
      <c r="AT548" s="279">
        <v>0</v>
      </c>
      <c r="AU548" s="146">
        <f t="shared" si="161"/>
        <v>611948.91999999993</v>
      </c>
      <c r="AV548" s="146" t="str">
        <f>IFERROR(VLOOKUP(J548,Maksājumu_pieprasījumu_iesn.!G:BL,57,0),0)</f>
        <v xml:space="preserve">Maksājumu pieprasījumu summas samazinātas, jo būvdarbu veikšana uzsākta tikai septembrī. Oktobrī finansējuma saņēmējs plāno iesniegt starpposma maksājuma pieprasījumu par faktiski paveiktajiem būvdarbiem, pēc tam tiks iesniegts arī nākamais avansa maksājuma pieprasījums. </v>
      </c>
      <c r="AW548" s="139" t="e">
        <f t="shared" si="174"/>
        <v>#VALUE!</v>
      </c>
      <c r="AX548" s="276">
        <f>S548-T548-(AS548-AT548)</f>
        <v>0</v>
      </c>
      <c r="AY548" s="276"/>
      <c r="AZ548" s="276"/>
      <c r="BA548" s="165"/>
      <c r="BB548" s="144"/>
      <c r="BC548" s="144"/>
      <c r="BD548" s="144"/>
      <c r="BE548" s="144"/>
      <c r="BF548" s="144"/>
      <c r="BG548" s="144"/>
      <c r="BH548" s="149"/>
      <c r="BI548" s="149"/>
      <c r="BJ548" s="149"/>
      <c r="BK548" s="149"/>
      <c r="BL548" s="149"/>
      <c r="BM548" s="149"/>
      <c r="BN548" s="149"/>
    </row>
    <row r="549" spans="1:66" s="161" customFormat="1" ht="38.25" hidden="1" customHeight="1" x14ac:dyDescent="0.2">
      <c r="A549" s="158" t="s">
        <v>1603</v>
      </c>
      <c r="B549" s="20" t="s">
        <v>106</v>
      </c>
      <c r="C549" s="20" t="s">
        <v>107</v>
      </c>
      <c r="D549" s="21" t="s">
        <v>108</v>
      </c>
      <c r="E549" s="20">
        <v>1</v>
      </c>
      <c r="F549" s="20" t="s">
        <v>109</v>
      </c>
      <c r="G549" s="20" t="s">
        <v>5</v>
      </c>
      <c r="H549" s="20" t="s">
        <v>3</v>
      </c>
      <c r="I549" s="20"/>
      <c r="J549" s="20" t="s">
        <v>113</v>
      </c>
      <c r="K549" s="21" t="s">
        <v>111</v>
      </c>
      <c r="L549" s="277" t="s">
        <v>1626</v>
      </c>
      <c r="M549" s="277" t="s">
        <v>1627</v>
      </c>
      <c r="N549" s="21" t="s">
        <v>114</v>
      </c>
      <c r="O549" s="159" t="s">
        <v>880</v>
      </c>
      <c r="P549" s="159"/>
      <c r="Q549" s="159"/>
      <c r="R549" s="159"/>
      <c r="S549" s="147"/>
      <c r="T549" s="147"/>
      <c r="U549" s="153"/>
      <c r="V549" s="153"/>
      <c r="W549" s="153"/>
      <c r="X549" s="153">
        <f t="shared" si="178"/>
        <v>0</v>
      </c>
      <c r="Y549" s="153"/>
      <c r="Z549" s="153"/>
      <c r="AA549" s="153"/>
      <c r="AB549" s="153">
        <v>122389.78</v>
      </c>
      <c r="AC549" s="153"/>
      <c r="AD549" s="153">
        <v>305974.46000000002</v>
      </c>
      <c r="AE549" s="153"/>
      <c r="AF549" s="153"/>
      <c r="AG549" s="153"/>
      <c r="AH549" s="153"/>
      <c r="AI549" s="153"/>
      <c r="AJ549" s="153">
        <v>44930.62</v>
      </c>
      <c r="AK549" s="153">
        <f t="shared" si="179"/>
        <v>473294.86</v>
      </c>
      <c r="AL549" s="153">
        <v>108240.56</v>
      </c>
      <c r="AM549" s="153"/>
      <c r="AN549" s="153"/>
      <c r="AO549" s="153"/>
      <c r="AP549" s="153"/>
      <c r="AQ549" s="153"/>
      <c r="AR549" s="153"/>
      <c r="AT549" s="147">
        <f>U549+V549+W549+AK549+AL549+AM549+AN549+AO549+AP549+AQ549+AR549</f>
        <v>581535.41999999993</v>
      </c>
      <c r="AU549" s="146"/>
      <c r="AV549" s="146" t="str">
        <f>IFERROR(VLOOKUP(J549,Maksājumu_pieprasījumu_iesn.!G:BL,57,0),0)</f>
        <v xml:space="preserve">Maksājumu pieprasījumu summas samazinātas, jo būvdarbu veikšana uzsākta tikai septembrī. Oktobrī finansējuma saņēmējs plāno iesniegt starpposma maksājuma pieprasījumu par faktiski paveiktajiem būvdarbiem, pēc tam tiks iesniegts arī nākamais avansa maksājuma pieprasījums. </v>
      </c>
      <c r="AW549" s="139" t="e">
        <f t="shared" si="174"/>
        <v>#VALUE!</v>
      </c>
      <c r="AX549" s="276"/>
      <c r="AY549" s="276"/>
      <c r="AZ549" s="276"/>
      <c r="BA549" s="165"/>
      <c r="BB549" s="147"/>
      <c r="BC549" s="147"/>
      <c r="BD549" s="147"/>
      <c r="BE549" s="147"/>
      <c r="BF549" s="147"/>
      <c r="BG549" s="147"/>
      <c r="BH549" s="149"/>
      <c r="BI549" s="149"/>
      <c r="BJ549" s="149"/>
      <c r="BK549" s="149"/>
      <c r="BL549" s="149"/>
      <c r="BM549" s="149"/>
      <c r="BN549" s="149"/>
    </row>
    <row r="550" spans="1:66" ht="38.25" hidden="1" customHeight="1" x14ac:dyDescent="0.2">
      <c r="A550" s="142" t="s">
        <v>1603</v>
      </c>
      <c r="B550" s="18" t="s">
        <v>106</v>
      </c>
      <c r="C550" s="18" t="s">
        <v>107</v>
      </c>
      <c r="D550" s="19" t="s">
        <v>108</v>
      </c>
      <c r="E550" s="18">
        <v>1</v>
      </c>
      <c r="F550" s="18" t="s">
        <v>109</v>
      </c>
      <c r="G550" s="18" t="s">
        <v>5</v>
      </c>
      <c r="H550" s="18" t="s">
        <v>3</v>
      </c>
      <c r="I550" s="18"/>
      <c r="J550" s="18" t="s">
        <v>115</v>
      </c>
      <c r="K550" s="19" t="s">
        <v>111</v>
      </c>
      <c r="L550" s="275" t="s">
        <v>1626</v>
      </c>
      <c r="M550" s="275" t="s">
        <v>1627</v>
      </c>
      <c r="N550" s="19" t="s">
        <v>116</v>
      </c>
      <c r="O550" s="143"/>
      <c r="P550" s="143"/>
      <c r="Q550" s="143"/>
      <c r="R550" s="143">
        <v>42828</v>
      </c>
      <c r="S550" s="144">
        <v>725005.09</v>
      </c>
      <c r="T550" s="144"/>
      <c r="U550" s="145">
        <v>0</v>
      </c>
      <c r="V550" s="145">
        <v>0</v>
      </c>
      <c r="W550" s="145">
        <v>0</v>
      </c>
      <c r="X550" s="145">
        <f t="shared" si="178"/>
        <v>0</v>
      </c>
      <c r="Y550" s="145">
        <v>0</v>
      </c>
      <c r="Z550" s="145">
        <v>0</v>
      </c>
      <c r="AA550" s="145">
        <v>0</v>
      </c>
      <c r="AB550" s="145">
        <v>30927.74</v>
      </c>
      <c r="AC550" s="145">
        <v>0</v>
      </c>
      <c r="AD550" s="145">
        <v>145001.01999999999</v>
      </c>
      <c r="AE550" s="145">
        <v>0</v>
      </c>
      <c r="AF550" s="145">
        <v>0</v>
      </c>
      <c r="AG550" s="145">
        <v>0</v>
      </c>
      <c r="AH550" s="145">
        <v>0</v>
      </c>
      <c r="AI550" s="145">
        <v>0</v>
      </c>
      <c r="AJ550" s="145">
        <v>362502.55</v>
      </c>
      <c r="AK550" s="145">
        <f t="shared" si="179"/>
        <v>538431.30999999994</v>
      </c>
      <c r="AL550" s="145">
        <v>186573.78000000003</v>
      </c>
      <c r="AM550" s="145">
        <v>0</v>
      </c>
      <c r="AN550" s="145">
        <v>0</v>
      </c>
      <c r="AO550" s="145">
        <v>0</v>
      </c>
      <c r="AP550" s="145">
        <v>0</v>
      </c>
      <c r="AQ550" s="145">
        <v>0</v>
      </c>
      <c r="AR550" s="145">
        <v>0</v>
      </c>
      <c r="AS550" s="144">
        <f>U550+V550+W550+AK550+AL550+AM550+AN550+AO550+AP550+AQ550+AR550</f>
        <v>725005.09</v>
      </c>
      <c r="AT550" s="279"/>
      <c r="AU550" s="146">
        <f t="shared" si="161"/>
        <v>725005.09</v>
      </c>
      <c r="AV550" s="146" t="str">
        <f>IFERROR(VLOOKUP(J550,Maksājumu_pieprasījumu_iesn.!G:BL,57,0),0)</f>
        <v xml:space="preserve">Būvniecība norit lēnākos tempos kā plānots, nākamais avansa pieprasījums no augusta pārcelts uz septembri.   </v>
      </c>
      <c r="AW550" s="139" t="e">
        <f t="shared" si="174"/>
        <v>#VALUE!</v>
      </c>
      <c r="AX550" s="276">
        <f>S550-T550-(AS550-AT550)</f>
        <v>0</v>
      </c>
      <c r="AY550" s="276"/>
      <c r="AZ550" s="276"/>
      <c r="BA550" s="165"/>
      <c r="BB550" s="144"/>
      <c r="BC550" s="144"/>
      <c r="BD550" s="144"/>
      <c r="BE550" s="144"/>
      <c r="BF550" s="144"/>
      <c r="BG550" s="144"/>
      <c r="BH550" s="149"/>
      <c r="BI550" s="149"/>
      <c r="BJ550" s="149"/>
      <c r="BK550" s="149"/>
      <c r="BL550" s="149"/>
      <c r="BM550" s="149"/>
      <c r="BN550" s="149"/>
    </row>
    <row r="551" spans="1:66" s="161" customFormat="1" ht="38.25" hidden="1" customHeight="1" x14ac:dyDescent="0.2">
      <c r="A551" s="158" t="s">
        <v>1603</v>
      </c>
      <c r="B551" s="20" t="s">
        <v>106</v>
      </c>
      <c r="C551" s="20" t="s">
        <v>107</v>
      </c>
      <c r="D551" s="21" t="s">
        <v>108</v>
      </c>
      <c r="E551" s="20">
        <v>1</v>
      </c>
      <c r="F551" s="20" t="s">
        <v>109</v>
      </c>
      <c r="G551" s="20" t="s">
        <v>5</v>
      </c>
      <c r="H551" s="20" t="s">
        <v>3</v>
      </c>
      <c r="I551" s="20"/>
      <c r="J551" s="20" t="s">
        <v>115</v>
      </c>
      <c r="K551" s="21" t="s">
        <v>111</v>
      </c>
      <c r="L551" s="277" t="s">
        <v>1626</v>
      </c>
      <c r="M551" s="277" t="s">
        <v>1627</v>
      </c>
      <c r="N551" s="21" t="s">
        <v>116</v>
      </c>
      <c r="O551" s="159" t="s">
        <v>880</v>
      </c>
      <c r="P551" s="159"/>
      <c r="Q551" s="159"/>
      <c r="R551" s="159"/>
      <c r="S551" s="147"/>
      <c r="T551" s="147"/>
      <c r="U551" s="153"/>
      <c r="V551" s="153"/>
      <c r="W551" s="153"/>
      <c r="X551" s="153">
        <f t="shared" si="178"/>
        <v>0</v>
      </c>
      <c r="Y551" s="153"/>
      <c r="Z551" s="153"/>
      <c r="AA551" s="153"/>
      <c r="AB551" s="153">
        <v>145001.01999999999</v>
      </c>
      <c r="AC551" s="153"/>
      <c r="AD551" s="153">
        <v>362502.55</v>
      </c>
      <c r="AE551" s="153"/>
      <c r="AF551" s="153"/>
      <c r="AG551" s="153"/>
      <c r="AH551" s="153"/>
      <c r="AI551" s="153"/>
      <c r="AJ551" s="153">
        <v>49914.86</v>
      </c>
      <c r="AK551" s="153">
        <f t="shared" si="179"/>
        <v>557418.42999999993</v>
      </c>
      <c r="AL551" s="153">
        <v>136658.91</v>
      </c>
      <c r="AM551" s="153"/>
      <c r="AN551" s="153"/>
      <c r="AO551" s="153"/>
      <c r="AP551" s="153"/>
      <c r="AQ551" s="153"/>
      <c r="AR551" s="153"/>
      <c r="AT551" s="147">
        <f>U551+V551+W551+AK551+AL551+AM551+AN551+AO551+AP551+AQ551+AR551</f>
        <v>694077.34</v>
      </c>
      <c r="AU551" s="146"/>
      <c r="AV551" s="146" t="str">
        <f>IFERROR(VLOOKUP(J551,Maksājumu_pieprasījumu_iesn.!G:BL,57,0),0)</f>
        <v xml:space="preserve">Būvniecība norit lēnākos tempos kā plānots, nākamais avansa pieprasījums no augusta pārcelts uz septembri.   </v>
      </c>
      <c r="AW551" s="139" t="e">
        <f t="shared" si="174"/>
        <v>#VALUE!</v>
      </c>
      <c r="AX551" s="276"/>
      <c r="AY551" s="276"/>
      <c r="AZ551" s="276"/>
      <c r="BA551" s="165"/>
      <c r="BB551" s="147"/>
      <c r="BC551" s="147"/>
      <c r="BD551" s="147"/>
      <c r="BE551" s="147"/>
      <c r="BF551" s="147"/>
      <c r="BG551" s="147"/>
      <c r="BH551" s="149"/>
      <c r="BI551" s="149"/>
      <c r="BJ551" s="149"/>
      <c r="BK551" s="149"/>
      <c r="BL551" s="149"/>
      <c r="BM551" s="149"/>
      <c r="BN551" s="149"/>
    </row>
    <row r="552" spans="1:66" ht="38.25" hidden="1" customHeight="1" x14ac:dyDescent="0.2">
      <c r="A552" s="142" t="s">
        <v>1603</v>
      </c>
      <c r="B552" s="18" t="s">
        <v>106</v>
      </c>
      <c r="C552" s="18" t="s">
        <v>107</v>
      </c>
      <c r="D552" s="19" t="s">
        <v>108</v>
      </c>
      <c r="E552" s="18">
        <v>1</v>
      </c>
      <c r="F552" s="18" t="s">
        <v>109</v>
      </c>
      <c r="G552" s="18" t="s">
        <v>5</v>
      </c>
      <c r="H552" s="18" t="s">
        <v>3</v>
      </c>
      <c r="I552" s="18"/>
      <c r="J552" s="18" t="s">
        <v>117</v>
      </c>
      <c r="K552" s="19" t="s">
        <v>111</v>
      </c>
      <c r="L552" s="275" t="s">
        <v>1626</v>
      </c>
      <c r="M552" s="275" t="s">
        <v>1627</v>
      </c>
      <c r="N552" s="19" t="s">
        <v>118</v>
      </c>
      <c r="O552" s="143"/>
      <c r="P552" s="143"/>
      <c r="Q552" s="143"/>
      <c r="R552" s="143">
        <v>42828</v>
      </c>
      <c r="S552" s="144">
        <v>577773.65</v>
      </c>
      <c r="T552" s="144"/>
      <c r="U552" s="145">
        <v>0</v>
      </c>
      <c r="V552" s="145">
        <v>0</v>
      </c>
      <c r="W552" s="145">
        <v>0</v>
      </c>
      <c r="X552" s="145">
        <f t="shared" si="178"/>
        <v>0</v>
      </c>
      <c r="Y552" s="145">
        <v>0</v>
      </c>
      <c r="Z552" s="145">
        <v>0</v>
      </c>
      <c r="AA552" s="145">
        <v>0</v>
      </c>
      <c r="AB552" s="145">
        <v>8134.82</v>
      </c>
      <c r="AC552" s="145">
        <v>0</v>
      </c>
      <c r="AD552" s="145">
        <v>115554.73</v>
      </c>
      <c r="AE552" s="145">
        <v>0</v>
      </c>
      <c r="AF552" s="145">
        <v>0</v>
      </c>
      <c r="AG552" s="145">
        <v>0</v>
      </c>
      <c r="AH552" s="145">
        <v>0</v>
      </c>
      <c r="AI552" s="145">
        <v>0</v>
      </c>
      <c r="AJ552" s="145">
        <v>288886.83</v>
      </c>
      <c r="AK552" s="145">
        <f t="shared" si="179"/>
        <v>412576.38</v>
      </c>
      <c r="AL552" s="145">
        <v>165197.27000000002</v>
      </c>
      <c r="AM552" s="145">
        <v>0</v>
      </c>
      <c r="AN552" s="145">
        <v>0</v>
      </c>
      <c r="AO552" s="145">
        <v>0</v>
      </c>
      <c r="AP552" s="145">
        <v>0</v>
      </c>
      <c r="AQ552" s="145">
        <v>0</v>
      </c>
      <c r="AR552" s="145">
        <v>0</v>
      </c>
      <c r="AS552" s="144">
        <f>U552+V552+W552+AK552+AL552+AM552+AN552+AO552+AP552+AQ552+AR552</f>
        <v>577773.65</v>
      </c>
      <c r="AT552" s="279">
        <v>0</v>
      </c>
      <c r="AU552" s="146">
        <f t="shared" si="161"/>
        <v>577773.65</v>
      </c>
      <c r="AV552" s="146" t="str">
        <f>IFERROR(VLOOKUP(J552,Maksājumu_pieprasījumu_iesn.!G:BL,57,0),0)</f>
        <v>Būvniecība norit lēnākos tempos kā sākotnēji plānots un maksājuma pieprasījumi iesniegti par mazākām summām, kas pagaidām ir pietiekamas, lai apmaksātu tekošo darbu izpildi. Septembrī un decembrī plānoti lielāki maksājumi, kā arī projektu iespējams realizēs par mazāku finansējumu, kā sākumā plānots.</v>
      </c>
      <c r="AW552" s="139" t="e">
        <f t="shared" si="174"/>
        <v>#VALUE!</v>
      </c>
      <c r="AX552" s="276">
        <f>S552-T552-(AS552-AT552)</f>
        <v>0</v>
      </c>
      <c r="AY552" s="276"/>
      <c r="AZ552" s="276"/>
      <c r="BA552" s="165"/>
      <c r="BB552" s="144"/>
      <c r="BC552" s="144"/>
      <c r="BD552" s="144"/>
      <c r="BE552" s="144"/>
      <c r="BF552" s="144"/>
      <c r="BG552" s="144"/>
      <c r="BH552" s="149"/>
      <c r="BI552" s="149"/>
      <c r="BJ552" s="149"/>
      <c r="BK552" s="149"/>
      <c r="BL552" s="149"/>
      <c r="BM552" s="149"/>
      <c r="BN552" s="149"/>
    </row>
    <row r="553" spans="1:66" s="161" customFormat="1" ht="38.25" hidden="1" customHeight="1" x14ac:dyDescent="0.2">
      <c r="A553" s="158" t="s">
        <v>1603</v>
      </c>
      <c r="B553" s="20" t="s">
        <v>106</v>
      </c>
      <c r="C553" s="20" t="s">
        <v>107</v>
      </c>
      <c r="D553" s="21" t="s">
        <v>108</v>
      </c>
      <c r="E553" s="20">
        <v>2</v>
      </c>
      <c r="F553" s="20" t="s">
        <v>109</v>
      </c>
      <c r="G553" s="20" t="s">
        <v>5</v>
      </c>
      <c r="H553" s="20" t="s">
        <v>3</v>
      </c>
      <c r="I553" s="20"/>
      <c r="J553" s="20" t="s">
        <v>117</v>
      </c>
      <c r="K553" s="21" t="s">
        <v>111</v>
      </c>
      <c r="L553" s="277" t="s">
        <v>1626</v>
      </c>
      <c r="M553" s="277" t="s">
        <v>1627</v>
      </c>
      <c r="N553" s="21" t="s">
        <v>118</v>
      </c>
      <c r="O553" s="159" t="s">
        <v>880</v>
      </c>
      <c r="P553" s="159"/>
      <c r="Q553" s="159"/>
      <c r="R553" s="159"/>
      <c r="S553" s="147"/>
      <c r="T553" s="147"/>
      <c r="U553" s="153"/>
      <c r="V553" s="153"/>
      <c r="W553" s="153"/>
      <c r="X553" s="153">
        <f t="shared" si="178"/>
        <v>0</v>
      </c>
      <c r="Y553" s="153"/>
      <c r="Z553" s="153"/>
      <c r="AA553" s="153"/>
      <c r="AB553" s="153">
        <v>115554.73</v>
      </c>
      <c r="AC553" s="153"/>
      <c r="AD553" s="153">
        <v>288886.83</v>
      </c>
      <c r="AE553" s="153"/>
      <c r="AF553" s="153"/>
      <c r="AG553" s="153"/>
      <c r="AH553" s="153"/>
      <c r="AI553" s="153"/>
      <c r="AJ553" s="153">
        <v>38077.61</v>
      </c>
      <c r="AK553" s="153">
        <f t="shared" si="179"/>
        <v>442519.17</v>
      </c>
      <c r="AL553" s="153">
        <v>127119.66</v>
      </c>
      <c r="AM553" s="153"/>
      <c r="AN553" s="153"/>
      <c r="AO553" s="153"/>
      <c r="AP553" s="153"/>
      <c r="AQ553" s="153"/>
      <c r="AR553" s="153"/>
      <c r="AT553" s="147">
        <f>U553+V553+W553+AK553+AL553+AM553+AN553+AO553+AP553+AQ553+AR553</f>
        <v>569638.82999999996</v>
      </c>
      <c r="AU553" s="146"/>
      <c r="AV553" s="146" t="str">
        <f>IFERROR(VLOOKUP(J553,Maksājumu_pieprasījumu_iesn.!G:BL,57,0),0)</f>
        <v>Būvniecība norit lēnākos tempos kā sākotnēji plānots un maksājuma pieprasījumi iesniegti par mazākām summām, kas pagaidām ir pietiekamas, lai apmaksātu tekošo darbu izpildi. Septembrī un decembrī plānoti lielāki maksājumi, kā arī projektu iespējams realizēs par mazāku finansējumu, kā sākumā plānots.</v>
      </c>
      <c r="AW553" s="139" t="e">
        <f t="shared" si="174"/>
        <v>#VALUE!</v>
      </c>
      <c r="AX553" s="276"/>
      <c r="AY553" s="276"/>
      <c r="AZ553" s="276"/>
      <c r="BA553" s="165"/>
      <c r="BB553" s="147"/>
      <c r="BC553" s="147"/>
      <c r="BD553" s="147"/>
      <c r="BE553" s="147"/>
      <c r="BF553" s="147"/>
      <c r="BG553" s="147"/>
      <c r="BH553" s="149"/>
      <c r="BI553" s="149"/>
      <c r="BJ553" s="149"/>
      <c r="BK553" s="149"/>
      <c r="BL553" s="149"/>
      <c r="BM553" s="149"/>
      <c r="BN553" s="149"/>
    </row>
    <row r="554" spans="1:66" ht="76.5" hidden="1" customHeight="1" x14ac:dyDescent="0.2">
      <c r="A554" s="142" t="s">
        <v>1603</v>
      </c>
      <c r="B554" s="18" t="s">
        <v>106</v>
      </c>
      <c r="C554" s="18" t="s">
        <v>107</v>
      </c>
      <c r="D554" s="19" t="s">
        <v>108</v>
      </c>
      <c r="E554" s="18">
        <v>1</v>
      </c>
      <c r="F554" s="18" t="s">
        <v>109</v>
      </c>
      <c r="G554" s="18" t="s">
        <v>5</v>
      </c>
      <c r="H554" s="18" t="s">
        <v>3</v>
      </c>
      <c r="I554" s="18"/>
      <c r="J554" s="18"/>
      <c r="K554" s="19" t="s">
        <v>111</v>
      </c>
      <c r="L554" s="275" t="s">
        <v>1626</v>
      </c>
      <c r="M554" s="275" t="s">
        <v>1627</v>
      </c>
      <c r="N554" s="19" t="s">
        <v>1629</v>
      </c>
      <c r="O554" s="143">
        <v>43007</v>
      </c>
      <c r="P554" s="143"/>
      <c r="Q554" s="143"/>
      <c r="R554" s="143"/>
      <c r="S554" s="144"/>
      <c r="T554" s="144"/>
      <c r="U554" s="145">
        <v>0</v>
      </c>
      <c r="V554" s="145">
        <v>0</v>
      </c>
      <c r="W554" s="145">
        <v>0</v>
      </c>
      <c r="X554" s="145">
        <f t="shared" si="178"/>
        <v>0</v>
      </c>
      <c r="Y554" s="145">
        <v>0</v>
      </c>
      <c r="Z554" s="145">
        <v>0</v>
      </c>
      <c r="AA554" s="145">
        <v>0</v>
      </c>
      <c r="AB554" s="145">
        <v>0</v>
      </c>
      <c r="AC554" s="145">
        <v>0</v>
      </c>
      <c r="AD554" s="145">
        <v>0</v>
      </c>
      <c r="AE554" s="145">
        <v>0</v>
      </c>
      <c r="AF554" s="145">
        <v>0</v>
      </c>
      <c r="AG554" s="145">
        <v>0</v>
      </c>
      <c r="AH554" s="145">
        <v>0</v>
      </c>
      <c r="AI554" s="145">
        <v>0</v>
      </c>
      <c r="AJ554" s="145">
        <v>0</v>
      </c>
      <c r="AK554" s="145">
        <f t="shared" si="179"/>
        <v>0</v>
      </c>
      <c r="AL554" s="145">
        <v>425000</v>
      </c>
      <c r="AM554" s="145">
        <v>0</v>
      </c>
      <c r="AN554" s="145">
        <v>0</v>
      </c>
      <c r="AO554" s="145">
        <v>0</v>
      </c>
      <c r="AP554" s="145">
        <v>0</v>
      </c>
      <c r="AQ554" s="145">
        <v>0</v>
      </c>
      <c r="AR554" s="145">
        <v>0</v>
      </c>
      <c r="AS554" s="144">
        <f t="shared" ref="AS554:AS590" si="180">U554+V554+W554+AK554+AL554+AM554+AN554+AO554+AP554+AQ554+AR554</f>
        <v>425000</v>
      </c>
      <c r="AT554" s="144"/>
      <c r="AU554" s="146">
        <f t="shared" si="161"/>
        <v>425000</v>
      </c>
      <c r="AV554" s="146">
        <f>IFERROR(VLOOKUP(J554,Maksājumu_pieprasījumu_iesn.!G:BL,57,0),0)</f>
        <v>0</v>
      </c>
      <c r="AW554" s="139">
        <f t="shared" si="174"/>
        <v>-425000</v>
      </c>
      <c r="AX554" s="276"/>
      <c r="AY554" s="276"/>
      <c r="AZ554" s="149" t="s">
        <v>1630</v>
      </c>
      <c r="BA554" s="149" t="s">
        <v>1630</v>
      </c>
      <c r="BB554" s="144"/>
      <c r="BC554" s="144"/>
      <c r="BD554" s="144"/>
      <c r="BE554" s="144"/>
      <c r="BF554" s="144"/>
      <c r="BG554" s="144"/>
      <c r="BH554" s="149"/>
      <c r="BI554" s="149"/>
      <c r="BJ554" s="149"/>
      <c r="BK554" s="149"/>
      <c r="BL554" s="149"/>
      <c r="BM554" s="149"/>
      <c r="BN554" s="149"/>
    </row>
    <row r="555" spans="1:66" ht="38.25" hidden="1" customHeight="1" x14ac:dyDescent="0.2">
      <c r="A555" s="142" t="s">
        <v>1603</v>
      </c>
      <c r="B555" s="18" t="s">
        <v>106</v>
      </c>
      <c r="C555" s="18" t="s">
        <v>107</v>
      </c>
      <c r="D555" s="19" t="s">
        <v>108</v>
      </c>
      <c r="E555" s="18">
        <v>1</v>
      </c>
      <c r="F555" s="18" t="s">
        <v>109</v>
      </c>
      <c r="G555" s="18" t="s">
        <v>5</v>
      </c>
      <c r="H555" s="18" t="s">
        <v>3</v>
      </c>
      <c r="I555" s="18"/>
      <c r="J555" s="56" t="s">
        <v>914</v>
      </c>
      <c r="K555" s="19" t="s">
        <v>111</v>
      </c>
      <c r="L555" s="275" t="s">
        <v>1626</v>
      </c>
      <c r="M555" s="275" t="s">
        <v>1627</v>
      </c>
      <c r="N555" s="19" t="s">
        <v>915</v>
      </c>
      <c r="O555" s="143"/>
      <c r="P555" s="143"/>
      <c r="Q555" s="143"/>
      <c r="R555" s="187" t="s">
        <v>1631</v>
      </c>
      <c r="S555" s="144">
        <v>1338538.1599999999</v>
      </c>
      <c r="T555" s="172"/>
      <c r="U555" s="145">
        <v>0</v>
      </c>
      <c r="V555" s="145">
        <v>0</v>
      </c>
      <c r="W555" s="145">
        <v>0</v>
      </c>
      <c r="X555" s="145">
        <f t="shared" si="178"/>
        <v>0</v>
      </c>
      <c r="Y555" s="145">
        <v>0</v>
      </c>
      <c r="Z555" s="145">
        <v>0</v>
      </c>
      <c r="AA555" s="145">
        <v>0</v>
      </c>
      <c r="AB555" s="145">
        <v>0</v>
      </c>
      <c r="AC555" s="145">
        <v>0</v>
      </c>
      <c r="AD555" s="145">
        <v>0</v>
      </c>
      <c r="AE555" s="145">
        <v>0</v>
      </c>
      <c r="AF555" s="145">
        <v>0</v>
      </c>
      <c r="AG555" s="145">
        <v>0</v>
      </c>
      <c r="AH555" s="145">
        <v>0</v>
      </c>
      <c r="AI555" s="145">
        <v>0</v>
      </c>
      <c r="AJ555" s="145">
        <v>0</v>
      </c>
      <c r="AK555" s="145">
        <f t="shared" si="179"/>
        <v>0</v>
      </c>
      <c r="AL555" s="280">
        <v>1338538.1599999999</v>
      </c>
      <c r="AM555" s="145">
        <v>0</v>
      </c>
      <c r="AN555" s="145">
        <v>0</v>
      </c>
      <c r="AO555" s="145">
        <v>0</v>
      </c>
      <c r="AP555" s="145">
        <v>0</v>
      </c>
      <c r="AQ555" s="145">
        <v>0</v>
      </c>
      <c r="AR555" s="145">
        <v>0</v>
      </c>
      <c r="AS555" s="144">
        <f t="shared" si="180"/>
        <v>1338538.1599999999</v>
      </c>
      <c r="AT555" s="144"/>
      <c r="AU555" s="146">
        <f t="shared" si="161"/>
        <v>1338538.1599999999</v>
      </c>
      <c r="AV555" s="146">
        <f>IFERROR(VLOOKUP(J555,Maksājumu_pieprasījumu_iesn.!G:BL,57,0),0)</f>
        <v>0</v>
      </c>
      <c r="AW555" s="139">
        <f t="shared" si="174"/>
        <v>-1338538.1599999999</v>
      </c>
      <c r="AX555" s="276">
        <f>S555-T555-(AS555-AT555)</f>
        <v>0</v>
      </c>
      <c r="AY555" s="276"/>
      <c r="AZ555" s="276"/>
      <c r="BA555" s="165"/>
      <c r="BB555" s="281"/>
      <c r="BC555" s="281"/>
      <c r="BD555" s="281"/>
      <c r="BE555" s="281"/>
      <c r="BF555" s="281"/>
      <c r="BG555" s="281"/>
      <c r="BH555" s="149"/>
      <c r="BI555" s="149"/>
      <c r="BJ555" s="149"/>
      <c r="BK555" s="149"/>
      <c r="BL555" s="149"/>
      <c r="BM555" s="149"/>
      <c r="BN555" s="149"/>
    </row>
    <row r="556" spans="1:66" ht="25.5" hidden="1" customHeight="1" x14ac:dyDescent="0.2">
      <c r="A556" s="142" t="s">
        <v>1603</v>
      </c>
      <c r="B556" s="18" t="s">
        <v>106</v>
      </c>
      <c r="C556" s="18" t="s">
        <v>107</v>
      </c>
      <c r="D556" s="19" t="s">
        <v>108</v>
      </c>
      <c r="E556" s="18">
        <v>1</v>
      </c>
      <c r="F556" s="18" t="s">
        <v>109</v>
      </c>
      <c r="G556" s="18" t="s">
        <v>5</v>
      </c>
      <c r="H556" s="18" t="s">
        <v>3</v>
      </c>
      <c r="I556" s="18"/>
      <c r="J556" s="18"/>
      <c r="K556" s="19" t="s">
        <v>111</v>
      </c>
      <c r="L556" s="275" t="s">
        <v>1626</v>
      </c>
      <c r="M556" s="275" t="s">
        <v>1627</v>
      </c>
      <c r="N556" s="19" t="s">
        <v>1632</v>
      </c>
      <c r="O556" s="143">
        <v>42916</v>
      </c>
      <c r="P556" s="143"/>
      <c r="Q556" s="143"/>
      <c r="R556" s="143"/>
      <c r="S556" s="144"/>
      <c r="T556" s="144"/>
      <c r="U556" s="145">
        <v>0</v>
      </c>
      <c r="V556" s="145">
        <v>0</v>
      </c>
      <c r="W556" s="145">
        <v>0</v>
      </c>
      <c r="X556" s="145">
        <f t="shared" si="178"/>
        <v>0</v>
      </c>
      <c r="Y556" s="145">
        <v>0</v>
      </c>
      <c r="Z556" s="145">
        <v>0</v>
      </c>
      <c r="AA556" s="145">
        <v>0</v>
      </c>
      <c r="AB556" s="145">
        <v>0</v>
      </c>
      <c r="AC556" s="145">
        <v>0</v>
      </c>
      <c r="AD556" s="145">
        <v>0</v>
      </c>
      <c r="AE556" s="145">
        <v>0</v>
      </c>
      <c r="AF556" s="145">
        <v>0</v>
      </c>
      <c r="AG556" s="145">
        <v>0</v>
      </c>
      <c r="AH556" s="145">
        <v>0</v>
      </c>
      <c r="AI556" s="145">
        <v>0</v>
      </c>
      <c r="AJ556" s="145">
        <v>0</v>
      </c>
      <c r="AK556" s="145">
        <f t="shared" si="179"/>
        <v>0</v>
      </c>
      <c r="AL556" s="145">
        <v>935000</v>
      </c>
      <c r="AM556" s="145">
        <v>0</v>
      </c>
      <c r="AN556" s="145">
        <v>0</v>
      </c>
      <c r="AO556" s="145">
        <v>0</v>
      </c>
      <c r="AP556" s="145">
        <v>0</v>
      </c>
      <c r="AQ556" s="145">
        <v>0</v>
      </c>
      <c r="AR556" s="145">
        <v>0</v>
      </c>
      <c r="AS556" s="144">
        <f t="shared" si="180"/>
        <v>935000</v>
      </c>
      <c r="AT556" s="144"/>
      <c r="AU556" s="146">
        <f t="shared" si="161"/>
        <v>935000</v>
      </c>
      <c r="AV556" s="146">
        <f>IFERROR(VLOOKUP(J556,Maksājumu_pieprasījumu_iesn.!G:BL,57,0),0)</f>
        <v>0</v>
      </c>
      <c r="AW556" s="139">
        <f t="shared" si="174"/>
        <v>-935000</v>
      </c>
      <c r="AX556" s="276"/>
      <c r="AY556" s="276"/>
      <c r="AZ556" s="149" t="s">
        <v>1630</v>
      </c>
      <c r="BA556" s="149" t="s">
        <v>1630</v>
      </c>
      <c r="BB556" s="144"/>
      <c r="BC556" s="144"/>
      <c r="BD556" s="144"/>
      <c r="BE556" s="144"/>
      <c r="BF556" s="144"/>
      <c r="BG556" s="144"/>
      <c r="BH556" s="149"/>
      <c r="BI556" s="149"/>
      <c r="BJ556" s="149"/>
      <c r="BK556" s="149"/>
      <c r="BL556" s="149"/>
      <c r="BM556" s="149"/>
      <c r="BN556" s="149"/>
    </row>
    <row r="557" spans="1:66" ht="25.5" hidden="1" customHeight="1" x14ac:dyDescent="0.2">
      <c r="A557" s="142" t="s">
        <v>1603</v>
      </c>
      <c r="B557" s="18" t="s">
        <v>106</v>
      </c>
      <c r="C557" s="18" t="s">
        <v>107</v>
      </c>
      <c r="D557" s="19" t="s">
        <v>108</v>
      </c>
      <c r="E557" s="18">
        <v>1</v>
      </c>
      <c r="F557" s="18" t="s">
        <v>109</v>
      </c>
      <c r="G557" s="18" t="s">
        <v>5</v>
      </c>
      <c r="H557" s="18" t="s">
        <v>3</v>
      </c>
      <c r="I557" s="18"/>
      <c r="J557" s="18"/>
      <c r="K557" s="19" t="s">
        <v>111</v>
      </c>
      <c r="L557" s="275" t="s">
        <v>1626</v>
      </c>
      <c r="M557" s="275" t="s">
        <v>1627</v>
      </c>
      <c r="N557" s="19" t="s">
        <v>1633</v>
      </c>
      <c r="O557" s="143">
        <v>42916</v>
      </c>
      <c r="P557" s="143"/>
      <c r="Q557" s="143"/>
      <c r="R557" s="143"/>
      <c r="S557" s="144"/>
      <c r="T557" s="144"/>
      <c r="U557" s="145">
        <v>0</v>
      </c>
      <c r="V557" s="145">
        <v>0</v>
      </c>
      <c r="W557" s="145">
        <v>0</v>
      </c>
      <c r="X557" s="145">
        <f t="shared" si="178"/>
        <v>0</v>
      </c>
      <c r="Y557" s="145">
        <v>0</v>
      </c>
      <c r="Z557" s="145">
        <v>0</v>
      </c>
      <c r="AA557" s="145">
        <v>0</v>
      </c>
      <c r="AB557" s="145">
        <v>0</v>
      </c>
      <c r="AC557" s="145">
        <v>0</v>
      </c>
      <c r="AD557" s="145">
        <v>0</v>
      </c>
      <c r="AE557" s="145">
        <v>0</v>
      </c>
      <c r="AF557" s="145">
        <v>0</v>
      </c>
      <c r="AG557" s="145">
        <v>0</v>
      </c>
      <c r="AH557" s="145">
        <v>0</v>
      </c>
      <c r="AI557" s="145">
        <v>0</v>
      </c>
      <c r="AJ557" s="145">
        <v>0</v>
      </c>
      <c r="AK557" s="145">
        <f t="shared" si="179"/>
        <v>0</v>
      </c>
      <c r="AL557" s="145">
        <v>986000</v>
      </c>
      <c r="AM557" s="145">
        <v>0</v>
      </c>
      <c r="AN557" s="145">
        <v>0</v>
      </c>
      <c r="AO557" s="145">
        <v>0</v>
      </c>
      <c r="AP557" s="145">
        <v>0</v>
      </c>
      <c r="AQ557" s="145">
        <v>0</v>
      </c>
      <c r="AR557" s="145">
        <v>0</v>
      </c>
      <c r="AS557" s="144">
        <f t="shared" si="180"/>
        <v>986000</v>
      </c>
      <c r="AT557" s="144"/>
      <c r="AU557" s="146">
        <f t="shared" si="161"/>
        <v>986000</v>
      </c>
      <c r="AV557" s="146">
        <f>IFERROR(VLOOKUP(J557,Maksājumu_pieprasījumu_iesn.!G:BL,57,0),0)</f>
        <v>0</v>
      </c>
      <c r="AW557" s="139">
        <f t="shared" si="174"/>
        <v>-986000</v>
      </c>
      <c r="AX557" s="276"/>
      <c r="AY557" s="276"/>
      <c r="AZ557" s="149" t="s">
        <v>1630</v>
      </c>
      <c r="BA557" s="149" t="s">
        <v>1630</v>
      </c>
      <c r="BB557" s="144"/>
      <c r="BC557" s="144"/>
      <c r="BD557" s="144"/>
      <c r="BE557" s="144"/>
      <c r="BF557" s="144"/>
      <c r="BG557" s="144"/>
      <c r="BH557" s="149"/>
      <c r="BI557" s="149"/>
      <c r="BJ557" s="149"/>
      <c r="BK557" s="149"/>
      <c r="BL557" s="149"/>
      <c r="BM557" s="149"/>
      <c r="BN557" s="149"/>
    </row>
    <row r="558" spans="1:66" ht="25.5" hidden="1" customHeight="1" x14ac:dyDescent="0.2">
      <c r="A558" s="142" t="s">
        <v>1603</v>
      </c>
      <c r="B558" s="18" t="s">
        <v>106</v>
      </c>
      <c r="C558" s="18" t="s">
        <v>107</v>
      </c>
      <c r="D558" s="19" t="s">
        <v>108</v>
      </c>
      <c r="E558" s="18">
        <v>1</v>
      </c>
      <c r="F558" s="18" t="s">
        <v>109</v>
      </c>
      <c r="G558" s="18" t="s">
        <v>5</v>
      </c>
      <c r="H558" s="18" t="s">
        <v>3</v>
      </c>
      <c r="I558" s="18"/>
      <c r="J558" s="18"/>
      <c r="K558" s="19" t="s">
        <v>111</v>
      </c>
      <c r="L558" s="275" t="s">
        <v>1626</v>
      </c>
      <c r="M558" s="275" t="s">
        <v>1627</v>
      </c>
      <c r="N558" s="19" t="s">
        <v>1634</v>
      </c>
      <c r="O558" s="143">
        <v>43189</v>
      </c>
      <c r="P558" s="143"/>
      <c r="Q558" s="143"/>
      <c r="R558" s="143"/>
      <c r="S558" s="144"/>
      <c r="T558" s="144"/>
      <c r="U558" s="145">
        <v>0</v>
      </c>
      <c r="V558" s="145">
        <v>0</v>
      </c>
      <c r="W558" s="145">
        <v>0</v>
      </c>
      <c r="X558" s="145">
        <f t="shared" si="178"/>
        <v>0</v>
      </c>
      <c r="Y558" s="145">
        <v>0</v>
      </c>
      <c r="Z558" s="145">
        <v>0</v>
      </c>
      <c r="AA558" s="145">
        <v>0</v>
      </c>
      <c r="AB558" s="145">
        <v>0</v>
      </c>
      <c r="AC558" s="145">
        <v>0</v>
      </c>
      <c r="AD558" s="145">
        <v>0</v>
      </c>
      <c r="AE558" s="145">
        <v>0</v>
      </c>
      <c r="AF558" s="145">
        <v>0</v>
      </c>
      <c r="AG558" s="145">
        <v>0</v>
      </c>
      <c r="AH558" s="145">
        <v>0</v>
      </c>
      <c r="AI558" s="145">
        <v>0</v>
      </c>
      <c r="AJ558" s="145">
        <v>0</v>
      </c>
      <c r="AK558" s="145">
        <f t="shared" si="179"/>
        <v>0</v>
      </c>
      <c r="AL558" s="145">
        <v>595000</v>
      </c>
      <c r="AM558" s="145">
        <v>578000</v>
      </c>
      <c r="AN558" s="145">
        <v>0</v>
      </c>
      <c r="AO558" s="145">
        <v>0</v>
      </c>
      <c r="AP558" s="145">
        <v>0</v>
      </c>
      <c r="AQ558" s="145">
        <v>0</v>
      </c>
      <c r="AR558" s="145">
        <v>0</v>
      </c>
      <c r="AS558" s="144">
        <f t="shared" si="180"/>
        <v>1173000</v>
      </c>
      <c r="AT558" s="144"/>
      <c r="AU558" s="146">
        <f t="shared" si="161"/>
        <v>1173000</v>
      </c>
      <c r="AV558" s="146">
        <f>IFERROR(VLOOKUP(J558,Maksājumu_pieprasījumu_iesn.!G:BL,57,0),0)</f>
        <v>0</v>
      </c>
      <c r="AW558" s="139">
        <f t="shared" si="174"/>
        <v>-1173000</v>
      </c>
      <c r="AX558" s="276"/>
      <c r="AY558" s="276"/>
      <c r="AZ558" s="149" t="s">
        <v>1630</v>
      </c>
      <c r="BA558" s="149" t="s">
        <v>1630</v>
      </c>
      <c r="BB558" s="144"/>
      <c r="BC558" s="144"/>
      <c r="BD558" s="144"/>
      <c r="BE558" s="144"/>
      <c r="BF558" s="144"/>
      <c r="BG558" s="144"/>
      <c r="BH558" s="149"/>
      <c r="BI558" s="149"/>
      <c r="BJ558" s="149"/>
      <c r="BK558" s="149"/>
      <c r="BL558" s="149"/>
      <c r="BM558" s="149"/>
      <c r="BN558" s="149"/>
    </row>
    <row r="559" spans="1:66" ht="102" hidden="1" customHeight="1" x14ac:dyDescent="0.2">
      <c r="A559" s="142" t="s">
        <v>1603</v>
      </c>
      <c r="B559" s="18" t="s">
        <v>106</v>
      </c>
      <c r="C559" s="18" t="s">
        <v>107</v>
      </c>
      <c r="D559" s="19" t="s">
        <v>108</v>
      </c>
      <c r="E559" s="18">
        <v>1</v>
      </c>
      <c r="F559" s="18" t="s">
        <v>109</v>
      </c>
      <c r="G559" s="18" t="s">
        <v>5</v>
      </c>
      <c r="H559" s="18" t="s">
        <v>3</v>
      </c>
      <c r="I559" s="18"/>
      <c r="J559" s="18"/>
      <c r="K559" s="19" t="s">
        <v>111</v>
      </c>
      <c r="L559" s="275" t="s">
        <v>1626</v>
      </c>
      <c r="M559" s="275" t="s">
        <v>1627</v>
      </c>
      <c r="N559" s="19" t="s">
        <v>1635</v>
      </c>
      <c r="O559" s="143">
        <v>43007</v>
      </c>
      <c r="P559" s="143"/>
      <c r="Q559" s="143"/>
      <c r="R559" s="143"/>
      <c r="S559" s="144"/>
      <c r="T559" s="144"/>
      <c r="U559" s="145">
        <v>0</v>
      </c>
      <c r="V559" s="145">
        <v>0</v>
      </c>
      <c r="W559" s="145">
        <v>0</v>
      </c>
      <c r="X559" s="145">
        <f t="shared" si="178"/>
        <v>0</v>
      </c>
      <c r="Y559" s="145">
        <v>0</v>
      </c>
      <c r="Z559" s="145">
        <v>0</v>
      </c>
      <c r="AA559" s="145">
        <v>0</v>
      </c>
      <c r="AB559" s="145">
        <v>0</v>
      </c>
      <c r="AC559" s="145">
        <v>0</v>
      </c>
      <c r="AD559" s="145">
        <v>0</v>
      </c>
      <c r="AE559" s="145">
        <v>0</v>
      </c>
      <c r="AF559" s="145">
        <v>0</v>
      </c>
      <c r="AG559" s="145">
        <v>0</v>
      </c>
      <c r="AH559" s="145">
        <v>0</v>
      </c>
      <c r="AI559" s="145">
        <v>0</v>
      </c>
      <c r="AJ559" s="145">
        <v>0</v>
      </c>
      <c r="AK559" s="145">
        <f t="shared" si="179"/>
        <v>0</v>
      </c>
      <c r="AL559" s="145">
        <v>892500</v>
      </c>
      <c r="AM559" s="145">
        <v>901000</v>
      </c>
      <c r="AN559" s="145">
        <v>0</v>
      </c>
      <c r="AO559" s="145">
        <v>0</v>
      </c>
      <c r="AP559" s="145">
        <v>0</v>
      </c>
      <c r="AQ559" s="145">
        <v>0</v>
      </c>
      <c r="AR559" s="145">
        <v>0</v>
      </c>
      <c r="AS559" s="144">
        <f t="shared" si="180"/>
        <v>1793500</v>
      </c>
      <c r="AT559" s="144"/>
      <c r="AU559" s="146">
        <f t="shared" si="161"/>
        <v>1793500</v>
      </c>
      <c r="AV559" s="146">
        <f>IFERROR(VLOOKUP(J559,Maksājumu_pieprasījumu_iesn.!G:BL,57,0),0)</f>
        <v>0</v>
      </c>
      <c r="AW559" s="139">
        <f t="shared" si="174"/>
        <v>-1793500</v>
      </c>
      <c r="AX559" s="276"/>
      <c r="AY559" s="276"/>
      <c r="AZ559" s="149" t="s">
        <v>1630</v>
      </c>
      <c r="BA559" s="149" t="s">
        <v>1630</v>
      </c>
      <c r="BB559" s="144"/>
      <c r="BC559" s="144"/>
      <c r="BD559" s="144"/>
      <c r="BE559" s="144"/>
      <c r="BF559" s="144"/>
      <c r="BG559" s="144"/>
      <c r="BH559" s="149"/>
      <c r="BI559" s="149"/>
      <c r="BJ559" s="149"/>
      <c r="BK559" s="149"/>
      <c r="BL559" s="149"/>
      <c r="BM559" s="149"/>
      <c r="BN559" s="149"/>
    </row>
    <row r="560" spans="1:66" ht="63.75" hidden="1" customHeight="1" x14ac:dyDescent="0.2">
      <c r="A560" s="142" t="s">
        <v>1603</v>
      </c>
      <c r="B560" s="18" t="s">
        <v>106</v>
      </c>
      <c r="C560" s="18" t="s">
        <v>107</v>
      </c>
      <c r="D560" s="19" t="s">
        <v>108</v>
      </c>
      <c r="E560" s="18">
        <v>1</v>
      </c>
      <c r="F560" s="18" t="s">
        <v>109</v>
      </c>
      <c r="G560" s="18" t="s">
        <v>5</v>
      </c>
      <c r="H560" s="18" t="s">
        <v>3</v>
      </c>
      <c r="I560" s="18"/>
      <c r="J560" s="18"/>
      <c r="K560" s="19" t="s">
        <v>111</v>
      </c>
      <c r="L560" s="275" t="s">
        <v>1626</v>
      </c>
      <c r="M560" s="275" t="s">
        <v>1627</v>
      </c>
      <c r="N560" s="19" t="s">
        <v>1636</v>
      </c>
      <c r="O560" s="143">
        <v>43189</v>
      </c>
      <c r="P560" s="143"/>
      <c r="Q560" s="143"/>
      <c r="R560" s="143"/>
      <c r="S560" s="144"/>
      <c r="T560" s="144"/>
      <c r="U560" s="145">
        <v>0</v>
      </c>
      <c r="V560" s="145">
        <v>0</v>
      </c>
      <c r="W560" s="145">
        <v>0</v>
      </c>
      <c r="X560" s="145">
        <f t="shared" si="178"/>
        <v>0</v>
      </c>
      <c r="Y560" s="145">
        <v>0</v>
      </c>
      <c r="Z560" s="145">
        <v>0</v>
      </c>
      <c r="AA560" s="145">
        <v>0</v>
      </c>
      <c r="AB560" s="145">
        <v>0</v>
      </c>
      <c r="AC560" s="145">
        <v>0</v>
      </c>
      <c r="AD560" s="145">
        <v>0</v>
      </c>
      <c r="AE560" s="145">
        <v>0</v>
      </c>
      <c r="AF560" s="145">
        <v>0</v>
      </c>
      <c r="AG560" s="145">
        <v>0</v>
      </c>
      <c r="AH560" s="145">
        <v>0</v>
      </c>
      <c r="AI560" s="145">
        <v>0</v>
      </c>
      <c r="AJ560" s="145">
        <v>0</v>
      </c>
      <c r="AK560" s="145">
        <f t="shared" si="179"/>
        <v>0</v>
      </c>
      <c r="AL560" s="145">
        <v>595000</v>
      </c>
      <c r="AM560" s="145">
        <v>1020000</v>
      </c>
      <c r="AN560" s="145">
        <v>0</v>
      </c>
      <c r="AO560" s="145">
        <v>0</v>
      </c>
      <c r="AP560" s="145">
        <v>0</v>
      </c>
      <c r="AQ560" s="145">
        <v>0</v>
      </c>
      <c r="AR560" s="145">
        <v>0</v>
      </c>
      <c r="AS560" s="144">
        <f t="shared" si="180"/>
        <v>1615000</v>
      </c>
      <c r="AT560" s="144"/>
      <c r="AU560" s="146">
        <f t="shared" si="161"/>
        <v>1615000</v>
      </c>
      <c r="AV560" s="146">
        <f>IFERROR(VLOOKUP(J560,Maksājumu_pieprasījumu_iesn.!G:BL,57,0),0)</f>
        <v>0</v>
      </c>
      <c r="AW560" s="139">
        <f t="shared" si="174"/>
        <v>-1615000</v>
      </c>
      <c r="AX560" s="276"/>
      <c r="AY560" s="276"/>
      <c r="AZ560" s="149" t="s">
        <v>1630</v>
      </c>
      <c r="BA560" s="149" t="s">
        <v>1630</v>
      </c>
      <c r="BB560" s="144"/>
      <c r="BC560" s="144"/>
      <c r="BD560" s="144"/>
      <c r="BE560" s="144"/>
      <c r="BF560" s="144"/>
      <c r="BG560" s="144"/>
      <c r="BH560" s="149"/>
      <c r="BI560" s="149"/>
      <c r="BJ560" s="149"/>
      <c r="BK560" s="149"/>
      <c r="BL560" s="149"/>
      <c r="BM560" s="149"/>
      <c r="BN560" s="149"/>
    </row>
    <row r="561" spans="1:66" ht="51" hidden="1" customHeight="1" x14ac:dyDescent="0.2">
      <c r="A561" s="142" t="s">
        <v>1603</v>
      </c>
      <c r="B561" s="18" t="s">
        <v>106</v>
      </c>
      <c r="C561" s="18" t="s">
        <v>107</v>
      </c>
      <c r="D561" s="19" t="s">
        <v>108</v>
      </c>
      <c r="E561" s="18">
        <v>1</v>
      </c>
      <c r="F561" s="18" t="s">
        <v>109</v>
      </c>
      <c r="G561" s="18" t="s">
        <v>5</v>
      </c>
      <c r="H561" s="18" t="s">
        <v>3</v>
      </c>
      <c r="I561" s="18"/>
      <c r="J561" s="18"/>
      <c r="K561" s="19" t="s">
        <v>111</v>
      </c>
      <c r="L561" s="275" t="s">
        <v>1626</v>
      </c>
      <c r="M561" s="275" t="s">
        <v>1627</v>
      </c>
      <c r="N561" s="19" t="s">
        <v>1637</v>
      </c>
      <c r="O561" s="143">
        <v>43007</v>
      </c>
      <c r="P561" s="143"/>
      <c r="Q561" s="143"/>
      <c r="R561" s="143"/>
      <c r="S561" s="144"/>
      <c r="T561" s="144"/>
      <c r="U561" s="145">
        <v>0</v>
      </c>
      <c r="V561" s="145">
        <v>0</v>
      </c>
      <c r="W561" s="145">
        <v>0</v>
      </c>
      <c r="X561" s="145">
        <f t="shared" si="178"/>
        <v>0</v>
      </c>
      <c r="Y561" s="145">
        <v>0</v>
      </c>
      <c r="Z561" s="145">
        <v>0</v>
      </c>
      <c r="AA561" s="145">
        <v>0</v>
      </c>
      <c r="AB561" s="145">
        <v>0</v>
      </c>
      <c r="AC561" s="145">
        <v>0</v>
      </c>
      <c r="AD561" s="145">
        <v>0</v>
      </c>
      <c r="AE561" s="145">
        <v>0</v>
      </c>
      <c r="AF561" s="145">
        <v>0</v>
      </c>
      <c r="AG561" s="145">
        <v>0</v>
      </c>
      <c r="AH561" s="145">
        <v>0</v>
      </c>
      <c r="AI561" s="145">
        <v>0</v>
      </c>
      <c r="AJ561" s="145">
        <v>0</v>
      </c>
      <c r="AK561" s="145">
        <f t="shared" si="179"/>
        <v>0</v>
      </c>
      <c r="AL561" s="145">
        <v>765000</v>
      </c>
      <c r="AM561" s="145">
        <v>935000</v>
      </c>
      <c r="AN561" s="145">
        <v>0</v>
      </c>
      <c r="AO561" s="145">
        <v>0</v>
      </c>
      <c r="AP561" s="145">
        <v>0</v>
      </c>
      <c r="AQ561" s="145">
        <v>0</v>
      </c>
      <c r="AR561" s="145">
        <v>0</v>
      </c>
      <c r="AS561" s="144">
        <f t="shared" si="180"/>
        <v>1700000</v>
      </c>
      <c r="AT561" s="144"/>
      <c r="AU561" s="146">
        <f t="shared" si="161"/>
        <v>1700000</v>
      </c>
      <c r="AV561" s="146">
        <f>IFERROR(VLOOKUP(J561,Maksājumu_pieprasījumu_iesn.!G:BL,57,0),0)</f>
        <v>0</v>
      </c>
      <c r="AW561" s="139">
        <f t="shared" si="174"/>
        <v>-1700000</v>
      </c>
      <c r="AX561" s="276"/>
      <c r="AY561" s="276"/>
      <c r="AZ561" s="149" t="s">
        <v>1630</v>
      </c>
      <c r="BA561" s="149" t="s">
        <v>1630</v>
      </c>
      <c r="BB561" s="144"/>
      <c r="BC561" s="144"/>
      <c r="BD561" s="144"/>
      <c r="BE561" s="144"/>
      <c r="BF561" s="144"/>
      <c r="BG561" s="144"/>
      <c r="BH561" s="149"/>
      <c r="BI561" s="149"/>
      <c r="BJ561" s="149"/>
      <c r="BK561" s="149"/>
      <c r="BL561" s="149"/>
      <c r="BM561" s="149"/>
      <c r="BN561" s="149"/>
    </row>
    <row r="562" spans="1:66" ht="51" hidden="1" customHeight="1" x14ac:dyDescent="0.2">
      <c r="A562" s="142" t="s">
        <v>1603</v>
      </c>
      <c r="B562" s="18" t="s">
        <v>106</v>
      </c>
      <c r="C562" s="18" t="s">
        <v>107</v>
      </c>
      <c r="D562" s="19" t="s">
        <v>108</v>
      </c>
      <c r="E562" s="18">
        <v>1</v>
      </c>
      <c r="F562" s="18" t="s">
        <v>109</v>
      </c>
      <c r="G562" s="18" t="s">
        <v>5</v>
      </c>
      <c r="H562" s="18" t="s">
        <v>3</v>
      </c>
      <c r="I562" s="18"/>
      <c r="J562" s="18" t="s">
        <v>736</v>
      </c>
      <c r="K562" s="19" t="s">
        <v>111</v>
      </c>
      <c r="L562" s="275" t="s">
        <v>1626</v>
      </c>
      <c r="M562" s="275" t="s">
        <v>1627</v>
      </c>
      <c r="N562" s="19" t="s">
        <v>737</v>
      </c>
      <c r="O562" s="143"/>
      <c r="P562" s="143"/>
      <c r="Q562" s="143"/>
      <c r="R562" s="187" t="s">
        <v>1638</v>
      </c>
      <c r="S562" s="144">
        <v>812387.54</v>
      </c>
      <c r="T562" s="172"/>
      <c r="U562" s="145">
        <v>0</v>
      </c>
      <c r="V562" s="145">
        <v>0</v>
      </c>
      <c r="W562" s="145">
        <v>0</v>
      </c>
      <c r="X562" s="145">
        <f t="shared" si="178"/>
        <v>0</v>
      </c>
      <c r="Y562" s="145">
        <v>0</v>
      </c>
      <c r="Z562" s="145">
        <v>0</v>
      </c>
      <c r="AA562" s="145">
        <v>0</v>
      </c>
      <c r="AB562" s="145">
        <v>0</v>
      </c>
      <c r="AC562" s="145">
        <v>0</v>
      </c>
      <c r="AD562" s="145">
        <v>0</v>
      </c>
      <c r="AE562" s="145">
        <v>0</v>
      </c>
      <c r="AF562" s="145">
        <v>0</v>
      </c>
      <c r="AG562" s="145">
        <v>0</v>
      </c>
      <c r="AH562" s="145">
        <v>0</v>
      </c>
      <c r="AI562" s="145">
        <v>0</v>
      </c>
      <c r="AJ562" s="145">
        <v>0</v>
      </c>
      <c r="AK562" s="145">
        <f t="shared" si="179"/>
        <v>0</v>
      </c>
      <c r="AL562" s="145">
        <v>812387.54</v>
      </c>
      <c r="AM562" s="145">
        <v>0</v>
      </c>
      <c r="AN562" s="145">
        <v>0</v>
      </c>
      <c r="AO562" s="145">
        <v>0</v>
      </c>
      <c r="AP562" s="145">
        <v>0</v>
      </c>
      <c r="AQ562" s="145">
        <v>0</v>
      </c>
      <c r="AR562" s="145">
        <v>0</v>
      </c>
      <c r="AS562" s="144">
        <f t="shared" si="180"/>
        <v>812387.54</v>
      </c>
      <c r="AT562" s="144">
        <v>0</v>
      </c>
      <c r="AU562" s="146">
        <f t="shared" si="161"/>
        <v>812387.54</v>
      </c>
      <c r="AV562" s="146">
        <f>IFERROR(VLOOKUP(J562,Maksājumu_pieprasījumu_iesn.!G:BL,57,0),0)</f>
        <v>0</v>
      </c>
      <c r="AW562" s="139">
        <f t="shared" si="174"/>
        <v>-812387.54</v>
      </c>
      <c r="AX562" s="276">
        <f>S562-T562-(AS562-AT562)</f>
        <v>0</v>
      </c>
      <c r="AY562" s="276"/>
      <c r="AZ562" s="276"/>
      <c r="BA562" s="165"/>
      <c r="BB562" s="144"/>
      <c r="BC562" s="144"/>
      <c r="BD562" s="144"/>
      <c r="BE562" s="144"/>
      <c r="BF562" s="144"/>
      <c r="BG562" s="144"/>
      <c r="BH562" s="149"/>
      <c r="BI562" s="149"/>
      <c r="BJ562" s="149"/>
      <c r="BK562" s="149"/>
      <c r="BL562" s="149"/>
      <c r="BM562" s="149"/>
      <c r="BN562" s="149"/>
    </row>
    <row r="563" spans="1:66" ht="38.25" hidden="1" customHeight="1" x14ac:dyDescent="0.2">
      <c r="A563" s="142" t="s">
        <v>1603</v>
      </c>
      <c r="B563" s="18" t="s">
        <v>106</v>
      </c>
      <c r="C563" s="18" t="s">
        <v>107</v>
      </c>
      <c r="D563" s="19" t="s">
        <v>108</v>
      </c>
      <c r="E563" s="18">
        <v>1</v>
      </c>
      <c r="F563" s="18" t="s">
        <v>109</v>
      </c>
      <c r="G563" s="18" t="s">
        <v>5</v>
      </c>
      <c r="H563" s="18" t="s">
        <v>3</v>
      </c>
      <c r="I563" s="18"/>
      <c r="J563" s="18"/>
      <c r="K563" s="19" t="s">
        <v>111</v>
      </c>
      <c r="L563" s="275" t="s">
        <v>1626</v>
      </c>
      <c r="M563" s="275" t="s">
        <v>1627</v>
      </c>
      <c r="N563" s="19" t="s">
        <v>1639</v>
      </c>
      <c r="O563" s="143">
        <v>43038</v>
      </c>
      <c r="P563" s="143"/>
      <c r="Q563" s="143"/>
      <c r="R563" s="143"/>
      <c r="S563" s="144"/>
      <c r="T563" s="144"/>
      <c r="U563" s="145">
        <v>0</v>
      </c>
      <c r="V563" s="145">
        <v>0</v>
      </c>
      <c r="W563" s="145">
        <v>0</v>
      </c>
      <c r="X563" s="145">
        <f t="shared" si="178"/>
        <v>0</v>
      </c>
      <c r="Y563" s="145">
        <v>0</v>
      </c>
      <c r="Z563" s="145">
        <v>0</v>
      </c>
      <c r="AA563" s="145">
        <v>0</v>
      </c>
      <c r="AB563" s="145">
        <v>0</v>
      </c>
      <c r="AC563" s="145">
        <v>0</v>
      </c>
      <c r="AD563" s="145">
        <v>0</v>
      </c>
      <c r="AE563" s="145">
        <v>0</v>
      </c>
      <c r="AF563" s="145">
        <v>0</v>
      </c>
      <c r="AG563" s="145">
        <v>0</v>
      </c>
      <c r="AH563" s="145">
        <v>0</v>
      </c>
      <c r="AI563" s="145">
        <v>0</v>
      </c>
      <c r="AJ563" s="145">
        <v>0</v>
      </c>
      <c r="AK563" s="145">
        <f t="shared" si="179"/>
        <v>0</v>
      </c>
      <c r="AL563" s="145">
        <v>212500</v>
      </c>
      <c r="AM563" s="145">
        <v>603500</v>
      </c>
      <c r="AN563" s="145">
        <v>0</v>
      </c>
      <c r="AO563" s="145">
        <v>0</v>
      </c>
      <c r="AP563" s="145">
        <v>0</v>
      </c>
      <c r="AQ563" s="145">
        <v>0</v>
      </c>
      <c r="AR563" s="145">
        <v>0</v>
      </c>
      <c r="AS563" s="144">
        <f t="shared" si="180"/>
        <v>816000</v>
      </c>
      <c r="AT563" s="144"/>
      <c r="AU563" s="146">
        <f t="shared" si="161"/>
        <v>816000</v>
      </c>
      <c r="AV563" s="146">
        <f>IFERROR(VLOOKUP(J563,Maksājumu_pieprasījumu_iesn.!G:BL,57,0),0)</f>
        <v>0</v>
      </c>
      <c r="AW563" s="139">
        <f t="shared" si="174"/>
        <v>-816000</v>
      </c>
      <c r="AX563" s="276"/>
      <c r="AY563" s="276"/>
      <c r="AZ563" s="149" t="s">
        <v>1630</v>
      </c>
      <c r="BA563" s="149" t="s">
        <v>1630</v>
      </c>
      <c r="BB563" s="144"/>
      <c r="BC563" s="144"/>
      <c r="BD563" s="144"/>
      <c r="BE563" s="144"/>
      <c r="BF563" s="144"/>
      <c r="BG563" s="144"/>
      <c r="BH563" s="149"/>
      <c r="BI563" s="149"/>
      <c r="BJ563" s="149"/>
      <c r="BK563" s="149"/>
      <c r="BL563" s="149"/>
      <c r="BM563" s="149"/>
      <c r="BN563" s="149"/>
    </row>
    <row r="564" spans="1:66" ht="63.75" hidden="1" customHeight="1" x14ac:dyDescent="0.2">
      <c r="A564" s="142" t="s">
        <v>1603</v>
      </c>
      <c r="B564" s="18" t="s">
        <v>106</v>
      </c>
      <c r="C564" s="18" t="s">
        <v>107</v>
      </c>
      <c r="D564" s="19" t="s">
        <v>108</v>
      </c>
      <c r="E564" s="18">
        <v>1</v>
      </c>
      <c r="F564" s="18" t="s">
        <v>109</v>
      </c>
      <c r="G564" s="18" t="s">
        <v>5</v>
      </c>
      <c r="H564" s="18" t="s">
        <v>3</v>
      </c>
      <c r="I564" s="18"/>
      <c r="J564" s="18" t="s">
        <v>916</v>
      </c>
      <c r="K564" s="19" t="s">
        <v>111</v>
      </c>
      <c r="L564" s="275" t="s">
        <v>1626</v>
      </c>
      <c r="M564" s="275" t="s">
        <v>1627</v>
      </c>
      <c r="N564" s="19" t="s">
        <v>917</v>
      </c>
      <c r="O564" s="143"/>
      <c r="P564" s="143"/>
      <c r="Q564" s="143"/>
      <c r="R564" s="187" t="s">
        <v>1640</v>
      </c>
      <c r="S564" s="144">
        <v>975380.8</v>
      </c>
      <c r="T564" s="172"/>
      <c r="U564" s="145">
        <v>0</v>
      </c>
      <c r="V564" s="145">
        <v>0</v>
      </c>
      <c r="W564" s="145">
        <v>0</v>
      </c>
      <c r="X564" s="145">
        <f t="shared" si="178"/>
        <v>0</v>
      </c>
      <c r="Y564" s="145">
        <v>0</v>
      </c>
      <c r="Z564" s="145">
        <v>0</v>
      </c>
      <c r="AA564" s="145">
        <v>0</v>
      </c>
      <c r="AB564" s="145">
        <v>0</v>
      </c>
      <c r="AC564" s="145">
        <v>0</v>
      </c>
      <c r="AD564" s="145">
        <v>0</v>
      </c>
      <c r="AE564" s="145">
        <v>0</v>
      </c>
      <c r="AF564" s="145">
        <v>0</v>
      </c>
      <c r="AG564" s="145">
        <v>0</v>
      </c>
      <c r="AH564" s="145">
        <v>0</v>
      </c>
      <c r="AI564" s="145">
        <v>0</v>
      </c>
      <c r="AJ564" s="145">
        <v>0</v>
      </c>
      <c r="AK564" s="145">
        <f t="shared" si="179"/>
        <v>0</v>
      </c>
      <c r="AL564" s="145">
        <v>975380.8</v>
      </c>
      <c r="AM564" s="145">
        <v>0</v>
      </c>
      <c r="AN564" s="145">
        <v>0</v>
      </c>
      <c r="AO564" s="145">
        <v>0</v>
      </c>
      <c r="AP564" s="145">
        <v>0</v>
      </c>
      <c r="AQ564" s="145">
        <v>0</v>
      </c>
      <c r="AR564" s="145">
        <v>0</v>
      </c>
      <c r="AS564" s="144">
        <f t="shared" si="180"/>
        <v>975380.8</v>
      </c>
      <c r="AT564" s="144">
        <v>0</v>
      </c>
      <c r="AU564" s="146">
        <f t="shared" si="161"/>
        <v>975380.8</v>
      </c>
      <c r="AV564" s="146">
        <f>IFERROR(VLOOKUP(J564,Maksājumu_pieprasījumu_iesn.!G:BL,57,0),0)</f>
        <v>0</v>
      </c>
      <c r="AW564" s="139">
        <f t="shared" si="174"/>
        <v>-975380.8</v>
      </c>
      <c r="AX564" s="276">
        <f>S564-T564-(AS564-AT564)</f>
        <v>0</v>
      </c>
      <c r="AY564" s="276"/>
      <c r="AZ564" s="276"/>
      <c r="BA564" s="165"/>
      <c r="BB564" s="144"/>
      <c r="BC564" s="144"/>
      <c r="BD564" s="144"/>
      <c r="BE564" s="144"/>
      <c r="BF564" s="144"/>
      <c r="BG564" s="144"/>
      <c r="BH564" s="149"/>
      <c r="BI564" s="149"/>
      <c r="BJ564" s="149"/>
      <c r="BK564" s="149"/>
      <c r="BL564" s="149"/>
      <c r="BM564" s="149"/>
      <c r="BN564" s="149"/>
    </row>
    <row r="565" spans="1:66" ht="51" hidden="1" customHeight="1" x14ac:dyDescent="0.2">
      <c r="A565" s="142" t="s">
        <v>1603</v>
      </c>
      <c r="B565" s="18" t="s">
        <v>106</v>
      </c>
      <c r="C565" s="18" t="s">
        <v>107</v>
      </c>
      <c r="D565" s="19" t="s">
        <v>108</v>
      </c>
      <c r="E565" s="18">
        <v>1</v>
      </c>
      <c r="F565" s="18" t="s">
        <v>109</v>
      </c>
      <c r="G565" s="18" t="s">
        <v>5</v>
      </c>
      <c r="H565" s="18" t="s">
        <v>3</v>
      </c>
      <c r="I565" s="18"/>
      <c r="J565" s="18"/>
      <c r="K565" s="19" t="s">
        <v>111</v>
      </c>
      <c r="L565" s="275" t="s">
        <v>1626</v>
      </c>
      <c r="M565" s="275" t="s">
        <v>1627</v>
      </c>
      <c r="N565" s="19" t="s">
        <v>1641</v>
      </c>
      <c r="O565" s="143">
        <v>42978</v>
      </c>
      <c r="P565" s="143"/>
      <c r="Q565" s="143"/>
      <c r="R565" s="143"/>
      <c r="S565" s="144"/>
      <c r="T565" s="144"/>
      <c r="U565" s="145">
        <v>0</v>
      </c>
      <c r="V565" s="145">
        <v>0</v>
      </c>
      <c r="W565" s="145">
        <v>0</v>
      </c>
      <c r="X565" s="145">
        <f t="shared" si="178"/>
        <v>0</v>
      </c>
      <c r="Y565" s="145">
        <v>0</v>
      </c>
      <c r="Z565" s="145">
        <v>0</v>
      </c>
      <c r="AA565" s="145">
        <v>0</v>
      </c>
      <c r="AB565" s="145">
        <v>0</v>
      </c>
      <c r="AC565" s="145">
        <v>0</v>
      </c>
      <c r="AD565" s="145">
        <v>0</v>
      </c>
      <c r="AE565" s="145">
        <v>0</v>
      </c>
      <c r="AF565" s="145">
        <v>0</v>
      </c>
      <c r="AG565" s="145">
        <v>0</v>
      </c>
      <c r="AH565" s="145">
        <v>0</v>
      </c>
      <c r="AI565" s="145">
        <v>0</v>
      </c>
      <c r="AJ565" s="145">
        <v>0</v>
      </c>
      <c r="AK565" s="145">
        <f t="shared" si="179"/>
        <v>0</v>
      </c>
      <c r="AL565" s="145">
        <v>272000</v>
      </c>
      <c r="AM565" s="145">
        <v>0</v>
      </c>
      <c r="AN565" s="145">
        <v>0</v>
      </c>
      <c r="AO565" s="145">
        <v>0</v>
      </c>
      <c r="AP565" s="145">
        <v>0</v>
      </c>
      <c r="AQ565" s="145">
        <v>0</v>
      </c>
      <c r="AR565" s="145">
        <v>0</v>
      </c>
      <c r="AS565" s="144">
        <f t="shared" si="180"/>
        <v>272000</v>
      </c>
      <c r="AT565" s="144"/>
      <c r="AU565" s="146">
        <f t="shared" si="161"/>
        <v>272000</v>
      </c>
      <c r="AV565" s="146">
        <f>IFERROR(VLOOKUP(J565,Maksājumu_pieprasījumu_iesn.!G:BL,57,0),0)</f>
        <v>0</v>
      </c>
      <c r="AW565" s="139">
        <f t="shared" si="174"/>
        <v>-272000</v>
      </c>
      <c r="AX565" s="276"/>
      <c r="AY565" s="276"/>
      <c r="AZ565" s="149" t="s">
        <v>1630</v>
      </c>
      <c r="BA565" s="149" t="s">
        <v>1630</v>
      </c>
      <c r="BB565" s="144"/>
      <c r="BC565" s="144"/>
      <c r="BD565" s="144"/>
      <c r="BE565" s="144"/>
      <c r="BF565" s="144"/>
      <c r="BG565" s="144"/>
      <c r="BH565" s="149"/>
      <c r="BI565" s="149"/>
      <c r="BJ565" s="149"/>
      <c r="BK565" s="149"/>
      <c r="BL565" s="149"/>
      <c r="BM565" s="149"/>
      <c r="BN565" s="149"/>
    </row>
    <row r="566" spans="1:66" ht="51" hidden="1" customHeight="1" x14ac:dyDescent="0.2">
      <c r="A566" s="142" t="s">
        <v>1603</v>
      </c>
      <c r="B566" s="18" t="s">
        <v>106</v>
      </c>
      <c r="C566" s="18" t="s">
        <v>107</v>
      </c>
      <c r="D566" s="19" t="s">
        <v>108</v>
      </c>
      <c r="E566" s="18">
        <v>1</v>
      </c>
      <c r="F566" s="18" t="s">
        <v>109</v>
      </c>
      <c r="G566" s="18" t="s">
        <v>5</v>
      </c>
      <c r="H566" s="18" t="s">
        <v>3</v>
      </c>
      <c r="I566" s="18"/>
      <c r="J566" s="18" t="s">
        <v>738</v>
      </c>
      <c r="K566" s="19" t="s">
        <v>111</v>
      </c>
      <c r="L566" s="275" t="s">
        <v>1626</v>
      </c>
      <c r="M566" s="275" t="s">
        <v>1627</v>
      </c>
      <c r="N566" s="19" t="s">
        <v>739</v>
      </c>
      <c r="O566" s="143"/>
      <c r="P566" s="143"/>
      <c r="Q566" s="143"/>
      <c r="R566" s="187" t="s">
        <v>1642</v>
      </c>
      <c r="S566" s="144">
        <v>1335174.68</v>
      </c>
      <c r="T566" s="172"/>
      <c r="U566" s="145">
        <v>0</v>
      </c>
      <c r="V566" s="145">
        <v>0</v>
      </c>
      <c r="W566" s="145">
        <v>0</v>
      </c>
      <c r="X566" s="145">
        <f t="shared" si="178"/>
        <v>0</v>
      </c>
      <c r="Y566" s="145">
        <v>0</v>
      </c>
      <c r="Z566" s="145">
        <v>0</v>
      </c>
      <c r="AA566" s="145">
        <v>0</v>
      </c>
      <c r="AB566" s="145">
        <v>0</v>
      </c>
      <c r="AC566" s="145">
        <v>0</v>
      </c>
      <c r="AD566" s="145">
        <v>0</v>
      </c>
      <c r="AE566" s="145">
        <v>0</v>
      </c>
      <c r="AF566" s="145">
        <v>0</v>
      </c>
      <c r="AG566" s="145">
        <v>0</v>
      </c>
      <c r="AH566" s="145">
        <v>0</v>
      </c>
      <c r="AI566" s="145">
        <v>0</v>
      </c>
      <c r="AJ566" s="145">
        <v>0</v>
      </c>
      <c r="AK566" s="145">
        <f t="shared" si="179"/>
        <v>0</v>
      </c>
      <c r="AL566" s="145">
        <v>1335174.6800000002</v>
      </c>
      <c r="AM566" s="145">
        <v>0</v>
      </c>
      <c r="AN566" s="145">
        <v>0</v>
      </c>
      <c r="AO566" s="145">
        <v>0</v>
      </c>
      <c r="AP566" s="145">
        <v>0</v>
      </c>
      <c r="AQ566" s="145">
        <v>0</v>
      </c>
      <c r="AR566" s="145">
        <v>0</v>
      </c>
      <c r="AS566" s="144">
        <f t="shared" si="180"/>
        <v>1335174.6800000002</v>
      </c>
      <c r="AT566" s="144">
        <v>0</v>
      </c>
      <c r="AU566" s="146">
        <f t="shared" si="161"/>
        <v>1335174.6800000002</v>
      </c>
      <c r="AV566" s="146">
        <f>IFERROR(VLOOKUP(J566,Maksājumu_pieprasījumu_iesn.!G:BL,57,0),0)</f>
        <v>0</v>
      </c>
      <c r="AW566" s="139">
        <f t="shared" si="174"/>
        <v>-1335174.6800000002</v>
      </c>
      <c r="AX566" s="276">
        <f>S566-T566-(AS566-AT566)</f>
        <v>0</v>
      </c>
      <c r="AY566" s="276"/>
      <c r="AZ566" s="276"/>
      <c r="BA566" s="165"/>
      <c r="BB566" s="144"/>
      <c r="BC566" s="144"/>
      <c r="BD566" s="144"/>
      <c r="BE566" s="144"/>
      <c r="BF566" s="144"/>
      <c r="BG566" s="144"/>
      <c r="BH566" s="149"/>
      <c r="BI566" s="149"/>
      <c r="BJ566" s="149"/>
      <c r="BK566" s="149"/>
      <c r="BL566" s="149"/>
      <c r="BM566" s="149"/>
      <c r="BN566" s="149"/>
    </row>
    <row r="567" spans="1:66" ht="38.25" hidden="1" customHeight="1" x14ac:dyDescent="0.2">
      <c r="A567" s="142" t="s">
        <v>1603</v>
      </c>
      <c r="B567" s="18" t="s">
        <v>106</v>
      </c>
      <c r="C567" s="18" t="s">
        <v>107</v>
      </c>
      <c r="D567" s="19" t="s">
        <v>108</v>
      </c>
      <c r="E567" s="18">
        <v>1</v>
      </c>
      <c r="F567" s="18" t="s">
        <v>109</v>
      </c>
      <c r="G567" s="18" t="s">
        <v>5</v>
      </c>
      <c r="H567" s="18" t="s">
        <v>3</v>
      </c>
      <c r="I567" s="18"/>
      <c r="J567" s="18"/>
      <c r="K567" s="19" t="s">
        <v>111</v>
      </c>
      <c r="L567" s="275" t="s">
        <v>1626</v>
      </c>
      <c r="M567" s="275" t="s">
        <v>1627</v>
      </c>
      <c r="N567" s="19" t="s">
        <v>1643</v>
      </c>
      <c r="O567" s="143">
        <v>43280</v>
      </c>
      <c r="P567" s="143"/>
      <c r="Q567" s="143"/>
      <c r="R567" s="143"/>
      <c r="S567" s="144"/>
      <c r="T567" s="144"/>
      <c r="U567" s="145">
        <v>0</v>
      </c>
      <c r="V567" s="145">
        <v>0</v>
      </c>
      <c r="W567" s="145">
        <v>0</v>
      </c>
      <c r="X567" s="145">
        <f t="shared" si="178"/>
        <v>0</v>
      </c>
      <c r="Y567" s="145">
        <v>0</v>
      </c>
      <c r="Z567" s="145">
        <v>0</v>
      </c>
      <c r="AA567" s="145">
        <v>0</v>
      </c>
      <c r="AB567" s="145">
        <v>0</v>
      </c>
      <c r="AC567" s="145">
        <v>0</v>
      </c>
      <c r="AD567" s="145">
        <v>0</v>
      </c>
      <c r="AE567" s="145">
        <v>0</v>
      </c>
      <c r="AF567" s="145">
        <v>0</v>
      </c>
      <c r="AG567" s="145">
        <v>0</v>
      </c>
      <c r="AH567" s="145">
        <v>0</v>
      </c>
      <c r="AI567" s="145">
        <v>0</v>
      </c>
      <c r="AJ567" s="145">
        <v>0</v>
      </c>
      <c r="AK567" s="145">
        <f t="shared" si="179"/>
        <v>0</v>
      </c>
      <c r="AL567" s="145">
        <v>331500</v>
      </c>
      <c r="AM567" s="145">
        <v>85000</v>
      </c>
      <c r="AN567" s="145">
        <v>0</v>
      </c>
      <c r="AO567" s="145">
        <v>0</v>
      </c>
      <c r="AP567" s="145">
        <v>0</v>
      </c>
      <c r="AQ567" s="145">
        <v>0</v>
      </c>
      <c r="AR567" s="145">
        <v>0</v>
      </c>
      <c r="AS567" s="144">
        <f t="shared" si="180"/>
        <v>416500</v>
      </c>
      <c r="AT567" s="144"/>
      <c r="AU567" s="146">
        <f t="shared" si="161"/>
        <v>416500</v>
      </c>
      <c r="AV567" s="146">
        <f>IFERROR(VLOOKUP(J567,Maksājumu_pieprasījumu_iesn.!G:BL,57,0),0)</f>
        <v>0</v>
      </c>
      <c r="AW567" s="139">
        <f t="shared" si="174"/>
        <v>-416500</v>
      </c>
      <c r="AX567" s="276"/>
      <c r="AY567" s="276"/>
      <c r="AZ567" s="149" t="s">
        <v>1630</v>
      </c>
      <c r="BA567" s="149" t="s">
        <v>1630</v>
      </c>
      <c r="BB567" s="144"/>
      <c r="BC567" s="144"/>
      <c r="BD567" s="144"/>
      <c r="BE567" s="144"/>
      <c r="BF567" s="144"/>
      <c r="BG567" s="144"/>
      <c r="BH567" s="149"/>
      <c r="BI567" s="149"/>
      <c r="BJ567" s="149"/>
      <c r="BK567" s="149"/>
      <c r="BL567" s="149"/>
      <c r="BM567" s="149"/>
      <c r="BN567" s="149"/>
    </row>
    <row r="568" spans="1:66" ht="63.75" hidden="1" customHeight="1" x14ac:dyDescent="0.2">
      <c r="A568" s="142" t="s">
        <v>1603</v>
      </c>
      <c r="B568" s="18" t="s">
        <v>106</v>
      </c>
      <c r="C568" s="18" t="s">
        <v>107</v>
      </c>
      <c r="D568" s="19" t="s">
        <v>108</v>
      </c>
      <c r="E568" s="18">
        <v>1</v>
      </c>
      <c r="F568" s="18" t="s">
        <v>109</v>
      </c>
      <c r="G568" s="18" t="s">
        <v>5</v>
      </c>
      <c r="H568" s="18" t="s">
        <v>3</v>
      </c>
      <c r="I568" s="18"/>
      <c r="J568" s="18"/>
      <c r="K568" s="19" t="s">
        <v>111</v>
      </c>
      <c r="L568" s="275" t="s">
        <v>1626</v>
      </c>
      <c r="M568" s="275" t="s">
        <v>1627</v>
      </c>
      <c r="N568" s="19" t="s">
        <v>1644</v>
      </c>
      <c r="O568" s="143">
        <v>43007</v>
      </c>
      <c r="P568" s="143"/>
      <c r="Q568" s="143"/>
      <c r="R568" s="143"/>
      <c r="S568" s="144"/>
      <c r="T568" s="144"/>
      <c r="U568" s="145">
        <v>0</v>
      </c>
      <c r="V568" s="145">
        <v>0</v>
      </c>
      <c r="W568" s="145">
        <v>0</v>
      </c>
      <c r="X568" s="145">
        <f t="shared" si="178"/>
        <v>0</v>
      </c>
      <c r="Y568" s="145">
        <v>0</v>
      </c>
      <c r="Z568" s="145">
        <v>0</v>
      </c>
      <c r="AA568" s="145">
        <v>0</v>
      </c>
      <c r="AB568" s="145">
        <v>0</v>
      </c>
      <c r="AC568" s="145">
        <v>0</v>
      </c>
      <c r="AD568" s="145">
        <v>0</v>
      </c>
      <c r="AE568" s="145">
        <v>0</v>
      </c>
      <c r="AF568" s="145">
        <v>0</v>
      </c>
      <c r="AG568" s="145">
        <v>0</v>
      </c>
      <c r="AH568" s="145">
        <v>0</v>
      </c>
      <c r="AI568" s="145">
        <v>0</v>
      </c>
      <c r="AJ568" s="145">
        <v>0</v>
      </c>
      <c r="AK568" s="145">
        <f t="shared" si="179"/>
        <v>0</v>
      </c>
      <c r="AL568" s="145">
        <v>314500</v>
      </c>
      <c r="AM568" s="145">
        <v>0</v>
      </c>
      <c r="AN568" s="145">
        <v>0</v>
      </c>
      <c r="AO568" s="145">
        <v>0</v>
      </c>
      <c r="AP568" s="145">
        <v>0</v>
      </c>
      <c r="AQ568" s="145">
        <v>0</v>
      </c>
      <c r="AR568" s="145">
        <v>0</v>
      </c>
      <c r="AS568" s="144">
        <f t="shared" si="180"/>
        <v>314500</v>
      </c>
      <c r="AT568" s="144"/>
      <c r="AU568" s="146">
        <f t="shared" si="161"/>
        <v>314500</v>
      </c>
      <c r="AV568" s="146">
        <f>IFERROR(VLOOKUP(J568,Maksājumu_pieprasījumu_iesn.!G:BL,57,0),0)</f>
        <v>0</v>
      </c>
      <c r="AW568" s="139">
        <f t="shared" si="174"/>
        <v>-314500</v>
      </c>
      <c r="AX568" s="276"/>
      <c r="AY568" s="276"/>
      <c r="AZ568" s="149" t="s">
        <v>1630</v>
      </c>
      <c r="BA568" s="149" t="s">
        <v>1630</v>
      </c>
      <c r="BB568" s="144"/>
      <c r="BC568" s="144"/>
      <c r="BD568" s="144"/>
      <c r="BE568" s="144"/>
      <c r="BF568" s="144"/>
      <c r="BG568" s="144"/>
      <c r="BH568" s="149"/>
      <c r="BI568" s="149"/>
      <c r="BJ568" s="149"/>
      <c r="BK568" s="149"/>
      <c r="BL568" s="149"/>
      <c r="BM568" s="149"/>
      <c r="BN568" s="149"/>
    </row>
    <row r="569" spans="1:66" ht="51" hidden="1" customHeight="1" x14ac:dyDescent="0.2">
      <c r="A569" s="142" t="s">
        <v>1603</v>
      </c>
      <c r="B569" s="18" t="s">
        <v>106</v>
      </c>
      <c r="C569" s="18" t="s">
        <v>107</v>
      </c>
      <c r="D569" s="19" t="s">
        <v>108</v>
      </c>
      <c r="E569" s="18">
        <v>1</v>
      </c>
      <c r="F569" s="18" t="s">
        <v>109</v>
      </c>
      <c r="G569" s="18" t="s">
        <v>5</v>
      </c>
      <c r="H569" s="18" t="s">
        <v>3</v>
      </c>
      <c r="I569" s="18"/>
      <c r="J569" s="56" t="s">
        <v>918</v>
      </c>
      <c r="K569" s="19" t="s">
        <v>111</v>
      </c>
      <c r="L569" s="275" t="s">
        <v>1626</v>
      </c>
      <c r="M569" s="275" t="s">
        <v>1627</v>
      </c>
      <c r="N569" s="19" t="s">
        <v>919</v>
      </c>
      <c r="O569" s="143"/>
      <c r="P569" s="143"/>
      <c r="Q569" s="143"/>
      <c r="R569" s="187" t="s">
        <v>1536</v>
      </c>
      <c r="S569" s="144">
        <v>565906.32999999996</v>
      </c>
      <c r="T569" s="172"/>
      <c r="U569" s="145">
        <v>0</v>
      </c>
      <c r="V569" s="145">
        <v>0</v>
      </c>
      <c r="W569" s="145">
        <v>0</v>
      </c>
      <c r="X569" s="145">
        <f t="shared" si="178"/>
        <v>0</v>
      </c>
      <c r="Y569" s="145">
        <v>0</v>
      </c>
      <c r="Z569" s="145">
        <v>0</v>
      </c>
      <c r="AA569" s="145">
        <v>0</v>
      </c>
      <c r="AB569" s="145">
        <v>0</v>
      </c>
      <c r="AC569" s="145">
        <v>0</v>
      </c>
      <c r="AD569" s="145">
        <v>0</v>
      </c>
      <c r="AE569" s="145">
        <v>0</v>
      </c>
      <c r="AF569" s="145">
        <v>0</v>
      </c>
      <c r="AG569" s="145">
        <v>0</v>
      </c>
      <c r="AH569" s="145">
        <v>0</v>
      </c>
      <c r="AI569" s="145">
        <v>0</v>
      </c>
      <c r="AJ569" s="145">
        <v>0</v>
      </c>
      <c r="AK569" s="145">
        <f t="shared" si="179"/>
        <v>0</v>
      </c>
      <c r="AL569" s="145">
        <v>565906.32999999996</v>
      </c>
      <c r="AM569" s="145">
        <v>0</v>
      </c>
      <c r="AN569" s="145">
        <v>0</v>
      </c>
      <c r="AO569" s="145">
        <v>0</v>
      </c>
      <c r="AP569" s="145">
        <v>0</v>
      </c>
      <c r="AQ569" s="145">
        <v>0</v>
      </c>
      <c r="AR569" s="145">
        <v>0</v>
      </c>
      <c r="AS569" s="144">
        <f t="shared" si="180"/>
        <v>565906.32999999996</v>
      </c>
      <c r="AT569" s="144">
        <v>0</v>
      </c>
      <c r="AU569" s="146">
        <f t="shared" si="161"/>
        <v>565906.32999999996</v>
      </c>
      <c r="AV569" s="146">
        <f>IFERROR(VLOOKUP(J569,Maksājumu_pieprasījumu_iesn.!G:BL,57,0),0)</f>
        <v>0</v>
      </c>
      <c r="AW569" s="139">
        <f t="shared" si="174"/>
        <v>-565906.32999999996</v>
      </c>
      <c r="AX569" s="276">
        <f>S569-T569-(AS569-AT569)</f>
        <v>0</v>
      </c>
      <c r="AY569" s="276"/>
      <c r="AZ569" s="276"/>
      <c r="BA569" s="165"/>
      <c r="BB569" s="144"/>
      <c r="BC569" s="144"/>
      <c r="BD569" s="144"/>
      <c r="BE569" s="144"/>
      <c r="BF569" s="144"/>
      <c r="BG569" s="144"/>
      <c r="BH569" s="149"/>
      <c r="BI569" s="149"/>
      <c r="BJ569" s="149"/>
      <c r="BK569" s="149"/>
      <c r="BL569" s="149"/>
      <c r="BM569" s="149"/>
      <c r="BN569" s="149"/>
    </row>
    <row r="570" spans="1:66" ht="89.25" hidden="1" customHeight="1" x14ac:dyDescent="0.2">
      <c r="A570" s="142" t="s">
        <v>1603</v>
      </c>
      <c r="B570" s="18" t="s">
        <v>106</v>
      </c>
      <c r="C570" s="18" t="s">
        <v>107</v>
      </c>
      <c r="D570" s="19" t="s">
        <v>108</v>
      </c>
      <c r="E570" s="18">
        <v>1</v>
      </c>
      <c r="F570" s="18" t="s">
        <v>109</v>
      </c>
      <c r="G570" s="18" t="s">
        <v>5</v>
      </c>
      <c r="H570" s="18" t="s">
        <v>3</v>
      </c>
      <c r="I570" s="18"/>
      <c r="J570" s="18"/>
      <c r="K570" s="19" t="s">
        <v>111</v>
      </c>
      <c r="L570" s="275" t="s">
        <v>1626</v>
      </c>
      <c r="M570" s="275" t="s">
        <v>1627</v>
      </c>
      <c r="N570" s="19" t="s">
        <v>1645</v>
      </c>
      <c r="O570" s="143">
        <v>42916</v>
      </c>
      <c r="P570" s="143"/>
      <c r="Q570" s="143"/>
      <c r="R570" s="143"/>
      <c r="S570" s="144"/>
      <c r="T570" s="144"/>
      <c r="U570" s="145">
        <v>0</v>
      </c>
      <c r="V570" s="145">
        <v>0</v>
      </c>
      <c r="W570" s="145">
        <v>0</v>
      </c>
      <c r="X570" s="145">
        <f t="shared" si="178"/>
        <v>0</v>
      </c>
      <c r="Y570" s="145">
        <v>0</v>
      </c>
      <c r="Z570" s="145">
        <v>0</v>
      </c>
      <c r="AA570" s="145">
        <v>0</v>
      </c>
      <c r="AB570" s="145">
        <v>0</v>
      </c>
      <c r="AC570" s="145">
        <v>0</v>
      </c>
      <c r="AD570" s="145">
        <v>0</v>
      </c>
      <c r="AE570" s="145">
        <v>0</v>
      </c>
      <c r="AF570" s="145">
        <v>0</v>
      </c>
      <c r="AG570" s="145">
        <v>0</v>
      </c>
      <c r="AH570" s="145">
        <v>0</v>
      </c>
      <c r="AI570" s="145">
        <v>0</v>
      </c>
      <c r="AJ570" s="145">
        <v>0</v>
      </c>
      <c r="AK570" s="145">
        <f t="shared" si="179"/>
        <v>0</v>
      </c>
      <c r="AL570" s="145">
        <v>484500</v>
      </c>
      <c r="AM570" s="145">
        <v>0</v>
      </c>
      <c r="AN570" s="145">
        <v>0</v>
      </c>
      <c r="AO570" s="145">
        <v>0</v>
      </c>
      <c r="AP570" s="145">
        <v>0</v>
      </c>
      <c r="AQ570" s="145">
        <v>0</v>
      </c>
      <c r="AR570" s="145">
        <v>0</v>
      </c>
      <c r="AS570" s="144">
        <f t="shared" si="180"/>
        <v>484500</v>
      </c>
      <c r="AT570" s="144"/>
      <c r="AU570" s="146">
        <f t="shared" si="161"/>
        <v>484500</v>
      </c>
      <c r="AV570" s="146">
        <f>IFERROR(VLOOKUP(J570,Maksājumu_pieprasījumu_iesn.!G:BL,57,0),0)</f>
        <v>0</v>
      </c>
      <c r="AW570" s="139">
        <f t="shared" si="174"/>
        <v>-484500</v>
      </c>
      <c r="AX570" s="276"/>
      <c r="AY570" s="276"/>
      <c r="AZ570" s="149" t="s">
        <v>1630</v>
      </c>
      <c r="BA570" s="149" t="s">
        <v>1630</v>
      </c>
      <c r="BB570" s="144"/>
      <c r="BC570" s="144"/>
      <c r="BD570" s="144"/>
      <c r="BE570" s="144"/>
      <c r="BF570" s="144"/>
      <c r="BG570" s="144"/>
      <c r="BH570" s="149"/>
      <c r="BI570" s="149"/>
      <c r="BJ570" s="149"/>
      <c r="BK570" s="149"/>
      <c r="BL570" s="149"/>
      <c r="BM570" s="149"/>
      <c r="BN570" s="149"/>
    </row>
    <row r="571" spans="1:66" ht="63.75" hidden="1" customHeight="1" x14ac:dyDescent="0.2">
      <c r="A571" s="142" t="s">
        <v>1603</v>
      </c>
      <c r="B571" s="18" t="s">
        <v>106</v>
      </c>
      <c r="C571" s="18" t="s">
        <v>107</v>
      </c>
      <c r="D571" s="19" t="s">
        <v>108</v>
      </c>
      <c r="E571" s="18">
        <v>1</v>
      </c>
      <c r="F571" s="18" t="s">
        <v>109</v>
      </c>
      <c r="G571" s="18" t="s">
        <v>5</v>
      </c>
      <c r="H571" s="18" t="s">
        <v>3</v>
      </c>
      <c r="I571" s="18"/>
      <c r="J571" s="18"/>
      <c r="K571" s="19" t="s">
        <v>111</v>
      </c>
      <c r="L571" s="275" t="s">
        <v>1626</v>
      </c>
      <c r="M571" s="275" t="s">
        <v>1627</v>
      </c>
      <c r="N571" s="19" t="s">
        <v>1646</v>
      </c>
      <c r="O571" s="143">
        <v>43007</v>
      </c>
      <c r="P571" s="143"/>
      <c r="Q571" s="143"/>
      <c r="R571" s="143"/>
      <c r="S571" s="144"/>
      <c r="T571" s="144"/>
      <c r="U571" s="145">
        <v>0</v>
      </c>
      <c r="V571" s="145">
        <v>0</v>
      </c>
      <c r="W571" s="145">
        <v>0</v>
      </c>
      <c r="X571" s="145">
        <f t="shared" si="178"/>
        <v>0</v>
      </c>
      <c r="Y571" s="145">
        <v>0</v>
      </c>
      <c r="Z571" s="145">
        <v>0</v>
      </c>
      <c r="AA571" s="145">
        <v>0</v>
      </c>
      <c r="AB571" s="145">
        <v>0</v>
      </c>
      <c r="AC571" s="145">
        <v>0</v>
      </c>
      <c r="AD571" s="145">
        <v>0</v>
      </c>
      <c r="AE571" s="145">
        <v>0</v>
      </c>
      <c r="AF571" s="145">
        <v>0</v>
      </c>
      <c r="AG571" s="145">
        <v>0</v>
      </c>
      <c r="AH571" s="145">
        <v>0</v>
      </c>
      <c r="AI571" s="145">
        <v>0</v>
      </c>
      <c r="AJ571" s="145">
        <v>0</v>
      </c>
      <c r="AK571" s="145">
        <f t="shared" si="179"/>
        <v>0</v>
      </c>
      <c r="AL571" s="145">
        <v>467500</v>
      </c>
      <c r="AM571" s="145">
        <v>0</v>
      </c>
      <c r="AN571" s="145">
        <v>0</v>
      </c>
      <c r="AO571" s="145">
        <v>0</v>
      </c>
      <c r="AP571" s="145">
        <v>0</v>
      </c>
      <c r="AQ571" s="145">
        <v>0</v>
      </c>
      <c r="AR571" s="145">
        <v>0</v>
      </c>
      <c r="AS571" s="144">
        <f t="shared" si="180"/>
        <v>467500</v>
      </c>
      <c r="AT571" s="144"/>
      <c r="AU571" s="146">
        <f t="shared" si="161"/>
        <v>467500</v>
      </c>
      <c r="AV571" s="146">
        <f>IFERROR(VLOOKUP(J571,Maksājumu_pieprasījumu_iesn.!G:BL,57,0),0)</f>
        <v>0</v>
      </c>
      <c r="AW571" s="139">
        <f t="shared" si="174"/>
        <v>-467500</v>
      </c>
      <c r="AX571" s="276"/>
      <c r="AY571" s="276"/>
      <c r="AZ571" s="149" t="s">
        <v>1630</v>
      </c>
      <c r="BA571" s="149" t="s">
        <v>1630</v>
      </c>
      <c r="BB571" s="144"/>
      <c r="BC571" s="144"/>
      <c r="BD571" s="144"/>
      <c r="BE571" s="144"/>
      <c r="BF571" s="144"/>
      <c r="BG571" s="144"/>
      <c r="BH571" s="149"/>
      <c r="BI571" s="149"/>
      <c r="BJ571" s="149"/>
      <c r="BK571" s="149"/>
      <c r="BL571" s="149"/>
      <c r="BM571" s="149"/>
      <c r="BN571" s="149"/>
    </row>
    <row r="572" spans="1:66" ht="51" hidden="1" customHeight="1" x14ac:dyDescent="0.2">
      <c r="A572" s="142" t="s">
        <v>1603</v>
      </c>
      <c r="B572" s="18" t="s">
        <v>106</v>
      </c>
      <c r="C572" s="18" t="s">
        <v>107</v>
      </c>
      <c r="D572" s="19" t="s">
        <v>108</v>
      </c>
      <c r="E572" s="18">
        <v>1</v>
      </c>
      <c r="F572" s="18" t="s">
        <v>109</v>
      </c>
      <c r="G572" s="18" t="s">
        <v>5</v>
      </c>
      <c r="H572" s="18" t="s">
        <v>3</v>
      </c>
      <c r="I572" s="18"/>
      <c r="J572" s="18"/>
      <c r="K572" s="19" t="s">
        <v>111</v>
      </c>
      <c r="L572" s="275" t="s">
        <v>1626</v>
      </c>
      <c r="M572" s="275" t="s">
        <v>1627</v>
      </c>
      <c r="N572" s="19" t="s">
        <v>1647</v>
      </c>
      <c r="O572" s="143">
        <v>43038</v>
      </c>
      <c r="P572" s="143"/>
      <c r="Q572" s="143"/>
      <c r="R572" s="143"/>
      <c r="S572" s="144"/>
      <c r="T572" s="144"/>
      <c r="U572" s="145">
        <v>0</v>
      </c>
      <c r="V572" s="145">
        <v>0</v>
      </c>
      <c r="W572" s="145">
        <v>0</v>
      </c>
      <c r="X572" s="145">
        <f t="shared" si="178"/>
        <v>0</v>
      </c>
      <c r="Y572" s="145">
        <v>0</v>
      </c>
      <c r="Z572" s="145">
        <v>0</v>
      </c>
      <c r="AA572" s="145">
        <v>0</v>
      </c>
      <c r="AB572" s="145">
        <v>0</v>
      </c>
      <c r="AC572" s="145">
        <v>0</v>
      </c>
      <c r="AD572" s="145">
        <v>0</v>
      </c>
      <c r="AE572" s="145">
        <v>0</v>
      </c>
      <c r="AF572" s="145">
        <v>0</v>
      </c>
      <c r="AG572" s="145">
        <v>0</v>
      </c>
      <c r="AH572" s="145">
        <v>0</v>
      </c>
      <c r="AI572" s="145">
        <v>0</v>
      </c>
      <c r="AJ572" s="145">
        <v>0</v>
      </c>
      <c r="AK572" s="145">
        <f t="shared" si="179"/>
        <v>0</v>
      </c>
      <c r="AL572" s="145">
        <v>595000</v>
      </c>
      <c r="AM572" s="145">
        <v>280500</v>
      </c>
      <c r="AN572" s="145">
        <v>0</v>
      </c>
      <c r="AO572" s="145">
        <v>0</v>
      </c>
      <c r="AP572" s="145">
        <v>0</v>
      </c>
      <c r="AQ572" s="145">
        <v>0</v>
      </c>
      <c r="AR572" s="145">
        <v>0</v>
      </c>
      <c r="AS572" s="144">
        <f t="shared" si="180"/>
        <v>875500</v>
      </c>
      <c r="AT572" s="144"/>
      <c r="AU572" s="146">
        <f t="shared" si="161"/>
        <v>875500</v>
      </c>
      <c r="AV572" s="146">
        <f>IFERROR(VLOOKUP(J572,Maksājumu_pieprasījumu_iesn.!G:BL,57,0),0)</f>
        <v>0</v>
      </c>
      <c r="AW572" s="139">
        <f t="shared" si="174"/>
        <v>-875500</v>
      </c>
      <c r="AX572" s="276"/>
      <c r="AY572" s="276"/>
      <c r="AZ572" s="149" t="s">
        <v>1630</v>
      </c>
      <c r="BA572" s="149" t="s">
        <v>1630</v>
      </c>
      <c r="BB572" s="144"/>
      <c r="BC572" s="144"/>
      <c r="BD572" s="144"/>
      <c r="BE572" s="144"/>
      <c r="BF572" s="144"/>
      <c r="BG572" s="144"/>
      <c r="BH572" s="149"/>
      <c r="BI572" s="149"/>
      <c r="BJ572" s="149"/>
      <c r="BK572" s="149"/>
      <c r="BL572" s="149"/>
      <c r="BM572" s="149"/>
      <c r="BN572" s="149"/>
    </row>
    <row r="573" spans="1:66" ht="51" hidden="1" customHeight="1" x14ac:dyDescent="0.2">
      <c r="A573" s="142" t="s">
        <v>1603</v>
      </c>
      <c r="B573" s="18" t="s">
        <v>106</v>
      </c>
      <c r="C573" s="18" t="s">
        <v>107</v>
      </c>
      <c r="D573" s="19" t="s">
        <v>108</v>
      </c>
      <c r="E573" s="18">
        <v>1</v>
      </c>
      <c r="F573" s="18" t="s">
        <v>109</v>
      </c>
      <c r="G573" s="18" t="s">
        <v>5</v>
      </c>
      <c r="H573" s="18" t="s">
        <v>3</v>
      </c>
      <c r="I573" s="18"/>
      <c r="J573" s="18"/>
      <c r="K573" s="19" t="s">
        <v>111</v>
      </c>
      <c r="L573" s="275" t="s">
        <v>1626</v>
      </c>
      <c r="M573" s="275" t="s">
        <v>1627</v>
      </c>
      <c r="N573" s="19" t="s">
        <v>1648</v>
      </c>
      <c r="O573" s="143">
        <v>43098</v>
      </c>
      <c r="P573" s="143"/>
      <c r="Q573" s="143"/>
      <c r="R573" s="143"/>
      <c r="S573" s="144"/>
      <c r="T573" s="144"/>
      <c r="U573" s="145">
        <v>0</v>
      </c>
      <c r="V573" s="145">
        <v>0</v>
      </c>
      <c r="W573" s="145">
        <v>0</v>
      </c>
      <c r="X573" s="145">
        <f t="shared" si="178"/>
        <v>0</v>
      </c>
      <c r="Y573" s="145">
        <v>0</v>
      </c>
      <c r="Z573" s="145">
        <v>0</v>
      </c>
      <c r="AA573" s="145">
        <v>0</v>
      </c>
      <c r="AB573" s="145">
        <v>0</v>
      </c>
      <c r="AC573" s="145">
        <v>0</v>
      </c>
      <c r="AD573" s="145">
        <v>0</v>
      </c>
      <c r="AE573" s="145">
        <v>0</v>
      </c>
      <c r="AF573" s="145">
        <v>0</v>
      </c>
      <c r="AG573" s="145">
        <v>0</v>
      </c>
      <c r="AH573" s="145">
        <v>0</v>
      </c>
      <c r="AI573" s="145">
        <v>0</v>
      </c>
      <c r="AJ573" s="145">
        <v>0</v>
      </c>
      <c r="AK573" s="145">
        <f t="shared" si="179"/>
        <v>0</v>
      </c>
      <c r="AL573" s="145">
        <v>85000</v>
      </c>
      <c r="AM573" s="145">
        <v>416500</v>
      </c>
      <c r="AN573" s="145">
        <v>0</v>
      </c>
      <c r="AO573" s="145">
        <v>0</v>
      </c>
      <c r="AP573" s="145">
        <v>0</v>
      </c>
      <c r="AQ573" s="145">
        <v>0</v>
      </c>
      <c r="AR573" s="145">
        <v>0</v>
      </c>
      <c r="AS573" s="144">
        <f t="shared" si="180"/>
        <v>501500</v>
      </c>
      <c r="AT573" s="144"/>
      <c r="AU573" s="146">
        <f t="shared" si="161"/>
        <v>501500</v>
      </c>
      <c r="AV573" s="146">
        <f>IFERROR(VLOOKUP(J573,Maksājumu_pieprasījumu_iesn.!G:BL,57,0),0)</f>
        <v>0</v>
      </c>
      <c r="AW573" s="139">
        <f t="shared" si="174"/>
        <v>-501500</v>
      </c>
      <c r="AX573" s="276"/>
      <c r="AY573" s="276"/>
      <c r="AZ573" s="149" t="s">
        <v>1630</v>
      </c>
      <c r="BA573" s="149" t="s">
        <v>1630</v>
      </c>
      <c r="BB573" s="144"/>
      <c r="BC573" s="144"/>
      <c r="BD573" s="144"/>
      <c r="BE573" s="144"/>
      <c r="BF573" s="144"/>
      <c r="BG573" s="144"/>
      <c r="BH573" s="149"/>
      <c r="BI573" s="149"/>
      <c r="BJ573" s="149"/>
      <c r="BK573" s="149"/>
      <c r="BL573" s="149"/>
      <c r="BM573" s="149"/>
      <c r="BN573" s="149"/>
    </row>
    <row r="574" spans="1:66" ht="76.5" hidden="1" customHeight="1" x14ac:dyDescent="0.2">
      <c r="A574" s="142" t="s">
        <v>1603</v>
      </c>
      <c r="B574" s="18" t="s">
        <v>106</v>
      </c>
      <c r="C574" s="18" t="s">
        <v>107</v>
      </c>
      <c r="D574" s="19" t="s">
        <v>108</v>
      </c>
      <c r="E574" s="18">
        <v>1</v>
      </c>
      <c r="F574" s="18" t="s">
        <v>109</v>
      </c>
      <c r="G574" s="18" t="s">
        <v>5</v>
      </c>
      <c r="H574" s="18" t="s">
        <v>3</v>
      </c>
      <c r="I574" s="18"/>
      <c r="J574" s="18"/>
      <c r="K574" s="19" t="s">
        <v>111</v>
      </c>
      <c r="L574" s="275" t="s">
        <v>1626</v>
      </c>
      <c r="M574" s="275" t="s">
        <v>1627</v>
      </c>
      <c r="N574" s="19" t="s">
        <v>1649</v>
      </c>
      <c r="O574" s="143">
        <v>42916</v>
      </c>
      <c r="P574" s="143"/>
      <c r="Q574" s="143"/>
      <c r="R574" s="143"/>
      <c r="S574" s="144"/>
      <c r="T574" s="144"/>
      <c r="U574" s="145">
        <v>0</v>
      </c>
      <c r="V574" s="145">
        <v>0</v>
      </c>
      <c r="W574" s="145">
        <v>0</v>
      </c>
      <c r="X574" s="145">
        <f t="shared" si="178"/>
        <v>0</v>
      </c>
      <c r="Y574" s="145">
        <v>0</v>
      </c>
      <c r="Z574" s="145">
        <v>0</v>
      </c>
      <c r="AA574" s="145">
        <v>0</v>
      </c>
      <c r="AB574" s="145">
        <v>0</v>
      </c>
      <c r="AC574" s="145">
        <v>0</v>
      </c>
      <c r="AD574" s="145">
        <v>0</v>
      </c>
      <c r="AE574" s="145">
        <v>0</v>
      </c>
      <c r="AF574" s="145">
        <v>0</v>
      </c>
      <c r="AG574" s="145">
        <v>0</v>
      </c>
      <c r="AH574" s="145">
        <v>0</v>
      </c>
      <c r="AI574" s="145">
        <v>0</v>
      </c>
      <c r="AJ574" s="145">
        <v>0</v>
      </c>
      <c r="AK574" s="145">
        <f t="shared" ref="AK574:AK590" si="181">SUM(Y574:AJ574)</f>
        <v>0</v>
      </c>
      <c r="AL574" s="145">
        <v>348500</v>
      </c>
      <c r="AM574" s="145">
        <v>0</v>
      </c>
      <c r="AN574" s="145">
        <v>0</v>
      </c>
      <c r="AO574" s="145">
        <v>0</v>
      </c>
      <c r="AP574" s="145">
        <v>0</v>
      </c>
      <c r="AQ574" s="145">
        <v>0</v>
      </c>
      <c r="AR574" s="145">
        <v>0</v>
      </c>
      <c r="AS574" s="144">
        <f t="shared" si="180"/>
        <v>348500</v>
      </c>
      <c r="AT574" s="144"/>
      <c r="AU574" s="146">
        <f t="shared" si="161"/>
        <v>348500</v>
      </c>
      <c r="AV574" s="146">
        <f>IFERROR(VLOOKUP(J574,Maksājumu_pieprasījumu_iesn.!G:BL,57,0),0)</f>
        <v>0</v>
      </c>
      <c r="AW574" s="139">
        <f t="shared" si="174"/>
        <v>-348500</v>
      </c>
      <c r="AX574" s="276"/>
      <c r="AY574" s="276"/>
      <c r="AZ574" s="149" t="s">
        <v>1630</v>
      </c>
      <c r="BA574" s="149" t="s">
        <v>1630</v>
      </c>
      <c r="BB574" s="144"/>
      <c r="BC574" s="144"/>
      <c r="BD574" s="144"/>
      <c r="BE574" s="144"/>
      <c r="BF574" s="144"/>
      <c r="BG574" s="144"/>
      <c r="BH574" s="149"/>
      <c r="BI574" s="149"/>
      <c r="BJ574" s="149"/>
      <c r="BK574" s="149"/>
      <c r="BL574" s="149"/>
      <c r="BM574" s="149"/>
      <c r="BN574" s="149"/>
    </row>
    <row r="575" spans="1:66" ht="51" hidden="1" customHeight="1" x14ac:dyDescent="0.2">
      <c r="A575" s="142" t="s">
        <v>1603</v>
      </c>
      <c r="B575" s="18" t="s">
        <v>106</v>
      </c>
      <c r="C575" s="18" t="s">
        <v>107</v>
      </c>
      <c r="D575" s="19" t="s">
        <v>108</v>
      </c>
      <c r="E575" s="18">
        <v>1</v>
      </c>
      <c r="F575" s="18" t="s">
        <v>109</v>
      </c>
      <c r="G575" s="18" t="s">
        <v>5</v>
      </c>
      <c r="H575" s="18" t="s">
        <v>3</v>
      </c>
      <c r="I575" s="18"/>
      <c r="J575" s="18"/>
      <c r="K575" s="19" t="s">
        <v>111</v>
      </c>
      <c r="L575" s="275" t="s">
        <v>1626</v>
      </c>
      <c r="M575" s="275" t="s">
        <v>1627</v>
      </c>
      <c r="N575" s="19" t="s">
        <v>1650</v>
      </c>
      <c r="O575" s="143">
        <v>43281</v>
      </c>
      <c r="P575" s="143"/>
      <c r="Q575" s="143"/>
      <c r="R575" s="143"/>
      <c r="S575" s="144"/>
      <c r="T575" s="144"/>
      <c r="U575" s="145">
        <v>0</v>
      </c>
      <c r="V575" s="145">
        <v>0</v>
      </c>
      <c r="W575" s="145">
        <v>0</v>
      </c>
      <c r="X575" s="145">
        <f t="shared" si="178"/>
        <v>0</v>
      </c>
      <c r="Y575" s="145">
        <v>0</v>
      </c>
      <c r="Z575" s="145">
        <v>0</v>
      </c>
      <c r="AA575" s="145">
        <v>0</v>
      </c>
      <c r="AB575" s="145">
        <v>0</v>
      </c>
      <c r="AC575" s="145">
        <v>0</v>
      </c>
      <c r="AD575" s="145">
        <v>0</v>
      </c>
      <c r="AE575" s="145">
        <v>0</v>
      </c>
      <c r="AF575" s="145">
        <v>0</v>
      </c>
      <c r="AG575" s="145">
        <v>0</v>
      </c>
      <c r="AH575" s="145">
        <v>0</v>
      </c>
      <c r="AI575" s="145">
        <v>0</v>
      </c>
      <c r="AJ575" s="145">
        <v>0</v>
      </c>
      <c r="AK575" s="145">
        <f t="shared" si="181"/>
        <v>0</v>
      </c>
      <c r="AL575" s="145">
        <v>170000</v>
      </c>
      <c r="AM575" s="145">
        <v>246500</v>
      </c>
      <c r="AN575" s="145">
        <v>0</v>
      </c>
      <c r="AO575" s="145">
        <v>0</v>
      </c>
      <c r="AP575" s="145">
        <v>0</v>
      </c>
      <c r="AQ575" s="145">
        <v>0</v>
      </c>
      <c r="AR575" s="145">
        <v>0</v>
      </c>
      <c r="AS575" s="144">
        <f t="shared" si="180"/>
        <v>416500</v>
      </c>
      <c r="AT575" s="144"/>
      <c r="AU575" s="146">
        <f t="shared" si="161"/>
        <v>416500</v>
      </c>
      <c r="AV575" s="146">
        <f>IFERROR(VLOOKUP(J575,Maksājumu_pieprasījumu_iesn.!G:BL,57,0),0)</f>
        <v>0</v>
      </c>
      <c r="AW575" s="139">
        <f t="shared" si="174"/>
        <v>-416500</v>
      </c>
      <c r="AX575" s="276"/>
      <c r="AY575" s="276"/>
      <c r="AZ575" s="149" t="s">
        <v>1630</v>
      </c>
      <c r="BA575" s="149" t="s">
        <v>1630</v>
      </c>
      <c r="BB575" s="144"/>
      <c r="BC575" s="144"/>
      <c r="BD575" s="144"/>
      <c r="BE575" s="144"/>
      <c r="BF575" s="144"/>
      <c r="BG575" s="144"/>
      <c r="BH575" s="149"/>
      <c r="BI575" s="149"/>
      <c r="BJ575" s="149"/>
      <c r="BK575" s="149"/>
      <c r="BL575" s="149"/>
      <c r="BM575" s="149"/>
      <c r="BN575" s="149"/>
    </row>
    <row r="576" spans="1:66" ht="38.25" hidden="1" customHeight="1" x14ac:dyDescent="0.2">
      <c r="A576" s="142" t="s">
        <v>1603</v>
      </c>
      <c r="B576" s="18" t="s">
        <v>106</v>
      </c>
      <c r="C576" s="18" t="s">
        <v>107</v>
      </c>
      <c r="D576" s="19" t="s">
        <v>108</v>
      </c>
      <c r="E576" s="18">
        <v>1</v>
      </c>
      <c r="F576" s="18" t="s">
        <v>109</v>
      </c>
      <c r="G576" s="18" t="s">
        <v>5</v>
      </c>
      <c r="H576" s="18" t="s">
        <v>3</v>
      </c>
      <c r="I576" s="18"/>
      <c r="J576" s="18"/>
      <c r="K576" s="19" t="s">
        <v>111</v>
      </c>
      <c r="L576" s="275" t="s">
        <v>1626</v>
      </c>
      <c r="M576" s="275" t="s">
        <v>1627</v>
      </c>
      <c r="N576" s="19" t="s">
        <v>1651</v>
      </c>
      <c r="O576" s="143">
        <v>43038</v>
      </c>
      <c r="P576" s="143"/>
      <c r="Q576" s="143"/>
      <c r="R576" s="143"/>
      <c r="S576" s="144"/>
      <c r="T576" s="144"/>
      <c r="U576" s="145">
        <v>0</v>
      </c>
      <c r="V576" s="145">
        <v>0</v>
      </c>
      <c r="W576" s="145">
        <v>0</v>
      </c>
      <c r="X576" s="145">
        <f t="shared" si="178"/>
        <v>0</v>
      </c>
      <c r="Y576" s="145">
        <v>0</v>
      </c>
      <c r="Z576" s="145">
        <v>0</v>
      </c>
      <c r="AA576" s="145">
        <v>0</v>
      </c>
      <c r="AB576" s="145">
        <v>0</v>
      </c>
      <c r="AC576" s="145">
        <v>0</v>
      </c>
      <c r="AD576" s="145">
        <v>0</v>
      </c>
      <c r="AE576" s="145">
        <v>0</v>
      </c>
      <c r="AF576" s="145">
        <v>0</v>
      </c>
      <c r="AG576" s="145">
        <v>0</v>
      </c>
      <c r="AH576" s="145">
        <v>0</v>
      </c>
      <c r="AI576" s="145">
        <v>0</v>
      </c>
      <c r="AJ576" s="145">
        <v>0</v>
      </c>
      <c r="AK576" s="145">
        <f t="shared" si="181"/>
        <v>0</v>
      </c>
      <c r="AL576" s="145">
        <v>552500</v>
      </c>
      <c r="AM576" s="145">
        <v>467500</v>
      </c>
      <c r="AN576" s="145">
        <v>0</v>
      </c>
      <c r="AO576" s="145">
        <v>0</v>
      </c>
      <c r="AP576" s="145">
        <v>0</v>
      </c>
      <c r="AQ576" s="145">
        <v>0</v>
      </c>
      <c r="AR576" s="145">
        <v>0</v>
      </c>
      <c r="AS576" s="144">
        <f t="shared" si="180"/>
        <v>1020000</v>
      </c>
      <c r="AT576" s="144"/>
      <c r="AU576" s="146">
        <f t="shared" si="161"/>
        <v>1020000</v>
      </c>
      <c r="AV576" s="146">
        <f>IFERROR(VLOOKUP(J576,Maksājumu_pieprasījumu_iesn.!G:BL,57,0),0)</f>
        <v>0</v>
      </c>
      <c r="AW576" s="139">
        <f t="shared" si="174"/>
        <v>-1020000</v>
      </c>
      <c r="AX576" s="276"/>
      <c r="AY576" s="276"/>
      <c r="AZ576" s="149" t="s">
        <v>1630</v>
      </c>
      <c r="BA576" s="149" t="s">
        <v>1630</v>
      </c>
      <c r="BB576" s="144"/>
      <c r="BC576" s="144"/>
      <c r="BD576" s="144"/>
      <c r="BE576" s="144"/>
      <c r="BF576" s="144"/>
      <c r="BG576" s="144"/>
      <c r="BH576" s="149"/>
      <c r="BI576" s="149"/>
      <c r="BJ576" s="149"/>
      <c r="BK576" s="149"/>
      <c r="BL576" s="149"/>
      <c r="BM576" s="149"/>
      <c r="BN576" s="149"/>
    </row>
    <row r="577" spans="1:66" ht="51" hidden="1" customHeight="1" x14ac:dyDescent="0.2">
      <c r="A577" s="142" t="s">
        <v>1603</v>
      </c>
      <c r="B577" s="18" t="s">
        <v>106</v>
      </c>
      <c r="C577" s="18" t="s">
        <v>107</v>
      </c>
      <c r="D577" s="19" t="s">
        <v>108</v>
      </c>
      <c r="E577" s="18">
        <v>1</v>
      </c>
      <c r="F577" s="18" t="s">
        <v>109</v>
      </c>
      <c r="G577" s="18" t="s">
        <v>5</v>
      </c>
      <c r="H577" s="18" t="s">
        <v>3</v>
      </c>
      <c r="I577" s="18"/>
      <c r="J577" s="18"/>
      <c r="K577" s="19" t="s">
        <v>111</v>
      </c>
      <c r="L577" s="275" t="s">
        <v>1626</v>
      </c>
      <c r="M577" s="275" t="s">
        <v>1627</v>
      </c>
      <c r="N577" s="19" t="s">
        <v>1652</v>
      </c>
      <c r="O577" s="143">
        <v>43281</v>
      </c>
      <c r="P577" s="143"/>
      <c r="Q577" s="143"/>
      <c r="R577" s="143"/>
      <c r="S577" s="144"/>
      <c r="T577" s="144"/>
      <c r="U577" s="145">
        <v>0</v>
      </c>
      <c r="V577" s="145">
        <v>0</v>
      </c>
      <c r="W577" s="145">
        <v>0</v>
      </c>
      <c r="X577" s="145">
        <f t="shared" si="178"/>
        <v>0</v>
      </c>
      <c r="Y577" s="145">
        <v>0</v>
      </c>
      <c r="Z577" s="145">
        <v>0</v>
      </c>
      <c r="AA577" s="145">
        <v>0</v>
      </c>
      <c r="AB577" s="145">
        <v>0</v>
      </c>
      <c r="AC577" s="145">
        <v>0</v>
      </c>
      <c r="AD577" s="145">
        <v>0</v>
      </c>
      <c r="AE577" s="145">
        <v>0</v>
      </c>
      <c r="AF577" s="145">
        <v>0</v>
      </c>
      <c r="AG577" s="145">
        <v>0</v>
      </c>
      <c r="AH577" s="145">
        <v>0</v>
      </c>
      <c r="AI577" s="145">
        <v>0</v>
      </c>
      <c r="AJ577" s="145">
        <v>0</v>
      </c>
      <c r="AK577" s="145">
        <f t="shared" si="181"/>
        <v>0</v>
      </c>
      <c r="AL577" s="145">
        <v>85000</v>
      </c>
      <c r="AM577" s="145">
        <v>595000</v>
      </c>
      <c r="AN577" s="145">
        <v>518500</v>
      </c>
      <c r="AO577" s="145">
        <v>0</v>
      </c>
      <c r="AP577" s="145">
        <v>0</v>
      </c>
      <c r="AQ577" s="145">
        <v>0</v>
      </c>
      <c r="AR577" s="145">
        <v>0</v>
      </c>
      <c r="AS577" s="144">
        <f t="shared" si="180"/>
        <v>1198500</v>
      </c>
      <c r="AT577" s="144"/>
      <c r="AU577" s="146">
        <f t="shared" si="161"/>
        <v>1198500</v>
      </c>
      <c r="AV577" s="146">
        <f>IFERROR(VLOOKUP(J577,Maksājumu_pieprasījumu_iesn.!G:BL,57,0),0)</f>
        <v>0</v>
      </c>
      <c r="AW577" s="139">
        <f t="shared" si="174"/>
        <v>-1198500</v>
      </c>
      <c r="AX577" s="276"/>
      <c r="AY577" s="276"/>
      <c r="AZ577" s="149" t="s">
        <v>1630</v>
      </c>
      <c r="BA577" s="149" t="s">
        <v>1630</v>
      </c>
      <c r="BB577" s="144"/>
      <c r="BC577" s="144"/>
      <c r="BD577" s="144"/>
      <c r="BE577" s="144"/>
      <c r="BF577" s="144"/>
      <c r="BG577" s="144"/>
      <c r="BH577" s="149"/>
      <c r="BI577" s="149"/>
      <c r="BJ577" s="149"/>
      <c r="BK577" s="149"/>
      <c r="BL577" s="149"/>
      <c r="BM577" s="149"/>
      <c r="BN577" s="149"/>
    </row>
    <row r="578" spans="1:66" ht="25.5" hidden="1" customHeight="1" x14ac:dyDescent="0.2">
      <c r="A578" s="142" t="s">
        <v>1603</v>
      </c>
      <c r="B578" s="18" t="s">
        <v>106</v>
      </c>
      <c r="C578" s="18" t="s">
        <v>107</v>
      </c>
      <c r="D578" s="19" t="s">
        <v>108</v>
      </c>
      <c r="E578" s="18">
        <v>1</v>
      </c>
      <c r="F578" s="18" t="s">
        <v>109</v>
      </c>
      <c r="G578" s="18" t="s">
        <v>5</v>
      </c>
      <c r="H578" s="18" t="s">
        <v>3</v>
      </c>
      <c r="I578" s="18"/>
      <c r="J578" s="18"/>
      <c r="K578" s="19" t="s">
        <v>111</v>
      </c>
      <c r="L578" s="275" t="s">
        <v>1626</v>
      </c>
      <c r="M578" s="275" t="s">
        <v>1627</v>
      </c>
      <c r="N578" s="19" t="s">
        <v>1653</v>
      </c>
      <c r="O578" s="143">
        <v>43281</v>
      </c>
      <c r="P578" s="143"/>
      <c r="Q578" s="143"/>
      <c r="R578" s="143"/>
      <c r="S578" s="144"/>
      <c r="T578" s="144"/>
      <c r="U578" s="145">
        <v>0</v>
      </c>
      <c r="V578" s="145">
        <v>0</v>
      </c>
      <c r="W578" s="145">
        <v>0</v>
      </c>
      <c r="X578" s="145">
        <f t="shared" si="178"/>
        <v>0</v>
      </c>
      <c r="Y578" s="145">
        <v>0</v>
      </c>
      <c r="Z578" s="145">
        <v>0</v>
      </c>
      <c r="AA578" s="145">
        <v>0</v>
      </c>
      <c r="AB578" s="145">
        <v>0</v>
      </c>
      <c r="AC578" s="145">
        <v>0</v>
      </c>
      <c r="AD578" s="145">
        <v>0</v>
      </c>
      <c r="AE578" s="145">
        <v>0</v>
      </c>
      <c r="AF578" s="145">
        <v>0</v>
      </c>
      <c r="AG578" s="145">
        <v>0</v>
      </c>
      <c r="AH578" s="145">
        <v>0</v>
      </c>
      <c r="AI578" s="145">
        <v>0</v>
      </c>
      <c r="AJ578" s="145">
        <v>0</v>
      </c>
      <c r="AK578" s="145">
        <f t="shared" si="181"/>
        <v>0</v>
      </c>
      <c r="AL578" s="145">
        <v>170000</v>
      </c>
      <c r="AM578" s="145">
        <v>527000</v>
      </c>
      <c r="AN578" s="145">
        <v>0</v>
      </c>
      <c r="AO578" s="145">
        <v>0</v>
      </c>
      <c r="AP578" s="145">
        <v>0</v>
      </c>
      <c r="AQ578" s="145">
        <v>0</v>
      </c>
      <c r="AR578" s="145">
        <v>0</v>
      </c>
      <c r="AS578" s="144">
        <f t="shared" si="180"/>
        <v>697000</v>
      </c>
      <c r="AT578" s="144"/>
      <c r="AU578" s="146">
        <f t="shared" si="161"/>
        <v>697000</v>
      </c>
      <c r="AV578" s="146">
        <f>IFERROR(VLOOKUP(J578,Maksājumu_pieprasījumu_iesn.!G:BL,57,0),0)</f>
        <v>0</v>
      </c>
      <c r="AW578" s="139">
        <f t="shared" si="174"/>
        <v>-697000</v>
      </c>
      <c r="AX578" s="276"/>
      <c r="AY578" s="276"/>
      <c r="AZ578" s="149" t="s">
        <v>1630</v>
      </c>
      <c r="BA578" s="149" t="s">
        <v>1630</v>
      </c>
      <c r="BB578" s="144"/>
      <c r="BC578" s="144"/>
      <c r="BD578" s="144"/>
      <c r="BE578" s="144"/>
      <c r="BF578" s="144"/>
      <c r="BG578" s="144"/>
      <c r="BH578" s="149"/>
      <c r="BI578" s="149"/>
      <c r="BJ578" s="149"/>
      <c r="BK578" s="149"/>
      <c r="BL578" s="149"/>
      <c r="BM578" s="149"/>
      <c r="BN578" s="149"/>
    </row>
    <row r="579" spans="1:66" ht="25.5" hidden="1" customHeight="1" x14ac:dyDescent="0.2">
      <c r="A579" s="142" t="s">
        <v>1603</v>
      </c>
      <c r="B579" s="18" t="s">
        <v>106</v>
      </c>
      <c r="C579" s="18" t="s">
        <v>107</v>
      </c>
      <c r="D579" s="19" t="s">
        <v>108</v>
      </c>
      <c r="E579" s="18">
        <v>1</v>
      </c>
      <c r="F579" s="18" t="s">
        <v>109</v>
      </c>
      <c r="G579" s="18" t="s">
        <v>5</v>
      </c>
      <c r="H579" s="18" t="s">
        <v>3</v>
      </c>
      <c r="I579" s="18"/>
      <c r="J579" s="18"/>
      <c r="K579" s="19" t="s">
        <v>111</v>
      </c>
      <c r="L579" s="275" t="s">
        <v>1626</v>
      </c>
      <c r="M579" s="275" t="s">
        <v>1627</v>
      </c>
      <c r="N579" s="19" t="s">
        <v>1654</v>
      </c>
      <c r="O579" s="143">
        <v>43371</v>
      </c>
      <c r="P579" s="143"/>
      <c r="Q579" s="143"/>
      <c r="R579" s="143"/>
      <c r="S579" s="144"/>
      <c r="T579" s="144"/>
      <c r="U579" s="145">
        <v>0</v>
      </c>
      <c r="V579" s="145">
        <v>0</v>
      </c>
      <c r="W579" s="145">
        <v>0</v>
      </c>
      <c r="X579" s="145">
        <f t="shared" si="178"/>
        <v>0</v>
      </c>
      <c r="Y579" s="145">
        <v>0</v>
      </c>
      <c r="Z579" s="145">
        <v>0</v>
      </c>
      <c r="AA579" s="145">
        <v>0</v>
      </c>
      <c r="AB579" s="145">
        <v>0</v>
      </c>
      <c r="AC579" s="145">
        <v>0</v>
      </c>
      <c r="AD579" s="145">
        <v>0</v>
      </c>
      <c r="AE579" s="145">
        <v>0</v>
      </c>
      <c r="AF579" s="145">
        <v>0</v>
      </c>
      <c r="AG579" s="145">
        <v>0</v>
      </c>
      <c r="AH579" s="145">
        <v>0</v>
      </c>
      <c r="AI579" s="145">
        <v>0</v>
      </c>
      <c r="AJ579" s="145">
        <v>0</v>
      </c>
      <c r="AK579" s="145">
        <f t="shared" si="181"/>
        <v>0</v>
      </c>
      <c r="AL579" s="145">
        <v>42500</v>
      </c>
      <c r="AM579" s="145">
        <v>425000</v>
      </c>
      <c r="AN579" s="145">
        <v>306000</v>
      </c>
      <c r="AO579" s="145">
        <v>0</v>
      </c>
      <c r="AP579" s="145">
        <v>0</v>
      </c>
      <c r="AQ579" s="145">
        <v>0</v>
      </c>
      <c r="AR579" s="145">
        <v>0</v>
      </c>
      <c r="AS579" s="144">
        <f t="shared" si="180"/>
        <v>773500</v>
      </c>
      <c r="AT579" s="144"/>
      <c r="AU579" s="146">
        <f t="shared" si="161"/>
        <v>773500</v>
      </c>
      <c r="AV579" s="146">
        <f>IFERROR(VLOOKUP(J579,Maksājumu_pieprasījumu_iesn.!G:BL,57,0),0)</f>
        <v>0</v>
      </c>
      <c r="AW579" s="139">
        <f t="shared" si="174"/>
        <v>-773500</v>
      </c>
      <c r="AX579" s="276"/>
      <c r="AY579" s="276"/>
      <c r="AZ579" s="149" t="s">
        <v>1630</v>
      </c>
      <c r="BA579" s="149" t="s">
        <v>1630</v>
      </c>
      <c r="BB579" s="144"/>
      <c r="BC579" s="144"/>
      <c r="BD579" s="144"/>
      <c r="BE579" s="144"/>
      <c r="BF579" s="144"/>
      <c r="BG579" s="144"/>
      <c r="BH579" s="149"/>
      <c r="BI579" s="149"/>
      <c r="BJ579" s="149"/>
      <c r="BK579" s="149"/>
      <c r="BL579" s="149"/>
      <c r="BM579" s="149"/>
      <c r="BN579" s="149"/>
    </row>
    <row r="580" spans="1:66" ht="25.5" hidden="1" customHeight="1" x14ac:dyDescent="0.2">
      <c r="A580" s="142" t="s">
        <v>1603</v>
      </c>
      <c r="B580" s="18" t="s">
        <v>106</v>
      </c>
      <c r="C580" s="18" t="s">
        <v>107</v>
      </c>
      <c r="D580" s="19" t="s">
        <v>108</v>
      </c>
      <c r="E580" s="18">
        <v>1</v>
      </c>
      <c r="F580" s="18" t="s">
        <v>109</v>
      </c>
      <c r="G580" s="18" t="s">
        <v>5</v>
      </c>
      <c r="H580" s="18" t="s">
        <v>3</v>
      </c>
      <c r="I580" s="18"/>
      <c r="J580" s="18"/>
      <c r="K580" s="19" t="s">
        <v>111</v>
      </c>
      <c r="L580" s="275" t="s">
        <v>1626</v>
      </c>
      <c r="M580" s="275" t="s">
        <v>1627</v>
      </c>
      <c r="N580" s="19" t="s">
        <v>1655</v>
      </c>
      <c r="O580" s="143">
        <v>43281</v>
      </c>
      <c r="P580" s="143"/>
      <c r="Q580" s="143"/>
      <c r="R580" s="143"/>
      <c r="S580" s="144"/>
      <c r="T580" s="144"/>
      <c r="U580" s="145">
        <v>0</v>
      </c>
      <c r="V580" s="145">
        <v>0</v>
      </c>
      <c r="W580" s="145">
        <v>0</v>
      </c>
      <c r="X580" s="145">
        <f t="shared" si="178"/>
        <v>0</v>
      </c>
      <c r="Y580" s="145">
        <v>0</v>
      </c>
      <c r="Z580" s="145">
        <v>0</v>
      </c>
      <c r="AA580" s="145">
        <v>0</v>
      </c>
      <c r="AB580" s="145">
        <v>0</v>
      </c>
      <c r="AC580" s="145">
        <v>0</v>
      </c>
      <c r="AD580" s="145">
        <v>0</v>
      </c>
      <c r="AE580" s="145">
        <v>0</v>
      </c>
      <c r="AF580" s="145">
        <v>0</v>
      </c>
      <c r="AG580" s="145">
        <v>0</v>
      </c>
      <c r="AH580" s="145">
        <v>0</v>
      </c>
      <c r="AI580" s="145">
        <v>0</v>
      </c>
      <c r="AJ580" s="145">
        <v>0</v>
      </c>
      <c r="AK580" s="145">
        <f t="shared" si="181"/>
        <v>0</v>
      </c>
      <c r="AL580" s="145">
        <v>0</v>
      </c>
      <c r="AM580" s="145">
        <v>255000</v>
      </c>
      <c r="AN580" s="145">
        <v>467500</v>
      </c>
      <c r="AO580" s="145">
        <v>0</v>
      </c>
      <c r="AP580" s="145">
        <v>0</v>
      </c>
      <c r="AQ580" s="145">
        <v>0</v>
      </c>
      <c r="AR580" s="145">
        <v>0</v>
      </c>
      <c r="AS580" s="144">
        <f t="shared" si="180"/>
        <v>722500</v>
      </c>
      <c r="AT580" s="144"/>
      <c r="AU580" s="146">
        <f t="shared" si="161"/>
        <v>722500</v>
      </c>
      <c r="AV580" s="146">
        <f>IFERROR(VLOOKUP(J580,Maksājumu_pieprasījumu_iesn.!G:BL,57,0),0)</f>
        <v>0</v>
      </c>
      <c r="AW580" s="139">
        <f t="shared" si="174"/>
        <v>-722500</v>
      </c>
      <c r="AX580" s="276"/>
      <c r="AY580" s="276"/>
      <c r="AZ580" s="149" t="s">
        <v>1630</v>
      </c>
      <c r="BA580" s="149" t="s">
        <v>1630</v>
      </c>
      <c r="BB580" s="144"/>
      <c r="BC580" s="144"/>
      <c r="BD580" s="144"/>
      <c r="BE580" s="144"/>
      <c r="BF580" s="144"/>
      <c r="BG580" s="144"/>
      <c r="BH580" s="149"/>
      <c r="BI580" s="149"/>
      <c r="BJ580" s="149"/>
      <c r="BK580" s="149"/>
      <c r="BL580" s="149"/>
      <c r="BM580" s="149"/>
      <c r="BN580" s="149"/>
    </row>
    <row r="581" spans="1:66" ht="38.25" hidden="1" customHeight="1" x14ac:dyDescent="0.2">
      <c r="A581" s="142" t="s">
        <v>1603</v>
      </c>
      <c r="B581" s="18" t="s">
        <v>106</v>
      </c>
      <c r="C581" s="18" t="s">
        <v>107</v>
      </c>
      <c r="D581" s="19" t="s">
        <v>108</v>
      </c>
      <c r="E581" s="18">
        <v>1</v>
      </c>
      <c r="F581" s="18" t="s">
        <v>109</v>
      </c>
      <c r="G581" s="18" t="s">
        <v>5</v>
      </c>
      <c r="H581" s="18" t="s">
        <v>3</v>
      </c>
      <c r="I581" s="18"/>
      <c r="J581" s="18"/>
      <c r="K581" s="19" t="s">
        <v>111</v>
      </c>
      <c r="L581" s="275" t="s">
        <v>1626</v>
      </c>
      <c r="M581" s="275" t="s">
        <v>1627</v>
      </c>
      <c r="N581" s="19" t="s">
        <v>1656</v>
      </c>
      <c r="O581" s="143">
        <v>43371</v>
      </c>
      <c r="P581" s="143"/>
      <c r="Q581" s="143"/>
      <c r="R581" s="143"/>
      <c r="S581" s="144"/>
      <c r="T581" s="144"/>
      <c r="U581" s="145">
        <v>0</v>
      </c>
      <c r="V581" s="145">
        <v>0</v>
      </c>
      <c r="W581" s="145">
        <v>0</v>
      </c>
      <c r="X581" s="145">
        <f t="shared" si="178"/>
        <v>0</v>
      </c>
      <c r="Y581" s="145">
        <v>0</v>
      </c>
      <c r="Z581" s="145">
        <v>0</v>
      </c>
      <c r="AA581" s="145">
        <v>0</v>
      </c>
      <c r="AB581" s="145">
        <v>0</v>
      </c>
      <c r="AC581" s="145">
        <v>0</v>
      </c>
      <c r="AD581" s="145">
        <v>0</v>
      </c>
      <c r="AE581" s="145">
        <v>0</v>
      </c>
      <c r="AF581" s="145">
        <v>0</v>
      </c>
      <c r="AG581" s="145">
        <v>0</v>
      </c>
      <c r="AH581" s="145">
        <v>0</v>
      </c>
      <c r="AI581" s="145">
        <v>0</v>
      </c>
      <c r="AJ581" s="145">
        <v>0</v>
      </c>
      <c r="AK581" s="145">
        <f t="shared" si="181"/>
        <v>0</v>
      </c>
      <c r="AL581" s="145">
        <v>0</v>
      </c>
      <c r="AM581" s="145">
        <v>170000</v>
      </c>
      <c r="AN581" s="145">
        <v>255000</v>
      </c>
      <c r="AO581" s="145">
        <v>0</v>
      </c>
      <c r="AP581" s="145">
        <v>0</v>
      </c>
      <c r="AQ581" s="145">
        <v>0</v>
      </c>
      <c r="AR581" s="145">
        <v>0</v>
      </c>
      <c r="AS581" s="144">
        <f t="shared" si="180"/>
        <v>425000</v>
      </c>
      <c r="AT581" s="144"/>
      <c r="AU581" s="146">
        <f t="shared" si="161"/>
        <v>425000</v>
      </c>
      <c r="AV581" s="146">
        <f>IFERROR(VLOOKUP(J581,Maksājumu_pieprasījumu_iesn.!G:BL,57,0),0)</f>
        <v>0</v>
      </c>
      <c r="AW581" s="139">
        <f t="shared" si="174"/>
        <v>-425000</v>
      </c>
      <c r="AX581" s="276"/>
      <c r="AY581" s="276"/>
      <c r="AZ581" s="149" t="s">
        <v>1630</v>
      </c>
      <c r="BA581" s="149" t="s">
        <v>1630</v>
      </c>
      <c r="BB581" s="144"/>
      <c r="BC581" s="144"/>
      <c r="BD581" s="144"/>
      <c r="BE581" s="144"/>
      <c r="BF581" s="144"/>
      <c r="BG581" s="144"/>
      <c r="BH581" s="149"/>
      <c r="BI581" s="149"/>
      <c r="BJ581" s="149"/>
      <c r="BK581" s="149"/>
      <c r="BL581" s="149"/>
      <c r="BM581" s="149"/>
      <c r="BN581" s="149"/>
    </row>
    <row r="582" spans="1:66" ht="51" hidden="1" customHeight="1" x14ac:dyDescent="0.2">
      <c r="A582" s="142" t="s">
        <v>1603</v>
      </c>
      <c r="B582" s="18" t="s">
        <v>106</v>
      </c>
      <c r="C582" s="18" t="s">
        <v>107</v>
      </c>
      <c r="D582" s="19" t="s">
        <v>108</v>
      </c>
      <c r="E582" s="18">
        <v>1</v>
      </c>
      <c r="F582" s="18" t="s">
        <v>109</v>
      </c>
      <c r="G582" s="18" t="s">
        <v>5</v>
      </c>
      <c r="H582" s="18" t="s">
        <v>3</v>
      </c>
      <c r="I582" s="18"/>
      <c r="J582" s="18"/>
      <c r="K582" s="19" t="s">
        <v>111</v>
      </c>
      <c r="L582" s="275" t="s">
        <v>1626</v>
      </c>
      <c r="M582" s="275" t="s">
        <v>1627</v>
      </c>
      <c r="N582" s="19" t="s">
        <v>1657</v>
      </c>
      <c r="O582" s="143">
        <v>43371</v>
      </c>
      <c r="P582" s="143"/>
      <c r="Q582" s="143"/>
      <c r="R582" s="143"/>
      <c r="S582" s="144"/>
      <c r="T582" s="144"/>
      <c r="U582" s="145">
        <v>0</v>
      </c>
      <c r="V582" s="145">
        <v>0</v>
      </c>
      <c r="W582" s="145">
        <v>0</v>
      </c>
      <c r="X582" s="145">
        <f t="shared" si="178"/>
        <v>0</v>
      </c>
      <c r="Y582" s="145">
        <v>0</v>
      </c>
      <c r="Z582" s="145">
        <v>0</v>
      </c>
      <c r="AA582" s="145">
        <v>0</v>
      </c>
      <c r="AB582" s="145">
        <v>0</v>
      </c>
      <c r="AC582" s="145">
        <v>0</v>
      </c>
      <c r="AD582" s="145">
        <v>0</v>
      </c>
      <c r="AE582" s="145">
        <v>0</v>
      </c>
      <c r="AF582" s="145">
        <v>0</v>
      </c>
      <c r="AG582" s="145">
        <v>0</v>
      </c>
      <c r="AH582" s="145">
        <v>0</v>
      </c>
      <c r="AI582" s="145">
        <v>0</v>
      </c>
      <c r="AJ582" s="145">
        <v>0</v>
      </c>
      <c r="AK582" s="145">
        <f t="shared" si="181"/>
        <v>0</v>
      </c>
      <c r="AL582" s="145">
        <v>0</v>
      </c>
      <c r="AM582" s="145">
        <v>340000</v>
      </c>
      <c r="AN582" s="145">
        <v>255000</v>
      </c>
      <c r="AO582" s="145">
        <v>0</v>
      </c>
      <c r="AP582" s="145">
        <v>0</v>
      </c>
      <c r="AQ582" s="145">
        <v>0</v>
      </c>
      <c r="AR582" s="145">
        <v>0</v>
      </c>
      <c r="AS582" s="144">
        <f t="shared" si="180"/>
        <v>595000</v>
      </c>
      <c r="AT582" s="144"/>
      <c r="AU582" s="146">
        <f t="shared" si="161"/>
        <v>595000</v>
      </c>
      <c r="AV582" s="146">
        <f>IFERROR(VLOOKUP(J582,Maksājumu_pieprasījumu_iesn.!G:BL,57,0),0)</f>
        <v>0</v>
      </c>
      <c r="AW582" s="139">
        <f t="shared" si="174"/>
        <v>-595000</v>
      </c>
      <c r="AX582" s="276"/>
      <c r="AY582" s="276"/>
      <c r="AZ582" s="149" t="s">
        <v>1630</v>
      </c>
      <c r="BA582" s="149" t="s">
        <v>1630</v>
      </c>
      <c r="BB582" s="144"/>
      <c r="BC582" s="144"/>
      <c r="BD582" s="144"/>
      <c r="BE582" s="144"/>
      <c r="BF582" s="144"/>
      <c r="BG582" s="144"/>
      <c r="BH582" s="149"/>
      <c r="BI582" s="149"/>
      <c r="BJ582" s="149"/>
      <c r="BK582" s="149"/>
      <c r="BL582" s="149"/>
      <c r="BM582" s="149"/>
      <c r="BN582" s="149"/>
    </row>
    <row r="583" spans="1:66" ht="38.25" hidden="1" customHeight="1" x14ac:dyDescent="0.2">
      <c r="A583" s="142" t="s">
        <v>1603</v>
      </c>
      <c r="B583" s="18" t="s">
        <v>106</v>
      </c>
      <c r="C583" s="18" t="s">
        <v>107</v>
      </c>
      <c r="D583" s="19" t="s">
        <v>108</v>
      </c>
      <c r="E583" s="18">
        <v>1</v>
      </c>
      <c r="F583" s="18" t="s">
        <v>109</v>
      </c>
      <c r="G583" s="18" t="s">
        <v>5</v>
      </c>
      <c r="H583" s="18" t="s">
        <v>3</v>
      </c>
      <c r="I583" s="18"/>
      <c r="J583" s="18"/>
      <c r="K583" s="19" t="s">
        <v>111</v>
      </c>
      <c r="L583" s="275" t="s">
        <v>1626</v>
      </c>
      <c r="M583" s="275" t="s">
        <v>1627</v>
      </c>
      <c r="N583" s="19" t="s">
        <v>1658</v>
      </c>
      <c r="O583" s="143">
        <v>43371</v>
      </c>
      <c r="P583" s="143"/>
      <c r="Q583" s="143"/>
      <c r="R583" s="143"/>
      <c r="S583" s="144"/>
      <c r="T583" s="144"/>
      <c r="U583" s="145">
        <v>0</v>
      </c>
      <c r="V583" s="145">
        <v>0</v>
      </c>
      <c r="W583" s="145">
        <v>0</v>
      </c>
      <c r="X583" s="145">
        <f t="shared" si="178"/>
        <v>0</v>
      </c>
      <c r="Y583" s="145">
        <v>0</v>
      </c>
      <c r="Z583" s="145">
        <v>0</v>
      </c>
      <c r="AA583" s="145">
        <v>0</v>
      </c>
      <c r="AB583" s="145">
        <v>0</v>
      </c>
      <c r="AC583" s="145">
        <v>0</v>
      </c>
      <c r="AD583" s="145">
        <v>0</v>
      </c>
      <c r="AE583" s="145">
        <v>0</v>
      </c>
      <c r="AF583" s="145">
        <v>0</v>
      </c>
      <c r="AG583" s="145">
        <v>0</v>
      </c>
      <c r="AH583" s="145">
        <v>0</v>
      </c>
      <c r="AI583" s="145">
        <v>0</v>
      </c>
      <c r="AJ583" s="145">
        <v>0</v>
      </c>
      <c r="AK583" s="145">
        <f t="shared" si="181"/>
        <v>0</v>
      </c>
      <c r="AL583" s="145">
        <v>0</v>
      </c>
      <c r="AM583" s="145">
        <v>595000</v>
      </c>
      <c r="AN583" s="145">
        <v>595000</v>
      </c>
      <c r="AO583" s="145">
        <v>0</v>
      </c>
      <c r="AP583" s="145">
        <v>0</v>
      </c>
      <c r="AQ583" s="145">
        <v>0</v>
      </c>
      <c r="AR583" s="145">
        <v>0</v>
      </c>
      <c r="AS583" s="144">
        <f t="shared" si="180"/>
        <v>1190000</v>
      </c>
      <c r="AT583" s="144"/>
      <c r="AU583" s="146">
        <f t="shared" si="161"/>
        <v>1190000</v>
      </c>
      <c r="AV583" s="146">
        <f>IFERROR(VLOOKUP(J583,Maksājumu_pieprasījumu_iesn.!G:BL,57,0),0)</f>
        <v>0</v>
      </c>
      <c r="AW583" s="139">
        <f t="shared" si="174"/>
        <v>-1190000</v>
      </c>
      <c r="AX583" s="276"/>
      <c r="AY583" s="276"/>
      <c r="AZ583" s="149" t="s">
        <v>1630</v>
      </c>
      <c r="BA583" s="149" t="s">
        <v>1630</v>
      </c>
      <c r="BB583" s="144"/>
      <c r="BC583" s="144"/>
      <c r="BD583" s="144"/>
      <c r="BE583" s="144"/>
      <c r="BF583" s="144"/>
      <c r="BG583" s="144"/>
      <c r="BH583" s="149"/>
      <c r="BI583" s="149"/>
      <c r="BJ583" s="149"/>
      <c r="BK583" s="149"/>
      <c r="BL583" s="149"/>
      <c r="BM583" s="149"/>
      <c r="BN583" s="149"/>
    </row>
    <row r="584" spans="1:66" ht="38.25" hidden="1" customHeight="1" x14ac:dyDescent="0.2">
      <c r="A584" s="142" t="s">
        <v>1603</v>
      </c>
      <c r="B584" s="18" t="s">
        <v>106</v>
      </c>
      <c r="C584" s="18" t="s">
        <v>107</v>
      </c>
      <c r="D584" s="19" t="s">
        <v>108</v>
      </c>
      <c r="E584" s="18">
        <v>1</v>
      </c>
      <c r="F584" s="18" t="s">
        <v>109</v>
      </c>
      <c r="G584" s="18" t="s">
        <v>5</v>
      </c>
      <c r="H584" s="18" t="s">
        <v>3</v>
      </c>
      <c r="I584" s="18"/>
      <c r="J584" s="18"/>
      <c r="K584" s="19" t="s">
        <v>111</v>
      </c>
      <c r="L584" s="275" t="s">
        <v>1626</v>
      </c>
      <c r="M584" s="275" t="s">
        <v>1627</v>
      </c>
      <c r="N584" s="19" t="s">
        <v>1659</v>
      </c>
      <c r="O584" s="143">
        <v>43371</v>
      </c>
      <c r="P584" s="143"/>
      <c r="Q584" s="143"/>
      <c r="R584" s="143"/>
      <c r="S584" s="144"/>
      <c r="T584" s="144"/>
      <c r="U584" s="145">
        <v>0</v>
      </c>
      <c r="V584" s="145">
        <v>0</v>
      </c>
      <c r="W584" s="145">
        <v>0</v>
      </c>
      <c r="X584" s="145">
        <f t="shared" si="178"/>
        <v>0</v>
      </c>
      <c r="Y584" s="145">
        <v>0</v>
      </c>
      <c r="Z584" s="145">
        <v>0</v>
      </c>
      <c r="AA584" s="145">
        <v>0</v>
      </c>
      <c r="AB584" s="145">
        <v>0</v>
      </c>
      <c r="AC584" s="145">
        <v>0</v>
      </c>
      <c r="AD584" s="145">
        <v>0</v>
      </c>
      <c r="AE584" s="145">
        <v>0</v>
      </c>
      <c r="AF584" s="145">
        <v>0</v>
      </c>
      <c r="AG584" s="145">
        <v>0</v>
      </c>
      <c r="AH584" s="145">
        <v>0</v>
      </c>
      <c r="AI584" s="145">
        <v>0</v>
      </c>
      <c r="AJ584" s="145">
        <v>0</v>
      </c>
      <c r="AK584" s="145">
        <f t="shared" si="181"/>
        <v>0</v>
      </c>
      <c r="AL584" s="145">
        <v>0</v>
      </c>
      <c r="AM584" s="145">
        <v>85000</v>
      </c>
      <c r="AN584" s="145">
        <v>246500</v>
      </c>
      <c r="AO584" s="145">
        <v>0</v>
      </c>
      <c r="AP584" s="145">
        <v>0</v>
      </c>
      <c r="AQ584" s="145">
        <v>0</v>
      </c>
      <c r="AR584" s="145">
        <v>0</v>
      </c>
      <c r="AS584" s="144">
        <f t="shared" si="180"/>
        <v>331500</v>
      </c>
      <c r="AT584" s="144"/>
      <c r="AU584" s="146">
        <f t="shared" si="161"/>
        <v>331500</v>
      </c>
      <c r="AV584" s="146">
        <f>IFERROR(VLOOKUP(J584,Maksājumu_pieprasījumu_iesn.!G:BL,57,0),0)</f>
        <v>0</v>
      </c>
      <c r="AW584" s="139">
        <f t="shared" si="174"/>
        <v>-331500</v>
      </c>
      <c r="AX584" s="276"/>
      <c r="AY584" s="276"/>
      <c r="AZ584" s="149" t="s">
        <v>1630</v>
      </c>
      <c r="BA584" s="149" t="s">
        <v>1630</v>
      </c>
      <c r="BB584" s="144"/>
      <c r="BC584" s="144"/>
      <c r="BD584" s="144"/>
      <c r="BE584" s="144"/>
      <c r="BF584" s="144"/>
      <c r="BG584" s="144"/>
      <c r="BH584" s="149"/>
      <c r="BI584" s="149"/>
      <c r="BJ584" s="149"/>
      <c r="BK584" s="149"/>
      <c r="BL584" s="149"/>
      <c r="BM584" s="149"/>
      <c r="BN584" s="149"/>
    </row>
    <row r="585" spans="1:66" ht="25.5" hidden="1" customHeight="1" x14ac:dyDescent="0.2">
      <c r="A585" s="142" t="s">
        <v>1603</v>
      </c>
      <c r="B585" s="18" t="s">
        <v>106</v>
      </c>
      <c r="C585" s="18" t="s">
        <v>107</v>
      </c>
      <c r="D585" s="19" t="s">
        <v>108</v>
      </c>
      <c r="E585" s="18">
        <v>1</v>
      </c>
      <c r="F585" s="18" t="s">
        <v>109</v>
      </c>
      <c r="G585" s="18" t="s">
        <v>5</v>
      </c>
      <c r="H585" s="18" t="s">
        <v>3</v>
      </c>
      <c r="I585" s="18"/>
      <c r="J585" s="18"/>
      <c r="K585" s="19" t="s">
        <v>111</v>
      </c>
      <c r="L585" s="275" t="s">
        <v>1626</v>
      </c>
      <c r="M585" s="275" t="s">
        <v>1627</v>
      </c>
      <c r="N585" s="19" t="s">
        <v>1660</v>
      </c>
      <c r="O585" s="143">
        <v>43462</v>
      </c>
      <c r="P585" s="143"/>
      <c r="Q585" s="143"/>
      <c r="R585" s="143"/>
      <c r="S585" s="144"/>
      <c r="T585" s="144"/>
      <c r="U585" s="145">
        <v>0</v>
      </c>
      <c r="V585" s="145">
        <v>0</v>
      </c>
      <c r="W585" s="145">
        <v>0</v>
      </c>
      <c r="X585" s="145">
        <f t="shared" si="178"/>
        <v>0</v>
      </c>
      <c r="Y585" s="145">
        <v>0</v>
      </c>
      <c r="Z585" s="145">
        <v>0</v>
      </c>
      <c r="AA585" s="145">
        <v>0</v>
      </c>
      <c r="AB585" s="145">
        <v>0</v>
      </c>
      <c r="AC585" s="145">
        <v>0</v>
      </c>
      <c r="AD585" s="145">
        <v>0</v>
      </c>
      <c r="AE585" s="145">
        <v>0</v>
      </c>
      <c r="AF585" s="145">
        <v>0</v>
      </c>
      <c r="AG585" s="145">
        <v>0</v>
      </c>
      <c r="AH585" s="145">
        <v>0</v>
      </c>
      <c r="AI585" s="145">
        <v>0</v>
      </c>
      <c r="AJ585" s="145">
        <v>0</v>
      </c>
      <c r="AK585" s="145">
        <f t="shared" si="181"/>
        <v>0</v>
      </c>
      <c r="AL585" s="145">
        <v>0</v>
      </c>
      <c r="AM585" s="145">
        <v>85000</v>
      </c>
      <c r="AN585" s="145">
        <v>212500</v>
      </c>
      <c r="AO585" s="145">
        <v>0</v>
      </c>
      <c r="AP585" s="145">
        <v>0</v>
      </c>
      <c r="AQ585" s="145">
        <v>0</v>
      </c>
      <c r="AR585" s="145">
        <v>0</v>
      </c>
      <c r="AS585" s="144">
        <f t="shared" si="180"/>
        <v>297500</v>
      </c>
      <c r="AT585" s="144"/>
      <c r="AU585" s="146">
        <f t="shared" ref="AU585:AU655" si="182">AS585-AT585</f>
        <v>297500</v>
      </c>
      <c r="AV585" s="146">
        <f>IFERROR(VLOOKUP(J585,Maksājumu_pieprasījumu_iesn.!G:BL,57,0),0)</f>
        <v>0</v>
      </c>
      <c r="AW585" s="139">
        <f t="shared" si="174"/>
        <v>-297500</v>
      </c>
      <c r="AX585" s="276"/>
      <c r="AY585" s="276"/>
      <c r="AZ585" s="149" t="s">
        <v>1630</v>
      </c>
      <c r="BA585" s="149" t="s">
        <v>1630</v>
      </c>
      <c r="BB585" s="144"/>
      <c r="BC585" s="144"/>
      <c r="BD585" s="144"/>
      <c r="BE585" s="144"/>
      <c r="BF585" s="144"/>
      <c r="BG585" s="144"/>
      <c r="BH585" s="149"/>
      <c r="BI585" s="149"/>
      <c r="BJ585" s="149"/>
      <c r="BK585" s="149"/>
      <c r="BL585" s="149"/>
      <c r="BM585" s="149"/>
      <c r="BN585" s="149"/>
    </row>
    <row r="586" spans="1:66" ht="25.5" hidden="1" customHeight="1" x14ac:dyDescent="0.2">
      <c r="A586" s="142" t="s">
        <v>1603</v>
      </c>
      <c r="B586" s="18" t="s">
        <v>106</v>
      </c>
      <c r="C586" s="18" t="s">
        <v>107</v>
      </c>
      <c r="D586" s="19" t="s">
        <v>108</v>
      </c>
      <c r="E586" s="18">
        <v>1</v>
      </c>
      <c r="F586" s="18" t="s">
        <v>109</v>
      </c>
      <c r="G586" s="18" t="s">
        <v>5</v>
      </c>
      <c r="H586" s="18" t="s">
        <v>3</v>
      </c>
      <c r="I586" s="18"/>
      <c r="J586" s="18"/>
      <c r="K586" s="19" t="s">
        <v>111</v>
      </c>
      <c r="L586" s="275" t="s">
        <v>1626</v>
      </c>
      <c r="M586" s="275" t="s">
        <v>1627</v>
      </c>
      <c r="N586" s="19" t="s">
        <v>1661</v>
      </c>
      <c r="O586" s="143">
        <v>43462</v>
      </c>
      <c r="P586" s="143"/>
      <c r="Q586" s="143"/>
      <c r="R586" s="143"/>
      <c r="S586" s="144"/>
      <c r="T586" s="144"/>
      <c r="U586" s="145">
        <v>0</v>
      </c>
      <c r="V586" s="145">
        <v>0</v>
      </c>
      <c r="W586" s="145">
        <v>0</v>
      </c>
      <c r="X586" s="145">
        <f t="shared" si="178"/>
        <v>0</v>
      </c>
      <c r="Y586" s="145">
        <v>0</v>
      </c>
      <c r="Z586" s="145">
        <v>0</v>
      </c>
      <c r="AA586" s="145">
        <v>0</v>
      </c>
      <c r="AB586" s="145">
        <v>0</v>
      </c>
      <c r="AC586" s="145">
        <v>0</v>
      </c>
      <c r="AD586" s="145">
        <v>0</v>
      </c>
      <c r="AE586" s="145">
        <v>0</v>
      </c>
      <c r="AF586" s="145">
        <v>0</v>
      </c>
      <c r="AG586" s="145">
        <v>0</v>
      </c>
      <c r="AH586" s="145">
        <v>0</v>
      </c>
      <c r="AI586" s="145">
        <v>0</v>
      </c>
      <c r="AJ586" s="145">
        <v>0</v>
      </c>
      <c r="AK586" s="145">
        <f t="shared" si="181"/>
        <v>0</v>
      </c>
      <c r="AL586" s="145">
        <v>0</v>
      </c>
      <c r="AM586" s="145">
        <v>85000</v>
      </c>
      <c r="AN586" s="145">
        <v>297500</v>
      </c>
      <c r="AO586" s="145">
        <v>0</v>
      </c>
      <c r="AP586" s="145">
        <v>0</v>
      </c>
      <c r="AQ586" s="145">
        <v>0</v>
      </c>
      <c r="AR586" s="145">
        <v>0</v>
      </c>
      <c r="AS586" s="144">
        <f t="shared" si="180"/>
        <v>382500</v>
      </c>
      <c r="AT586" s="144"/>
      <c r="AU586" s="146">
        <f t="shared" si="182"/>
        <v>382500</v>
      </c>
      <c r="AV586" s="146">
        <f>IFERROR(VLOOKUP(J586,Maksājumu_pieprasījumu_iesn.!G:BL,57,0),0)</f>
        <v>0</v>
      </c>
      <c r="AW586" s="139">
        <f t="shared" si="174"/>
        <v>-382500</v>
      </c>
      <c r="AX586" s="276"/>
      <c r="AY586" s="276"/>
      <c r="AZ586" s="149" t="s">
        <v>1630</v>
      </c>
      <c r="BA586" s="149" t="s">
        <v>1630</v>
      </c>
      <c r="BB586" s="144"/>
      <c r="BC586" s="144"/>
      <c r="BD586" s="144"/>
      <c r="BE586" s="144"/>
      <c r="BF586" s="144"/>
      <c r="BG586" s="144"/>
      <c r="BH586" s="149"/>
      <c r="BI586" s="149"/>
      <c r="BJ586" s="149"/>
      <c r="BK586" s="149"/>
      <c r="BL586" s="149"/>
      <c r="BM586" s="149"/>
      <c r="BN586" s="149"/>
    </row>
    <row r="587" spans="1:66" ht="25.5" hidden="1" customHeight="1" x14ac:dyDescent="0.2">
      <c r="A587" s="142" t="s">
        <v>1603</v>
      </c>
      <c r="B587" s="18" t="s">
        <v>106</v>
      </c>
      <c r="C587" s="18" t="s">
        <v>107</v>
      </c>
      <c r="D587" s="19" t="s">
        <v>108</v>
      </c>
      <c r="E587" s="18">
        <v>1</v>
      </c>
      <c r="F587" s="18" t="s">
        <v>109</v>
      </c>
      <c r="G587" s="18" t="s">
        <v>5</v>
      </c>
      <c r="H587" s="18" t="s">
        <v>3</v>
      </c>
      <c r="I587" s="18"/>
      <c r="J587" s="18"/>
      <c r="K587" s="19" t="s">
        <v>111</v>
      </c>
      <c r="L587" s="275" t="s">
        <v>1626</v>
      </c>
      <c r="M587" s="275" t="s">
        <v>1627</v>
      </c>
      <c r="N587" s="19" t="s">
        <v>1662</v>
      </c>
      <c r="O587" s="143">
        <v>43555</v>
      </c>
      <c r="P587" s="143"/>
      <c r="Q587" s="143"/>
      <c r="R587" s="143"/>
      <c r="S587" s="144"/>
      <c r="T587" s="144"/>
      <c r="U587" s="145">
        <v>0</v>
      </c>
      <c r="V587" s="145">
        <v>0</v>
      </c>
      <c r="W587" s="145">
        <v>0</v>
      </c>
      <c r="X587" s="145">
        <f t="shared" si="178"/>
        <v>0</v>
      </c>
      <c r="Y587" s="145">
        <v>0</v>
      </c>
      <c r="Z587" s="145">
        <v>0</v>
      </c>
      <c r="AA587" s="145">
        <v>0</v>
      </c>
      <c r="AB587" s="145">
        <v>0</v>
      </c>
      <c r="AC587" s="145">
        <v>0</v>
      </c>
      <c r="AD587" s="145">
        <v>0</v>
      </c>
      <c r="AE587" s="145">
        <v>0</v>
      </c>
      <c r="AF587" s="145">
        <v>0</v>
      </c>
      <c r="AG587" s="145">
        <v>0</v>
      </c>
      <c r="AH587" s="145">
        <v>0</v>
      </c>
      <c r="AI587" s="145">
        <v>0</v>
      </c>
      <c r="AJ587" s="145">
        <v>0</v>
      </c>
      <c r="AK587" s="145">
        <f t="shared" si="181"/>
        <v>0</v>
      </c>
      <c r="AL587" s="145">
        <v>0</v>
      </c>
      <c r="AM587" s="145">
        <v>76500</v>
      </c>
      <c r="AN587" s="145">
        <v>255000</v>
      </c>
      <c r="AO587" s="145">
        <v>0</v>
      </c>
      <c r="AP587" s="145">
        <v>0</v>
      </c>
      <c r="AQ587" s="145">
        <v>0</v>
      </c>
      <c r="AR587" s="145">
        <v>0</v>
      </c>
      <c r="AS587" s="144">
        <f t="shared" si="180"/>
        <v>331500</v>
      </c>
      <c r="AT587" s="144"/>
      <c r="AU587" s="146">
        <f t="shared" si="182"/>
        <v>331500</v>
      </c>
      <c r="AV587" s="146">
        <f>IFERROR(VLOOKUP(J587,Maksājumu_pieprasījumu_iesn.!G:BL,57,0),0)</f>
        <v>0</v>
      </c>
      <c r="AW587" s="139">
        <f t="shared" si="174"/>
        <v>-331500</v>
      </c>
      <c r="AX587" s="276"/>
      <c r="AY587" s="276"/>
      <c r="AZ587" s="149" t="s">
        <v>1630</v>
      </c>
      <c r="BA587" s="149" t="s">
        <v>1630</v>
      </c>
      <c r="BB587" s="144"/>
      <c r="BC587" s="144"/>
      <c r="BD587" s="144"/>
      <c r="BE587" s="144"/>
      <c r="BF587" s="144"/>
      <c r="BG587" s="144"/>
      <c r="BH587" s="149"/>
      <c r="BI587" s="149"/>
      <c r="BJ587" s="149"/>
      <c r="BK587" s="149"/>
      <c r="BL587" s="149"/>
      <c r="BM587" s="149"/>
      <c r="BN587" s="149"/>
    </row>
    <row r="588" spans="1:66" ht="25.5" hidden="1" customHeight="1" x14ac:dyDescent="0.2">
      <c r="A588" s="142" t="s">
        <v>1603</v>
      </c>
      <c r="B588" s="18" t="s">
        <v>106</v>
      </c>
      <c r="C588" s="18" t="s">
        <v>107</v>
      </c>
      <c r="D588" s="19" t="s">
        <v>108</v>
      </c>
      <c r="E588" s="18">
        <v>1</v>
      </c>
      <c r="F588" s="18" t="s">
        <v>109</v>
      </c>
      <c r="G588" s="18" t="s">
        <v>5</v>
      </c>
      <c r="H588" s="18" t="s">
        <v>3</v>
      </c>
      <c r="I588" s="18"/>
      <c r="J588" s="18"/>
      <c r="K588" s="19" t="s">
        <v>111</v>
      </c>
      <c r="L588" s="275" t="s">
        <v>1626</v>
      </c>
      <c r="M588" s="275" t="s">
        <v>1627</v>
      </c>
      <c r="N588" s="19" t="s">
        <v>1663</v>
      </c>
      <c r="O588" s="143">
        <v>43371</v>
      </c>
      <c r="P588" s="143"/>
      <c r="Q588" s="143"/>
      <c r="R588" s="143"/>
      <c r="S588" s="144"/>
      <c r="T588" s="144"/>
      <c r="U588" s="145">
        <v>0</v>
      </c>
      <c r="V588" s="145">
        <v>0</v>
      </c>
      <c r="W588" s="145">
        <v>0</v>
      </c>
      <c r="X588" s="145">
        <f t="shared" si="178"/>
        <v>0</v>
      </c>
      <c r="Y588" s="145">
        <v>0</v>
      </c>
      <c r="Z588" s="145">
        <v>0</v>
      </c>
      <c r="AA588" s="145">
        <v>0</v>
      </c>
      <c r="AB588" s="145">
        <v>0</v>
      </c>
      <c r="AC588" s="145">
        <v>0</v>
      </c>
      <c r="AD588" s="145">
        <v>0</v>
      </c>
      <c r="AE588" s="145">
        <v>0</v>
      </c>
      <c r="AF588" s="145">
        <v>0</v>
      </c>
      <c r="AG588" s="145">
        <v>0</v>
      </c>
      <c r="AH588" s="145">
        <v>0</v>
      </c>
      <c r="AI588" s="145">
        <v>0</v>
      </c>
      <c r="AJ588" s="145">
        <v>0</v>
      </c>
      <c r="AK588" s="145">
        <f t="shared" si="181"/>
        <v>0</v>
      </c>
      <c r="AL588" s="145">
        <v>0</v>
      </c>
      <c r="AM588" s="145">
        <v>42500</v>
      </c>
      <c r="AN588" s="145">
        <v>340000</v>
      </c>
      <c r="AO588" s="145">
        <v>0</v>
      </c>
      <c r="AP588" s="145">
        <v>0</v>
      </c>
      <c r="AQ588" s="145">
        <v>0</v>
      </c>
      <c r="AR588" s="145">
        <v>0</v>
      </c>
      <c r="AS588" s="144">
        <f t="shared" si="180"/>
        <v>382500</v>
      </c>
      <c r="AT588" s="144"/>
      <c r="AU588" s="146">
        <f t="shared" si="182"/>
        <v>382500</v>
      </c>
      <c r="AV588" s="146">
        <f>IFERROR(VLOOKUP(J588,Maksājumu_pieprasījumu_iesn.!G:BL,57,0),0)</f>
        <v>0</v>
      </c>
      <c r="AW588" s="139">
        <f t="shared" si="174"/>
        <v>-382500</v>
      </c>
      <c r="AX588" s="276"/>
      <c r="AY588" s="276"/>
      <c r="AZ588" s="149" t="s">
        <v>1630</v>
      </c>
      <c r="BA588" s="149" t="s">
        <v>1630</v>
      </c>
      <c r="BB588" s="144"/>
      <c r="BC588" s="144"/>
      <c r="BD588" s="144"/>
      <c r="BE588" s="144"/>
      <c r="BF588" s="144"/>
      <c r="BG588" s="144"/>
      <c r="BH588" s="149"/>
      <c r="BI588" s="149"/>
      <c r="BJ588" s="149"/>
      <c r="BK588" s="149"/>
      <c r="BL588" s="149"/>
      <c r="BM588" s="149"/>
      <c r="BN588" s="149"/>
    </row>
    <row r="589" spans="1:66" ht="38.25" hidden="1" customHeight="1" x14ac:dyDescent="0.2">
      <c r="A589" s="142" t="s">
        <v>1603</v>
      </c>
      <c r="B589" s="18" t="s">
        <v>106</v>
      </c>
      <c r="C589" s="18" t="s">
        <v>107</v>
      </c>
      <c r="D589" s="19" t="s">
        <v>108</v>
      </c>
      <c r="E589" s="18">
        <v>1</v>
      </c>
      <c r="F589" s="18" t="s">
        <v>109</v>
      </c>
      <c r="G589" s="18" t="s">
        <v>5</v>
      </c>
      <c r="H589" s="18" t="s">
        <v>3</v>
      </c>
      <c r="I589" s="18"/>
      <c r="J589" s="18"/>
      <c r="K589" s="19" t="s">
        <v>111</v>
      </c>
      <c r="L589" s="275" t="s">
        <v>1626</v>
      </c>
      <c r="M589" s="275" t="s">
        <v>1627</v>
      </c>
      <c r="N589" s="19" t="s">
        <v>1664</v>
      </c>
      <c r="O589" s="143">
        <v>43371</v>
      </c>
      <c r="P589" s="143"/>
      <c r="Q589" s="143"/>
      <c r="R589" s="143"/>
      <c r="S589" s="144"/>
      <c r="T589" s="144"/>
      <c r="U589" s="145">
        <v>0</v>
      </c>
      <c r="V589" s="145">
        <v>0</v>
      </c>
      <c r="W589" s="145">
        <v>0</v>
      </c>
      <c r="X589" s="145">
        <f t="shared" si="178"/>
        <v>0</v>
      </c>
      <c r="Y589" s="145">
        <v>0</v>
      </c>
      <c r="Z589" s="145">
        <v>0</v>
      </c>
      <c r="AA589" s="145">
        <v>0</v>
      </c>
      <c r="AB589" s="145">
        <v>0</v>
      </c>
      <c r="AC589" s="145">
        <v>0</v>
      </c>
      <c r="AD589" s="145">
        <v>0</v>
      </c>
      <c r="AE589" s="145">
        <v>0</v>
      </c>
      <c r="AF589" s="145">
        <v>0</v>
      </c>
      <c r="AG589" s="145">
        <v>0</v>
      </c>
      <c r="AH589" s="145">
        <v>0</v>
      </c>
      <c r="AI589" s="145">
        <v>0</v>
      </c>
      <c r="AJ589" s="145">
        <v>0</v>
      </c>
      <c r="AK589" s="145">
        <f t="shared" si="181"/>
        <v>0</v>
      </c>
      <c r="AL589" s="145">
        <v>0</v>
      </c>
      <c r="AM589" s="145">
        <v>85000</v>
      </c>
      <c r="AN589" s="145">
        <v>212500</v>
      </c>
      <c r="AO589" s="145">
        <v>0</v>
      </c>
      <c r="AP589" s="145">
        <v>0</v>
      </c>
      <c r="AQ589" s="145">
        <v>0</v>
      </c>
      <c r="AR589" s="145">
        <v>0</v>
      </c>
      <c r="AS589" s="144">
        <f t="shared" si="180"/>
        <v>297500</v>
      </c>
      <c r="AT589" s="144"/>
      <c r="AU589" s="146">
        <f t="shared" si="182"/>
        <v>297500</v>
      </c>
      <c r="AV589" s="146">
        <f>IFERROR(VLOOKUP(J589,Maksājumu_pieprasījumu_iesn.!G:BL,57,0),0)</f>
        <v>0</v>
      </c>
      <c r="AW589" s="139">
        <f t="shared" si="174"/>
        <v>-297500</v>
      </c>
      <c r="AX589" s="276"/>
      <c r="AY589" s="276"/>
      <c r="AZ589" s="149" t="s">
        <v>1630</v>
      </c>
      <c r="BA589" s="149" t="s">
        <v>1630</v>
      </c>
      <c r="BB589" s="144"/>
      <c r="BC589" s="144"/>
      <c r="BD589" s="144"/>
      <c r="BE589" s="144"/>
      <c r="BF589" s="144"/>
      <c r="BG589" s="144"/>
      <c r="BH589" s="149"/>
      <c r="BI589" s="149"/>
      <c r="BJ589" s="149"/>
      <c r="BK589" s="149"/>
      <c r="BL589" s="149"/>
      <c r="BM589" s="149"/>
      <c r="BN589" s="149"/>
    </row>
    <row r="590" spans="1:66" ht="25.5" hidden="1" customHeight="1" x14ac:dyDescent="0.2">
      <c r="A590" s="142" t="s">
        <v>1603</v>
      </c>
      <c r="B590" s="18" t="s">
        <v>106</v>
      </c>
      <c r="C590" s="18" t="s">
        <v>107</v>
      </c>
      <c r="D590" s="19" t="s">
        <v>108</v>
      </c>
      <c r="E590" s="18">
        <v>1</v>
      </c>
      <c r="F590" s="18" t="s">
        <v>109</v>
      </c>
      <c r="G590" s="18" t="s">
        <v>5</v>
      </c>
      <c r="H590" s="18" t="s">
        <v>3</v>
      </c>
      <c r="I590" s="18"/>
      <c r="J590" s="18"/>
      <c r="K590" s="19" t="s">
        <v>111</v>
      </c>
      <c r="L590" s="275" t="s">
        <v>1626</v>
      </c>
      <c r="M590" s="275" t="s">
        <v>1627</v>
      </c>
      <c r="N590" s="19" t="s">
        <v>1665</v>
      </c>
      <c r="O590" s="143">
        <v>43371</v>
      </c>
      <c r="P590" s="143"/>
      <c r="Q590" s="143"/>
      <c r="R590" s="143"/>
      <c r="S590" s="144"/>
      <c r="T590" s="144"/>
      <c r="U590" s="145">
        <v>0</v>
      </c>
      <c r="V590" s="145">
        <v>0</v>
      </c>
      <c r="W590" s="145">
        <v>0</v>
      </c>
      <c r="X590" s="145">
        <f t="shared" si="178"/>
        <v>0</v>
      </c>
      <c r="Y590" s="145">
        <v>0</v>
      </c>
      <c r="Z590" s="145">
        <v>0</v>
      </c>
      <c r="AA590" s="145">
        <v>0</v>
      </c>
      <c r="AB590" s="145">
        <v>0</v>
      </c>
      <c r="AC590" s="145">
        <v>0</v>
      </c>
      <c r="AD590" s="145">
        <v>0</v>
      </c>
      <c r="AE590" s="145">
        <v>0</v>
      </c>
      <c r="AF590" s="145">
        <v>0</v>
      </c>
      <c r="AG590" s="145">
        <v>0</v>
      </c>
      <c r="AH590" s="145">
        <v>0</v>
      </c>
      <c r="AI590" s="145">
        <v>0</v>
      </c>
      <c r="AJ590" s="145">
        <v>0</v>
      </c>
      <c r="AK590" s="145">
        <f t="shared" si="181"/>
        <v>0</v>
      </c>
      <c r="AL590" s="145">
        <v>0</v>
      </c>
      <c r="AM590" s="145">
        <v>255000</v>
      </c>
      <c r="AN590" s="145">
        <v>850000</v>
      </c>
      <c r="AO590" s="145">
        <v>0</v>
      </c>
      <c r="AP590" s="145">
        <v>0</v>
      </c>
      <c r="AQ590" s="145">
        <v>0</v>
      </c>
      <c r="AR590" s="145">
        <v>0</v>
      </c>
      <c r="AS590" s="144">
        <f t="shared" si="180"/>
        <v>1105000</v>
      </c>
      <c r="AT590" s="144"/>
      <c r="AU590" s="146">
        <f t="shared" si="182"/>
        <v>1105000</v>
      </c>
      <c r="AV590" s="146">
        <f>IFERROR(VLOOKUP(J590,Maksājumu_pieprasījumu_iesn.!G:BL,57,0),0)</f>
        <v>0</v>
      </c>
      <c r="AW590" s="139">
        <f t="shared" si="174"/>
        <v>-1105000</v>
      </c>
      <c r="AX590" s="276"/>
      <c r="AY590" s="276"/>
      <c r="AZ590" s="149" t="s">
        <v>1630</v>
      </c>
      <c r="BA590" s="149" t="s">
        <v>1630</v>
      </c>
      <c r="BB590" s="144"/>
      <c r="BC590" s="144"/>
      <c r="BD590" s="144"/>
      <c r="BE590" s="144"/>
      <c r="BF590" s="144"/>
      <c r="BG590" s="144"/>
      <c r="BH590" s="149"/>
      <c r="BI590" s="149"/>
      <c r="BJ590" s="149"/>
      <c r="BK590" s="149"/>
      <c r="BL590" s="149"/>
      <c r="BM590" s="149"/>
      <c r="BN590" s="149"/>
    </row>
    <row r="591" spans="1:66" hidden="1" x14ac:dyDescent="0.2">
      <c r="A591" s="266" t="s">
        <v>1603</v>
      </c>
      <c r="B591" s="266" t="s">
        <v>119</v>
      </c>
      <c r="C591" s="266" t="s">
        <v>1023</v>
      </c>
      <c r="D591" s="267" t="s">
        <v>574</v>
      </c>
      <c r="E591" s="266"/>
      <c r="F591" s="266"/>
      <c r="G591" s="266" t="s">
        <v>102</v>
      </c>
      <c r="H591" s="266"/>
      <c r="I591" s="266"/>
      <c r="J591" s="266"/>
      <c r="K591" s="267"/>
      <c r="L591" s="268"/>
      <c r="M591" s="268"/>
      <c r="N591" s="267"/>
      <c r="O591" s="269"/>
      <c r="P591" s="269"/>
      <c r="Q591" s="269"/>
      <c r="R591" s="269"/>
      <c r="S591" s="270">
        <f>S592+S619+S657+S660</f>
        <v>118743460</v>
      </c>
      <c r="T591" s="270">
        <f>T592+T619+T657+T660</f>
        <v>0</v>
      </c>
      <c r="U591" s="164">
        <f>U592+U619+U657+U660</f>
        <v>0</v>
      </c>
      <c r="V591" s="164">
        <f>V592+V619+V657+V660</f>
        <v>0</v>
      </c>
      <c r="W591" s="164">
        <f>W592+W619+W657+W660</f>
        <v>0</v>
      </c>
      <c r="X591" s="129">
        <f>U591+V591+W591</f>
        <v>0</v>
      </c>
      <c r="Y591" s="164">
        <f t="shared" ref="Y591:AR591" si="183">Y592+Y619+Y657+Y660</f>
        <v>0</v>
      </c>
      <c r="Z591" s="164">
        <f t="shared" si="183"/>
        <v>0</v>
      </c>
      <c r="AA591" s="164">
        <f t="shared" si="183"/>
        <v>0</v>
      </c>
      <c r="AB591" s="164">
        <f t="shared" si="183"/>
        <v>0</v>
      </c>
      <c r="AC591" s="164">
        <f t="shared" si="183"/>
        <v>1698007.3</v>
      </c>
      <c r="AD591" s="164">
        <f t="shared" si="183"/>
        <v>120890.97</v>
      </c>
      <c r="AE591" s="164">
        <f t="shared" si="183"/>
        <v>319043.80000000005</v>
      </c>
      <c r="AF591" s="164">
        <f t="shared" si="183"/>
        <v>519146.33</v>
      </c>
      <c r="AG591" s="164">
        <f t="shared" si="183"/>
        <v>640688.75</v>
      </c>
      <c r="AH591" s="164">
        <f t="shared" si="183"/>
        <v>1192330.1400000001</v>
      </c>
      <c r="AI591" s="164">
        <f t="shared" si="183"/>
        <v>4548801.7300000004</v>
      </c>
      <c r="AJ591" s="164">
        <f t="shared" si="183"/>
        <v>791809.22</v>
      </c>
      <c r="AK591" s="164">
        <f>AK592+AK619+AK657+AK660</f>
        <v>9830718.2400000021</v>
      </c>
      <c r="AL591" s="164">
        <f t="shared" si="183"/>
        <v>43349012.497842439</v>
      </c>
      <c r="AM591" s="164">
        <f t="shared" si="183"/>
        <v>31947326.056821242</v>
      </c>
      <c r="AN591" s="164">
        <f t="shared" si="183"/>
        <v>17452179.448302515</v>
      </c>
      <c r="AO591" s="164">
        <f t="shared" si="183"/>
        <v>7781538.2499999991</v>
      </c>
      <c r="AP591" s="164">
        <f t="shared" si="183"/>
        <v>521341.38000000012</v>
      </c>
      <c r="AQ591" s="164">
        <f t="shared" si="183"/>
        <v>0</v>
      </c>
      <c r="AR591" s="164">
        <f t="shared" si="183"/>
        <v>0</v>
      </c>
      <c r="AS591" s="270">
        <f>AS592+AS619+AS657+AS660</f>
        <v>110882115.87296619</v>
      </c>
      <c r="AT591" s="270">
        <f>AT592+AT619+AT657+AT660</f>
        <v>7744013.0300000003</v>
      </c>
      <c r="AU591" s="271">
        <f>AS591-AT591</f>
        <v>103138102.84296618</v>
      </c>
      <c r="AV591" s="146">
        <f>IFERROR(VLOOKUP(J591,Maksājumu_pieprasījumu_iesn.!G:BL,57,0),0)</f>
        <v>0</v>
      </c>
      <c r="AW591" s="139">
        <f t="shared" si="174"/>
        <v>-103138102.84296618</v>
      </c>
      <c r="AX591" s="270">
        <f>AX592+AX619+AX657+AX660</f>
        <v>12991786.15703382</v>
      </c>
      <c r="AY591" s="270">
        <f>AY592+AY619+AY657+AY660</f>
        <v>7861344.4200000037</v>
      </c>
      <c r="AZ591" s="270"/>
      <c r="BA591" s="270"/>
      <c r="BB591" s="270">
        <f>BB592+BB619+BB657+BB660</f>
        <v>0</v>
      </c>
      <c r="BC591" s="270">
        <f>BC592+BC619+BC657+BC660</f>
        <v>31505224.488921218</v>
      </c>
      <c r="BD591" s="272">
        <f>BC591*0.83</f>
        <v>26149336.32580461</v>
      </c>
      <c r="BE591" s="272">
        <f>BD591/0.85</f>
        <v>30763925.089181896</v>
      </c>
      <c r="BF591" s="270">
        <f>BF592+BF619+BF657+BF660</f>
        <v>0</v>
      </c>
      <c r="BG591" s="270">
        <f>BG592+BG619+BG657+BG660</f>
        <v>0</v>
      </c>
      <c r="BH591" s="272">
        <f>BH592+BH619+BH657+BH660</f>
        <v>0</v>
      </c>
      <c r="BI591" s="272">
        <f>BI592+BI619+BI657+BI660</f>
        <v>10000000</v>
      </c>
      <c r="BJ591" s="272">
        <f>AK591*0.83</f>
        <v>8159496.139200001</v>
      </c>
      <c r="BK591" s="272">
        <f>BJ591-BI591</f>
        <v>-1840503.860799999</v>
      </c>
      <c r="BL591" s="272">
        <f>BL592+BL619+BL657+BL660</f>
        <v>20000000</v>
      </c>
      <c r="BM591" s="272">
        <f>AL591*0.83</f>
        <v>35979680.373209223</v>
      </c>
      <c r="BN591" s="272">
        <f>BM591-BL591</f>
        <v>15979680.373209223</v>
      </c>
    </row>
    <row r="592" spans="1:66" ht="12.75" hidden="1" customHeight="1" x14ac:dyDescent="0.2">
      <c r="A592" s="173" t="s">
        <v>1603</v>
      </c>
      <c r="B592" s="132" t="s">
        <v>119</v>
      </c>
      <c r="C592" s="132" t="s">
        <v>120</v>
      </c>
      <c r="D592" s="133" t="s">
        <v>574</v>
      </c>
      <c r="E592" s="132">
        <v>1</v>
      </c>
      <c r="F592" s="132" t="s">
        <v>35</v>
      </c>
      <c r="G592" s="132" t="s">
        <v>102</v>
      </c>
      <c r="H592" s="132" t="s">
        <v>3</v>
      </c>
      <c r="I592" s="132" t="s">
        <v>1022</v>
      </c>
      <c r="J592" s="273" t="s">
        <v>1026</v>
      </c>
      <c r="K592" s="133"/>
      <c r="L592" s="274"/>
      <c r="M592" s="274"/>
      <c r="N592" s="133"/>
      <c r="O592" s="230"/>
      <c r="P592" s="230"/>
      <c r="Q592" s="230"/>
      <c r="R592" s="230"/>
      <c r="S592" s="165">
        <v>58996902</v>
      </c>
      <c r="T592" s="165">
        <v>0</v>
      </c>
      <c r="U592" s="137">
        <f>U593+U595+U596+U598+U600+U601+U603+U605+U607+U608+U610+U611+U613+U615+U616</f>
        <v>0</v>
      </c>
      <c r="V592" s="137">
        <f t="shared" ref="V592:AQ592" si="184">V593+V595+V596+V598+V600+V601+V603+V605+V607+V608+V610+V611+V613+V615+V616</f>
        <v>0</v>
      </c>
      <c r="W592" s="137">
        <f t="shared" si="184"/>
        <v>0</v>
      </c>
      <c r="X592" s="137">
        <f t="shared" si="184"/>
        <v>0</v>
      </c>
      <c r="Y592" s="137">
        <f t="shared" si="184"/>
        <v>0</v>
      </c>
      <c r="Z592" s="137">
        <f t="shared" si="184"/>
        <v>0</v>
      </c>
      <c r="AA592" s="137">
        <f t="shared" si="184"/>
        <v>0</v>
      </c>
      <c r="AB592" s="137">
        <f t="shared" si="184"/>
        <v>0</v>
      </c>
      <c r="AC592" s="137">
        <f t="shared" si="184"/>
        <v>1698007.3</v>
      </c>
      <c r="AD592" s="137">
        <f t="shared" si="184"/>
        <v>120890.97</v>
      </c>
      <c r="AE592" s="137">
        <f t="shared" si="184"/>
        <v>319043.80000000005</v>
      </c>
      <c r="AF592" s="137">
        <f t="shared" si="184"/>
        <v>519146.33</v>
      </c>
      <c r="AG592" s="137">
        <f t="shared" si="184"/>
        <v>640688.75</v>
      </c>
      <c r="AH592" s="137">
        <f t="shared" si="184"/>
        <v>429617.14</v>
      </c>
      <c r="AI592" s="137">
        <f t="shared" si="184"/>
        <v>4208801.7300000004</v>
      </c>
      <c r="AJ592" s="137">
        <f t="shared" si="184"/>
        <v>267793.46999999997</v>
      </c>
      <c r="AK592" s="137">
        <f>AK593+AK595+AK596+AK598+AK600+AK601+AK603+AK605+AK607+AK608+AK610+AK611+AK613+AK615+AK616</f>
        <v>8203989.4900000012</v>
      </c>
      <c r="AL592" s="137">
        <f t="shared" si="184"/>
        <v>18262144.34</v>
      </c>
      <c r="AM592" s="137">
        <f t="shared" si="184"/>
        <v>14096478.91</v>
      </c>
      <c r="AN592" s="137">
        <f t="shared" si="184"/>
        <v>9257479.0100000016</v>
      </c>
      <c r="AO592" s="137">
        <f t="shared" si="184"/>
        <v>5618084.7499999991</v>
      </c>
      <c r="AP592" s="137">
        <f t="shared" si="184"/>
        <v>463509.08000000007</v>
      </c>
      <c r="AQ592" s="137">
        <f t="shared" si="184"/>
        <v>0</v>
      </c>
      <c r="AR592" s="137">
        <f>AR593+AR595+AR596+AR598+AR600+AR601+AR603+AR605+AR607+AR608+AR610+AR611+AR613+AR615+AR616</f>
        <v>0</v>
      </c>
      <c r="AS592" s="165">
        <f>U592+V592+W592+AK592+AL592+AM592+AN592+AO592+AP592+AQ592+AR592</f>
        <v>55901685.579999998</v>
      </c>
      <c r="AT592" s="165">
        <f>SUM(AT593:AT617)</f>
        <v>7744013.0300000003</v>
      </c>
      <c r="AU592" s="146">
        <f>AS592-AT592</f>
        <v>48157672.549999997</v>
      </c>
      <c r="AV592" s="146">
        <f>IFERROR(VLOOKUP(J592,Maksājumu_pieprasījumu_iesn.!G:BL,57,0),0)</f>
        <v>0</v>
      </c>
      <c r="AW592" s="139">
        <f t="shared" ref="AW592:AW655" si="185">AV592-AU592</f>
        <v>-48157672.549999997</v>
      </c>
      <c r="AX592" s="231">
        <f>S592-T592-AU592</f>
        <v>10839229.450000003</v>
      </c>
      <c r="AY592" s="165">
        <f>AY593+AY595+AY596+AY598+AY600+AY601+AY603+AY605+AY607+AY608+AY610+AY611+AY613+AY615+AY616+AY618</f>
        <v>3095216.4200000041</v>
      </c>
      <c r="AZ592" s="165"/>
      <c r="BA592" s="149"/>
      <c r="BB592" s="231"/>
      <c r="BC592" s="231">
        <f>X592+AK592+AL592/2</f>
        <v>17335061.66</v>
      </c>
      <c r="BD592" s="231"/>
      <c r="BE592" s="231">
        <f>BC592/0.85</f>
        <v>20394190.188235294</v>
      </c>
      <c r="BF592" s="165"/>
      <c r="BG592" s="165"/>
      <c r="BH592" s="149">
        <v>0</v>
      </c>
      <c r="BI592" s="149">
        <v>10000000</v>
      </c>
      <c r="BJ592" s="149"/>
      <c r="BK592" s="149"/>
      <c r="BL592" s="149">
        <v>20000000</v>
      </c>
      <c r="BM592" s="149"/>
      <c r="BN592" s="149"/>
    </row>
    <row r="593" spans="1:66" ht="25.5" hidden="1" customHeight="1" x14ac:dyDescent="0.2">
      <c r="A593" s="142" t="s">
        <v>1603</v>
      </c>
      <c r="B593" s="18" t="s">
        <v>119</v>
      </c>
      <c r="C593" s="18" t="s">
        <v>120</v>
      </c>
      <c r="D593" s="19" t="s">
        <v>574</v>
      </c>
      <c r="E593" s="18">
        <v>1</v>
      </c>
      <c r="F593" s="18" t="s">
        <v>35</v>
      </c>
      <c r="G593" s="18" t="s">
        <v>102</v>
      </c>
      <c r="H593" s="18" t="s">
        <v>3</v>
      </c>
      <c r="I593" s="18"/>
      <c r="J593" s="18" t="s">
        <v>689</v>
      </c>
      <c r="K593" s="19" t="s">
        <v>690</v>
      </c>
      <c r="L593" s="275" t="s">
        <v>1605</v>
      </c>
      <c r="M593" s="275" t="s">
        <v>1666</v>
      </c>
      <c r="N593" s="19" t="s">
        <v>691</v>
      </c>
      <c r="O593" s="143"/>
      <c r="P593" s="143"/>
      <c r="Q593" s="143"/>
      <c r="R593" s="187" t="s">
        <v>1667</v>
      </c>
      <c r="S593" s="144">
        <v>590958.52</v>
      </c>
      <c r="T593" s="172"/>
      <c r="U593" s="145">
        <v>0</v>
      </c>
      <c r="V593" s="145">
        <v>0</v>
      </c>
      <c r="W593" s="145">
        <v>0</v>
      </c>
      <c r="X593" s="145">
        <f t="shared" ref="X593:X618" si="186">W593+V593+U593</f>
        <v>0</v>
      </c>
      <c r="Y593" s="145">
        <v>0</v>
      </c>
      <c r="Z593" s="145">
        <v>0</v>
      </c>
      <c r="AA593" s="145">
        <v>0</v>
      </c>
      <c r="AB593" s="145">
        <v>0</v>
      </c>
      <c r="AC593" s="145">
        <v>0</v>
      </c>
      <c r="AD593" s="145">
        <v>29919.26</v>
      </c>
      <c r="AE593" s="145">
        <v>0</v>
      </c>
      <c r="AF593" s="145">
        <v>0</v>
      </c>
      <c r="AG593" s="145">
        <v>97003.36</v>
      </c>
      <c r="AH593" s="145">
        <v>0</v>
      </c>
      <c r="AI593" s="145">
        <v>0</v>
      </c>
      <c r="AJ593" s="145">
        <v>134964.26999999999</v>
      </c>
      <c r="AK593" s="145">
        <f t="shared" ref="AK593:AK605" si="187">SUM(Y593:AJ593)</f>
        <v>261886.88999999998</v>
      </c>
      <c r="AL593" s="145">
        <v>267742.14999999997</v>
      </c>
      <c r="AM593" s="145">
        <v>2260</v>
      </c>
      <c r="AN593" s="145">
        <v>0</v>
      </c>
      <c r="AO593" s="145">
        <v>0</v>
      </c>
      <c r="AP593" s="145">
        <v>59069.48</v>
      </c>
      <c r="AQ593" s="145">
        <v>0</v>
      </c>
      <c r="AR593" s="145">
        <v>0</v>
      </c>
      <c r="AS593" s="144">
        <f>U593+V593+W593+AK593+AL593+AM593+AN593+AO593+AP593+AQ593+AR593</f>
        <v>590958.5199999999</v>
      </c>
      <c r="AT593" s="279"/>
      <c r="AU593" s="146">
        <f t="shared" si="182"/>
        <v>590958.5199999999</v>
      </c>
      <c r="AV593" s="146">
        <f>IFERROR(VLOOKUP(J593,Maksājumu_pieprasījumu_iesn.!G:BL,57,0),0)</f>
        <v>0</v>
      </c>
      <c r="AW593" s="139">
        <f t="shared" si="185"/>
        <v>-590958.5199999999</v>
      </c>
      <c r="AX593" s="147">
        <f>S593-T593-AU593</f>
        <v>0</v>
      </c>
      <c r="AY593" s="165"/>
      <c r="AZ593" s="165"/>
      <c r="BA593" s="149"/>
      <c r="BB593" s="144"/>
      <c r="BC593" s="144"/>
      <c r="BD593" s="144"/>
      <c r="BE593" s="144"/>
      <c r="BF593" s="144"/>
      <c r="BG593" s="144"/>
      <c r="BH593" s="149"/>
      <c r="BI593" s="149"/>
      <c r="BJ593" s="149"/>
      <c r="BK593" s="149"/>
      <c r="BL593" s="149"/>
      <c r="BM593" s="149"/>
      <c r="BN593" s="149"/>
    </row>
    <row r="594" spans="1:66" s="161" customFormat="1" ht="25.5" hidden="1" customHeight="1" x14ac:dyDescent="0.2">
      <c r="A594" s="158" t="s">
        <v>1603</v>
      </c>
      <c r="B594" s="20" t="s">
        <v>119</v>
      </c>
      <c r="C594" s="20" t="s">
        <v>120</v>
      </c>
      <c r="D594" s="21" t="s">
        <v>574</v>
      </c>
      <c r="E594" s="20">
        <v>1</v>
      </c>
      <c r="F594" s="20" t="s">
        <v>35</v>
      </c>
      <c r="G594" s="20" t="s">
        <v>102</v>
      </c>
      <c r="H594" s="20" t="s">
        <v>3</v>
      </c>
      <c r="I594" s="20"/>
      <c r="J594" s="20" t="s">
        <v>689</v>
      </c>
      <c r="K594" s="21" t="s">
        <v>690</v>
      </c>
      <c r="L594" s="277" t="s">
        <v>1605</v>
      </c>
      <c r="M594" s="277" t="s">
        <v>1666</v>
      </c>
      <c r="N594" s="21" t="s">
        <v>691</v>
      </c>
      <c r="O594" s="159" t="s">
        <v>880</v>
      </c>
      <c r="P594" s="159"/>
      <c r="Q594" s="159"/>
      <c r="R594" s="160"/>
      <c r="S594" s="147"/>
      <c r="T594" s="146"/>
      <c r="U594" s="153"/>
      <c r="V594" s="153"/>
      <c r="W594" s="153"/>
      <c r="X594" s="153">
        <f t="shared" si="186"/>
        <v>0</v>
      </c>
      <c r="Y594" s="153"/>
      <c r="Z594" s="153"/>
      <c r="AA594" s="153"/>
      <c r="AB594" s="282">
        <v>177287.56</v>
      </c>
      <c r="AC594" s="153"/>
      <c r="AD594" s="153"/>
      <c r="AE594" s="153"/>
      <c r="AF594" s="153"/>
      <c r="AG594" s="153"/>
      <c r="AH594" s="153"/>
      <c r="AI594" s="153"/>
      <c r="AJ594" s="153"/>
      <c r="AK594" s="153">
        <f t="shared" si="187"/>
        <v>177287.56</v>
      </c>
      <c r="AL594" s="153"/>
      <c r="AM594" s="153"/>
      <c r="AN594" s="153"/>
      <c r="AO594" s="153"/>
      <c r="AP594" s="153"/>
      <c r="AQ594" s="153"/>
      <c r="AR594" s="153"/>
      <c r="AS594" s="147"/>
      <c r="AT594" s="283">
        <v>177287.56</v>
      </c>
      <c r="AU594" s="146"/>
      <c r="AV594" s="146">
        <f>IFERROR(VLOOKUP(J594,Maksājumu_pieprasījumu_iesn.!G:BL,57,0),0)</f>
        <v>0</v>
      </c>
      <c r="AW594" s="139">
        <f t="shared" si="185"/>
        <v>0</v>
      </c>
      <c r="AX594" s="147"/>
      <c r="AY594" s="165"/>
      <c r="AZ594" s="165"/>
      <c r="BA594" s="149"/>
      <c r="BB594" s="147"/>
      <c r="BC594" s="147"/>
      <c r="BD594" s="147"/>
      <c r="BE594" s="147"/>
      <c r="BF594" s="147"/>
      <c r="BG594" s="147"/>
      <c r="BH594" s="149"/>
      <c r="BI594" s="149"/>
      <c r="BJ594" s="149"/>
      <c r="BK594" s="149"/>
      <c r="BL594" s="149"/>
      <c r="BM594" s="149"/>
      <c r="BN594" s="149"/>
    </row>
    <row r="595" spans="1:66" s="161" customFormat="1" ht="38.25" hidden="1" customHeight="1" x14ac:dyDescent="0.2">
      <c r="A595" s="158" t="s">
        <v>1603</v>
      </c>
      <c r="B595" s="20" t="s">
        <v>119</v>
      </c>
      <c r="C595" s="20" t="s">
        <v>120</v>
      </c>
      <c r="D595" s="21" t="s">
        <v>574</v>
      </c>
      <c r="E595" s="20">
        <v>1</v>
      </c>
      <c r="F595" s="20" t="s">
        <v>35</v>
      </c>
      <c r="G595" s="20" t="s">
        <v>102</v>
      </c>
      <c r="H595" s="20" t="s">
        <v>3</v>
      </c>
      <c r="I595" s="20"/>
      <c r="J595" s="20" t="s">
        <v>776</v>
      </c>
      <c r="K595" s="21" t="s">
        <v>802</v>
      </c>
      <c r="L595" s="277" t="s">
        <v>1605</v>
      </c>
      <c r="M595" s="277" t="s">
        <v>1666</v>
      </c>
      <c r="N595" s="21" t="s">
        <v>803</v>
      </c>
      <c r="O595" s="159"/>
      <c r="P595" s="159"/>
      <c r="Q595" s="159"/>
      <c r="R595" s="160" t="s">
        <v>1642</v>
      </c>
      <c r="S595" s="147">
        <v>922420</v>
      </c>
      <c r="T595" s="146"/>
      <c r="U595" s="153">
        <v>0</v>
      </c>
      <c r="V595" s="153">
        <v>0</v>
      </c>
      <c r="W595" s="153">
        <v>0</v>
      </c>
      <c r="X595" s="153">
        <f t="shared" si="186"/>
        <v>0</v>
      </c>
      <c r="Y595" s="153">
        <v>0</v>
      </c>
      <c r="Z595" s="153">
        <v>0</v>
      </c>
      <c r="AA595" s="153">
        <v>0</v>
      </c>
      <c r="AB595" s="153">
        <v>0</v>
      </c>
      <c r="AC595" s="153">
        <v>0</v>
      </c>
      <c r="AD595" s="153">
        <v>0</v>
      </c>
      <c r="AE595" s="153">
        <v>0</v>
      </c>
      <c r="AF595" s="153">
        <v>0</v>
      </c>
      <c r="AG595" s="153">
        <v>0</v>
      </c>
      <c r="AH595" s="153">
        <v>0</v>
      </c>
      <c r="AI595" s="153">
        <v>0</v>
      </c>
      <c r="AJ595" s="153">
        <v>0</v>
      </c>
      <c r="AK595" s="153">
        <f t="shared" si="187"/>
        <v>0</v>
      </c>
      <c r="AL595" s="153">
        <v>922420</v>
      </c>
      <c r="AM595" s="153">
        <v>0</v>
      </c>
      <c r="AN595" s="153">
        <v>0</v>
      </c>
      <c r="AO595" s="153">
        <v>0</v>
      </c>
      <c r="AP595" s="153">
        <v>0</v>
      </c>
      <c r="AQ595" s="153">
        <v>0</v>
      </c>
      <c r="AR595" s="153">
        <v>0</v>
      </c>
      <c r="AS595" s="147">
        <f>U595+V595+W595+AK595+AL595+AM595+AN595+AO595+AP595+AQ595+AR595</f>
        <v>922420</v>
      </c>
      <c r="AT595" s="147">
        <v>0</v>
      </c>
      <c r="AU595" s="146">
        <f t="shared" si="182"/>
        <v>922420</v>
      </c>
      <c r="AV595" s="146">
        <f>IFERROR(VLOOKUP(J595,Maksājumu_pieprasījumu_iesn.!G:BL,57,0),0)</f>
        <v>0</v>
      </c>
      <c r="AW595" s="139">
        <f t="shared" si="185"/>
        <v>-922420</v>
      </c>
      <c r="AX595" s="147">
        <f>S595-T595-AU595</f>
        <v>0</v>
      </c>
      <c r="AY595" s="165"/>
      <c r="AZ595" s="165"/>
      <c r="BA595" s="165"/>
      <c r="BB595" s="147"/>
      <c r="BC595" s="147"/>
      <c r="BD595" s="147"/>
      <c r="BE595" s="147"/>
      <c r="BF595" s="147"/>
      <c r="BG595" s="147"/>
      <c r="BH595" s="149"/>
      <c r="BI595" s="149"/>
      <c r="BJ595" s="149"/>
      <c r="BK595" s="149"/>
      <c r="BL595" s="149"/>
      <c r="BM595" s="149"/>
      <c r="BN595" s="149"/>
    </row>
    <row r="596" spans="1:66" s="161" customFormat="1" ht="25.5" hidden="1" customHeight="1" x14ac:dyDescent="0.2">
      <c r="A596" s="158" t="s">
        <v>1603</v>
      </c>
      <c r="B596" s="20" t="s">
        <v>119</v>
      </c>
      <c r="C596" s="20" t="s">
        <v>120</v>
      </c>
      <c r="D596" s="21" t="s">
        <v>574</v>
      </c>
      <c r="E596" s="20">
        <v>1</v>
      </c>
      <c r="F596" s="20" t="s">
        <v>35</v>
      </c>
      <c r="G596" s="20" t="s">
        <v>102</v>
      </c>
      <c r="H596" s="20" t="s">
        <v>3</v>
      </c>
      <c r="I596" s="20"/>
      <c r="J596" s="20" t="s">
        <v>752</v>
      </c>
      <c r="K596" s="21" t="s">
        <v>753</v>
      </c>
      <c r="L596" s="277" t="s">
        <v>1605</v>
      </c>
      <c r="M596" s="277" t="s">
        <v>1666</v>
      </c>
      <c r="N596" s="21" t="s">
        <v>754</v>
      </c>
      <c r="O596" s="159"/>
      <c r="P596" s="159"/>
      <c r="Q596" s="159"/>
      <c r="R596" s="159">
        <v>42765</v>
      </c>
      <c r="S596" s="147">
        <v>12726887</v>
      </c>
      <c r="T596" s="147"/>
      <c r="U596" s="153">
        <v>0</v>
      </c>
      <c r="V596" s="153">
        <v>0</v>
      </c>
      <c r="W596" s="153">
        <v>0</v>
      </c>
      <c r="X596" s="153">
        <f t="shared" si="186"/>
        <v>0</v>
      </c>
      <c r="Y596" s="153">
        <v>0</v>
      </c>
      <c r="Z596" s="153">
        <v>0</v>
      </c>
      <c r="AA596" s="153">
        <v>0</v>
      </c>
      <c r="AB596" s="153">
        <v>0</v>
      </c>
      <c r="AC596" s="153">
        <v>0</v>
      </c>
      <c r="AD596" s="153">
        <v>0</v>
      </c>
      <c r="AE596" s="153">
        <v>0</v>
      </c>
      <c r="AF596" s="420">
        <v>169670.68</v>
      </c>
      <c r="AG596" s="153">
        <v>0</v>
      </c>
      <c r="AH596" s="153">
        <v>0</v>
      </c>
      <c r="AI596" s="153">
        <v>2861647.22</v>
      </c>
      <c r="AJ596" s="153">
        <v>0</v>
      </c>
      <c r="AK596" s="153">
        <f t="shared" si="187"/>
        <v>3031317.9000000004</v>
      </c>
      <c r="AL596" s="153">
        <v>2474760.44</v>
      </c>
      <c r="AM596" s="153">
        <v>3238655.5</v>
      </c>
      <c r="AN596" s="153">
        <v>2143532.5300000003</v>
      </c>
      <c r="AO596" s="153">
        <v>1838620.63</v>
      </c>
      <c r="AP596" s="153">
        <v>0</v>
      </c>
      <c r="AQ596" s="153">
        <v>0</v>
      </c>
      <c r="AR596" s="153">
        <v>0</v>
      </c>
      <c r="AS596" s="147">
        <f>U596+V596+W596+AK596+AL596+AM596+AN596+AO596+AP596+AQ596+AR596</f>
        <v>12726887</v>
      </c>
      <c r="AT596" s="284"/>
      <c r="AU596" s="146">
        <f>AS596-AT596</f>
        <v>12726887</v>
      </c>
      <c r="AV596" s="146" t="str">
        <f>IFERROR(VLOOKUP(J596,Maksājumu_pieprasījumu_iesn.!G:BL,57,0),0)</f>
        <v>Avansa maksājuma pieprasījums pārcelts uz oktobri. Iepirkuma nolikumi vairākkārt saņēma negatīvus atzinumus no Iepirkumu uzraudzības biroja tikai 28.08.2017. saņemts pozitīvs atzinums.</v>
      </c>
      <c r="AW596" s="139" t="e">
        <f t="shared" si="185"/>
        <v>#VALUE!</v>
      </c>
      <c r="AX596" s="147">
        <f>S596-T596-AU596</f>
        <v>0</v>
      </c>
      <c r="AY596" s="165"/>
      <c r="AZ596" s="165"/>
      <c r="BA596" s="149"/>
      <c r="BB596" s="147"/>
      <c r="BC596" s="147"/>
      <c r="BD596" s="147"/>
      <c r="BE596" s="147"/>
      <c r="BF596" s="147"/>
      <c r="BG596" s="147"/>
      <c r="BH596" s="149"/>
      <c r="BI596" s="149"/>
      <c r="BJ596" s="149"/>
      <c r="BK596" s="149"/>
      <c r="BL596" s="149"/>
      <c r="BM596" s="149"/>
      <c r="BN596" s="149"/>
    </row>
    <row r="597" spans="1:66" s="161" customFormat="1" ht="25.5" hidden="1" customHeight="1" x14ac:dyDescent="0.2">
      <c r="A597" s="158" t="s">
        <v>1603</v>
      </c>
      <c r="B597" s="20" t="s">
        <v>119</v>
      </c>
      <c r="C597" s="20" t="s">
        <v>120</v>
      </c>
      <c r="D597" s="21" t="s">
        <v>574</v>
      </c>
      <c r="E597" s="20">
        <v>1</v>
      </c>
      <c r="F597" s="20" t="s">
        <v>35</v>
      </c>
      <c r="G597" s="20" t="s">
        <v>102</v>
      </c>
      <c r="H597" s="20" t="s">
        <v>3</v>
      </c>
      <c r="I597" s="20"/>
      <c r="J597" s="20" t="s">
        <v>752</v>
      </c>
      <c r="K597" s="21" t="s">
        <v>753</v>
      </c>
      <c r="L597" s="277" t="s">
        <v>1605</v>
      </c>
      <c r="M597" s="277" t="s">
        <v>1666</v>
      </c>
      <c r="N597" s="21" t="s">
        <v>754</v>
      </c>
      <c r="O597" s="159" t="s">
        <v>880</v>
      </c>
      <c r="P597" s="159"/>
      <c r="Q597" s="159"/>
      <c r="R597" s="159"/>
      <c r="S597" s="147"/>
      <c r="T597" s="147"/>
      <c r="U597" s="153"/>
      <c r="V597" s="153"/>
      <c r="W597" s="153"/>
      <c r="X597" s="153">
        <f t="shared" si="186"/>
        <v>0</v>
      </c>
      <c r="Y597" s="153"/>
      <c r="Z597" s="153"/>
      <c r="AA597" s="153"/>
      <c r="AB597" s="153"/>
      <c r="AC597" s="153"/>
      <c r="AD597" s="153">
        <v>301476.23</v>
      </c>
      <c r="AF597" s="420">
        <v>3516589.87</v>
      </c>
      <c r="AG597" s="153"/>
      <c r="AH597" s="153"/>
      <c r="AI597" s="153"/>
      <c r="AJ597" s="153"/>
      <c r="AK597" s="153">
        <f t="shared" si="187"/>
        <v>3818066.1</v>
      </c>
      <c r="AL597" s="153"/>
      <c r="AM597" s="153"/>
      <c r="AN597" s="153"/>
      <c r="AO597" s="153"/>
      <c r="AP597" s="153"/>
      <c r="AQ597" s="153"/>
      <c r="AR597" s="153"/>
      <c r="AT597" s="147">
        <f>U597+V597+W597+AK597+AL597+AM597+AN597+AO597+AP597+AQ597+AR597</f>
        <v>3818066.1</v>
      </c>
      <c r="AU597" s="146"/>
      <c r="AV597" s="146" t="str">
        <f>IFERROR(VLOOKUP(J597,Maksājumu_pieprasījumu_iesn.!G:BL,57,0),0)</f>
        <v>Avansa maksājuma pieprasījums pārcelts uz oktobri. Iepirkuma nolikumi vairākkārt saņēma negatīvus atzinumus no Iepirkumu uzraudzības biroja tikai 28.08.2017. saņemts pozitīvs atzinums.</v>
      </c>
      <c r="AW597" s="139" t="e">
        <f t="shared" si="185"/>
        <v>#VALUE!</v>
      </c>
      <c r="AX597" s="147"/>
      <c r="AY597" s="165"/>
      <c r="AZ597" s="165"/>
      <c r="BA597" s="149"/>
      <c r="BB597" s="147"/>
      <c r="BC597" s="147"/>
      <c r="BD597" s="147"/>
      <c r="BE597" s="147"/>
      <c r="BF597" s="147"/>
      <c r="BG597" s="147"/>
      <c r="BH597" s="149"/>
      <c r="BI597" s="149"/>
      <c r="BJ597" s="149"/>
      <c r="BK597" s="149"/>
      <c r="BL597" s="149"/>
      <c r="BM597" s="149"/>
      <c r="BN597" s="149"/>
    </row>
    <row r="598" spans="1:66" s="161" customFormat="1" ht="25.5" hidden="1" customHeight="1" x14ac:dyDescent="0.2">
      <c r="A598" s="158" t="s">
        <v>1603</v>
      </c>
      <c r="B598" s="20" t="s">
        <v>119</v>
      </c>
      <c r="C598" s="20" t="s">
        <v>120</v>
      </c>
      <c r="D598" s="21" t="s">
        <v>574</v>
      </c>
      <c r="E598" s="20">
        <v>1</v>
      </c>
      <c r="F598" s="20" t="s">
        <v>35</v>
      </c>
      <c r="G598" s="20" t="s">
        <v>102</v>
      </c>
      <c r="H598" s="20" t="s">
        <v>3</v>
      </c>
      <c r="I598" s="20"/>
      <c r="J598" s="20" t="s">
        <v>755</v>
      </c>
      <c r="K598" s="21" t="s">
        <v>756</v>
      </c>
      <c r="L598" s="277" t="s">
        <v>1605</v>
      </c>
      <c r="M598" s="277" t="s">
        <v>1666</v>
      </c>
      <c r="N598" s="21" t="s">
        <v>757</v>
      </c>
      <c r="O598" s="159"/>
      <c r="P598" s="159"/>
      <c r="Q598" s="159"/>
      <c r="R598" s="159">
        <v>42815</v>
      </c>
      <c r="S598" s="147">
        <v>1224776</v>
      </c>
      <c r="T598" s="147"/>
      <c r="U598" s="153">
        <v>0</v>
      </c>
      <c r="V598" s="153">
        <v>0</v>
      </c>
      <c r="W598" s="153">
        <v>0</v>
      </c>
      <c r="X598" s="153">
        <f t="shared" si="186"/>
        <v>0</v>
      </c>
      <c r="Y598" s="153">
        <v>0</v>
      </c>
      <c r="Z598" s="153">
        <v>0</v>
      </c>
      <c r="AA598" s="153">
        <v>0</v>
      </c>
      <c r="AB598" s="153">
        <v>0</v>
      </c>
      <c r="AC598" s="153">
        <v>0</v>
      </c>
      <c r="AD598" s="153">
        <v>0</v>
      </c>
      <c r="AE598" s="153">
        <v>0</v>
      </c>
      <c r="AF598" s="153">
        <v>0</v>
      </c>
      <c r="AG598" s="153">
        <v>0</v>
      </c>
      <c r="AH598" s="153">
        <v>142020.04999999999</v>
      </c>
      <c r="AI598" s="153">
        <v>0</v>
      </c>
      <c r="AJ598" s="153">
        <v>0</v>
      </c>
      <c r="AK598" s="153">
        <f t="shared" si="187"/>
        <v>142020.04999999999</v>
      </c>
      <c r="AL598" s="153">
        <v>304012.48</v>
      </c>
      <c r="AM598" s="153">
        <v>147141.22</v>
      </c>
      <c r="AN598" s="153">
        <v>0</v>
      </c>
      <c r="AO598" s="153">
        <v>631602.25</v>
      </c>
      <c r="AP598" s="153">
        <v>0</v>
      </c>
      <c r="AQ598" s="153">
        <v>0</v>
      </c>
      <c r="AR598" s="153">
        <v>0</v>
      </c>
      <c r="AS598" s="147">
        <f>U598+V598+W598+AK598+AL598+AM598+AN598+AO598+AP598+AQ598+AR598</f>
        <v>1224776</v>
      </c>
      <c r="AT598" s="283"/>
      <c r="AU598" s="146">
        <f t="shared" si="182"/>
        <v>1224776</v>
      </c>
      <c r="AV598" s="146">
        <f>IFERROR(VLOOKUP(J598,Maksājumu_pieprasījumu_iesn.!G:BL,57,0),0)</f>
        <v>0</v>
      </c>
      <c r="AW598" s="139">
        <f t="shared" si="185"/>
        <v>-1224776</v>
      </c>
      <c r="AX598" s="147">
        <f>S598-T598-AU598</f>
        <v>0</v>
      </c>
      <c r="AY598" s="165"/>
      <c r="AZ598" s="165"/>
      <c r="BA598" s="165"/>
      <c r="BB598" s="147"/>
      <c r="BC598" s="147"/>
      <c r="BD598" s="147"/>
      <c r="BE598" s="147"/>
      <c r="BF598" s="147"/>
      <c r="BG598" s="147"/>
      <c r="BH598" s="149"/>
      <c r="BI598" s="149"/>
      <c r="BJ598" s="149"/>
      <c r="BK598" s="149"/>
      <c r="BL598" s="149"/>
      <c r="BM598" s="149"/>
      <c r="BN598" s="149"/>
    </row>
    <row r="599" spans="1:66" s="161" customFormat="1" ht="25.5" hidden="1" customHeight="1" x14ac:dyDescent="0.2">
      <c r="A599" s="158" t="s">
        <v>1603</v>
      </c>
      <c r="B599" s="20" t="s">
        <v>119</v>
      </c>
      <c r="C599" s="20" t="s">
        <v>120</v>
      </c>
      <c r="D599" s="21" t="s">
        <v>574</v>
      </c>
      <c r="E599" s="20">
        <v>1</v>
      </c>
      <c r="F599" s="20" t="s">
        <v>35</v>
      </c>
      <c r="G599" s="20" t="s">
        <v>102</v>
      </c>
      <c r="H599" s="20" t="s">
        <v>3</v>
      </c>
      <c r="I599" s="20"/>
      <c r="J599" s="20" t="s">
        <v>755</v>
      </c>
      <c r="K599" s="21" t="s">
        <v>756</v>
      </c>
      <c r="L599" s="277" t="s">
        <v>1605</v>
      </c>
      <c r="M599" s="277" t="s">
        <v>1666</v>
      </c>
      <c r="N599" s="21" t="s">
        <v>757</v>
      </c>
      <c r="O599" s="159" t="s">
        <v>880</v>
      </c>
      <c r="P599" s="159"/>
      <c r="Q599" s="159"/>
      <c r="R599" s="159"/>
      <c r="S599" s="147"/>
      <c r="T599" s="147"/>
      <c r="U599" s="153"/>
      <c r="V599" s="153"/>
      <c r="W599" s="153"/>
      <c r="X599" s="153">
        <f t="shared" si="186"/>
        <v>0</v>
      </c>
      <c r="Y599" s="153"/>
      <c r="Z599" s="153"/>
      <c r="AA599" s="153"/>
      <c r="AB599" s="153"/>
      <c r="AC599" s="153"/>
      <c r="AD599" s="153">
        <v>200000</v>
      </c>
      <c r="AE599" s="153"/>
      <c r="AF599" s="153"/>
      <c r="AG599" s="153"/>
      <c r="AH599" s="153"/>
      <c r="AI599" s="153"/>
      <c r="AJ599" s="153"/>
      <c r="AK599" s="153">
        <f t="shared" si="187"/>
        <v>200000</v>
      </c>
      <c r="AL599" s="153"/>
      <c r="AM599" s="153"/>
      <c r="AN599" s="153"/>
      <c r="AO599" s="153"/>
      <c r="AP599" s="153"/>
      <c r="AQ599" s="153"/>
      <c r="AR599" s="153"/>
      <c r="AT599" s="147">
        <f>U599+V599+W599+AK599+AL599+AM599+AN599+AO599+AP599+AQ599+AR599</f>
        <v>200000</v>
      </c>
      <c r="AU599" s="146"/>
      <c r="AV599" s="146">
        <f>IFERROR(VLOOKUP(J599,Maksājumu_pieprasījumu_iesn.!G:BL,57,0),0)</f>
        <v>0</v>
      </c>
      <c r="AW599" s="139">
        <f t="shared" si="185"/>
        <v>0</v>
      </c>
      <c r="AX599" s="147"/>
      <c r="AY599" s="165"/>
      <c r="AZ599" s="165"/>
      <c r="BA599" s="165"/>
      <c r="BB599" s="147"/>
      <c r="BC599" s="147"/>
      <c r="BD599" s="147"/>
      <c r="BE599" s="147"/>
      <c r="BF599" s="147"/>
      <c r="BG599" s="147"/>
      <c r="BH599" s="149"/>
      <c r="BI599" s="149"/>
      <c r="BJ599" s="149"/>
      <c r="BK599" s="149"/>
      <c r="BL599" s="149"/>
      <c r="BM599" s="149"/>
      <c r="BN599" s="149"/>
    </row>
    <row r="600" spans="1:66" s="161" customFormat="1" ht="38.25" hidden="1" customHeight="1" x14ac:dyDescent="0.2">
      <c r="A600" s="158" t="s">
        <v>1603</v>
      </c>
      <c r="B600" s="20" t="s">
        <v>119</v>
      </c>
      <c r="C600" s="20" t="s">
        <v>120</v>
      </c>
      <c r="D600" s="21" t="s">
        <v>574</v>
      </c>
      <c r="E600" s="20">
        <v>1</v>
      </c>
      <c r="F600" s="20" t="s">
        <v>35</v>
      </c>
      <c r="G600" s="20" t="s">
        <v>102</v>
      </c>
      <c r="H600" s="20" t="s">
        <v>3</v>
      </c>
      <c r="I600" s="20"/>
      <c r="J600" s="20" t="s">
        <v>692</v>
      </c>
      <c r="K600" s="21" t="s">
        <v>693</v>
      </c>
      <c r="L600" s="277" t="s">
        <v>1605</v>
      </c>
      <c r="M600" s="277" t="s">
        <v>1666</v>
      </c>
      <c r="N600" s="21" t="s">
        <v>694</v>
      </c>
      <c r="O600" s="159"/>
      <c r="P600" s="159"/>
      <c r="Q600" s="159"/>
      <c r="R600" s="160" t="s">
        <v>1668</v>
      </c>
      <c r="S600" s="147">
        <v>23980094.469999999</v>
      </c>
      <c r="T600" s="146"/>
      <c r="U600" s="153">
        <v>0</v>
      </c>
      <c r="V600" s="153">
        <v>0</v>
      </c>
      <c r="W600" s="153">
        <v>0</v>
      </c>
      <c r="X600" s="153">
        <f t="shared" si="186"/>
        <v>0</v>
      </c>
      <c r="Y600" s="153">
        <v>0</v>
      </c>
      <c r="Z600" s="153">
        <v>0</v>
      </c>
      <c r="AA600" s="153">
        <v>0</v>
      </c>
      <c r="AB600" s="153">
        <v>0</v>
      </c>
      <c r="AC600" s="153">
        <v>327998.21000000002</v>
      </c>
      <c r="AD600" s="153">
        <v>0</v>
      </c>
      <c r="AE600" s="153">
        <v>0</v>
      </c>
      <c r="AF600" s="153">
        <v>0</v>
      </c>
      <c r="AG600" s="153">
        <v>0</v>
      </c>
      <c r="AH600" s="153">
        <v>0</v>
      </c>
      <c r="AI600" s="153">
        <v>0</v>
      </c>
      <c r="AJ600" s="153">
        <v>0</v>
      </c>
      <c r="AK600" s="153">
        <f t="shared" si="187"/>
        <v>327998.21000000002</v>
      </c>
      <c r="AL600" s="153">
        <v>6855129.9100000001</v>
      </c>
      <c r="AM600" s="153">
        <v>7824401.0499999998</v>
      </c>
      <c r="AN600" s="153">
        <v>6491669.1600000001</v>
      </c>
      <c r="AO600" s="153">
        <v>2480896.14</v>
      </c>
      <c r="AP600" s="153">
        <v>0</v>
      </c>
      <c r="AQ600" s="153">
        <v>0</v>
      </c>
      <c r="AR600" s="153">
        <v>0</v>
      </c>
      <c r="AS600" s="147">
        <f>U600+V600+W600+AK600+AL600+AM600+AN600+AO600+AP600+AQ600+AR600</f>
        <v>23980094.469999999</v>
      </c>
      <c r="AT600" s="147">
        <v>0</v>
      </c>
      <c r="AU600" s="146">
        <f t="shared" si="182"/>
        <v>23980094.469999999</v>
      </c>
      <c r="AV600" s="146">
        <f>IFERROR(VLOOKUP(J600,Maksājumu_pieprasījumu_iesn.!G:BL,57,0),0)</f>
        <v>0</v>
      </c>
      <c r="AW600" s="139">
        <f t="shared" si="185"/>
        <v>-23980094.469999999</v>
      </c>
      <c r="AX600" s="147">
        <f>S600-T600-AU600</f>
        <v>0</v>
      </c>
      <c r="AY600" s="165"/>
      <c r="AZ600" s="165"/>
      <c r="BA600" s="165"/>
      <c r="BB600" s="147"/>
      <c r="BC600" s="147"/>
      <c r="BD600" s="147"/>
      <c r="BE600" s="147"/>
      <c r="BF600" s="147"/>
      <c r="BG600" s="147"/>
      <c r="BH600" s="149"/>
      <c r="BI600" s="149"/>
      <c r="BJ600" s="149"/>
      <c r="BK600" s="149"/>
      <c r="BL600" s="149"/>
      <c r="BM600" s="149"/>
      <c r="BN600" s="149"/>
    </row>
    <row r="601" spans="1:66" s="161" customFormat="1" ht="25.5" hidden="1" customHeight="1" x14ac:dyDescent="0.2">
      <c r="A601" s="158" t="s">
        <v>1603</v>
      </c>
      <c r="B601" s="20" t="s">
        <v>119</v>
      </c>
      <c r="C601" s="20" t="s">
        <v>120</v>
      </c>
      <c r="D601" s="21" t="s">
        <v>574</v>
      </c>
      <c r="E601" s="20">
        <v>1</v>
      </c>
      <c r="F601" s="20" t="s">
        <v>35</v>
      </c>
      <c r="G601" s="20" t="s">
        <v>102</v>
      </c>
      <c r="H601" s="20" t="s">
        <v>3</v>
      </c>
      <c r="I601" s="20"/>
      <c r="J601" s="20" t="s">
        <v>1669</v>
      </c>
      <c r="K601" s="21" t="s">
        <v>1670</v>
      </c>
      <c r="L601" s="277" t="s">
        <v>1605</v>
      </c>
      <c r="M601" s="277" t="s">
        <v>1666</v>
      </c>
      <c r="N601" s="21" t="s">
        <v>1671</v>
      </c>
      <c r="O601" s="159"/>
      <c r="P601" s="159"/>
      <c r="Q601" s="159"/>
      <c r="R601" s="160" t="s">
        <v>1672</v>
      </c>
      <c r="S601" s="147">
        <v>1224776</v>
      </c>
      <c r="T601" s="146"/>
      <c r="U601" s="153">
        <v>0</v>
      </c>
      <c r="V601" s="153">
        <v>0</v>
      </c>
      <c r="W601" s="153">
        <v>0</v>
      </c>
      <c r="X601" s="153">
        <f t="shared" si="186"/>
        <v>0</v>
      </c>
      <c r="Y601" s="153">
        <v>0</v>
      </c>
      <c r="Z601" s="153">
        <v>0</v>
      </c>
      <c r="AA601" s="153">
        <v>0</v>
      </c>
      <c r="AB601" s="153">
        <v>0</v>
      </c>
      <c r="AC601" s="153">
        <v>0</v>
      </c>
      <c r="AD601" s="153">
        <v>0</v>
      </c>
      <c r="AE601" s="153">
        <v>0</v>
      </c>
      <c r="AF601" s="153">
        <v>0</v>
      </c>
      <c r="AG601" s="153">
        <v>0</v>
      </c>
      <c r="AH601" s="153">
        <v>0</v>
      </c>
      <c r="AI601" s="153">
        <v>0</v>
      </c>
      <c r="AJ601" s="153">
        <v>0</v>
      </c>
      <c r="AK601" s="153">
        <f t="shared" si="187"/>
        <v>0</v>
      </c>
      <c r="AL601" s="153">
        <v>886480</v>
      </c>
      <c r="AM601" s="153">
        <v>215793.84</v>
      </c>
      <c r="AN601" s="153">
        <v>0</v>
      </c>
      <c r="AO601" s="153">
        <v>0</v>
      </c>
      <c r="AP601" s="153">
        <v>122502.16</v>
      </c>
      <c r="AQ601" s="153">
        <v>0</v>
      </c>
      <c r="AR601" s="153">
        <v>0</v>
      </c>
      <c r="AS601" s="147">
        <f>U601+V601+W601+AK601+AL601+AM601+AN601+AO601+AP601+AQ601+AR601</f>
        <v>1224776</v>
      </c>
      <c r="AT601" s="284">
        <v>0</v>
      </c>
      <c r="AU601" s="146">
        <f t="shared" si="182"/>
        <v>1224776</v>
      </c>
      <c r="AV601" s="146">
        <f>IFERROR(VLOOKUP(J601,Maksājumu_pieprasījumu_iesn.!G:BL,57,0),0)</f>
        <v>0</v>
      </c>
      <c r="AW601" s="139">
        <f t="shared" si="185"/>
        <v>-1224776</v>
      </c>
      <c r="AX601" s="147">
        <f>S601-T601-AU601</f>
        <v>0</v>
      </c>
      <c r="AY601" s="165"/>
      <c r="AZ601" s="165"/>
      <c r="BA601" s="149"/>
      <c r="BB601" s="147"/>
      <c r="BC601" s="147"/>
      <c r="BD601" s="147"/>
      <c r="BE601" s="147"/>
      <c r="BF601" s="147"/>
      <c r="BG601" s="147"/>
      <c r="BH601" s="149"/>
      <c r="BI601" s="149"/>
      <c r="BJ601" s="149"/>
      <c r="BK601" s="149"/>
      <c r="BL601" s="149"/>
      <c r="BM601" s="149"/>
      <c r="BN601" s="149"/>
    </row>
    <row r="602" spans="1:66" s="161" customFormat="1" ht="25.5" hidden="1" customHeight="1" x14ac:dyDescent="0.2">
      <c r="A602" s="158" t="s">
        <v>1603</v>
      </c>
      <c r="B602" s="20" t="s">
        <v>119</v>
      </c>
      <c r="C602" s="20" t="s">
        <v>120</v>
      </c>
      <c r="D602" s="21" t="s">
        <v>574</v>
      </c>
      <c r="E602" s="20">
        <v>1</v>
      </c>
      <c r="F602" s="20" t="s">
        <v>35</v>
      </c>
      <c r="G602" s="20" t="s">
        <v>102</v>
      </c>
      <c r="H602" s="20" t="s">
        <v>3</v>
      </c>
      <c r="I602" s="20"/>
      <c r="J602" s="20" t="s">
        <v>1669</v>
      </c>
      <c r="K602" s="21" t="s">
        <v>1670</v>
      </c>
      <c r="L602" s="277" t="s">
        <v>1605</v>
      </c>
      <c r="M602" s="277" t="s">
        <v>1666</v>
      </c>
      <c r="N602" s="21" t="s">
        <v>1671</v>
      </c>
      <c r="O602" s="159" t="s">
        <v>880</v>
      </c>
      <c r="P602" s="159"/>
      <c r="Q602" s="159"/>
      <c r="R602" s="160"/>
      <c r="S602" s="147"/>
      <c r="T602" s="146"/>
      <c r="U602" s="153"/>
      <c r="V602" s="153"/>
      <c r="W602" s="153"/>
      <c r="X602" s="153">
        <f t="shared" si="186"/>
        <v>0</v>
      </c>
      <c r="Y602" s="153"/>
      <c r="Z602" s="153"/>
      <c r="AA602" s="153"/>
      <c r="AB602" s="153"/>
      <c r="AC602" s="153"/>
      <c r="AD602" s="153"/>
      <c r="AE602" s="153"/>
      <c r="AF602" s="153"/>
      <c r="AG602" s="153"/>
      <c r="AH602" s="153"/>
      <c r="AI602" s="153">
        <v>244955</v>
      </c>
      <c r="AJ602" s="153"/>
      <c r="AK602" s="153">
        <f t="shared" si="187"/>
        <v>244955</v>
      </c>
      <c r="AL602" s="153"/>
      <c r="AM602" s="153"/>
      <c r="AN602" s="153"/>
      <c r="AO602" s="153"/>
      <c r="AP602" s="153"/>
      <c r="AQ602" s="153"/>
      <c r="AR602" s="153"/>
      <c r="AT602" s="147">
        <f>U602+V602+W602+AK602+AL602+AM602+AN602+AO602+AP602+AQ602+AR602</f>
        <v>244955</v>
      </c>
      <c r="AU602" s="146"/>
      <c r="AV602" s="146">
        <f>IFERROR(VLOOKUP(J602,Maksājumu_pieprasījumu_iesn.!G:BL,57,0),0)</f>
        <v>0</v>
      </c>
      <c r="AW602" s="139">
        <f t="shared" si="185"/>
        <v>0</v>
      </c>
      <c r="AX602" s="147"/>
      <c r="AY602" s="165"/>
      <c r="AZ602" s="165"/>
      <c r="BA602" s="149"/>
      <c r="BB602" s="147"/>
      <c r="BC602" s="147"/>
      <c r="BD602" s="147"/>
      <c r="BE602" s="147"/>
      <c r="BF602" s="147"/>
      <c r="BG602" s="147"/>
      <c r="BH602" s="149"/>
      <c r="BI602" s="149"/>
      <c r="BJ602" s="149"/>
      <c r="BK602" s="149"/>
      <c r="BL602" s="149"/>
      <c r="BM602" s="149"/>
      <c r="BN602" s="149"/>
    </row>
    <row r="603" spans="1:66" s="161" customFormat="1" ht="51" hidden="1" x14ac:dyDescent="0.2">
      <c r="A603" s="158" t="s">
        <v>1603</v>
      </c>
      <c r="B603" s="20" t="s">
        <v>119</v>
      </c>
      <c r="C603" s="20" t="s">
        <v>120</v>
      </c>
      <c r="D603" s="21" t="s">
        <v>574</v>
      </c>
      <c r="E603" s="20">
        <v>1</v>
      </c>
      <c r="F603" s="20" t="s">
        <v>35</v>
      </c>
      <c r="G603" s="20" t="s">
        <v>102</v>
      </c>
      <c r="H603" s="20" t="s">
        <v>3</v>
      </c>
      <c r="I603" s="20"/>
      <c r="J603" s="20" t="s">
        <v>121</v>
      </c>
      <c r="K603" s="21" t="s">
        <v>122</v>
      </c>
      <c r="L603" s="277" t="s">
        <v>1605</v>
      </c>
      <c r="M603" s="277" t="s">
        <v>1666</v>
      </c>
      <c r="N603" s="21" t="s">
        <v>123</v>
      </c>
      <c r="O603" s="159"/>
      <c r="P603" s="159"/>
      <c r="Q603" s="159"/>
      <c r="R603" s="159">
        <v>42793</v>
      </c>
      <c r="S603" s="147">
        <v>1691100</v>
      </c>
      <c r="T603" s="147"/>
      <c r="U603" s="153">
        <v>0</v>
      </c>
      <c r="V603" s="153">
        <v>0</v>
      </c>
      <c r="W603" s="153">
        <v>0</v>
      </c>
      <c r="X603" s="153">
        <f t="shared" si="186"/>
        <v>0</v>
      </c>
      <c r="Y603" s="153">
        <v>0</v>
      </c>
      <c r="Z603" s="153">
        <v>0</v>
      </c>
      <c r="AA603" s="153">
        <v>0</v>
      </c>
      <c r="AB603" s="153">
        <v>0</v>
      </c>
      <c r="AC603" s="153">
        <v>0</v>
      </c>
      <c r="AD603" s="153">
        <v>0</v>
      </c>
      <c r="AE603" s="166">
        <v>109080</v>
      </c>
      <c r="AF603" s="153">
        <v>0</v>
      </c>
      <c r="AG603" s="153">
        <v>139247.16</v>
      </c>
      <c r="AH603" s="153">
        <v>0</v>
      </c>
      <c r="AI603" s="153">
        <v>170238.97</v>
      </c>
      <c r="AJ603" s="153">
        <v>0</v>
      </c>
      <c r="AK603" s="153">
        <f t="shared" si="187"/>
        <v>418566.13</v>
      </c>
      <c r="AL603" s="153">
        <v>365839.78</v>
      </c>
      <c r="AM603" s="153">
        <v>0</v>
      </c>
      <c r="AN603" s="153">
        <v>0</v>
      </c>
      <c r="AO603" s="153">
        <v>0</v>
      </c>
      <c r="AP603" s="153">
        <v>87155.65</v>
      </c>
      <c r="AQ603" s="153">
        <v>0</v>
      </c>
      <c r="AR603" s="153">
        <v>0</v>
      </c>
      <c r="AS603" s="147">
        <f>U603+V603+W603+AK603+AL603+AM603+AN603+AO603+AP603+AQ603+AR603</f>
        <v>871561.56</v>
      </c>
      <c r="AT603" s="283">
        <v>0</v>
      </c>
      <c r="AU603" s="146">
        <f t="shared" si="182"/>
        <v>871561.56</v>
      </c>
      <c r="AV603" s="146">
        <f>IFERROR(VLOOKUP(J603,Maksājumu_pieprasījumu_iesn.!G:BL,57,0),0)</f>
        <v>0</v>
      </c>
      <c r="AW603" s="139">
        <f t="shared" si="185"/>
        <v>-871561.56</v>
      </c>
      <c r="AX603" s="147">
        <f>S603-T603-AU603</f>
        <v>819538.44</v>
      </c>
      <c r="AY603" s="147">
        <v>819538.44</v>
      </c>
      <c r="AZ603" s="149" t="s">
        <v>1673</v>
      </c>
      <c r="BA603" s="149" t="s">
        <v>1673</v>
      </c>
      <c r="BB603" s="147"/>
      <c r="BC603" s="147"/>
      <c r="BD603" s="147"/>
      <c r="BE603" s="147"/>
      <c r="BF603" s="147"/>
      <c r="BG603" s="147"/>
      <c r="BH603" s="149"/>
      <c r="BI603" s="149"/>
      <c r="BJ603" s="149"/>
      <c r="BK603" s="149"/>
      <c r="BL603" s="149"/>
      <c r="BM603" s="149"/>
      <c r="BN603" s="149"/>
    </row>
    <row r="604" spans="1:66" s="161" customFormat="1" ht="25.5" hidden="1" customHeight="1" x14ac:dyDescent="0.2">
      <c r="A604" s="158" t="s">
        <v>1603</v>
      </c>
      <c r="B604" s="20" t="s">
        <v>119</v>
      </c>
      <c r="C604" s="20" t="s">
        <v>120</v>
      </c>
      <c r="D604" s="21" t="s">
        <v>574</v>
      </c>
      <c r="E604" s="20">
        <v>1</v>
      </c>
      <c r="F604" s="20" t="s">
        <v>35</v>
      </c>
      <c r="G604" s="20" t="s">
        <v>102</v>
      </c>
      <c r="H604" s="20" t="s">
        <v>3</v>
      </c>
      <c r="I604" s="20"/>
      <c r="J604" s="20" t="s">
        <v>121</v>
      </c>
      <c r="K604" s="21" t="s">
        <v>122</v>
      </c>
      <c r="L604" s="277" t="s">
        <v>1605</v>
      </c>
      <c r="M604" s="277" t="s">
        <v>1666</v>
      </c>
      <c r="N604" s="21" t="s">
        <v>123</v>
      </c>
      <c r="O604" s="159" t="s">
        <v>880</v>
      </c>
      <c r="P604" s="159"/>
      <c r="Q604" s="159"/>
      <c r="R604" s="159"/>
      <c r="S604" s="147"/>
      <c r="T604" s="147"/>
      <c r="U604" s="153"/>
      <c r="V604" s="153"/>
      <c r="W604" s="153"/>
      <c r="X604" s="153">
        <f t="shared" si="186"/>
        <v>0</v>
      </c>
      <c r="Y604" s="153"/>
      <c r="Z604" s="153"/>
      <c r="AA604" s="153"/>
      <c r="AB604" s="153">
        <v>169110</v>
      </c>
      <c r="AC604" s="153"/>
      <c r="AD604" s="153"/>
      <c r="AE604" s="153"/>
      <c r="AF604" s="153"/>
      <c r="AG604" s="153"/>
      <c r="AH604" s="153"/>
      <c r="AI604" s="153"/>
      <c r="AJ604" s="153"/>
      <c r="AK604" s="153">
        <f t="shared" si="187"/>
        <v>169110</v>
      </c>
      <c r="AL604" s="153"/>
      <c r="AM604" s="153"/>
      <c r="AN604" s="153"/>
      <c r="AO604" s="153"/>
      <c r="AP604" s="153"/>
      <c r="AQ604" s="153"/>
      <c r="AR604" s="153"/>
      <c r="AT604" s="147">
        <f>U604+V604+W604+AK604+AL604+AM604+AN604+AO604+AP604+AQ604+AR604</f>
        <v>169110</v>
      </c>
      <c r="AU604" s="146"/>
      <c r="AV604" s="146">
        <f>IFERROR(VLOOKUP(J604,Maksājumu_pieprasījumu_iesn.!G:BL,57,0),0)</f>
        <v>0</v>
      </c>
      <c r="AW604" s="139">
        <f t="shared" si="185"/>
        <v>0</v>
      </c>
      <c r="AX604" s="147"/>
      <c r="AY604" s="165"/>
      <c r="AZ604" s="165"/>
      <c r="BA604" s="165"/>
      <c r="BB604" s="147"/>
      <c r="BC604" s="147"/>
      <c r="BD604" s="147"/>
      <c r="BE604" s="147"/>
      <c r="BF604" s="147"/>
      <c r="BG604" s="147"/>
      <c r="BH604" s="149"/>
      <c r="BI604" s="149"/>
      <c r="BJ604" s="149"/>
      <c r="BK604" s="149"/>
      <c r="BL604" s="149"/>
      <c r="BM604" s="149"/>
      <c r="BN604" s="149"/>
    </row>
    <row r="605" spans="1:66" s="161" customFormat="1" ht="25.5" hidden="1" customHeight="1" x14ac:dyDescent="0.2">
      <c r="A605" s="158" t="s">
        <v>1603</v>
      </c>
      <c r="B605" s="20" t="s">
        <v>119</v>
      </c>
      <c r="C605" s="20" t="s">
        <v>120</v>
      </c>
      <c r="D605" s="21" t="s">
        <v>574</v>
      </c>
      <c r="E605" s="20">
        <v>1</v>
      </c>
      <c r="F605" s="20" t="s">
        <v>35</v>
      </c>
      <c r="G605" s="20" t="s">
        <v>102</v>
      </c>
      <c r="H605" s="20" t="s">
        <v>3</v>
      </c>
      <c r="I605" s="20"/>
      <c r="J605" s="20" t="s">
        <v>124</v>
      </c>
      <c r="K605" s="21" t="s">
        <v>125</v>
      </c>
      <c r="L605" s="277" t="s">
        <v>1605</v>
      </c>
      <c r="M605" s="277" t="s">
        <v>1666</v>
      </c>
      <c r="N605" s="21" t="s">
        <v>126</v>
      </c>
      <c r="O605" s="159"/>
      <c r="P605" s="159"/>
      <c r="Q605" s="159"/>
      <c r="R605" s="159">
        <v>42814</v>
      </c>
      <c r="S605" s="147">
        <v>8594668</v>
      </c>
      <c r="T605" s="147"/>
      <c r="U605" s="153">
        <v>0</v>
      </c>
      <c r="V605" s="153">
        <v>0</v>
      </c>
      <c r="W605" s="153">
        <v>0</v>
      </c>
      <c r="X605" s="153">
        <f t="shared" si="186"/>
        <v>0</v>
      </c>
      <c r="Y605" s="153">
        <v>0</v>
      </c>
      <c r="Z605" s="153">
        <v>0</v>
      </c>
      <c r="AA605" s="153">
        <v>0</v>
      </c>
      <c r="AB605" s="153">
        <v>0</v>
      </c>
      <c r="AC605" s="153">
        <v>1370009.09</v>
      </c>
      <c r="AD605" s="153">
        <v>0</v>
      </c>
      <c r="AE605" s="153">
        <v>0</v>
      </c>
      <c r="AF605" s="420">
        <v>87586.57</v>
      </c>
      <c r="AG605" s="153">
        <v>0</v>
      </c>
      <c r="AH605" s="153">
        <v>0</v>
      </c>
      <c r="AI605" s="153">
        <v>876236.02</v>
      </c>
      <c r="AJ605" s="153">
        <v>0</v>
      </c>
      <c r="AK605" s="153">
        <f t="shared" si="187"/>
        <v>2333831.6800000002</v>
      </c>
      <c r="AL605" s="153">
        <v>2896175.08</v>
      </c>
      <c r="AM605" s="153">
        <v>2173508.08</v>
      </c>
      <c r="AN605" s="153">
        <v>622277.31999999995</v>
      </c>
      <c r="AO605" s="153">
        <v>568875.84</v>
      </c>
      <c r="AP605" s="153">
        <v>0</v>
      </c>
      <c r="AQ605" s="153">
        <v>0</v>
      </c>
      <c r="AR605" s="153">
        <v>0</v>
      </c>
      <c r="AS605" s="147">
        <f>U605+V605+W605+AK605+AL605+AM605+AN605+AO605+AP605+AQ605+AR605</f>
        <v>8594668</v>
      </c>
      <c r="AT605" s="283">
        <v>0</v>
      </c>
      <c r="AU605" s="146">
        <f>AS605-AT605</f>
        <v>8594668</v>
      </c>
      <c r="AV605" s="146" t="str">
        <f>IFERROR(VLOOKUP(J605,Maksājumu_pieprasījumu_iesn.!G:BL,57,0),0)</f>
        <v>Koriģēts atbilstoši noslēgtajiem būvdarbu līgumiem un faktiski veiktajiem darbiem.</v>
      </c>
      <c r="AW605" s="139" t="e">
        <f t="shared" si="185"/>
        <v>#VALUE!</v>
      </c>
      <c r="AX605" s="147">
        <f>S605-T605-AU605</f>
        <v>0</v>
      </c>
      <c r="AY605" s="165"/>
      <c r="AZ605" s="165"/>
      <c r="BA605" s="165"/>
      <c r="BB605" s="147"/>
      <c r="BC605" s="147"/>
      <c r="BD605" s="147"/>
      <c r="BE605" s="147"/>
      <c r="BF605" s="147"/>
      <c r="BG605" s="147"/>
      <c r="BH605" s="149"/>
      <c r="BI605" s="149"/>
      <c r="BJ605" s="149"/>
      <c r="BK605" s="149"/>
      <c r="BL605" s="149"/>
      <c r="BM605" s="149"/>
      <c r="BN605" s="149"/>
    </row>
    <row r="606" spans="1:66" s="161" customFormat="1" ht="25.5" hidden="1" customHeight="1" x14ac:dyDescent="0.2">
      <c r="A606" s="158" t="s">
        <v>1603</v>
      </c>
      <c r="B606" s="20" t="s">
        <v>119</v>
      </c>
      <c r="C606" s="20" t="s">
        <v>120</v>
      </c>
      <c r="D606" s="21" t="s">
        <v>574</v>
      </c>
      <c r="E606" s="20">
        <v>1</v>
      </c>
      <c r="F606" s="20" t="s">
        <v>35</v>
      </c>
      <c r="G606" s="20" t="s">
        <v>102</v>
      </c>
      <c r="H606" s="20" t="s">
        <v>3</v>
      </c>
      <c r="I606" s="20"/>
      <c r="J606" s="20" t="s">
        <v>124</v>
      </c>
      <c r="K606" s="21" t="s">
        <v>125</v>
      </c>
      <c r="L606" s="277" t="s">
        <v>1605</v>
      </c>
      <c r="M606" s="277" t="s">
        <v>1666</v>
      </c>
      <c r="N606" s="21" t="s">
        <v>126</v>
      </c>
      <c r="O606" s="159" t="s">
        <v>880</v>
      </c>
      <c r="P606" s="159"/>
      <c r="Q606" s="159"/>
      <c r="R606" s="159"/>
      <c r="S606" s="147"/>
      <c r="T606" s="147"/>
      <c r="U606" s="153"/>
      <c r="V606" s="153"/>
      <c r="W606" s="153"/>
      <c r="X606" s="153">
        <f t="shared" si="186"/>
        <v>0</v>
      </c>
      <c r="Y606" s="153"/>
      <c r="Z606" s="153"/>
      <c r="AA606" s="153">
        <v>2148667</v>
      </c>
      <c r="AB606" s="153"/>
      <c r="AC606" s="153"/>
      <c r="AD606" s="153"/>
      <c r="AE606" s="153"/>
      <c r="AF606" s="153"/>
      <c r="AG606" s="153"/>
      <c r="AH606" s="153"/>
      <c r="AI606" s="153"/>
      <c r="AJ606" s="153"/>
      <c r="AK606" s="153"/>
      <c r="AL606" s="153"/>
      <c r="AM606" s="153"/>
      <c r="AN606" s="153"/>
      <c r="AO606" s="153"/>
      <c r="AP606" s="153"/>
      <c r="AQ606" s="153"/>
      <c r="AR606" s="153"/>
      <c r="AS606" s="147"/>
      <c r="AT606" s="283">
        <v>2148667</v>
      </c>
      <c r="AU606" s="146"/>
      <c r="AV606" s="146" t="str">
        <f>IFERROR(VLOOKUP(J606,Maksājumu_pieprasījumu_iesn.!G:BL,57,0),0)</f>
        <v>Koriģēts atbilstoši noslēgtajiem būvdarbu līgumiem un faktiski veiktajiem darbiem.</v>
      </c>
      <c r="AW606" s="139" t="e">
        <f t="shared" si="185"/>
        <v>#VALUE!</v>
      </c>
      <c r="AX606" s="147"/>
      <c r="AY606" s="165"/>
      <c r="AZ606" s="165"/>
      <c r="BA606" s="165"/>
      <c r="BB606" s="147"/>
      <c r="BC606" s="147"/>
      <c r="BD606" s="147"/>
      <c r="BE606" s="147"/>
      <c r="BF606" s="147"/>
      <c r="BG606" s="147"/>
      <c r="BH606" s="149"/>
      <c r="BI606" s="149"/>
      <c r="BJ606" s="149"/>
      <c r="BK606" s="149"/>
      <c r="BL606" s="149"/>
      <c r="BM606" s="149"/>
      <c r="BN606" s="149"/>
    </row>
    <row r="607" spans="1:66" s="161" customFormat="1" ht="38.25" hidden="1" customHeight="1" x14ac:dyDescent="0.2">
      <c r="A607" s="158" t="s">
        <v>1603</v>
      </c>
      <c r="B607" s="20" t="s">
        <v>119</v>
      </c>
      <c r="C607" s="20" t="s">
        <v>120</v>
      </c>
      <c r="D607" s="21" t="s">
        <v>574</v>
      </c>
      <c r="E607" s="20">
        <v>1</v>
      </c>
      <c r="F607" s="20" t="s">
        <v>35</v>
      </c>
      <c r="G607" s="20" t="s">
        <v>102</v>
      </c>
      <c r="H607" s="20" t="s">
        <v>3</v>
      </c>
      <c r="I607" s="20"/>
      <c r="J607" s="20" t="s">
        <v>1674</v>
      </c>
      <c r="K607" s="21" t="s">
        <v>1675</v>
      </c>
      <c r="L607" s="277" t="s">
        <v>1605</v>
      </c>
      <c r="M607" s="277" t="s">
        <v>1666</v>
      </c>
      <c r="N607" s="21" t="s">
        <v>1676</v>
      </c>
      <c r="O607" s="159"/>
      <c r="P607" s="159"/>
      <c r="Q607" s="159"/>
      <c r="R607" s="160" t="s">
        <v>1677</v>
      </c>
      <c r="S607" s="147">
        <v>158322</v>
      </c>
      <c r="T607" s="146"/>
      <c r="U607" s="153">
        <v>0</v>
      </c>
      <c r="V607" s="153">
        <v>0</v>
      </c>
      <c r="W607" s="153">
        <v>0</v>
      </c>
      <c r="X607" s="153">
        <f t="shared" si="186"/>
        <v>0</v>
      </c>
      <c r="Y607" s="153">
        <v>0</v>
      </c>
      <c r="Z607" s="153">
        <v>0</v>
      </c>
      <c r="AA607" s="153">
        <v>0</v>
      </c>
      <c r="AB607" s="153">
        <v>0</v>
      </c>
      <c r="AC607" s="153">
        <v>0</v>
      </c>
      <c r="AD607" s="153">
        <v>0</v>
      </c>
      <c r="AE607" s="153">
        <v>0</v>
      </c>
      <c r="AF607" s="153">
        <v>0</v>
      </c>
      <c r="AG607" s="153">
        <v>0</v>
      </c>
      <c r="AH607" s="153">
        <v>0</v>
      </c>
      <c r="AI607" s="153">
        <v>0</v>
      </c>
      <c r="AJ607" s="153">
        <v>0</v>
      </c>
      <c r="AK607" s="153">
        <f t="shared" ref="AK607:AK617" si="188">SUM(Y607:AJ607)</f>
        <v>0</v>
      </c>
      <c r="AL607" s="153">
        <v>126657.59999999999</v>
      </c>
      <c r="AM607" s="153">
        <v>31664.400000000001</v>
      </c>
      <c r="AN607" s="153">
        <v>0</v>
      </c>
      <c r="AO607" s="153">
        <v>0</v>
      </c>
      <c r="AP607" s="153">
        <v>0</v>
      </c>
      <c r="AQ607" s="153">
        <v>0</v>
      </c>
      <c r="AR607" s="153">
        <v>0</v>
      </c>
      <c r="AS607" s="147">
        <f>U607+V607+W607+AK607+AL607+AM607+AN607+AO607+AP607+AQ607+AR607</f>
        <v>158322</v>
      </c>
      <c r="AT607" s="147">
        <v>0</v>
      </c>
      <c r="AU607" s="146">
        <f t="shared" si="182"/>
        <v>158322</v>
      </c>
      <c r="AV607" s="146">
        <f>IFERROR(VLOOKUP(J607,Maksājumu_pieprasījumu_iesn.!G:BL,57,0),0)</f>
        <v>0</v>
      </c>
      <c r="AW607" s="139">
        <f t="shared" si="185"/>
        <v>-158322</v>
      </c>
      <c r="AX607" s="147">
        <f>S607-T607-AU607</f>
        <v>0</v>
      </c>
      <c r="AY607" s="165"/>
      <c r="AZ607" s="165"/>
      <c r="BA607" s="165"/>
      <c r="BB607" s="147"/>
      <c r="BC607" s="147"/>
      <c r="BD607" s="147"/>
      <c r="BE607" s="147"/>
      <c r="BF607" s="147"/>
      <c r="BG607" s="147"/>
      <c r="BH607" s="149"/>
      <c r="BI607" s="149"/>
      <c r="BJ607" s="149"/>
      <c r="BK607" s="149"/>
      <c r="BL607" s="149"/>
      <c r="BM607" s="149"/>
      <c r="BN607" s="149"/>
    </row>
    <row r="608" spans="1:66" s="161" customFormat="1" ht="25.5" hidden="1" customHeight="1" x14ac:dyDescent="0.2">
      <c r="A608" s="158" t="s">
        <v>1603</v>
      </c>
      <c r="B608" s="20" t="s">
        <v>119</v>
      </c>
      <c r="C608" s="20" t="s">
        <v>120</v>
      </c>
      <c r="D608" s="21" t="s">
        <v>574</v>
      </c>
      <c r="E608" s="20">
        <v>1</v>
      </c>
      <c r="F608" s="20" t="s">
        <v>35</v>
      </c>
      <c r="G608" s="20" t="s">
        <v>102</v>
      </c>
      <c r="H608" s="20" t="s">
        <v>3</v>
      </c>
      <c r="I608" s="20"/>
      <c r="J608" s="20" t="s">
        <v>127</v>
      </c>
      <c r="K608" s="21" t="s">
        <v>128</v>
      </c>
      <c r="L608" s="277" t="s">
        <v>1605</v>
      </c>
      <c r="M608" s="277" t="s">
        <v>1666</v>
      </c>
      <c r="N608" s="21" t="s">
        <v>129</v>
      </c>
      <c r="O608" s="159"/>
      <c r="P608" s="159"/>
      <c r="Q608" s="159"/>
      <c r="R608" s="159">
        <v>42780</v>
      </c>
      <c r="S608" s="147">
        <v>1404721.03</v>
      </c>
      <c r="T608" s="147"/>
      <c r="U608" s="153">
        <v>0</v>
      </c>
      <c r="V608" s="153">
        <v>0</v>
      </c>
      <c r="W608" s="153">
        <v>0</v>
      </c>
      <c r="X608" s="153">
        <f t="shared" si="186"/>
        <v>0</v>
      </c>
      <c r="Y608" s="153">
        <v>0</v>
      </c>
      <c r="Z608" s="153">
        <v>0</v>
      </c>
      <c r="AA608" s="153">
        <v>0</v>
      </c>
      <c r="AB608" s="161">
        <v>0</v>
      </c>
      <c r="AC608" s="153">
        <v>0</v>
      </c>
      <c r="AD608" s="166">
        <v>64122.16</v>
      </c>
      <c r="AE608" s="166">
        <v>117016.2</v>
      </c>
      <c r="AF608" s="420">
        <v>221382</v>
      </c>
      <c r="AG608" s="153">
        <v>229850.8</v>
      </c>
      <c r="AH608" s="153">
        <v>221382</v>
      </c>
      <c r="AI608" s="153">
        <v>208731.6</v>
      </c>
      <c r="AJ608" s="153">
        <v>132829.20000000001</v>
      </c>
      <c r="AK608" s="153">
        <f t="shared" si="188"/>
        <v>1195313.96</v>
      </c>
      <c r="AL608" s="153">
        <v>68897.87</v>
      </c>
      <c r="AM608" s="153">
        <v>0</v>
      </c>
      <c r="AN608" s="153">
        <v>0</v>
      </c>
      <c r="AO608" s="153">
        <v>0</v>
      </c>
      <c r="AP608" s="153">
        <v>140509.20000000001</v>
      </c>
      <c r="AQ608" s="153">
        <v>0</v>
      </c>
      <c r="AR608" s="153">
        <v>0</v>
      </c>
      <c r="AS608" s="147">
        <f>U608+V608+W608+AK608+AL608+AM608+AN608+AO608+AP608+AQ608+AR608</f>
        <v>1404721.03</v>
      </c>
      <c r="AT608" s="284">
        <v>0</v>
      </c>
      <c r="AU608" s="146">
        <f>AS608-AT608</f>
        <v>1404721.03</v>
      </c>
      <c r="AV608" s="146">
        <f>IFERROR(VLOOKUP(J608,Maksājumu_pieprasījumu_iesn.!G:BL,57,0),0)</f>
        <v>0</v>
      </c>
      <c r="AW608" s="139">
        <f t="shared" si="185"/>
        <v>-1404721.03</v>
      </c>
      <c r="AX608" s="147">
        <f>S608-T608-AU608</f>
        <v>0</v>
      </c>
      <c r="AY608" s="165"/>
      <c r="AZ608" s="165"/>
      <c r="BA608" s="165"/>
      <c r="BB608" s="147"/>
      <c r="BC608" s="147"/>
      <c r="BD608" s="147"/>
      <c r="BE608" s="147"/>
      <c r="BF608" s="147"/>
      <c r="BG608" s="147"/>
      <c r="BH608" s="149"/>
      <c r="BI608" s="149"/>
      <c r="BJ608" s="149"/>
      <c r="BK608" s="149"/>
      <c r="BL608" s="149"/>
      <c r="BM608" s="149"/>
      <c r="BN608" s="149"/>
    </row>
    <row r="609" spans="1:66" s="161" customFormat="1" ht="25.5" hidden="1" customHeight="1" x14ac:dyDescent="0.2">
      <c r="A609" s="158" t="s">
        <v>1603</v>
      </c>
      <c r="B609" s="20" t="s">
        <v>119</v>
      </c>
      <c r="C609" s="20" t="s">
        <v>120</v>
      </c>
      <c r="D609" s="21" t="s">
        <v>574</v>
      </c>
      <c r="E609" s="20">
        <v>1</v>
      </c>
      <c r="F609" s="20" t="s">
        <v>35</v>
      </c>
      <c r="G609" s="20" t="s">
        <v>102</v>
      </c>
      <c r="H609" s="20" t="s">
        <v>3</v>
      </c>
      <c r="I609" s="20"/>
      <c r="J609" s="20" t="s">
        <v>127</v>
      </c>
      <c r="K609" s="21" t="s">
        <v>128</v>
      </c>
      <c r="L609" s="277" t="s">
        <v>1605</v>
      </c>
      <c r="M609" s="277" t="s">
        <v>1666</v>
      </c>
      <c r="N609" s="21" t="s">
        <v>129</v>
      </c>
      <c r="O609" s="159" t="s">
        <v>880</v>
      </c>
      <c r="P609" s="159"/>
      <c r="Q609" s="159"/>
      <c r="R609" s="159"/>
      <c r="S609" s="147"/>
      <c r="T609" s="147"/>
      <c r="U609" s="153"/>
      <c r="V609" s="153"/>
      <c r="W609" s="153"/>
      <c r="X609" s="153">
        <f t="shared" si="186"/>
        <v>0</v>
      </c>
      <c r="Y609" s="153"/>
      <c r="Z609" s="153"/>
      <c r="AA609" s="153"/>
      <c r="AB609" s="153">
        <v>421416.31</v>
      </c>
      <c r="AC609" s="153"/>
      <c r="AD609" s="153"/>
      <c r="AE609" s="153"/>
      <c r="AF609" s="153"/>
      <c r="AG609" s="153"/>
      <c r="AH609" s="153"/>
      <c r="AI609" s="153"/>
      <c r="AJ609" s="153"/>
      <c r="AK609" s="153">
        <f t="shared" si="188"/>
        <v>421416.31</v>
      </c>
      <c r="AL609" s="153"/>
      <c r="AM609" s="153"/>
      <c r="AN609" s="153"/>
      <c r="AO609" s="153"/>
      <c r="AP609" s="153"/>
      <c r="AQ609" s="153"/>
      <c r="AR609" s="153"/>
      <c r="AT609" s="147">
        <f>U609+V609+W609+AK609+AL609+AM609+AN609+AO609+AP609+AQ609+AR609</f>
        <v>421416.31</v>
      </c>
      <c r="AU609" s="146"/>
      <c r="AV609" s="146">
        <f>IFERROR(VLOOKUP(J609,Maksājumu_pieprasījumu_iesn.!G:BL,57,0),0)</f>
        <v>0</v>
      </c>
      <c r="AW609" s="139">
        <f t="shared" si="185"/>
        <v>0</v>
      </c>
      <c r="AX609" s="147"/>
      <c r="AY609" s="165"/>
      <c r="AZ609" s="165"/>
      <c r="BA609" s="165"/>
      <c r="BB609" s="147"/>
      <c r="BC609" s="147"/>
      <c r="BD609" s="147"/>
      <c r="BE609" s="147"/>
      <c r="BF609" s="147"/>
      <c r="BG609" s="147"/>
      <c r="BH609" s="149"/>
      <c r="BI609" s="149"/>
      <c r="BJ609" s="149"/>
      <c r="BK609" s="149"/>
      <c r="BL609" s="149"/>
      <c r="BM609" s="149"/>
      <c r="BN609" s="149"/>
    </row>
    <row r="610" spans="1:66" s="161" customFormat="1" ht="25.5" hidden="1" customHeight="1" x14ac:dyDescent="0.2">
      <c r="A610" s="158" t="s">
        <v>1603</v>
      </c>
      <c r="B610" s="20" t="s">
        <v>119</v>
      </c>
      <c r="C610" s="20" t="s">
        <v>120</v>
      </c>
      <c r="D610" s="21" t="s">
        <v>574</v>
      </c>
      <c r="E610" s="20">
        <v>1</v>
      </c>
      <c r="F610" s="20" t="s">
        <v>35</v>
      </c>
      <c r="G610" s="20" t="s">
        <v>102</v>
      </c>
      <c r="H610" s="20" t="s">
        <v>3</v>
      </c>
      <c r="I610" s="20"/>
      <c r="J610" s="20" t="s">
        <v>1678</v>
      </c>
      <c r="K610" s="21" t="s">
        <v>1679</v>
      </c>
      <c r="L610" s="277" t="s">
        <v>1605</v>
      </c>
      <c r="M610" s="277" t="s">
        <v>1666</v>
      </c>
      <c r="N610" s="21" t="s">
        <v>1680</v>
      </c>
      <c r="O610" s="159"/>
      <c r="P610" s="159"/>
      <c r="Q610" s="159"/>
      <c r="R610" s="160" t="s">
        <v>1642</v>
      </c>
      <c r="S610" s="147">
        <v>1581600</v>
      </c>
      <c r="T610" s="146"/>
      <c r="U610" s="153">
        <v>0</v>
      </c>
      <c r="V610" s="153">
        <v>0</v>
      </c>
      <c r="W610" s="153">
        <v>0</v>
      </c>
      <c r="X610" s="153">
        <f t="shared" si="186"/>
        <v>0</v>
      </c>
      <c r="Y610" s="153">
        <v>0</v>
      </c>
      <c r="Z610" s="153">
        <v>0</v>
      </c>
      <c r="AA610" s="153">
        <v>0</v>
      </c>
      <c r="AB610" s="153">
        <v>0</v>
      </c>
      <c r="AC610" s="153">
        <v>0</v>
      </c>
      <c r="AD610" s="153">
        <v>0</v>
      </c>
      <c r="AE610" s="153">
        <v>0</v>
      </c>
      <c r="AF610" s="153">
        <v>0</v>
      </c>
      <c r="AG610" s="153">
        <v>0</v>
      </c>
      <c r="AH610" s="153">
        <v>0</v>
      </c>
      <c r="AI610" s="153">
        <v>0</v>
      </c>
      <c r="AJ610" s="153">
        <v>0</v>
      </c>
      <c r="AK610" s="153">
        <f t="shared" si="188"/>
        <v>0</v>
      </c>
      <c r="AL610" s="153">
        <v>1260974.31</v>
      </c>
      <c r="AM610" s="153">
        <v>320625.69</v>
      </c>
      <c r="AN610" s="153">
        <v>0</v>
      </c>
      <c r="AO610" s="153">
        <v>0</v>
      </c>
      <c r="AP610" s="153">
        <v>0</v>
      </c>
      <c r="AQ610" s="153">
        <v>0</v>
      </c>
      <c r="AR610" s="153">
        <v>0</v>
      </c>
      <c r="AS610" s="147">
        <f>U610+V610+W610+AK610+AL610+AM610+AN610+AO610+AP610+AQ610+AR610</f>
        <v>1581600</v>
      </c>
      <c r="AT610" s="147">
        <v>0</v>
      </c>
      <c r="AU610" s="146">
        <f t="shared" si="182"/>
        <v>1581600</v>
      </c>
      <c r="AV610" s="146">
        <f>IFERROR(VLOOKUP(J610,Maksājumu_pieprasījumu_iesn.!G:BL,57,0),0)</f>
        <v>0</v>
      </c>
      <c r="AW610" s="139">
        <f t="shared" si="185"/>
        <v>-1581600</v>
      </c>
      <c r="AX610" s="147">
        <f>S610-T610-AU610</f>
        <v>0</v>
      </c>
      <c r="AY610" s="165"/>
      <c r="AZ610" s="165"/>
      <c r="BA610" s="165"/>
      <c r="BB610" s="147"/>
      <c r="BC610" s="147"/>
      <c r="BD610" s="147"/>
      <c r="BE610" s="147"/>
      <c r="BF610" s="147"/>
      <c r="BG610" s="147"/>
      <c r="BH610" s="149"/>
      <c r="BI610" s="149"/>
      <c r="BJ610" s="149"/>
      <c r="BK610" s="149"/>
      <c r="BL610" s="149"/>
      <c r="BM610" s="149"/>
      <c r="BN610" s="149"/>
    </row>
    <row r="611" spans="1:66" s="161" customFormat="1" ht="38.25" hidden="1" customHeight="1" x14ac:dyDescent="0.2">
      <c r="A611" s="158" t="s">
        <v>1603</v>
      </c>
      <c r="B611" s="20" t="s">
        <v>119</v>
      </c>
      <c r="C611" s="20" t="s">
        <v>120</v>
      </c>
      <c r="D611" s="21" t="s">
        <v>574</v>
      </c>
      <c r="E611" s="20">
        <v>1</v>
      </c>
      <c r="F611" s="20" t="s">
        <v>35</v>
      </c>
      <c r="G611" s="20" t="s">
        <v>102</v>
      </c>
      <c r="H611" s="20" t="s">
        <v>3</v>
      </c>
      <c r="I611" s="20"/>
      <c r="J611" s="20" t="s">
        <v>695</v>
      </c>
      <c r="K611" s="21" t="s">
        <v>696</v>
      </c>
      <c r="L611" s="277" t="s">
        <v>1605</v>
      </c>
      <c r="M611" s="277" t="s">
        <v>1666</v>
      </c>
      <c r="N611" s="21" t="s">
        <v>697</v>
      </c>
      <c r="O611" s="159"/>
      <c r="P611" s="159"/>
      <c r="Q611" s="159"/>
      <c r="R611" s="159">
        <v>42821</v>
      </c>
      <c r="S611" s="147">
        <v>980789</v>
      </c>
      <c r="T611" s="147"/>
      <c r="U611" s="153">
        <v>0</v>
      </c>
      <c r="V611" s="153">
        <v>0</v>
      </c>
      <c r="W611" s="153">
        <v>0</v>
      </c>
      <c r="X611" s="153">
        <f t="shared" si="186"/>
        <v>0</v>
      </c>
      <c r="Y611" s="153">
        <v>0</v>
      </c>
      <c r="Z611" s="153">
        <v>0</v>
      </c>
      <c r="AA611" s="153">
        <v>0</v>
      </c>
      <c r="AB611" s="153">
        <v>0</v>
      </c>
      <c r="AC611" s="161">
        <v>0</v>
      </c>
      <c r="AD611" s="153">
        <v>0</v>
      </c>
      <c r="AE611" s="166">
        <v>92947.6</v>
      </c>
      <c r="AF611" s="420">
        <v>40507.08</v>
      </c>
      <c r="AG611" s="153">
        <v>112468.83</v>
      </c>
      <c r="AH611" s="153">
        <v>66215.09</v>
      </c>
      <c r="AI611" s="153">
        <v>16544.009999999998</v>
      </c>
      <c r="AJ611" s="153">
        <v>0</v>
      </c>
      <c r="AK611" s="153">
        <f t="shared" si="188"/>
        <v>328682.61</v>
      </c>
      <c r="AL611" s="153">
        <v>554016.5</v>
      </c>
      <c r="AM611" s="153">
        <v>0</v>
      </c>
      <c r="AN611" s="153">
        <v>0</v>
      </c>
      <c r="AO611" s="153">
        <v>98089.89</v>
      </c>
      <c r="AP611" s="153">
        <v>0</v>
      </c>
      <c r="AQ611" s="153">
        <v>0</v>
      </c>
      <c r="AR611" s="153">
        <v>0</v>
      </c>
      <c r="AS611" s="147">
        <f>U611+V611+W611+AK611+AL611+AM611+AN611+AO611+AP611+AQ611+AR611</f>
        <v>980789</v>
      </c>
      <c r="AT611" s="285">
        <v>0</v>
      </c>
      <c r="AU611" s="146">
        <f>AS611-AT611</f>
        <v>980789</v>
      </c>
      <c r="AV611" s="146">
        <f>IFERROR(VLOOKUP(J611,Maksājumu_pieprasījumu_iesn.!G:BL,57,0),0)</f>
        <v>0</v>
      </c>
      <c r="AW611" s="139">
        <f t="shared" si="185"/>
        <v>-980789</v>
      </c>
      <c r="AX611" s="147">
        <f>S611-T611-AU611</f>
        <v>0</v>
      </c>
      <c r="AY611" s="165"/>
      <c r="AZ611" s="165"/>
      <c r="BA611" s="165"/>
      <c r="BB611" s="147"/>
      <c r="BC611" s="147"/>
      <c r="BD611" s="147"/>
      <c r="BE611" s="147"/>
      <c r="BF611" s="147"/>
      <c r="BG611" s="147"/>
      <c r="BH611" s="149"/>
      <c r="BI611" s="149"/>
      <c r="BJ611" s="149"/>
      <c r="BK611" s="149"/>
      <c r="BL611" s="149"/>
      <c r="BM611" s="149"/>
      <c r="BN611" s="149"/>
    </row>
    <row r="612" spans="1:66" s="161" customFormat="1" ht="38.25" hidden="1" customHeight="1" x14ac:dyDescent="0.2">
      <c r="A612" s="158" t="s">
        <v>1603</v>
      </c>
      <c r="B612" s="20" t="s">
        <v>119</v>
      </c>
      <c r="C612" s="20" t="s">
        <v>120</v>
      </c>
      <c r="D612" s="21" t="s">
        <v>574</v>
      </c>
      <c r="E612" s="20">
        <v>1</v>
      </c>
      <c r="F612" s="20" t="s">
        <v>35</v>
      </c>
      <c r="G612" s="20" t="s">
        <v>102</v>
      </c>
      <c r="H612" s="20" t="s">
        <v>3</v>
      </c>
      <c r="I612" s="20"/>
      <c r="J612" s="20" t="s">
        <v>695</v>
      </c>
      <c r="K612" s="21" t="s">
        <v>696</v>
      </c>
      <c r="L612" s="277" t="s">
        <v>1605</v>
      </c>
      <c r="M612" s="277" t="s">
        <v>1666</v>
      </c>
      <c r="N612" s="21" t="s">
        <v>697</v>
      </c>
      <c r="O612" s="159" t="s">
        <v>880</v>
      </c>
      <c r="P612" s="159"/>
      <c r="Q612" s="159"/>
      <c r="R612" s="159"/>
      <c r="S612" s="147"/>
      <c r="T612" s="147"/>
      <c r="U612" s="153"/>
      <c r="V612" s="153"/>
      <c r="W612" s="153"/>
      <c r="X612" s="153">
        <f t="shared" si="186"/>
        <v>0</v>
      </c>
      <c r="Y612" s="153"/>
      <c r="Z612" s="153"/>
      <c r="AA612" s="153"/>
      <c r="AB612" s="153"/>
      <c r="AC612" s="153">
        <v>294236.7</v>
      </c>
      <c r="AD612" s="153"/>
      <c r="AE612" s="153"/>
      <c r="AF612" s="153"/>
      <c r="AG612" s="153"/>
      <c r="AH612" s="153"/>
      <c r="AI612" s="153"/>
      <c r="AJ612" s="153"/>
      <c r="AK612" s="153">
        <f t="shared" si="188"/>
        <v>294236.7</v>
      </c>
      <c r="AL612" s="153"/>
      <c r="AM612" s="153"/>
      <c r="AN612" s="153"/>
      <c r="AO612" s="153"/>
      <c r="AP612" s="153"/>
      <c r="AQ612" s="153"/>
      <c r="AR612" s="153"/>
      <c r="AT612" s="147">
        <f>U612+V612+W612+AK612+AL612+AM612+AN612+AO612+AP612+AQ612+AR612</f>
        <v>294236.7</v>
      </c>
      <c r="AU612" s="146"/>
      <c r="AV612" s="146">
        <f>IFERROR(VLOOKUP(J612,Maksājumu_pieprasījumu_iesn.!G:BL,57,0),0)</f>
        <v>0</v>
      </c>
      <c r="AW612" s="139">
        <f t="shared" si="185"/>
        <v>0</v>
      </c>
      <c r="AX612" s="147"/>
      <c r="AY612" s="165"/>
      <c r="AZ612" s="165"/>
      <c r="BA612" s="165"/>
      <c r="BB612" s="147"/>
      <c r="BC612" s="147"/>
      <c r="BD612" s="147"/>
      <c r="BE612" s="147"/>
      <c r="BF612" s="147"/>
      <c r="BG612" s="147"/>
      <c r="BH612" s="149"/>
      <c r="BI612" s="149"/>
      <c r="BJ612" s="149"/>
      <c r="BK612" s="149"/>
      <c r="BL612" s="149"/>
      <c r="BM612" s="149"/>
      <c r="BN612" s="149"/>
    </row>
    <row r="613" spans="1:66" s="161" customFormat="1" ht="25.5" hidden="1" customHeight="1" x14ac:dyDescent="0.2">
      <c r="A613" s="158" t="s">
        <v>1603</v>
      </c>
      <c r="B613" s="20" t="s">
        <v>119</v>
      </c>
      <c r="C613" s="20" t="s">
        <v>120</v>
      </c>
      <c r="D613" s="21" t="s">
        <v>574</v>
      </c>
      <c r="E613" s="20">
        <v>1</v>
      </c>
      <c r="F613" s="20" t="s">
        <v>35</v>
      </c>
      <c r="G613" s="20" t="s">
        <v>102</v>
      </c>
      <c r="H613" s="20" t="s">
        <v>3</v>
      </c>
      <c r="I613" s="20"/>
      <c r="J613" s="20" t="s">
        <v>1681</v>
      </c>
      <c r="K613" s="21" t="s">
        <v>1682</v>
      </c>
      <c r="L613" s="277" t="s">
        <v>1605</v>
      </c>
      <c r="M613" s="277" t="s">
        <v>1666</v>
      </c>
      <c r="N613" s="21" t="s">
        <v>1683</v>
      </c>
      <c r="O613" s="159"/>
      <c r="P613" s="159"/>
      <c r="Q613" s="159"/>
      <c r="R613" s="160" t="s">
        <v>1684</v>
      </c>
      <c r="S613" s="147">
        <v>742365</v>
      </c>
      <c r="T613" s="146"/>
      <c r="U613" s="153">
        <v>0</v>
      </c>
      <c r="V613" s="153">
        <v>0</v>
      </c>
      <c r="W613" s="153">
        <v>0</v>
      </c>
      <c r="X613" s="153">
        <f t="shared" si="186"/>
        <v>0</v>
      </c>
      <c r="Y613" s="153">
        <v>0</v>
      </c>
      <c r="Z613" s="153">
        <v>0</v>
      </c>
      <c r="AA613" s="153">
        <v>0</v>
      </c>
      <c r="AB613" s="153">
        <v>0</v>
      </c>
      <c r="AC613" s="153">
        <v>0</v>
      </c>
      <c r="AD613" s="153">
        <v>0</v>
      </c>
      <c r="AE613" s="153">
        <v>0</v>
      </c>
      <c r="AF613" s="153">
        <v>0</v>
      </c>
      <c r="AG613" s="153">
        <v>0</v>
      </c>
      <c r="AH613" s="153">
        <v>0</v>
      </c>
      <c r="AI613" s="153">
        <v>75403.91</v>
      </c>
      <c r="AJ613" s="153">
        <v>0</v>
      </c>
      <c r="AK613" s="153">
        <f t="shared" si="188"/>
        <v>75403.91</v>
      </c>
      <c r="AL613" s="153">
        <v>612688.5</v>
      </c>
      <c r="AM613" s="153">
        <v>0</v>
      </c>
      <c r="AN613" s="153">
        <v>0</v>
      </c>
      <c r="AO613" s="153">
        <v>0</v>
      </c>
      <c r="AP613" s="153">
        <v>54272.59</v>
      </c>
      <c r="AQ613" s="153">
        <v>0</v>
      </c>
      <c r="AR613" s="153">
        <v>0</v>
      </c>
      <c r="AS613" s="147">
        <f>U613+V613+W613+AK613+AL613+AM613+AN613+AO613+AP613+AQ613+AR613</f>
        <v>742365</v>
      </c>
      <c r="AT613" s="283">
        <v>0</v>
      </c>
      <c r="AU613" s="146">
        <f t="shared" si="182"/>
        <v>742365</v>
      </c>
      <c r="AV613" s="146" t="str">
        <f>IFERROR(VLOOKUP(J613,Maksājumu_pieprasījumu_iesn.!G:BL,57,0),0)</f>
        <v xml:space="preserve">Jūnijā precizēts plānoto maksājumu pieprasījumu iesniegšanas grafiks. Avansa maksājuma pieprasījums, kuru bija plānots iesniegt augustā, pārcelts par vienu mēnesi vēlāk, jo kavējās iepirkuma izsludināšana.  </v>
      </c>
      <c r="AW613" s="139" t="e">
        <f t="shared" si="185"/>
        <v>#VALUE!</v>
      </c>
      <c r="AX613" s="147">
        <f>S613-T613-AU613</f>
        <v>0</v>
      </c>
      <c r="AY613" s="165"/>
      <c r="AZ613" s="165"/>
      <c r="BA613" s="149"/>
      <c r="BB613" s="147"/>
      <c r="BC613" s="147"/>
      <c r="BD613" s="147"/>
      <c r="BE613" s="147"/>
      <c r="BF613" s="147"/>
      <c r="BG613" s="147"/>
      <c r="BH613" s="149"/>
      <c r="BI613" s="149"/>
      <c r="BJ613" s="149"/>
      <c r="BK613" s="149"/>
      <c r="BL613" s="149"/>
      <c r="BM613" s="149"/>
      <c r="BN613" s="149"/>
    </row>
    <row r="614" spans="1:66" s="161" customFormat="1" ht="25.5" hidden="1" customHeight="1" x14ac:dyDescent="0.2">
      <c r="A614" s="158" t="s">
        <v>1603</v>
      </c>
      <c r="B614" s="20" t="s">
        <v>119</v>
      </c>
      <c r="C614" s="20" t="s">
        <v>120</v>
      </c>
      <c r="D614" s="21" t="s">
        <v>574</v>
      </c>
      <c r="E614" s="20">
        <v>1</v>
      </c>
      <c r="F614" s="20" t="s">
        <v>35</v>
      </c>
      <c r="G614" s="20" t="s">
        <v>102</v>
      </c>
      <c r="H614" s="20" t="s">
        <v>3</v>
      </c>
      <c r="I614" s="20"/>
      <c r="J614" s="20" t="s">
        <v>1681</v>
      </c>
      <c r="K614" s="21" t="s">
        <v>1682</v>
      </c>
      <c r="L614" s="277" t="s">
        <v>1605</v>
      </c>
      <c r="M614" s="277" t="s">
        <v>1666</v>
      </c>
      <c r="N614" s="21" t="s">
        <v>1683</v>
      </c>
      <c r="O614" s="159" t="s">
        <v>880</v>
      </c>
      <c r="P614" s="159"/>
      <c r="Q614" s="159"/>
      <c r="R614" s="160"/>
      <c r="S614" s="147"/>
      <c r="T614" s="146"/>
      <c r="U614" s="153"/>
      <c r="V614" s="153"/>
      <c r="W614" s="153"/>
      <c r="X614" s="153">
        <f t="shared" si="186"/>
        <v>0</v>
      </c>
      <c r="Y614" s="153"/>
      <c r="Z614" s="153"/>
      <c r="AA614" s="153"/>
      <c r="AB614" s="153"/>
      <c r="AC614" s="153"/>
      <c r="AD614" s="153"/>
      <c r="AE614" s="153"/>
      <c r="AF614" s="420">
        <v>203179.96</v>
      </c>
      <c r="AG614" s="153"/>
      <c r="AH614" s="153"/>
      <c r="AI614" s="153"/>
      <c r="AJ614" s="153"/>
      <c r="AK614" s="153">
        <f t="shared" si="188"/>
        <v>203179.96</v>
      </c>
      <c r="AL614" s="153"/>
      <c r="AM614" s="153"/>
      <c r="AN614" s="153"/>
      <c r="AO614" s="153"/>
      <c r="AP614" s="153"/>
      <c r="AQ614" s="153"/>
      <c r="AR614" s="153"/>
      <c r="AT614" s="147">
        <f>U614+V614+W614+AK614+AL614+AM614+AN614+AO614+AP614+AQ614+AR614</f>
        <v>203179.96</v>
      </c>
      <c r="AU614" s="146"/>
      <c r="AV614" s="146" t="str">
        <f>IFERROR(VLOOKUP(J614,Maksājumu_pieprasījumu_iesn.!G:BL,57,0),0)</f>
        <v xml:space="preserve">Jūnijā precizēts plānoto maksājumu pieprasījumu iesniegšanas grafiks. Avansa maksājuma pieprasījums, kuru bija plānots iesniegt augustā, pārcelts par vienu mēnesi vēlāk, jo kavējās iepirkuma izsludināšana.  </v>
      </c>
      <c r="AW614" s="139" t="e">
        <f t="shared" si="185"/>
        <v>#VALUE!</v>
      </c>
      <c r="AX614" s="147"/>
      <c r="AY614" s="165"/>
      <c r="AZ614" s="165"/>
      <c r="BA614" s="149"/>
      <c r="BB614" s="147"/>
      <c r="BC614" s="147"/>
      <c r="BD614" s="147"/>
      <c r="BE614" s="147"/>
      <c r="BF614" s="147"/>
      <c r="BG614" s="147"/>
      <c r="BH614" s="149"/>
      <c r="BI614" s="149"/>
      <c r="BJ614" s="149"/>
      <c r="BK614" s="149"/>
      <c r="BL614" s="149"/>
      <c r="BM614" s="149"/>
      <c r="BN614" s="149"/>
    </row>
    <row r="615" spans="1:66" s="161" customFormat="1" ht="38.25" hidden="1" customHeight="1" x14ac:dyDescent="0.2">
      <c r="A615" s="158" t="s">
        <v>1603</v>
      </c>
      <c r="B615" s="20" t="s">
        <v>119</v>
      </c>
      <c r="C615" s="20" t="s">
        <v>120</v>
      </c>
      <c r="D615" s="21" t="s">
        <v>574</v>
      </c>
      <c r="E615" s="20">
        <v>1</v>
      </c>
      <c r="F615" s="20" t="s">
        <v>35</v>
      </c>
      <c r="G615" s="20" t="s">
        <v>102</v>
      </c>
      <c r="H615" s="20" t="s">
        <v>3</v>
      </c>
      <c r="I615" s="20"/>
      <c r="J615" s="20" t="s">
        <v>1685</v>
      </c>
      <c r="K615" s="21" t="s">
        <v>1686</v>
      </c>
      <c r="L615" s="277" t="s">
        <v>1605</v>
      </c>
      <c r="M615" s="277" t="s">
        <v>1666</v>
      </c>
      <c r="N615" s="21" t="s">
        <v>1687</v>
      </c>
      <c r="O615" s="159"/>
      <c r="P615" s="159"/>
      <c r="Q615" s="159"/>
      <c r="R615" s="160" t="s">
        <v>1688</v>
      </c>
      <c r="S615" s="147">
        <v>562275</v>
      </c>
      <c r="T615" s="146"/>
      <c r="U615" s="153">
        <v>0</v>
      </c>
      <c r="V615" s="153">
        <v>0</v>
      </c>
      <c r="W615" s="153">
        <v>0</v>
      </c>
      <c r="X615" s="153">
        <f t="shared" si="186"/>
        <v>0</v>
      </c>
      <c r="Y615" s="153">
        <v>0</v>
      </c>
      <c r="Z615" s="153">
        <v>0</v>
      </c>
      <c r="AA615" s="153">
        <v>0</v>
      </c>
      <c r="AB615" s="153">
        <v>0</v>
      </c>
      <c r="AC615" s="153">
        <v>0</v>
      </c>
      <c r="AD615" s="153">
        <v>0</v>
      </c>
      <c r="AE615" s="153">
        <v>0</v>
      </c>
      <c r="AF615" s="153">
        <v>0</v>
      </c>
      <c r="AG615" s="153">
        <v>0</v>
      </c>
      <c r="AH615" s="153">
        <v>0</v>
      </c>
      <c r="AI615" s="153">
        <v>0</v>
      </c>
      <c r="AJ615" s="153">
        <v>0</v>
      </c>
      <c r="AK615" s="153">
        <f t="shared" si="188"/>
        <v>0</v>
      </c>
      <c r="AL615" s="153">
        <v>419845.87</v>
      </c>
      <c r="AM615" s="153">
        <v>142429.13</v>
      </c>
      <c r="AN615" s="153">
        <v>0</v>
      </c>
      <c r="AO615" s="153">
        <v>0</v>
      </c>
      <c r="AP615" s="153">
        <v>0</v>
      </c>
      <c r="AQ615" s="153">
        <v>0</v>
      </c>
      <c r="AR615" s="153">
        <v>0</v>
      </c>
      <c r="AS615" s="147">
        <f>U615+V615+W615+AK615+AL615+AM615+AN615+AO615+AP615+AQ615+AR615</f>
        <v>562275</v>
      </c>
      <c r="AT615" s="147">
        <v>0</v>
      </c>
      <c r="AU615" s="146">
        <f t="shared" si="182"/>
        <v>562275</v>
      </c>
      <c r="AV615" s="146">
        <f>IFERROR(VLOOKUP(J615,Maksājumu_pieprasījumu_iesn.!G:BL,57,0),0)</f>
        <v>0</v>
      </c>
      <c r="AW615" s="139">
        <f t="shared" si="185"/>
        <v>-562275</v>
      </c>
      <c r="AX615" s="147">
        <f>S615-T615-AU615</f>
        <v>0</v>
      </c>
      <c r="AY615" s="165"/>
      <c r="AZ615" s="165"/>
      <c r="BA615" s="165"/>
      <c r="BB615" s="147"/>
      <c r="BC615" s="147"/>
      <c r="BD615" s="147"/>
      <c r="BE615" s="147"/>
      <c r="BF615" s="147"/>
      <c r="BG615" s="147"/>
      <c r="BH615" s="149"/>
      <c r="BI615" s="149"/>
      <c r="BJ615" s="149"/>
      <c r="BK615" s="149"/>
      <c r="BL615" s="149"/>
      <c r="BM615" s="149"/>
      <c r="BN615" s="149"/>
    </row>
    <row r="616" spans="1:66" s="161" customFormat="1" ht="25.5" hidden="1" customHeight="1" x14ac:dyDescent="0.2">
      <c r="A616" s="158" t="s">
        <v>1603</v>
      </c>
      <c r="B616" s="20" t="s">
        <v>119</v>
      </c>
      <c r="C616" s="20" t="s">
        <v>120</v>
      </c>
      <c r="D616" s="21" t="s">
        <v>574</v>
      </c>
      <c r="E616" s="20">
        <v>1</v>
      </c>
      <c r="F616" s="20" t="s">
        <v>35</v>
      </c>
      <c r="G616" s="20" t="s">
        <v>102</v>
      </c>
      <c r="H616" s="20" t="s">
        <v>3</v>
      </c>
      <c r="I616" s="20"/>
      <c r="J616" s="20" t="s">
        <v>130</v>
      </c>
      <c r="K616" s="21" t="s">
        <v>131</v>
      </c>
      <c r="L616" s="277" t="s">
        <v>1605</v>
      </c>
      <c r="M616" s="277" t="s">
        <v>1666</v>
      </c>
      <c r="N616" s="21" t="s">
        <v>132</v>
      </c>
      <c r="O616" s="159"/>
      <c r="P616" s="159"/>
      <c r="Q616" s="159"/>
      <c r="R616" s="159">
        <v>42815</v>
      </c>
      <c r="S616" s="147">
        <v>335472</v>
      </c>
      <c r="T616" s="147"/>
      <c r="U616" s="153">
        <v>0</v>
      </c>
      <c r="V616" s="153">
        <v>0</v>
      </c>
      <c r="W616" s="153">
        <v>0</v>
      </c>
      <c r="X616" s="153">
        <f t="shared" si="186"/>
        <v>0</v>
      </c>
      <c r="Y616" s="153">
        <v>0</v>
      </c>
      <c r="Z616" s="153">
        <v>0</v>
      </c>
      <c r="AA616" s="153">
        <v>0</v>
      </c>
      <c r="AB616" s="153">
        <v>0</v>
      </c>
      <c r="AC616" s="153">
        <v>0</v>
      </c>
      <c r="AD616" s="153">
        <v>26849.55</v>
      </c>
      <c r="AE616" s="153">
        <v>0</v>
      </c>
      <c r="AF616" s="153">
        <v>0</v>
      </c>
      <c r="AG616" s="153">
        <v>62118.6</v>
      </c>
      <c r="AH616" s="153">
        <v>0</v>
      </c>
      <c r="AI616" s="153">
        <v>0</v>
      </c>
      <c r="AJ616" s="153">
        <v>0</v>
      </c>
      <c r="AK616" s="153">
        <f t="shared" si="188"/>
        <v>88968.15</v>
      </c>
      <c r="AL616" s="153">
        <v>246503.85000000003</v>
      </c>
      <c r="AM616" s="153">
        <v>0</v>
      </c>
      <c r="AN616" s="153">
        <v>0</v>
      </c>
      <c r="AO616" s="153">
        <v>0</v>
      </c>
      <c r="AP616" s="153">
        <v>0</v>
      </c>
      <c r="AQ616" s="153">
        <v>0</v>
      </c>
      <c r="AR616" s="153">
        <v>0</v>
      </c>
      <c r="AS616" s="147">
        <f>U616+V616+W616+AK616+AL616+AM616+AN616+AO616+AP616+AQ616+AR616</f>
        <v>335472</v>
      </c>
      <c r="AT616" s="284">
        <v>0</v>
      </c>
      <c r="AU616" s="146">
        <f t="shared" si="182"/>
        <v>335472</v>
      </c>
      <c r="AV616" s="146">
        <f>IFERROR(VLOOKUP(J616,Maksājumu_pieprasījumu_iesn.!G:BL,57,0),0)</f>
        <v>0</v>
      </c>
      <c r="AW616" s="139">
        <f t="shared" si="185"/>
        <v>-335472</v>
      </c>
      <c r="AX616" s="147">
        <f>S616-T616-AU616</f>
        <v>0</v>
      </c>
      <c r="AY616" s="165"/>
      <c r="AZ616" s="165"/>
      <c r="BA616" s="165"/>
      <c r="BB616" s="147"/>
      <c r="BC616" s="147"/>
      <c r="BD616" s="147"/>
      <c r="BE616" s="147"/>
      <c r="BF616" s="147"/>
      <c r="BG616" s="147"/>
      <c r="BH616" s="149"/>
      <c r="BI616" s="149"/>
      <c r="BJ616" s="149"/>
      <c r="BK616" s="149"/>
      <c r="BL616" s="149"/>
      <c r="BM616" s="149"/>
      <c r="BN616" s="149"/>
    </row>
    <row r="617" spans="1:66" s="161" customFormat="1" ht="25.5" hidden="1" customHeight="1" x14ac:dyDescent="0.2">
      <c r="A617" s="158" t="s">
        <v>1603</v>
      </c>
      <c r="B617" s="20" t="s">
        <v>119</v>
      </c>
      <c r="C617" s="20" t="s">
        <v>120</v>
      </c>
      <c r="D617" s="21" t="s">
        <v>574</v>
      </c>
      <c r="E617" s="20">
        <v>1</v>
      </c>
      <c r="F617" s="20" t="s">
        <v>35</v>
      </c>
      <c r="G617" s="20" t="s">
        <v>102</v>
      </c>
      <c r="H617" s="20" t="s">
        <v>3</v>
      </c>
      <c r="I617" s="20"/>
      <c r="J617" s="20" t="s">
        <v>130</v>
      </c>
      <c r="K617" s="21" t="s">
        <v>131</v>
      </c>
      <c r="L617" s="277" t="s">
        <v>1605</v>
      </c>
      <c r="M617" s="277" t="s">
        <v>1666</v>
      </c>
      <c r="N617" s="21" t="s">
        <v>132</v>
      </c>
      <c r="O617" s="159" t="s">
        <v>880</v>
      </c>
      <c r="P617" s="159"/>
      <c r="Q617" s="159"/>
      <c r="R617" s="159"/>
      <c r="S617" s="147"/>
      <c r="T617" s="147"/>
      <c r="U617" s="153"/>
      <c r="V617" s="153"/>
      <c r="W617" s="153"/>
      <c r="X617" s="153">
        <f t="shared" si="186"/>
        <v>0</v>
      </c>
      <c r="Y617" s="153"/>
      <c r="Z617" s="153"/>
      <c r="AA617" s="153"/>
      <c r="AB617" s="153">
        <v>33547.199999999997</v>
      </c>
      <c r="AC617" s="153"/>
      <c r="AD617" s="153"/>
      <c r="AE617" s="153"/>
      <c r="AF617" s="153"/>
      <c r="AG617" s="153"/>
      <c r="AH617" s="153"/>
      <c r="AI617" s="153"/>
      <c r="AJ617" s="153"/>
      <c r="AK617" s="153">
        <f t="shared" si="188"/>
        <v>33547.199999999997</v>
      </c>
      <c r="AL617" s="153">
        <v>33547.199999999997</v>
      </c>
      <c r="AM617" s="153"/>
      <c r="AN617" s="153"/>
      <c r="AO617" s="153"/>
      <c r="AP617" s="153"/>
      <c r="AQ617" s="153"/>
      <c r="AR617" s="153"/>
      <c r="AS617" s="158"/>
      <c r="AT617" s="147">
        <f>U617+V617+W617+AK617+AL617+AM617+AN617+AO617+AP617+AQ617+AR617</f>
        <v>67094.399999999994</v>
      </c>
      <c r="AU617" s="146"/>
      <c r="AV617" s="146">
        <f>IFERROR(VLOOKUP(J617,Maksājumu_pieprasījumu_iesn.!G:BL,57,0),0)</f>
        <v>0</v>
      </c>
      <c r="AW617" s="139">
        <f t="shared" si="185"/>
        <v>0</v>
      </c>
      <c r="AX617" s="147"/>
      <c r="AY617" s="165"/>
      <c r="AZ617" s="165"/>
      <c r="BA617" s="165"/>
      <c r="BB617" s="147"/>
      <c r="BC617" s="147"/>
      <c r="BD617" s="147"/>
      <c r="BE617" s="147"/>
      <c r="BF617" s="147"/>
      <c r="BG617" s="147"/>
      <c r="BH617" s="149"/>
      <c r="BI617" s="149"/>
      <c r="BJ617" s="149"/>
      <c r="BK617" s="149"/>
      <c r="BL617" s="149"/>
      <c r="BM617" s="149"/>
      <c r="BN617" s="149"/>
    </row>
    <row r="618" spans="1:66" ht="12.75" hidden="1" customHeight="1" x14ac:dyDescent="0.2">
      <c r="A618" s="142" t="s">
        <v>1603</v>
      </c>
      <c r="B618" s="18" t="s">
        <v>119</v>
      </c>
      <c r="C618" s="18" t="s">
        <v>120</v>
      </c>
      <c r="D618" s="19" t="s">
        <v>574</v>
      </c>
      <c r="E618" s="18">
        <v>1</v>
      </c>
      <c r="F618" s="18" t="s">
        <v>35</v>
      </c>
      <c r="G618" s="18" t="s">
        <v>102</v>
      </c>
      <c r="H618" s="18" t="s">
        <v>3</v>
      </c>
      <c r="I618" s="18"/>
      <c r="J618" s="18" t="s">
        <v>1593</v>
      </c>
      <c r="K618" s="19"/>
      <c r="L618" s="275"/>
      <c r="M618" s="275"/>
      <c r="N618" s="19"/>
      <c r="O618" s="143"/>
      <c r="P618" s="143"/>
      <c r="Q618" s="143"/>
      <c r="R618" s="143"/>
      <c r="S618" s="144">
        <f>S592-SUM(S593:S617)</f>
        <v>2275677.9800000042</v>
      </c>
      <c r="T618" s="144"/>
      <c r="U618" s="145"/>
      <c r="V618" s="145"/>
      <c r="W618" s="145"/>
      <c r="X618" s="145">
        <f t="shared" si="186"/>
        <v>0</v>
      </c>
      <c r="Y618" s="145"/>
      <c r="Z618" s="145"/>
      <c r="AA618" s="145"/>
      <c r="AB618" s="145"/>
      <c r="AC618" s="145"/>
      <c r="AD618" s="145"/>
      <c r="AE618" s="145"/>
      <c r="AF618" s="145"/>
      <c r="AG618" s="145"/>
      <c r="AH618" s="145"/>
      <c r="AI618" s="145"/>
      <c r="AJ618" s="145"/>
      <c r="AK618" s="145"/>
      <c r="AL618" s="145"/>
      <c r="AM618" s="145"/>
      <c r="AN618" s="145"/>
      <c r="AO618" s="145"/>
      <c r="AP618" s="145"/>
      <c r="AQ618" s="145"/>
      <c r="AR618" s="145"/>
      <c r="AS618" s="144"/>
      <c r="AT618" s="144"/>
      <c r="AU618" s="146"/>
      <c r="AV618" s="146">
        <f>IFERROR(VLOOKUP(J618,Maksājumu_pieprasījumu_iesn.!G:BL,57,0),0)</f>
        <v>0</v>
      </c>
      <c r="AW618" s="139">
        <f t="shared" si="185"/>
        <v>0</v>
      </c>
      <c r="AX618" s="147"/>
      <c r="AY618" s="144">
        <f>S618</f>
        <v>2275677.9800000042</v>
      </c>
      <c r="AZ618" s="144"/>
      <c r="BA618" s="165" t="s">
        <v>1689</v>
      </c>
      <c r="BB618" s="144"/>
      <c r="BC618" s="144"/>
      <c r="BD618" s="144"/>
      <c r="BE618" s="144"/>
      <c r="BF618" s="144"/>
      <c r="BG618" s="144"/>
      <c r="BH618" s="149"/>
      <c r="BI618" s="149"/>
      <c r="BJ618" s="149"/>
      <c r="BK618" s="149"/>
      <c r="BL618" s="149"/>
      <c r="BM618" s="149"/>
      <c r="BN618" s="149"/>
    </row>
    <row r="619" spans="1:66" ht="12.75" hidden="1" customHeight="1" x14ac:dyDescent="0.2">
      <c r="A619" s="173" t="s">
        <v>1603</v>
      </c>
      <c r="B619" s="132" t="s">
        <v>119</v>
      </c>
      <c r="C619" s="132" t="s">
        <v>120</v>
      </c>
      <c r="D619" s="133" t="s">
        <v>574</v>
      </c>
      <c r="E619" s="132">
        <v>2</v>
      </c>
      <c r="F619" s="132" t="s">
        <v>35</v>
      </c>
      <c r="G619" s="132" t="s">
        <v>102</v>
      </c>
      <c r="H619" s="132" t="s">
        <v>3</v>
      </c>
      <c r="I619" s="132" t="s">
        <v>1022</v>
      </c>
      <c r="J619" s="273" t="s">
        <v>1026</v>
      </c>
      <c r="K619" s="133"/>
      <c r="L619" s="274"/>
      <c r="M619" s="275"/>
      <c r="N619" s="133"/>
      <c r="O619" s="230"/>
      <c r="P619" s="230"/>
      <c r="Q619" s="230"/>
      <c r="R619" s="230"/>
      <c r="S619" s="165">
        <v>45425212</v>
      </c>
      <c r="T619" s="165">
        <v>0</v>
      </c>
      <c r="U619" s="137">
        <f>SUM(U620:U655)</f>
        <v>0</v>
      </c>
      <c r="V619" s="137">
        <f>SUM(V620:V655)</f>
        <v>0</v>
      </c>
      <c r="W619" s="137">
        <f>SUM(W620:W655)</f>
        <v>0</v>
      </c>
      <c r="X619" s="138">
        <f>U619+V619+W619</f>
        <v>0</v>
      </c>
      <c r="Y619" s="137">
        <f t="shared" ref="Y619:AR619" si="189">SUM(Y620:Y655)</f>
        <v>0</v>
      </c>
      <c r="Z619" s="137">
        <f t="shared" si="189"/>
        <v>0</v>
      </c>
      <c r="AA619" s="137">
        <f t="shared" si="189"/>
        <v>0</v>
      </c>
      <c r="AB619" s="137">
        <f t="shared" si="189"/>
        <v>0</v>
      </c>
      <c r="AC619" s="137">
        <f t="shared" si="189"/>
        <v>0</v>
      </c>
      <c r="AD619" s="137">
        <f t="shared" si="189"/>
        <v>0</v>
      </c>
      <c r="AE619" s="137">
        <f t="shared" si="189"/>
        <v>0</v>
      </c>
      <c r="AF619" s="137">
        <f t="shared" si="189"/>
        <v>0</v>
      </c>
      <c r="AG619" s="137">
        <f t="shared" si="189"/>
        <v>0</v>
      </c>
      <c r="AH619" s="137">
        <f t="shared" si="189"/>
        <v>762713</v>
      </c>
      <c r="AI619" s="137">
        <f t="shared" si="189"/>
        <v>340000</v>
      </c>
      <c r="AJ619" s="137">
        <f t="shared" si="189"/>
        <v>524015.75</v>
      </c>
      <c r="AK619" s="137">
        <f t="shared" si="189"/>
        <v>1626728.75</v>
      </c>
      <c r="AL619" s="137">
        <f t="shared" si="189"/>
        <v>22969111.390000001</v>
      </c>
      <c r="AM619" s="137">
        <f t="shared" si="189"/>
        <v>12595613.85</v>
      </c>
      <c r="AN619" s="137">
        <f t="shared" si="189"/>
        <v>3859915.12</v>
      </c>
      <c r="AO619" s="137">
        <f t="shared" si="189"/>
        <v>2163453.5</v>
      </c>
      <c r="AP619" s="137">
        <f t="shared" si="189"/>
        <v>57832.300000000017</v>
      </c>
      <c r="AQ619" s="137">
        <f t="shared" si="189"/>
        <v>0</v>
      </c>
      <c r="AR619" s="137">
        <f t="shared" si="189"/>
        <v>0</v>
      </c>
      <c r="AS619" s="165">
        <f t="shared" ref="AS619:AS655" si="190">U619+V619+W619+AK619+AL619+AM619+AN619+AO619+AP619+AQ619+AR619</f>
        <v>43272654.909999996</v>
      </c>
      <c r="AT619" s="165">
        <f>SUM(AT620:AT655)</f>
        <v>0</v>
      </c>
      <c r="AU619" s="146">
        <f t="shared" si="182"/>
        <v>43272654.909999996</v>
      </c>
      <c r="AV619" s="146">
        <f>IFERROR(VLOOKUP(J619,Maksājumu_pieprasījumu_iesn.!G:BL,57,0),0)</f>
        <v>0</v>
      </c>
      <c r="AW619" s="139">
        <f t="shared" si="185"/>
        <v>-43272654.909999996</v>
      </c>
      <c r="AX619" s="147">
        <f t="shared" ref="AX619:AX655" si="191">S619-T619-AU619</f>
        <v>2152557.0900000036</v>
      </c>
      <c r="AY619" s="165">
        <f>AY656</f>
        <v>2152556</v>
      </c>
      <c r="AZ619" s="165"/>
      <c r="BA619" s="149"/>
      <c r="BB619" s="231"/>
      <c r="BC619" s="231">
        <f>X619+AK619+AL619/2</f>
        <v>13111284.445</v>
      </c>
      <c r="BD619" s="231"/>
      <c r="BE619" s="231">
        <f>BC619/0.85</f>
        <v>15425040.523529412</v>
      </c>
      <c r="BF619" s="165"/>
      <c r="BG619" s="165"/>
      <c r="BH619" s="149">
        <v>0</v>
      </c>
      <c r="BI619" s="149">
        <v>0</v>
      </c>
      <c r="BJ619" s="149"/>
      <c r="BK619" s="149"/>
      <c r="BL619" s="149">
        <v>0</v>
      </c>
      <c r="BM619" s="149"/>
      <c r="BN619" s="149"/>
    </row>
    <row r="620" spans="1:66" ht="25.5" hidden="1" customHeight="1" x14ac:dyDescent="0.2">
      <c r="A620" s="142" t="s">
        <v>1603</v>
      </c>
      <c r="B620" s="18" t="s">
        <v>119</v>
      </c>
      <c r="C620" s="18" t="s">
        <v>120</v>
      </c>
      <c r="D620" s="19" t="s">
        <v>574</v>
      </c>
      <c r="E620" s="18">
        <v>2</v>
      </c>
      <c r="F620" s="18" t="s">
        <v>35</v>
      </c>
      <c r="G620" s="18" t="s">
        <v>102</v>
      </c>
      <c r="H620" s="18" t="s">
        <v>3</v>
      </c>
      <c r="I620" s="18"/>
      <c r="J620" s="18"/>
      <c r="K620" s="19" t="s">
        <v>1690</v>
      </c>
      <c r="L620" s="275" t="s">
        <v>1605</v>
      </c>
      <c r="M620" s="275" t="s">
        <v>1666</v>
      </c>
      <c r="N620" s="19" t="s">
        <v>1691</v>
      </c>
      <c r="O620" s="143">
        <v>42936</v>
      </c>
      <c r="P620" s="143"/>
      <c r="Q620" s="143"/>
      <c r="R620" s="143"/>
      <c r="S620" s="144">
        <v>682760</v>
      </c>
      <c r="T620" s="144"/>
      <c r="U620" s="145">
        <v>0</v>
      </c>
      <c r="V620" s="145">
        <v>0</v>
      </c>
      <c r="W620" s="145">
        <v>0</v>
      </c>
      <c r="X620" s="145">
        <f t="shared" ref="X620:X656" si="192">W620+V620+U620</f>
        <v>0</v>
      </c>
      <c r="Y620" s="145">
        <v>0</v>
      </c>
      <c r="Z620" s="145">
        <v>0</v>
      </c>
      <c r="AA620" s="145">
        <v>0</v>
      </c>
      <c r="AB620" s="145">
        <v>0</v>
      </c>
      <c r="AC620" s="145">
        <v>0</v>
      </c>
      <c r="AD620" s="145">
        <v>0</v>
      </c>
      <c r="AE620" s="145">
        <v>0</v>
      </c>
      <c r="AF620" s="145">
        <v>0</v>
      </c>
      <c r="AG620" s="145">
        <v>0</v>
      </c>
      <c r="AH620" s="145">
        <v>0</v>
      </c>
      <c r="AI620" s="145">
        <v>0</v>
      </c>
      <c r="AJ620" s="145">
        <v>0</v>
      </c>
      <c r="AK620" s="145">
        <f t="shared" ref="AK620:AK655" si="193">SUM(Y620:AJ620)</f>
        <v>0</v>
      </c>
      <c r="AL620" s="145">
        <v>400000</v>
      </c>
      <c r="AM620" s="145">
        <v>282760</v>
      </c>
      <c r="AN620" s="145">
        <v>0</v>
      </c>
      <c r="AO620" s="145">
        <v>0</v>
      </c>
      <c r="AP620" s="145">
        <v>0</v>
      </c>
      <c r="AQ620" s="145">
        <v>0</v>
      </c>
      <c r="AR620" s="145">
        <v>0</v>
      </c>
      <c r="AS620" s="144">
        <f t="shared" si="190"/>
        <v>682760</v>
      </c>
      <c r="AT620" s="144"/>
      <c r="AU620" s="146">
        <f t="shared" si="182"/>
        <v>682760</v>
      </c>
      <c r="AV620" s="146">
        <f>IFERROR(VLOOKUP(J620,Maksājumu_pieprasījumu_iesn.!G:BL,57,0),0)</f>
        <v>0</v>
      </c>
      <c r="AW620" s="139">
        <f t="shared" si="185"/>
        <v>-682760</v>
      </c>
      <c r="AX620" s="147">
        <f t="shared" si="191"/>
        <v>0</v>
      </c>
      <c r="AY620" s="147"/>
      <c r="AZ620" s="147"/>
      <c r="BA620" s="165"/>
      <c r="BB620" s="144"/>
      <c r="BC620" s="144"/>
      <c r="BD620" s="144"/>
      <c r="BE620" s="144"/>
      <c r="BF620" s="144"/>
      <c r="BG620" s="144"/>
      <c r="BH620" s="149"/>
      <c r="BI620" s="149"/>
      <c r="BJ620" s="149"/>
      <c r="BK620" s="149"/>
      <c r="BL620" s="149"/>
      <c r="BM620" s="149"/>
      <c r="BN620" s="149"/>
    </row>
    <row r="621" spans="1:66" ht="25.5" hidden="1" customHeight="1" x14ac:dyDescent="0.2">
      <c r="A621" s="142" t="s">
        <v>1603</v>
      </c>
      <c r="B621" s="18" t="s">
        <v>119</v>
      </c>
      <c r="C621" s="18" t="s">
        <v>120</v>
      </c>
      <c r="D621" s="19" t="s">
        <v>574</v>
      </c>
      <c r="E621" s="18">
        <v>2</v>
      </c>
      <c r="F621" s="18" t="s">
        <v>35</v>
      </c>
      <c r="G621" s="18" t="s">
        <v>102</v>
      </c>
      <c r="H621" s="18" t="s">
        <v>3</v>
      </c>
      <c r="I621" s="18"/>
      <c r="J621" s="18"/>
      <c r="K621" s="19" t="s">
        <v>1692</v>
      </c>
      <c r="L621" s="275" t="s">
        <v>1605</v>
      </c>
      <c r="M621" s="275" t="s">
        <v>1666</v>
      </c>
      <c r="N621" s="19" t="s">
        <v>1693</v>
      </c>
      <c r="O621" s="143">
        <v>42917</v>
      </c>
      <c r="P621" s="143"/>
      <c r="Q621" s="143"/>
      <c r="R621" s="143"/>
      <c r="S621" s="144">
        <v>413656</v>
      </c>
      <c r="T621" s="144"/>
      <c r="U621" s="145">
        <v>0</v>
      </c>
      <c r="V621" s="145">
        <v>0</v>
      </c>
      <c r="W621" s="145">
        <v>0</v>
      </c>
      <c r="X621" s="145">
        <f t="shared" si="192"/>
        <v>0</v>
      </c>
      <c r="Y621" s="145">
        <v>0</v>
      </c>
      <c r="Z621" s="145">
        <v>0</v>
      </c>
      <c r="AA621" s="145">
        <v>0</v>
      </c>
      <c r="AB621" s="145">
        <v>0</v>
      </c>
      <c r="AC621" s="145">
        <v>0</v>
      </c>
      <c r="AD621" s="145">
        <v>0</v>
      </c>
      <c r="AE621" s="145">
        <v>0</v>
      </c>
      <c r="AF621" s="145">
        <v>0</v>
      </c>
      <c r="AG621" s="145">
        <v>0</v>
      </c>
      <c r="AH621" s="145">
        <v>0</v>
      </c>
      <c r="AI621" s="145">
        <v>0</v>
      </c>
      <c r="AJ621" s="145">
        <v>0</v>
      </c>
      <c r="AK621" s="145">
        <f t="shared" si="193"/>
        <v>0</v>
      </c>
      <c r="AL621" s="145">
        <v>309547.38</v>
      </c>
      <c r="AM621" s="145">
        <v>62742.77</v>
      </c>
      <c r="AN621" s="145">
        <v>0</v>
      </c>
      <c r="AO621" s="145">
        <v>0</v>
      </c>
      <c r="AP621" s="145">
        <v>41365.5</v>
      </c>
      <c r="AQ621" s="145">
        <v>0</v>
      </c>
      <c r="AR621" s="145">
        <v>0</v>
      </c>
      <c r="AS621" s="144">
        <f t="shared" si="190"/>
        <v>413655.65</v>
      </c>
      <c r="AT621" s="144"/>
      <c r="AU621" s="146">
        <f t="shared" si="182"/>
        <v>413655.65</v>
      </c>
      <c r="AV621" s="146">
        <f>IFERROR(VLOOKUP(J621,Maksājumu_pieprasījumu_iesn.!G:BL,57,0),0)</f>
        <v>0</v>
      </c>
      <c r="AW621" s="139">
        <f t="shared" si="185"/>
        <v>-413655.65</v>
      </c>
      <c r="AX621" s="147">
        <f t="shared" si="191"/>
        <v>0.34999999997671694</v>
      </c>
      <c r="AY621" s="147"/>
      <c r="AZ621" s="147"/>
      <c r="BA621" s="165"/>
      <c r="BB621" s="144"/>
      <c r="BC621" s="144"/>
      <c r="BD621" s="144"/>
      <c r="BE621" s="144"/>
      <c r="BF621" s="144"/>
      <c r="BG621" s="144"/>
      <c r="BH621" s="149"/>
      <c r="BI621" s="149"/>
      <c r="BJ621" s="149"/>
      <c r="BK621" s="149"/>
      <c r="BL621" s="149"/>
      <c r="BM621" s="149"/>
      <c r="BN621" s="149"/>
    </row>
    <row r="622" spans="1:66" ht="25.5" hidden="1" customHeight="1" x14ac:dyDescent="0.2">
      <c r="A622" s="142" t="s">
        <v>1603</v>
      </c>
      <c r="B622" s="18" t="s">
        <v>119</v>
      </c>
      <c r="C622" s="18" t="s">
        <v>120</v>
      </c>
      <c r="D622" s="19" t="s">
        <v>574</v>
      </c>
      <c r="E622" s="18">
        <v>2</v>
      </c>
      <c r="F622" s="18" t="s">
        <v>35</v>
      </c>
      <c r="G622" s="18" t="s">
        <v>102</v>
      </c>
      <c r="H622" s="18" t="s">
        <v>3</v>
      </c>
      <c r="I622" s="18"/>
      <c r="J622" s="18"/>
      <c r="K622" s="19" t="s">
        <v>1694</v>
      </c>
      <c r="L622" s="275" t="s">
        <v>1605</v>
      </c>
      <c r="M622" s="275" t="s">
        <v>1666</v>
      </c>
      <c r="N622" s="19" t="s">
        <v>1695</v>
      </c>
      <c r="O622" s="143">
        <v>42951</v>
      </c>
      <c r="P622" s="143"/>
      <c r="Q622" s="143"/>
      <c r="R622" s="143"/>
      <c r="S622" s="144">
        <v>1551470</v>
      </c>
      <c r="T622" s="144"/>
      <c r="U622" s="145">
        <v>0</v>
      </c>
      <c r="V622" s="145">
        <v>0</v>
      </c>
      <c r="W622" s="145">
        <v>0</v>
      </c>
      <c r="X622" s="145">
        <f t="shared" si="192"/>
        <v>0</v>
      </c>
      <c r="Y622" s="145">
        <v>0</v>
      </c>
      <c r="Z622" s="145">
        <v>0</v>
      </c>
      <c r="AA622" s="145">
        <v>0</v>
      </c>
      <c r="AB622" s="145">
        <v>0</v>
      </c>
      <c r="AC622" s="145">
        <v>0</v>
      </c>
      <c r="AD622" s="145">
        <v>0</v>
      </c>
      <c r="AE622" s="145">
        <v>0</v>
      </c>
      <c r="AF622" s="145">
        <v>0</v>
      </c>
      <c r="AG622" s="145">
        <v>0</v>
      </c>
      <c r="AH622" s="145">
        <v>0</v>
      </c>
      <c r="AI622" s="145">
        <v>0</v>
      </c>
      <c r="AJ622" s="145">
        <v>0</v>
      </c>
      <c r="AK622" s="145">
        <f t="shared" si="193"/>
        <v>0</v>
      </c>
      <c r="AL622" s="145">
        <v>597517.2300000001</v>
      </c>
      <c r="AM622" s="145">
        <v>508968.44</v>
      </c>
      <c r="AN622" s="145">
        <v>444983.83</v>
      </c>
      <c r="AO622" s="145">
        <v>0</v>
      </c>
      <c r="AP622" s="145">
        <v>0</v>
      </c>
      <c r="AQ622" s="145">
        <v>0</v>
      </c>
      <c r="AR622" s="145">
        <v>0</v>
      </c>
      <c r="AS622" s="144">
        <f t="shared" si="190"/>
        <v>1551469.5000000002</v>
      </c>
      <c r="AT622" s="144"/>
      <c r="AU622" s="146">
        <f t="shared" si="182"/>
        <v>1551469.5000000002</v>
      </c>
      <c r="AV622" s="146">
        <f>IFERROR(VLOOKUP(J622,Maksājumu_pieprasījumu_iesn.!G:BL,57,0),0)</f>
        <v>0</v>
      </c>
      <c r="AW622" s="139">
        <f t="shared" si="185"/>
        <v>-1551469.5000000002</v>
      </c>
      <c r="AX622" s="147">
        <f t="shared" si="191"/>
        <v>0.49999999976716936</v>
      </c>
      <c r="AY622" s="147"/>
      <c r="AZ622" s="147"/>
      <c r="BA622" s="165"/>
      <c r="BB622" s="144"/>
      <c r="BC622" s="144"/>
      <c r="BD622" s="144"/>
      <c r="BE622" s="144"/>
      <c r="BF622" s="144"/>
      <c r="BG622" s="144"/>
      <c r="BH622" s="149"/>
      <c r="BI622" s="149"/>
      <c r="BJ622" s="149"/>
      <c r="BK622" s="149"/>
      <c r="BL622" s="149"/>
      <c r="BM622" s="149"/>
      <c r="BN622" s="149"/>
    </row>
    <row r="623" spans="1:66" ht="25.5" hidden="1" customHeight="1" x14ac:dyDescent="0.2">
      <c r="A623" s="142" t="s">
        <v>1603</v>
      </c>
      <c r="B623" s="18" t="s">
        <v>119</v>
      </c>
      <c r="C623" s="18" t="s">
        <v>120</v>
      </c>
      <c r="D623" s="19" t="s">
        <v>574</v>
      </c>
      <c r="E623" s="18">
        <v>2</v>
      </c>
      <c r="F623" s="18" t="s">
        <v>35</v>
      </c>
      <c r="G623" s="18" t="s">
        <v>102</v>
      </c>
      <c r="H623" s="18" t="s">
        <v>3</v>
      </c>
      <c r="I623" s="18"/>
      <c r="J623" s="18"/>
      <c r="K623" s="19" t="s">
        <v>1696</v>
      </c>
      <c r="L623" s="275" t="s">
        <v>1605</v>
      </c>
      <c r="M623" s="275" t="s">
        <v>1666</v>
      </c>
      <c r="N623" s="19" t="s">
        <v>1697</v>
      </c>
      <c r="O623" s="143">
        <v>42951</v>
      </c>
      <c r="P623" s="143"/>
      <c r="Q623" s="143"/>
      <c r="R623" s="143"/>
      <c r="S623" s="144">
        <v>164668</v>
      </c>
      <c r="T623" s="144"/>
      <c r="U623" s="145">
        <v>0</v>
      </c>
      <c r="V623" s="145">
        <v>0</v>
      </c>
      <c r="W623" s="145">
        <v>0</v>
      </c>
      <c r="X623" s="145">
        <f t="shared" si="192"/>
        <v>0</v>
      </c>
      <c r="Y623" s="145">
        <v>0</v>
      </c>
      <c r="Z623" s="145">
        <v>0</v>
      </c>
      <c r="AA623" s="145">
        <v>0</v>
      </c>
      <c r="AB623" s="145">
        <v>0</v>
      </c>
      <c r="AC623" s="145">
        <v>0</v>
      </c>
      <c r="AD623" s="145">
        <v>0</v>
      </c>
      <c r="AE623" s="145">
        <v>0</v>
      </c>
      <c r="AF623" s="145">
        <v>0</v>
      </c>
      <c r="AG623" s="145">
        <v>0</v>
      </c>
      <c r="AH623" s="145">
        <v>0</v>
      </c>
      <c r="AI623" s="145">
        <v>0</v>
      </c>
      <c r="AJ623" s="145">
        <v>0</v>
      </c>
      <c r="AK623" s="145">
        <f t="shared" si="193"/>
        <v>0</v>
      </c>
      <c r="AL623" s="145">
        <v>148201.19999999998</v>
      </c>
      <c r="AM623" s="145">
        <v>0</v>
      </c>
      <c r="AN623" s="145">
        <v>0</v>
      </c>
      <c r="AO623" s="145">
        <v>0</v>
      </c>
      <c r="AP623" s="145">
        <v>16466.800000000017</v>
      </c>
      <c r="AQ623" s="145">
        <v>0</v>
      </c>
      <c r="AR623" s="145">
        <v>0</v>
      </c>
      <c r="AS623" s="144">
        <f t="shared" si="190"/>
        <v>164668</v>
      </c>
      <c r="AT623" s="144"/>
      <c r="AU623" s="146">
        <f t="shared" si="182"/>
        <v>164668</v>
      </c>
      <c r="AV623" s="146">
        <f>IFERROR(VLOOKUP(J623,Maksājumu_pieprasījumu_iesn.!G:BL,57,0),0)</f>
        <v>0</v>
      </c>
      <c r="AW623" s="139">
        <f t="shared" si="185"/>
        <v>-164668</v>
      </c>
      <c r="AX623" s="147">
        <f t="shared" si="191"/>
        <v>0</v>
      </c>
      <c r="AY623" s="147"/>
      <c r="AZ623" s="147"/>
      <c r="BA623" s="165"/>
      <c r="BB623" s="144"/>
      <c r="BC623" s="144"/>
      <c r="BD623" s="144"/>
      <c r="BE623" s="144"/>
      <c r="BF623" s="144"/>
      <c r="BG623" s="144"/>
      <c r="BH623" s="149"/>
      <c r="BI623" s="149"/>
      <c r="BJ623" s="149"/>
      <c r="BK623" s="149"/>
      <c r="BL623" s="149"/>
      <c r="BM623" s="149"/>
      <c r="BN623" s="149"/>
    </row>
    <row r="624" spans="1:66" ht="25.5" hidden="1" customHeight="1" x14ac:dyDescent="0.2">
      <c r="A624" s="142" t="s">
        <v>1603</v>
      </c>
      <c r="B624" s="18" t="s">
        <v>119</v>
      </c>
      <c r="C624" s="18" t="s">
        <v>120</v>
      </c>
      <c r="D624" s="19" t="s">
        <v>574</v>
      </c>
      <c r="E624" s="18">
        <v>2</v>
      </c>
      <c r="F624" s="18" t="s">
        <v>35</v>
      </c>
      <c r="G624" s="18" t="s">
        <v>102</v>
      </c>
      <c r="H624" s="18" t="s">
        <v>3</v>
      </c>
      <c r="I624" s="18"/>
      <c r="J624" s="18"/>
      <c r="K624" s="19" t="s">
        <v>1698</v>
      </c>
      <c r="L624" s="275" t="s">
        <v>1605</v>
      </c>
      <c r="M624" s="275" t="s">
        <v>1666</v>
      </c>
      <c r="N624" s="19" t="s">
        <v>1699</v>
      </c>
      <c r="O624" s="143">
        <v>42951</v>
      </c>
      <c r="P624" s="143"/>
      <c r="Q624" s="143"/>
      <c r="R624" s="143"/>
      <c r="S624" s="144">
        <v>2753923</v>
      </c>
      <c r="T624" s="144"/>
      <c r="U624" s="145">
        <v>0</v>
      </c>
      <c r="V624" s="145">
        <v>0</v>
      </c>
      <c r="W624" s="145">
        <v>0</v>
      </c>
      <c r="X624" s="145">
        <f t="shared" si="192"/>
        <v>0</v>
      </c>
      <c r="Y624" s="145">
        <v>0</v>
      </c>
      <c r="Z624" s="145">
        <v>0</v>
      </c>
      <c r="AA624" s="145">
        <v>0</v>
      </c>
      <c r="AB624" s="145">
        <v>0</v>
      </c>
      <c r="AC624" s="145">
        <v>0</v>
      </c>
      <c r="AD624" s="145">
        <v>0</v>
      </c>
      <c r="AE624" s="145">
        <v>0</v>
      </c>
      <c r="AF624" s="145">
        <v>0</v>
      </c>
      <c r="AG624" s="145">
        <v>0</v>
      </c>
      <c r="AH624" s="145">
        <v>0</v>
      </c>
      <c r="AI624" s="145">
        <v>0</v>
      </c>
      <c r="AJ624" s="145">
        <v>0</v>
      </c>
      <c r="AK624" s="145">
        <f t="shared" si="193"/>
        <v>0</v>
      </c>
      <c r="AL624" s="145">
        <v>1100000</v>
      </c>
      <c r="AM624" s="145">
        <v>1653923</v>
      </c>
      <c r="AN624" s="145">
        <v>0</v>
      </c>
      <c r="AO624" s="145">
        <v>0</v>
      </c>
      <c r="AP624" s="145">
        <v>0</v>
      </c>
      <c r="AQ624" s="145">
        <v>0</v>
      </c>
      <c r="AR624" s="145">
        <v>0</v>
      </c>
      <c r="AS624" s="144">
        <f t="shared" si="190"/>
        <v>2753923</v>
      </c>
      <c r="AT624" s="144"/>
      <c r="AU624" s="146">
        <f t="shared" si="182"/>
        <v>2753923</v>
      </c>
      <c r="AV624" s="146">
        <f>IFERROR(VLOOKUP(J624,Maksājumu_pieprasījumu_iesn.!G:BL,57,0),0)</f>
        <v>0</v>
      </c>
      <c r="AW624" s="139">
        <f t="shared" si="185"/>
        <v>-2753923</v>
      </c>
      <c r="AX624" s="147">
        <f t="shared" si="191"/>
        <v>0</v>
      </c>
      <c r="AY624" s="147"/>
      <c r="AZ624" s="147"/>
      <c r="BA624" s="165"/>
      <c r="BB624" s="144"/>
      <c r="BC624" s="144"/>
      <c r="BD624" s="144"/>
      <c r="BE624" s="144"/>
      <c r="BF624" s="144"/>
      <c r="BG624" s="144"/>
      <c r="BH624" s="149"/>
      <c r="BI624" s="149"/>
      <c r="BJ624" s="149"/>
      <c r="BK624" s="149"/>
      <c r="BL624" s="149"/>
      <c r="BM624" s="149"/>
      <c r="BN624" s="149"/>
    </row>
    <row r="625" spans="1:66" ht="25.5" hidden="1" customHeight="1" x14ac:dyDescent="0.2">
      <c r="A625" s="142" t="s">
        <v>1603</v>
      </c>
      <c r="B625" s="18" t="s">
        <v>119</v>
      </c>
      <c r="C625" s="18" t="s">
        <v>120</v>
      </c>
      <c r="D625" s="19" t="s">
        <v>574</v>
      </c>
      <c r="E625" s="18">
        <v>2</v>
      </c>
      <c r="F625" s="18" t="s">
        <v>35</v>
      </c>
      <c r="G625" s="18" t="s">
        <v>102</v>
      </c>
      <c r="H625" s="18" t="s">
        <v>3</v>
      </c>
      <c r="I625" s="18"/>
      <c r="J625" s="18"/>
      <c r="K625" s="19" t="s">
        <v>1700</v>
      </c>
      <c r="L625" s="275" t="s">
        <v>1605</v>
      </c>
      <c r="M625" s="275" t="s">
        <v>1666</v>
      </c>
      <c r="N625" s="19" t="s">
        <v>1701</v>
      </c>
      <c r="O625" s="143">
        <v>42948</v>
      </c>
      <c r="P625" s="143"/>
      <c r="Q625" s="143"/>
      <c r="R625" s="143"/>
      <c r="S625" s="144">
        <v>383010</v>
      </c>
      <c r="T625" s="144"/>
      <c r="U625" s="145">
        <v>0</v>
      </c>
      <c r="V625" s="145">
        <v>0</v>
      </c>
      <c r="W625" s="145">
        <v>0</v>
      </c>
      <c r="X625" s="145">
        <f t="shared" si="192"/>
        <v>0</v>
      </c>
      <c r="Y625" s="145">
        <v>0</v>
      </c>
      <c r="Z625" s="145">
        <v>0</v>
      </c>
      <c r="AA625" s="145">
        <v>0</v>
      </c>
      <c r="AB625" s="145">
        <v>0</v>
      </c>
      <c r="AC625" s="145">
        <v>0</v>
      </c>
      <c r="AD625" s="145">
        <v>0</v>
      </c>
      <c r="AE625" s="145">
        <v>0</v>
      </c>
      <c r="AF625" s="145">
        <v>0</v>
      </c>
      <c r="AG625" s="145">
        <v>0</v>
      </c>
      <c r="AH625" s="145">
        <v>0</v>
      </c>
      <c r="AI625" s="145">
        <v>0</v>
      </c>
      <c r="AJ625" s="145">
        <v>0</v>
      </c>
      <c r="AK625" s="145">
        <f t="shared" si="193"/>
        <v>0</v>
      </c>
      <c r="AL625" s="145">
        <v>253010</v>
      </c>
      <c r="AM625" s="145">
        <v>130000</v>
      </c>
      <c r="AN625" s="145">
        <v>0</v>
      </c>
      <c r="AO625" s="145">
        <v>0</v>
      </c>
      <c r="AP625" s="145">
        <v>0</v>
      </c>
      <c r="AQ625" s="145">
        <v>0</v>
      </c>
      <c r="AR625" s="145">
        <v>0</v>
      </c>
      <c r="AS625" s="144">
        <f t="shared" si="190"/>
        <v>383010</v>
      </c>
      <c r="AT625" s="144"/>
      <c r="AU625" s="146">
        <f t="shared" si="182"/>
        <v>383010</v>
      </c>
      <c r="AV625" s="146">
        <f>IFERROR(VLOOKUP(J625,Maksājumu_pieprasījumu_iesn.!G:BL,57,0),0)</f>
        <v>0</v>
      </c>
      <c r="AW625" s="139">
        <f t="shared" si="185"/>
        <v>-383010</v>
      </c>
      <c r="AX625" s="147">
        <f t="shared" si="191"/>
        <v>0</v>
      </c>
      <c r="AY625" s="147"/>
      <c r="AZ625" s="147"/>
      <c r="BA625" s="165"/>
      <c r="BB625" s="144"/>
      <c r="BC625" s="144"/>
      <c r="BD625" s="144"/>
      <c r="BE625" s="144"/>
      <c r="BF625" s="144"/>
      <c r="BG625" s="144"/>
      <c r="BH625" s="149"/>
      <c r="BI625" s="149"/>
      <c r="BJ625" s="149"/>
      <c r="BK625" s="149"/>
      <c r="BL625" s="149"/>
      <c r="BM625" s="149"/>
      <c r="BN625" s="149"/>
    </row>
    <row r="626" spans="1:66" ht="25.5" hidden="1" customHeight="1" x14ac:dyDescent="0.2">
      <c r="A626" s="142" t="s">
        <v>1603</v>
      </c>
      <c r="B626" s="18" t="s">
        <v>119</v>
      </c>
      <c r="C626" s="18" t="s">
        <v>120</v>
      </c>
      <c r="D626" s="19" t="s">
        <v>574</v>
      </c>
      <c r="E626" s="18">
        <v>2</v>
      </c>
      <c r="F626" s="18" t="s">
        <v>35</v>
      </c>
      <c r="G626" s="18" t="s">
        <v>102</v>
      </c>
      <c r="H626" s="18" t="s">
        <v>3</v>
      </c>
      <c r="I626" s="18"/>
      <c r="J626" s="18"/>
      <c r="K626" s="19" t="s">
        <v>1702</v>
      </c>
      <c r="L626" s="275" t="s">
        <v>1605</v>
      </c>
      <c r="M626" s="275" t="s">
        <v>1666</v>
      </c>
      <c r="N626" s="19" t="s">
        <v>1703</v>
      </c>
      <c r="O626" s="143">
        <v>42947</v>
      </c>
      <c r="P626" s="143"/>
      <c r="Q626" s="143"/>
      <c r="R626" s="143"/>
      <c r="S626" s="144">
        <v>895377</v>
      </c>
      <c r="T626" s="144"/>
      <c r="U626" s="145">
        <v>0</v>
      </c>
      <c r="V626" s="145">
        <v>0</v>
      </c>
      <c r="W626" s="145">
        <v>0</v>
      </c>
      <c r="X626" s="145">
        <f t="shared" si="192"/>
        <v>0</v>
      </c>
      <c r="Y626" s="145">
        <v>0</v>
      </c>
      <c r="Z626" s="145">
        <v>0</v>
      </c>
      <c r="AA626" s="145">
        <v>0</v>
      </c>
      <c r="AB626" s="145">
        <v>0</v>
      </c>
      <c r="AC626" s="145">
        <v>0</v>
      </c>
      <c r="AD626" s="145">
        <v>0</v>
      </c>
      <c r="AE626" s="145">
        <v>0</v>
      </c>
      <c r="AF626" s="145">
        <v>0</v>
      </c>
      <c r="AG626" s="145">
        <v>0</v>
      </c>
      <c r="AH626" s="145">
        <v>0</v>
      </c>
      <c r="AI626" s="145">
        <v>0</v>
      </c>
      <c r="AJ626" s="145">
        <v>0</v>
      </c>
      <c r="AK626" s="145">
        <f t="shared" si="193"/>
        <v>0</v>
      </c>
      <c r="AL626" s="145">
        <v>805837</v>
      </c>
      <c r="AM626" s="145">
        <v>89540</v>
      </c>
      <c r="AN626" s="145">
        <v>0</v>
      </c>
      <c r="AO626" s="145">
        <v>0</v>
      </c>
      <c r="AP626" s="145">
        <v>0</v>
      </c>
      <c r="AQ626" s="145">
        <v>0</v>
      </c>
      <c r="AR626" s="145">
        <v>0</v>
      </c>
      <c r="AS626" s="144">
        <f t="shared" si="190"/>
        <v>895377</v>
      </c>
      <c r="AT626" s="144"/>
      <c r="AU626" s="146">
        <f t="shared" si="182"/>
        <v>895377</v>
      </c>
      <c r="AV626" s="146">
        <f>IFERROR(VLOOKUP(J626,Maksājumu_pieprasījumu_iesn.!G:BL,57,0),0)</f>
        <v>0</v>
      </c>
      <c r="AW626" s="139">
        <f t="shared" si="185"/>
        <v>-895377</v>
      </c>
      <c r="AX626" s="147">
        <f t="shared" si="191"/>
        <v>0</v>
      </c>
      <c r="AY626" s="147"/>
      <c r="AZ626" s="147"/>
      <c r="BA626" s="165"/>
      <c r="BB626" s="144"/>
      <c r="BC626" s="144"/>
      <c r="BD626" s="144"/>
      <c r="BE626" s="144"/>
      <c r="BF626" s="144"/>
      <c r="BG626" s="144"/>
      <c r="BH626" s="149"/>
      <c r="BI626" s="149"/>
      <c r="BJ626" s="149"/>
      <c r="BK626" s="149"/>
      <c r="BL626" s="149"/>
      <c r="BM626" s="149"/>
      <c r="BN626" s="149"/>
    </row>
    <row r="627" spans="1:66" ht="38.25" hidden="1" customHeight="1" x14ac:dyDescent="0.2">
      <c r="A627" s="142" t="s">
        <v>1603</v>
      </c>
      <c r="B627" s="18" t="s">
        <v>119</v>
      </c>
      <c r="C627" s="18" t="s">
        <v>120</v>
      </c>
      <c r="D627" s="19" t="s">
        <v>574</v>
      </c>
      <c r="E627" s="18">
        <v>2</v>
      </c>
      <c r="F627" s="18" t="s">
        <v>35</v>
      </c>
      <c r="G627" s="18" t="s">
        <v>102</v>
      </c>
      <c r="H627" s="18" t="s">
        <v>3</v>
      </c>
      <c r="I627" s="18"/>
      <c r="J627" s="18"/>
      <c r="K627" s="19" t="s">
        <v>1704</v>
      </c>
      <c r="L627" s="275" t="s">
        <v>1605</v>
      </c>
      <c r="M627" s="275" t="s">
        <v>1666</v>
      </c>
      <c r="N627" s="19" t="s">
        <v>1705</v>
      </c>
      <c r="O627" s="143">
        <v>42951</v>
      </c>
      <c r="P627" s="143"/>
      <c r="Q627" s="143"/>
      <c r="R627" s="143"/>
      <c r="S627" s="144">
        <v>536220</v>
      </c>
      <c r="T627" s="144"/>
      <c r="U627" s="145">
        <v>0</v>
      </c>
      <c r="V627" s="145">
        <v>0</v>
      </c>
      <c r="W627" s="145">
        <v>0</v>
      </c>
      <c r="X627" s="145">
        <f t="shared" si="192"/>
        <v>0</v>
      </c>
      <c r="Y627" s="145">
        <v>0</v>
      </c>
      <c r="Z627" s="145">
        <v>0</v>
      </c>
      <c r="AA627" s="145">
        <v>0</v>
      </c>
      <c r="AB627" s="145">
        <v>0</v>
      </c>
      <c r="AC627" s="145">
        <v>0</v>
      </c>
      <c r="AD627" s="145">
        <v>0</v>
      </c>
      <c r="AE627" s="145">
        <v>0</v>
      </c>
      <c r="AF627" s="145">
        <v>0</v>
      </c>
      <c r="AG627" s="145">
        <v>0</v>
      </c>
      <c r="AH627" s="145">
        <v>0</v>
      </c>
      <c r="AI627" s="145">
        <v>0</v>
      </c>
      <c r="AJ627" s="145">
        <v>8782.18</v>
      </c>
      <c r="AK627" s="145">
        <f t="shared" si="193"/>
        <v>8782.18</v>
      </c>
      <c r="AL627" s="145">
        <v>474694</v>
      </c>
      <c r="AM627" s="145">
        <v>52744</v>
      </c>
      <c r="AN627" s="145">
        <v>0</v>
      </c>
      <c r="AO627" s="145">
        <v>0</v>
      </c>
      <c r="AP627" s="145">
        <v>0</v>
      </c>
      <c r="AQ627" s="145">
        <v>0</v>
      </c>
      <c r="AR627" s="145">
        <v>0</v>
      </c>
      <c r="AS627" s="144">
        <f t="shared" si="190"/>
        <v>536220.17999999993</v>
      </c>
      <c r="AT627" s="144"/>
      <c r="AU627" s="146">
        <f t="shared" si="182"/>
        <v>536220.17999999993</v>
      </c>
      <c r="AV627" s="146">
        <f>IFERROR(VLOOKUP(J627,Maksājumu_pieprasījumu_iesn.!G:BL,57,0),0)</f>
        <v>0</v>
      </c>
      <c r="AW627" s="139">
        <f t="shared" si="185"/>
        <v>-536220.17999999993</v>
      </c>
      <c r="AX627" s="147">
        <f t="shared" si="191"/>
        <v>-0.17999999993480742</v>
      </c>
      <c r="AY627" s="147"/>
      <c r="AZ627" s="147"/>
      <c r="BA627" s="165"/>
      <c r="BB627" s="144"/>
      <c r="BC627" s="144"/>
      <c r="BD627" s="144"/>
      <c r="BE627" s="144"/>
      <c r="BF627" s="144"/>
      <c r="BG627" s="144"/>
      <c r="BH627" s="149"/>
      <c r="BI627" s="149"/>
      <c r="BJ627" s="149"/>
      <c r="BK627" s="149"/>
      <c r="BL627" s="149"/>
      <c r="BM627" s="149"/>
      <c r="BN627" s="149"/>
    </row>
    <row r="628" spans="1:66" ht="25.5" hidden="1" customHeight="1" x14ac:dyDescent="0.2">
      <c r="A628" s="142" t="s">
        <v>1603</v>
      </c>
      <c r="B628" s="18" t="s">
        <v>119</v>
      </c>
      <c r="C628" s="18" t="s">
        <v>120</v>
      </c>
      <c r="D628" s="19" t="s">
        <v>574</v>
      </c>
      <c r="E628" s="18">
        <v>2</v>
      </c>
      <c r="F628" s="18" t="s">
        <v>35</v>
      </c>
      <c r="G628" s="18" t="s">
        <v>102</v>
      </c>
      <c r="H628" s="18" t="s">
        <v>3</v>
      </c>
      <c r="I628" s="18"/>
      <c r="J628" s="18"/>
      <c r="K628" s="19" t="s">
        <v>1706</v>
      </c>
      <c r="L628" s="275" t="s">
        <v>1605</v>
      </c>
      <c r="M628" s="275" t="s">
        <v>1666</v>
      </c>
      <c r="N628" s="19" t="s">
        <v>1707</v>
      </c>
      <c r="O628" s="143">
        <v>42948</v>
      </c>
      <c r="P628" s="143"/>
      <c r="Q628" s="143"/>
      <c r="R628" s="143"/>
      <c r="S628" s="144">
        <v>383480</v>
      </c>
      <c r="T628" s="144"/>
      <c r="U628" s="145">
        <v>0</v>
      </c>
      <c r="V628" s="145">
        <v>0</v>
      </c>
      <c r="W628" s="145">
        <v>0</v>
      </c>
      <c r="X628" s="145">
        <f t="shared" si="192"/>
        <v>0</v>
      </c>
      <c r="Y628" s="145">
        <v>0</v>
      </c>
      <c r="Z628" s="145">
        <v>0</v>
      </c>
      <c r="AA628" s="145">
        <v>0</v>
      </c>
      <c r="AB628" s="145">
        <v>0</v>
      </c>
      <c r="AC628" s="145">
        <v>0</v>
      </c>
      <c r="AD628" s="145">
        <v>0</v>
      </c>
      <c r="AE628" s="145">
        <v>0</v>
      </c>
      <c r="AF628" s="145">
        <v>0</v>
      </c>
      <c r="AG628" s="145">
        <v>0</v>
      </c>
      <c r="AH628" s="145">
        <v>0</v>
      </c>
      <c r="AI628" s="145">
        <v>0</v>
      </c>
      <c r="AJ628" s="145">
        <v>0</v>
      </c>
      <c r="AK628" s="145">
        <f t="shared" si="193"/>
        <v>0</v>
      </c>
      <c r="AL628" s="145">
        <v>258080</v>
      </c>
      <c r="AM628" s="145">
        <v>125400</v>
      </c>
      <c r="AN628" s="145">
        <v>0</v>
      </c>
      <c r="AO628" s="145">
        <v>0</v>
      </c>
      <c r="AP628" s="145">
        <v>0</v>
      </c>
      <c r="AQ628" s="145">
        <v>0</v>
      </c>
      <c r="AR628" s="145">
        <v>0</v>
      </c>
      <c r="AS628" s="144">
        <f t="shared" si="190"/>
        <v>383480</v>
      </c>
      <c r="AT628" s="144"/>
      <c r="AU628" s="146">
        <f t="shared" si="182"/>
        <v>383480</v>
      </c>
      <c r="AV628" s="146">
        <f>IFERROR(VLOOKUP(J628,Maksājumu_pieprasījumu_iesn.!G:BL,57,0),0)</f>
        <v>0</v>
      </c>
      <c r="AW628" s="139">
        <f t="shared" si="185"/>
        <v>-383480</v>
      </c>
      <c r="AX628" s="147">
        <f t="shared" si="191"/>
        <v>0</v>
      </c>
      <c r="AY628" s="147"/>
      <c r="AZ628" s="147"/>
      <c r="BA628" s="165"/>
      <c r="BB628" s="144"/>
      <c r="BC628" s="144"/>
      <c r="BD628" s="144"/>
      <c r="BE628" s="144"/>
      <c r="BF628" s="144"/>
      <c r="BG628" s="144"/>
      <c r="BH628" s="149"/>
      <c r="BI628" s="149"/>
      <c r="BJ628" s="149"/>
      <c r="BK628" s="149"/>
      <c r="BL628" s="149"/>
      <c r="BM628" s="149"/>
      <c r="BN628" s="149"/>
    </row>
    <row r="629" spans="1:66" ht="25.5" hidden="1" customHeight="1" x14ac:dyDescent="0.2">
      <c r="A629" s="142" t="s">
        <v>1603</v>
      </c>
      <c r="B629" s="18" t="s">
        <v>119</v>
      </c>
      <c r="C629" s="18" t="s">
        <v>120</v>
      </c>
      <c r="D629" s="19" t="s">
        <v>574</v>
      </c>
      <c r="E629" s="18">
        <v>2</v>
      </c>
      <c r="F629" s="18" t="s">
        <v>35</v>
      </c>
      <c r="G629" s="18" t="s">
        <v>102</v>
      </c>
      <c r="H629" s="18" t="s">
        <v>3</v>
      </c>
      <c r="I629" s="18"/>
      <c r="J629" s="18"/>
      <c r="K629" s="19" t="s">
        <v>1708</v>
      </c>
      <c r="L629" s="275" t="s">
        <v>1605</v>
      </c>
      <c r="M629" s="275" t="s">
        <v>1666</v>
      </c>
      <c r="N629" s="19" t="s">
        <v>1709</v>
      </c>
      <c r="O629" s="143">
        <v>42931</v>
      </c>
      <c r="P629" s="143"/>
      <c r="Q629" s="143"/>
      <c r="R629" s="143"/>
      <c r="S629" s="144">
        <v>380248</v>
      </c>
      <c r="T629" s="144"/>
      <c r="U629" s="145">
        <v>0</v>
      </c>
      <c r="V629" s="145">
        <v>0</v>
      </c>
      <c r="W629" s="145">
        <v>0</v>
      </c>
      <c r="X629" s="145">
        <f t="shared" si="192"/>
        <v>0</v>
      </c>
      <c r="Y629" s="145">
        <v>0</v>
      </c>
      <c r="Z629" s="145">
        <v>0</v>
      </c>
      <c r="AA629" s="145">
        <v>0</v>
      </c>
      <c r="AB629" s="145">
        <v>0</v>
      </c>
      <c r="AC629" s="145">
        <v>0</v>
      </c>
      <c r="AD629" s="145">
        <v>0</v>
      </c>
      <c r="AE629" s="145">
        <v>0</v>
      </c>
      <c r="AF629" s="145">
        <v>0</v>
      </c>
      <c r="AG629" s="145">
        <v>0</v>
      </c>
      <c r="AH629" s="145">
        <v>0</v>
      </c>
      <c r="AI629" s="145">
        <v>0</v>
      </c>
      <c r="AJ629" s="145">
        <v>0</v>
      </c>
      <c r="AK629" s="145">
        <f t="shared" si="193"/>
        <v>0</v>
      </c>
      <c r="AL629" s="145">
        <v>380248</v>
      </c>
      <c r="AM629" s="145">
        <v>0</v>
      </c>
      <c r="AN629" s="145">
        <v>0</v>
      </c>
      <c r="AO629" s="145">
        <v>0</v>
      </c>
      <c r="AP629" s="145">
        <v>0</v>
      </c>
      <c r="AQ629" s="145">
        <v>0</v>
      </c>
      <c r="AR629" s="145">
        <v>0</v>
      </c>
      <c r="AS629" s="144">
        <f t="shared" si="190"/>
        <v>380248</v>
      </c>
      <c r="AT629" s="144"/>
      <c r="AU629" s="146">
        <f t="shared" si="182"/>
        <v>380248</v>
      </c>
      <c r="AV629" s="146">
        <f>IFERROR(VLOOKUP(J629,Maksājumu_pieprasījumu_iesn.!G:BL,57,0),0)</f>
        <v>0</v>
      </c>
      <c r="AW629" s="139">
        <f t="shared" si="185"/>
        <v>-380248</v>
      </c>
      <c r="AX629" s="147">
        <f t="shared" si="191"/>
        <v>0</v>
      </c>
      <c r="AY629" s="147"/>
      <c r="AZ629" s="147"/>
      <c r="BA629" s="165"/>
      <c r="BB629" s="144"/>
      <c r="BC629" s="144"/>
      <c r="BD629" s="144"/>
      <c r="BE629" s="144"/>
      <c r="BF629" s="144"/>
      <c r="BG629" s="144"/>
      <c r="BH629" s="149"/>
      <c r="BI629" s="149"/>
      <c r="BJ629" s="149"/>
      <c r="BK629" s="149"/>
      <c r="BL629" s="149"/>
      <c r="BM629" s="149"/>
      <c r="BN629" s="149"/>
    </row>
    <row r="630" spans="1:66" ht="25.5" hidden="1" customHeight="1" x14ac:dyDescent="0.2">
      <c r="A630" s="142" t="s">
        <v>1603</v>
      </c>
      <c r="B630" s="18" t="s">
        <v>119</v>
      </c>
      <c r="C630" s="18" t="s">
        <v>120</v>
      </c>
      <c r="D630" s="19" t="s">
        <v>574</v>
      </c>
      <c r="E630" s="18">
        <v>2</v>
      </c>
      <c r="F630" s="18" t="s">
        <v>35</v>
      </c>
      <c r="G630" s="18" t="s">
        <v>102</v>
      </c>
      <c r="H630" s="18" t="s">
        <v>3</v>
      </c>
      <c r="I630" s="18"/>
      <c r="J630" s="18"/>
      <c r="K630" s="19" t="s">
        <v>1710</v>
      </c>
      <c r="L630" s="275" t="s">
        <v>1605</v>
      </c>
      <c r="M630" s="275" t="s">
        <v>1666</v>
      </c>
      <c r="N630" s="19" t="s">
        <v>1711</v>
      </c>
      <c r="O630" s="143">
        <v>42926</v>
      </c>
      <c r="P630" s="143"/>
      <c r="Q630" s="143"/>
      <c r="R630" s="143"/>
      <c r="S630" s="144">
        <v>409360</v>
      </c>
      <c r="T630" s="144"/>
      <c r="U630" s="145">
        <v>0</v>
      </c>
      <c r="V630" s="145">
        <v>0</v>
      </c>
      <c r="W630" s="145">
        <v>0</v>
      </c>
      <c r="X630" s="145">
        <f t="shared" si="192"/>
        <v>0</v>
      </c>
      <c r="Y630" s="145">
        <v>0</v>
      </c>
      <c r="Z630" s="145">
        <v>0</v>
      </c>
      <c r="AA630" s="145">
        <v>0</v>
      </c>
      <c r="AB630" s="145">
        <v>0</v>
      </c>
      <c r="AC630" s="145">
        <v>0</v>
      </c>
      <c r="AD630" s="145">
        <v>0</v>
      </c>
      <c r="AE630" s="145">
        <v>0</v>
      </c>
      <c r="AF630" s="145">
        <v>0</v>
      </c>
      <c r="AG630" s="145">
        <v>0</v>
      </c>
      <c r="AH630" s="145">
        <v>0</v>
      </c>
      <c r="AI630" s="145">
        <v>0</v>
      </c>
      <c r="AJ630" s="145">
        <v>0</v>
      </c>
      <c r="AK630" s="145">
        <f t="shared" si="193"/>
        <v>0</v>
      </c>
      <c r="AL630" s="145">
        <v>409360</v>
      </c>
      <c r="AM630" s="145">
        <v>0</v>
      </c>
      <c r="AN630" s="145">
        <v>0</v>
      </c>
      <c r="AO630" s="145">
        <v>0</v>
      </c>
      <c r="AP630" s="145">
        <v>0</v>
      </c>
      <c r="AQ630" s="145">
        <v>0</v>
      </c>
      <c r="AR630" s="145">
        <v>0</v>
      </c>
      <c r="AS630" s="144">
        <f t="shared" si="190"/>
        <v>409360</v>
      </c>
      <c r="AT630" s="144"/>
      <c r="AU630" s="146">
        <f t="shared" si="182"/>
        <v>409360</v>
      </c>
      <c r="AV630" s="146">
        <f>IFERROR(VLOOKUP(J630,Maksājumu_pieprasījumu_iesn.!G:BL,57,0),0)</f>
        <v>0</v>
      </c>
      <c r="AW630" s="139">
        <f t="shared" si="185"/>
        <v>-409360</v>
      </c>
      <c r="AX630" s="147">
        <f t="shared" si="191"/>
        <v>0</v>
      </c>
      <c r="AY630" s="147"/>
      <c r="AZ630" s="147"/>
      <c r="BA630" s="165"/>
      <c r="BB630" s="144"/>
      <c r="BC630" s="144"/>
      <c r="BD630" s="144"/>
      <c r="BE630" s="144"/>
      <c r="BF630" s="144"/>
      <c r="BG630" s="144"/>
      <c r="BH630" s="149"/>
      <c r="BI630" s="149"/>
      <c r="BJ630" s="149"/>
      <c r="BK630" s="149"/>
      <c r="BL630" s="149"/>
      <c r="BM630" s="149"/>
      <c r="BN630" s="149"/>
    </row>
    <row r="631" spans="1:66" ht="25.5" hidden="1" customHeight="1" x14ac:dyDescent="0.2">
      <c r="A631" s="142" t="s">
        <v>1603</v>
      </c>
      <c r="B631" s="18" t="s">
        <v>119</v>
      </c>
      <c r="C631" s="18" t="s">
        <v>120</v>
      </c>
      <c r="D631" s="19" t="s">
        <v>574</v>
      </c>
      <c r="E631" s="18">
        <v>2</v>
      </c>
      <c r="F631" s="18" t="s">
        <v>35</v>
      </c>
      <c r="G631" s="18" t="s">
        <v>102</v>
      </c>
      <c r="H631" s="18" t="s">
        <v>3</v>
      </c>
      <c r="I631" s="18"/>
      <c r="J631" s="18"/>
      <c r="K631" s="19" t="s">
        <v>1712</v>
      </c>
      <c r="L631" s="275" t="s">
        <v>1605</v>
      </c>
      <c r="M631" s="275" t="s">
        <v>1666</v>
      </c>
      <c r="N631" s="19" t="s">
        <v>1713</v>
      </c>
      <c r="O631" s="143">
        <v>42916</v>
      </c>
      <c r="P631" s="143"/>
      <c r="Q631" s="143"/>
      <c r="R631" s="143"/>
      <c r="S631" s="144">
        <v>644334</v>
      </c>
      <c r="T631" s="144"/>
      <c r="U631" s="145">
        <v>0</v>
      </c>
      <c r="V631" s="145">
        <v>0</v>
      </c>
      <c r="W631" s="145">
        <v>0</v>
      </c>
      <c r="X631" s="145">
        <f t="shared" si="192"/>
        <v>0</v>
      </c>
      <c r="Y631" s="145">
        <v>0</v>
      </c>
      <c r="Z631" s="145">
        <v>0</v>
      </c>
      <c r="AA631" s="145">
        <v>0</v>
      </c>
      <c r="AB631" s="145">
        <v>0</v>
      </c>
      <c r="AC631" s="145">
        <v>0</v>
      </c>
      <c r="AD631" s="145">
        <v>0</v>
      </c>
      <c r="AE631" s="145">
        <v>0</v>
      </c>
      <c r="AF631" s="145">
        <v>0</v>
      </c>
      <c r="AG631" s="145">
        <v>0</v>
      </c>
      <c r="AH631" s="145">
        <v>0</v>
      </c>
      <c r="AI631" s="145">
        <v>0</v>
      </c>
      <c r="AJ631" s="145">
        <v>23746.57</v>
      </c>
      <c r="AK631" s="145">
        <f t="shared" si="193"/>
        <v>23746.57</v>
      </c>
      <c r="AL631" s="145">
        <v>620587.43000000005</v>
      </c>
      <c r="AM631" s="145">
        <v>0</v>
      </c>
      <c r="AN631" s="145">
        <v>0</v>
      </c>
      <c r="AO631" s="145">
        <v>0</v>
      </c>
      <c r="AP631" s="145">
        <v>0</v>
      </c>
      <c r="AQ631" s="145">
        <v>0</v>
      </c>
      <c r="AR631" s="145">
        <v>0</v>
      </c>
      <c r="AS631" s="144">
        <f t="shared" si="190"/>
        <v>644334</v>
      </c>
      <c r="AT631" s="144"/>
      <c r="AU631" s="146">
        <f t="shared" si="182"/>
        <v>644334</v>
      </c>
      <c r="AV631" s="146">
        <f>IFERROR(VLOOKUP(J631,Maksājumu_pieprasījumu_iesn.!G:BL,57,0),0)</f>
        <v>0</v>
      </c>
      <c r="AW631" s="139">
        <f t="shared" si="185"/>
        <v>-644334</v>
      </c>
      <c r="AX631" s="147">
        <f t="shared" si="191"/>
        <v>0</v>
      </c>
      <c r="AY631" s="147"/>
      <c r="AZ631" s="147"/>
      <c r="BA631" s="165"/>
      <c r="BB631" s="144"/>
      <c r="BC631" s="144"/>
      <c r="BD631" s="144"/>
      <c r="BE631" s="144"/>
      <c r="BF631" s="144"/>
      <c r="BG631" s="144"/>
      <c r="BH631" s="149"/>
      <c r="BI631" s="149"/>
      <c r="BJ631" s="149"/>
      <c r="BK631" s="149"/>
      <c r="BL631" s="149"/>
      <c r="BM631" s="149"/>
      <c r="BN631" s="149"/>
    </row>
    <row r="632" spans="1:66" ht="25.5" hidden="1" customHeight="1" x14ac:dyDescent="0.2">
      <c r="A632" s="142" t="s">
        <v>1603</v>
      </c>
      <c r="B632" s="18" t="s">
        <v>119</v>
      </c>
      <c r="C632" s="18" t="s">
        <v>120</v>
      </c>
      <c r="D632" s="19" t="s">
        <v>574</v>
      </c>
      <c r="E632" s="18">
        <v>2</v>
      </c>
      <c r="F632" s="18" t="s">
        <v>35</v>
      </c>
      <c r="G632" s="18" t="s">
        <v>102</v>
      </c>
      <c r="H632" s="18" t="s">
        <v>3</v>
      </c>
      <c r="I632" s="18"/>
      <c r="J632" s="18"/>
      <c r="K632" s="19" t="s">
        <v>1714</v>
      </c>
      <c r="L632" s="275" t="s">
        <v>1605</v>
      </c>
      <c r="M632" s="275" t="s">
        <v>1666</v>
      </c>
      <c r="N632" s="19" t="s">
        <v>1715</v>
      </c>
      <c r="O632" s="143">
        <v>42951</v>
      </c>
      <c r="P632" s="143"/>
      <c r="Q632" s="143"/>
      <c r="R632" s="143"/>
      <c r="S632" s="144">
        <v>1874760</v>
      </c>
      <c r="T632" s="144"/>
      <c r="U632" s="145">
        <v>0</v>
      </c>
      <c r="V632" s="145">
        <v>0</v>
      </c>
      <c r="W632" s="145">
        <v>0</v>
      </c>
      <c r="X632" s="145">
        <f t="shared" si="192"/>
        <v>0</v>
      </c>
      <c r="Y632" s="145">
        <v>0</v>
      </c>
      <c r="Z632" s="145">
        <v>0</v>
      </c>
      <c r="AA632" s="145">
        <v>0</v>
      </c>
      <c r="AB632" s="145">
        <v>0</v>
      </c>
      <c r="AC632" s="145">
        <v>0</v>
      </c>
      <c r="AD632" s="145">
        <v>0</v>
      </c>
      <c r="AE632" s="145">
        <v>0</v>
      </c>
      <c r="AF632" s="145">
        <v>0</v>
      </c>
      <c r="AG632" s="145">
        <v>0</v>
      </c>
      <c r="AH632" s="145">
        <v>0</v>
      </c>
      <c r="AI632" s="145">
        <v>0</v>
      </c>
      <c r="AJ632" s="145">
        <v>0</v>
      </c>
      <c r="AK632" s="145">
        <f t="shared" si="193"/>
        <v>0</v>
      </c>
      <c r="AL632" s="145">
        <v>468690</v>
      </c>
      <c r="AM632" s="145">
        <v>468690</v>
      </c>
      <c r="AN632" s="145">
        <v>468690</v>
      </c>
      <c r="AO632" s="145">
        <v>468690</v>
      </c>
      <c r="AP632" s="145">
        <v>0</v>
      </c>
      <c r="AQ632" s="145">
        <v>0</v>
      </c>
      <c r="AR632" s="145">
        <v>0</v>
      </c>
      <c r="AS632" s="144">
        <f t="shared" si="190"/>
        <v>1874760</v>
      </c>
      <c r="AT632" s="144"/>
      <c r="AU632" s="146">
        <f t="shared" si="182"/>
        <v>1874760</v>
      </c>
      <c r="AV632" s="146">
        <f>IFERROR(VLOOKUP(J632,Maksājumu_pieprasījumu_iesn.!G:BL,57,0),0)</f>
        <v>0</v>
      </c>
      <c r="AW632" s="139">
        <f t="shared" si="185"/>
        <v>-1874760</v>
      </c>
      <c r="AX632" s="147">
        <f t="shared" si="191"/>
        <v>0</v>
      </c>
      <c r="AY632" s="147"/>
      <c r="AZ632" s="147"/>
      <c r="BA632" s="165"/>
      <c r="BB632" s="144"/>
      <c r="BC632" s="144"/>
      <c r="BD632" s="144"/>
      <c r="BE632" s="144"/>
      <c r="BF632" s="144"/>
      <c r="BG632" s="144"/>
      <c r="BH632" s="149"/>
      <c r="BI632" s="149"/>
      <c r="BJ632" s="149"/>
      <c r="BK632" s="149"/>
      <c r="BL632" s="149"/>
      <c r="BM632" s="149"/>
      <c r="BN632" s="149"/>
    </row>
    <row r="633" spans="1:66" ht="25.5" hidden="1" customHeight="1" x14ac:dyDescent="0.2">
      <c r="A633" s="142" t="s">
        <v>1603</v>
      </c>
      <c r="B633" s="18" t="s">
        <v>119</v>
      </c>
      <c r="C633" s="18" t="s">
        <v>120</v>
      </c>
      <c r="D633" s="19" t="s">
        <v>574</v>
      </c>
      <c r="E633" s="18">
        <v>2</v>
      </c>
      <c r="F633" s="18" t="s">
        <v>35</v>
      </c>
      <c r="G633" s="18" t="s">
        <v>102</v>
      </c>
      <c r="H633" s="18" t="s">
        <v>3</v>
      </c>
      <c r="I633" s="18"/>
      <c r="J633" s="18"/>
      <c r="K633" s="19" t="s">
        <v>1716</v>
      </c>
      <c r="L633" s="275" t="s">
        <v>1605</v>
      </c>
      <c r="M633" s="275" t="s">
        <v>1666</v>
      </c>
      <c r="N633" s="19" t="s">
        <v>1717</v>
      </c>
      <c r="O633" s="143">
        <v>42951</v>
      </c>
      <c r="P633" s="143"/>
      <c r="Q633" s="143"/>
      <c r="R633" s="143"/>
      <c r="S633" s="144">
        <v>5034788</v>
      </c>
      <c r="T633" s="144"/>
      <c r="U633" s="145">
        <v>0</v>
      </c>
      <c r="V633" s="145">
        <v>0</v>
      </c>
      <c r="W633" s="145">
        <v>0</v>
      </c>
      <c r="X633" s="145">
        <f t="shared" si="192"/>
        <v>0</v>
      </c>
      <c r="Y633" s="145">
        <v>0</v>
      </c>
      <c r="Z633" s="145">
        <v>0</v>
      </c>
      <c r="AA633" s="145">
        <v>0</v>
      </c>
      <c r="AB633" s="145">
        <v>0</v>
      </c>
      <c r="AC633" s="145">
        <v>0</v>
      </c>
      <c r="AD633" s="145">
        <v>0</v>
      </c>
      <c r="AE633" s="145">
        <v>0</v>
      </c>
      <c r="AF633" s="145">
        <v>0</v>
      </c>
      <c r="AG633" s="145">
        <v>0</v>
      </c>
      <c r="AH633" s="145">
        <v>0</v>
      </c>
      <c r="AI633" s="145">
        <v>0</v>
      </c>
      <c r="AJ633" s="145">
        <v>49715</v>
      </c>
      <c r="AK633" s="145">
        <f t="shared" si="193"/>
        <v>49715</v>
      </c>
      <c r="AL633" s="145">
        <v>2694977</v>
      </c>
      <c r="AM633" s="145">
        <v>2290096</v>
      </c>
      <c r="AN633" s="145">
        <v>0</v>
      </c>
      <c r="AO633" s="145">
        <v>0</v>
      </c>
      <c r="AP633" s="145">
        <v>0</v>
      </c>
      <c r="AQ633" s="145">
        <v>0</v>
      </c>
      <c r="AR633" s="145">
        <v>0</v>
      </c>
      <c r="AS633" s="144">
        <f t="shared" si="190"/>
        <v>5034788</v>
      </c>
      <c r="AT633" s="144"/>
      <c r="AU633" s="146">
        <f t="shared" si="182"/>
        <v>5034788</v>
      </c>
      <c r="AV633" s="146">
        <f>IFERROR(VLOOKUP(J633,Maksājumu_pieprasījumu_iesn.!G:BL,57,0),0)</f>
        <v>0</v>
      </c>
      <c r="AW633" s="139">
        <f t="shared" si="185"/>
        <v>-5034788</v>
      </c>
      <c r="AX633" s="147">
        <f t="shared" si="191"/>
        <v>0</v>
      </c>
      <c r="AY633" s="147"/>
      <c r="AZ633" s="147"/>
      <c r="BA633" s="165"/>
      <c r="BB633" s="144"/>
      <c r="BC633" s="144"/>
      <c r="BD633" s="144"/>
      <c r="BE633" s="144"/>
      <c r="BF633" s="144"/>
      <c r="BG633" s="144"/>
      <c r="BH633" s="149"/>
      <c r="BI633" s="149"/>
      <c r="BJ633" s="149"/>
      <c r="BK633" s="149"/>
      <c r="BL633" s="149"/>
      <c r="BM633" s="149"/>
      <c r="BN633" s="149"/>
    </row>
    <row r="634" spans="1:66" ht="38.25" hidden="1" customHeight="1" x14ac:dyDescent="0.2">
      <c r="A634" s="142" t="s">
        <v>1603</v>
      </c>
      <c r="B634" s="18" t="s">
        <v>119</v>
      </c>
      <c r="C634" s="18" t="s">
        <v>120</v>
      </c>
      <c r="D634" s="19" t="s">
        <v>574</v>
      </c>
      <c r="E634" s="18">
        <v>2</v>
      </c>
      <c r="F634" s="18" t="s">
        <v>35</v>
      </c>
      <c r="G634" s="18" t="s">
        <v>102</v>
      </c>
      <c r="H634" s="18" t="s">
        <v>3</v>
      </c>
      <c r="I634" s="18"/>
      <c r="J634" s="18"/>
      <c r="K634" s="19" t="s">
        <v>1718</v>
      </c>
      <c r="L634" s="275" t="s">
        <v>1605</v>
      </c>
      <c r="M634" s="275" t="s">
        <v>1666</v>
      </c>
      <c r="N634" s="19" t="s">
        <v>1719</v>
      </c>
      <c r="O634" s="143">
        <v>42948</v>
      </c>
      <c r="P634" s="143"/>
      <c r="Q634" s="143"/>
      <c r="R634" s="143"/>
      <c r="S634" s="144">
        <v>180115</v>
      </c>
      <c r="T634" s="144"/>
      <c r="U634" s="145">
        <v>0</v>
      </c>
      <c r="V634" s="145">
        <v>0</v>
      </c>
      <c r="W634" s="145">
        <v>0</v>
      </c>
      <c r="X634" s="145">
        <f t="shared" si="192"/>
        <v>0</v>
      </c>
      <c r="Y634" s="145">
        <v>0</v>
      </c>
      <c r="Z634" s="145">
        <v>0</v>
      </c>
      <c r="AA634" s="145">
        <v>0</v>
      </c>
      <c r="AB634" s="145">
        <v>0</v>
      </c>
      <c r="AC634" s="145">
        <v>0</v>
      </c>
      <c r="AD634" s="145">
        <v>0</v>
      </c>
      <c r="AE634" s="145">
        <v>0</v>
      </c>
      <c r="AF634" s="145">
        <v>0</v>
      </c>
      <c r="AG634" s="145">
        <v>0</v>
      </c>
      <c r="AH634" s="145">
        <v>0</v>
      </c>
      <c r="AI634" s="145">
        <v>0</v>
      </c>
      <c r="AJ634" s="145">
        <v>0</v>
      </c>
      <c r="AK634" s="145">
        <f t="shared" si="193"/>
        <v>0</v>
      </c>
      <c r="AL634" s="145">
        <v>180115</v>
      </c>
      <c r="AM634" s="145">
        <v>0</v>
      </c>
      <c r="AN634" s="145">
        <v>0</v>
      </c>
      <c r="AO634" s="145">
        <v>0</v>
      </c>
      <c r="AP634" s="145">
        <v>0</v>
      </c>
      <c r="AQ634" s="145">
        <v>0</v>
      </c>
      <c r="AR634" s="145">
        <v>0</v>
      </c>
      <c r="AS634" s="144">
        <f t="shared" si="190"/>
        <v>180115</v>
      </c>
      <c r="AT634" s="144"/>
      <c r="AU634" s="146">
        <f t="shared" si="182"/>
        <v>180115</v>
      </c>
      <c r="AV634" s="146">
        <f>IFERROR(VLOOKUP(J634,Maksājumu_pieprasījumu_iesn.!G:BL,57,0),0)</f>
        <v>0</v>
      </c>
      <c r="AW634" s="139">
        <f t="shared" si="185"/>
        <v>-180115</v>
      </c>
      <c r="AX634" s="147">
        <f t="shared" si="191"/>
        <v>0</v>
      </c>
      <c r="AY634" s="147"/>
      <c r="AZ634" s="147"/>
      <c r="BA634" s="165"/>
      <c r="BB634" s="144"/>
      <c r="BC634" s="144"/>
      <c r="BD634" s="144"/>
      <c r="BE634" s="144"/>
      <c r="BF634" s="144"/>
      <c r="BG634" s="144"/>
      <c r="BH634" s="149"/>
      <c r="BI634" s="149"/>
      <c r="BJ634" s="149"/>
      <c r="BK634" s="149"/>
      <c r="BL634" s="149"/>
      <c r="BM634" s="149"/>
      <c r="BN634" s="149"/>
    </row>
    <row r="635" spans="1:66" ht="25.5" hidden="1" customHeight="1" x14ac:dyDescent="0.2">
      <c r="A635" s="142" t="s">
        <v>1603</v>
      </c>
      <c r="B635" s="18" t="s">
        <v>119</v>
      </c>
      <c r="C635" s="18" t="s">
        <v>120</v>
      </c>
      <c r="D635" s="19" t="s">
        <v>574</v>
      </c>
      <c r="E635" s="18">
        <v>2</v>
      </c>
      <c r="F635" s="18" t="s">
        <v>35</v>
      </c>
      <c r="G635" s="18" t="s">
        <v>102</v>
      </c>
      <c r="H635" s="18" t="s">
        <v>3</v>
      </c>
      <c r="I635" s="18"/>
      <c r="J635" s="18"/>
      <c r="K635" s="19" t="s">
        <v>1720</v>
      </c>
      <c r="L635" s="275" t="s">
        <v>1605</v>
      </c>
      <c r="M635" s="275" t="s">
        <v>1666</v>
      </c>
      <c r="N635" s="19" t="s">
        <v>1721</v>
      </c>
      <c r="O635" s="143">
        <v>42951</v>
      </c>
      <c r="P635" s="143"/>
      <c r="Q635" s="143"/>
      <c r="R635" s="143"/>
      <c r="S635" s="144">
        <v>935022</v>
      </c>
      <c r="T635" s="144"/>
      <c r="U635" s="145">
        <v>0</v>
      </c>
      <c r="V635" s="145">
        <v>0</v>
      </c>
      <c r="W635" s="145">
        <v>0</v>
      </c>
      <c r="X635" s="145">
        <f t="shared" si="192"/>
        <v>0</v>
      </c>
      <c r="Y635" s="145">
        <v>0</v>
      </c>
      <c r="Z635" s="145">
        <v>0</v>
      </c>
      <c r="AA635" s="145">
        <v>0</v>
      </c>
      <c r="AB635" s="145">
        <v>0</v>
      </c>
      <c r="AC635" s="145">
        <v>0</v>
      </c>
      <c r="AD635" s="145">
        <v>0</v>
      </c>
      <c r="AE635" s="145">
        <v>0</v>
      </c>
      <c r="AF635" s="145">
        <v>0</v>
      </c>
      <c r="AG635" s="145">
        <v>0</v>
      </c>
      <c r="AH635" s="145">
        <v>0</v>
      </c>
      <c r="AI635" s="145">
        <v>0</v>
      </c>
      <c r="AJ635" s="145">
        <v>0</v>
      </c>
      <c r="AK635" s="145">
        <f t="shared" si="193"/>
        <v>0</v>
      </c>
      <c r="AL635" s="145">
        <v>174697</v>
      </c>
      <c r="AM635" s="145">
        <v>213377</v>
      </c>
      <c r="AN635" s="145">
        <v>367386</v>
      </c>
      <c r="AO635" s="145">
        <v>179562</v>
      </c>
      <c r="AP635" s="145">
        <v>0</v>
      </c>
      <c r="AQ635" s="145">
        <v>0</v>
      </c>
      <c r="AR635" s="145">
        <v>0</v>
      </c>
      <c r="AS635" s="144">
        <f t="shared" si="190"/>
        <v>935022</v>
      </c>
      <c r="AT635" s="144"/>
      <c r="AU635" s="146">
        <f t="shared" si="182"/>
        <v>935022</v>
      </c>
      <c r="AV635" s="146">
        <f>IFERROR(VLOOKUP(J635,Maksājumu_pieprasījumu_iesn.!G:BL,57,0),0)</f>
        <v>0</v>
      </c>
      <c r="AW635" s="139">
        <f t="shared" si="185"/>
        <v>-935022</v>
      </c>
      <c r="AX635" s="147">
        <f t="shared" si="191"/>
        <v>0</v>
      </c>
      <c r="AY635" s="147"/>
      <c r="AZ635" s="147"/>
      <c r="BA635" s="165"/>
      <c r="BB635" s="144"/>
      <c r="BC635" s="144"/>
      <c r="BD635" s="144"/>
      <c r="BE635" s="144"/>
      <c r="BF635" s="144"/>
      <c r="BG635" s="144"/>
      <c r="BH635" s="149"/>
      <c r="BI635" s="149"/>
      <c r="BJ635" s="149"/>
      <c r="BK635" s="149"/>
      <c r="BL635" s="149"/>
      <c r="BM635" s="149"/>
      <c r="BN635" s="149"/>
    </row>
    <row r="636" spans="1:66" ht="38.25" hidden="1" customHeight="1" x14ac:dyDescent="0.2">
      <c r="A636" s="142" t="s">
        <v>1603</v>
      </c>
      <c r="B636" s="18" t="s">
        <v>119</v>
      </c>
      <c r="C636" s="18" t="s">
        <v>120</v>
      </c>
      <c r="D636" s="19" t="s">
        <v>574</v>
      </c>
      <c r="E636" s="18">
        <v>2</v>
      </c>
      <c r="F636" s="18" t="s">
        <v>35</v>
      </c>
      <c r="G636" s="18" t="s">
        <v>102</v>
      </c>
      <c r="H636" s="18" t="s">
        <v>3</v>
      </c>
      <c r="I636" s="18"/>
      <c r="J636" s="18"/>
      <c r="K636" s="19" t="s">
        <v>1722</v>
      </c>
      <c r="L636" s="275" t="s">
        <v>1605</v>
      </c>
      <c r="M636" s="275" t="s">
        <v>1666</v>
      </c>
      <c r="N636" s="19"/>
      <c r="O636" s="143">
        <v>42951</v>
      </c>
      <c r="P636" s="143"/>
      <c r="Q636" s="143"/>
      <c r="R636" s="143"/>
      <c r="S636" s="144">
        <v>326400</v>
      </c>
      <c r="T636" s="144"/>
      <c r="U636" s="145">
        <v>0</v>
      </c>
      <c r="V636" s="145">
        <v>0</v>
      </c>
      <c r="W636" s="145">
        <v>0</v>
      </c>
      <c r="X636" s="145">
        <f t="shared" si="192"/>
        <v>0</v>
      </c>
      <c r="Y636" s="145">
        <v>0</v>
      </c>
      <c r="Z636" s="145">
        <v>0</v>
      </c>
      <c r="AA636" s="145">
        <v>0</v>
      </c>
      <c r="AB636" s="145">
        <v>0</v>
      </c>
      <c r="AC636" s="145">
        <v>0</v>
      </c>
      <c r="AD636" s="145">
        <v>0</v>
      </c>
      <c r="AE636" s="145">
        <v>0</v>
      </c>
      <c r="AF636" s="145">
        <v>0</v>
      </c>
      <c r="AG636" s="145">
        <v>0</v>
      </c>
      <c r="AH636" s="145">
        <v>0</v>
      </c>
      <c r="AI636" s="145">
        <v>0</v>
      </c>
      <c r="AJ636" s="145">
        <v>0</v>
      </c>
      <c r="AK636" s="145">
        <f t="shared" si="193"/>
        <v>0</v>
      </c>
      <c r="AL636" s="145">
        <v>32200</v>
      </c>
      <c r="AM636" s="145">
        <v>147099.79</v>
      </c>
      <c r="AN636" s="145">
        <v>147099.79</v>
      </c>
      <c r="AO636" s="145">
        <v>0</v>
      </c>
      <c r="AP636" s="145">
        <v>0</v>
      </c>
      <c r="AQ636" s="145">
        <v>0</v>
      </c>
      <c r="AR636" s="145">
        <v>0</v>
      </c>
      <c r="AS636" s="144">
        <f t="shared" si="190"/>
        <v>326399.58</v>
      </c>
      <c r="AT636" s="144"/>
      <c r="AU636" s="146">
        <f t="shared" si="182"/>
        <v>326399.58</v>
      </c>
      <c r="AV636" s="146">
        <f>IFERROR(VLOOKUP(J636,Maksājumu_pieprasījumu_iesn.!G:BL,57,0),0)</f>
        <v>0</v>
      </c>
      <c r="AW636" s="139">
        <f t="shared" si="185"/>
        <v>-326399.58</v>
      </c>
      <c r="AX636" s="147">
        <f t="shared" si="191"/>
        <v>0.41999999998370185</v>
      </c>
      <c r="AY636" s="147"/>
      <c r="AZ636" s="147"/>
      <c r="BA636" s="165"/>
      <c r="BB636" s="144"/>
      <c r="BC636" s="144"/>
      <c r="BD636" s="144"/>
      <c r="BE636" s="144"/>
      <c r="BF636" s="144"/>
      <c r="BG636" s="144"/>
      <c r="BH636" s="149"/>
      <c r="BI636" s="149"/>
      <c r="BJ636" s="149"/>
      <c r="BK636" s="149"/>
      <c r="BL636" s="149"/>
      <c r="BM636" s="149"/>
      <c r="BN636" s="149"/>
    </row>
    <row r="637" spans="1:66" ht="51" hidden="1" customHeight="1" x14ac:dyDescent="0.2">
      <c r="A637" s="142" t="s">
        <v>1603</v>
      </c>
      <c r="B637" s="18" t="s">
        <v>119</v>
      </c>
      <c r="C637" s="18" t="s">
        <v>120</v>
      </c>
      <c r="D637" s="19" t="s">
        <v>574</v>
      </c>
      <c r="E637" s="18">
        <v>2</v>
      </c>
      <c r="F637" s="18" t="s">
        <v>35</v>
      </c>
      <c r="G637" s="18" t="s">
        <v>102</v>
      </c>
      <c r="H637" s="18" t="s">
        <v>3</v>
      </c>
      <c r="I637" s="18"/>
      <c r="J637" s="18"/>
      <c r="K637" s="19" t="s">
        <v>1723</v>
      </c>
      <c r="L637" s="275" t="s">
        <v>1605</v>
      </c>
      <c r="M637" s="275" t="s">
        <v>1666</v>
      </c>
      <c r="N637" s="19" t="s">
        <v>1724</v>
      </c>
      <c r="O637" s="143">
        <v>42948</v>
      </c>
      <c r="P637" s="143"/>
      <c r="Q637" s="143"/>
      <c r="R637" s="143"/>
      <c r="S637" s="144">
        <v>841303</v>
      </c>
      <c r="T637" s="144"/>
      <c r="U637" s="145">
        <v>0</v>
      </c>
      <c r="V637" s="145">
        <v>0</v>
      </c>
      <c r="W637" s="145">
        <v>0</v>
      </c>
      <c r="X637" s="145">
        <f t="shared" si="192"/>
        <v>0</v>
      </c>
      <c r="Y637" s="145">
        <v>0</v>
      </c>
      <c r="Z637" s="145">
        <v>0</v>
      </c>
      <c r="AA637" s="145">
        <v>0</v>
      </c>
      <c r="AB637" s="145">
        <v>0</v>
      </c>
      <c r="AC637" s="145">
        <v>0</v>
      </c>
      <c r="AD637" s="145">
        <v>0</v>
      </c>
      <c r="AE637" s="145">
        <v>0</v>
      </c>
      <c r="AF637" s="145">
        <v>0</v>
      </c>
      <c r="AG637" s="145">
        <v>0</v>
      </c>
      <c r="AH637" s="145">
        <v>0</v>
      </c>
      <c r="AI637" s="145">
        <v>0</v>
      </c>
      <c r="AJ637" s="145">
        <v>1772</v>
      </c>
      <c r="AK637" s="145">
        <f t="shared" si="193"/>
        <v>1772</v>
      </c>
      <c r="AL637" s="145">
        <v>795030</v>
      </c>
      <c r="AM637" s="145">
        <v>44501</v>
      </c>
      <c r="AN637" s="145">
        <v>0</v>
      </c>
      <c r="AO637" s="145">
        <v>0</v>
      </c>
      <c r="AP637" s="145">
        <v>0</v>
      </c>
      <c r="AQ637" s="145">
        <v>0</v>
      </c>
      <c r="AR637" s="145">
        <v>0</v>
      </c>
      <c r="AS637" s="144">
        <f t="shared" si="190"/>
        <v>841303</v>
      </c>
      <c r="AT637" s="144"/>
      <c r="AU637" s="146">
        <f t="shared" si="182"/>
        <v>841303</v>
      </c>
      <c r="AV637" s="146">
        <f>IFERROR(VLOOKUP(J637,Maksājumu_pieprasījumu_iesn.!G:BL,57,0),0)</f>
        <v>0</v>
      </c>
      <c r="AW637" s="139">
        <f t="shared" si="185"/>
        <v>-841303</v>
      </c>
      <c r="AX637" s="147">
        <f t="shared" si="191"/>
        <v>0</v>
      </c>
      <c r="AY637" s="147"/>
      <c r="AZ637" s="147"/>
      <c r="BA637" s="165"/>
      <c r="BB637" s="144"/>
      <c r="BC637" s="144"/>
      <c r="BD637" s="144"/>
      <c r="BE637" s="144"/>
      <c r="BF637" s="144"/>
      <c r="BG637" s="144"/>
      <c r="BH637" s="149"/>
      <c r="BI637" s="149"/>
      <c r="BJ637" s="149"/>
      <c r="BK637" s="149"/>
      <c r="BL637" s="149"/>
      <c r="BM637" s="149"/>
      <c r="BN637" s="149"/>
    </row>
    <row r="638" spans="1:66" ht="25.5" hidden="1" customHeight="1" x14ac:dyDescent="0.2">
      <c r="A638" s="142" t="s">
        <v>1603</v>
      </c>
      <c r="B638" s="18" t="s">
        <v>119</v>
      </c>
      <c r="C638" s="18" t="s">
        <v>120</v>
      </c>
      <c r="D638" s="19" t="s">
        <v>574</v>
      </c>
      <c r="E638" s="18">
        <v>2</v>
      </c>
      <c r="F638" s="18" t="s">
        <v>35</v>
      </c>
      <c r="G638" s="18" t="s">
        <v>102</v>
      </c>
      <c r="H638" s="18" t="s">
        <v>3</v>
      </c>
      <c r="I638" s="18"/>
      <c r="J638" s="18"/>
      <c r="K638" s="19" t="s">
        <v>1725</v>
      </c>
      <c r="L638" s="275" t="s">
        <v>1605</v>
      </c>
      <c r="M638" s="275" t="s">
        <v>1666</v>
      </c>
      <c r="N638" s="19"/>
      <c r="O638" s="143">
        <v>42936</v>
      </c>
      <c r="P638" s="143"/>
      <c r="Q638" s="143"/>
      <c r="R638" s="143"/>
      <c r="S638" s="144">
        <v>387628</v>
      </c>
      <c r="T638" s="144"/>
      <c r="U638" s="145">
        <v>0</v>
      </c>
      <c r="V638" s="145">
        <v>0</v>
      </c>
      <c r="W638" s="145">
        <v>0</v>
      </c>
      <c r="X638" s="145">
        <f t="shared" si="192"/>
        <v>0</v>
      </c>
      <c r="Y638" s="145">
        <v>0</v>
      </c>
      <c r="Z638" s="145">
        <v>0</v>
      </c>
      <c r="AA638" s="145">
        <v>0</v>
      </c>
      <c r="AB638" s="145">
        <v>0</v>
      </c>
      <c r="AC638" s="145">
        <v>0</v>
      </c>
      <c r="AD638" s="145">
        <v>0</v>
      </c>
      <c r="AE638" s="145">
        <v>0</v>
      </c>
      <c r="AF638" s="145">
        <v>0</v>
      </c>
      <c r="AG638" s="145">
        <v>0</v>
      </c>
      <c r="AH638" s="145">
        <v>0</v>
      </c>
      <c r="AI638" s="145">
        <v>0</v>
      </c>
      <c r="AJ638" s="145">
        <v>0</v>
      </c>
      <c r="AK638" s="145">
        <f t="shared" si="193"/>
        <v>0</v>
      </c>
      <c r="AL638" s="145">
        <v>135826</v>
      </c>
      <c r="AM638" s="145">
        <v>251802</v>
      </c>
      <c r="AN638" s="145">
        <v>0</v>
      </c>
      <c r="AO638" s="145">
        <v>0</v>
      </c>
      <c r="AP638" s="145">
        <v>0</v>
      </c>
      <c r="AQ638" s="145">
        <v>0</v>
      </c>
      <c r="AR638" s="145">
        <v>0</v>
      </c>
      <c r="AS638" s="144">
        <f t="shared" si="190"/>
        <v>387628</v>
      </c>
      <c r="AT638" s="144"/>
      <c r="AU638" s="146">
        <f t="shared" si="182"/>
        <v>387628</v>
      </c>
      <c r="AV638" s="146">
        <f>IFERROR(VLOOKUP(J638,Maksājumu_pieprasījumu_iesn.!G:BL,57,0),0)</f>
        <v>0</v>
      </c>
      <c r="AW638" s="139">
        <f t="shared" si="185"/>
        <v>-387628</v>
      </c>
      <c r="AX638" s="147">
        <f t="shared" si="191"/>
        <v>0</v>
      </c>
      <c r="AY638" s="147"/>
      <c r="AZ638" s="147"/>
      <c r="BA638" s="165"/>
      <c r="BB638" s="144"/>
      <c r="BC638" s="144"/>
      <c r="BD638" s="144"/>
      <c r="BE638" s="144"/>
      <c r="BF638" s="144"/>
      <c r="BG638" s="144"/>
      <c r="BH638" s="149"/>
      <c r="BI638" s="149"/>
      <c r="BJ638" s="149"/>
      <c r="BK638" s="149"/>
      <c r="BL638" s="149"/>
      <c r="BM638" s="149"/>
      <c r="BN638" s="149"/>
    </row>
    <row r="639" spans="1:66" ht="25.5" hidden="1" customHeight="1" x14ac:dyDescent="0.2">
      <c r="A639" s="142" t="s">
        <v>1603</v>
      </c>
      <c r="B639" s="18" t="s">
        <v>119</v>
      </c>
      <c r="C639" s="18" t="s">
        <v>120</v>
      </c>
      <c r="D639" s="19" t="s">
        <v>574</v>
      </c>
      <c r="E639" s="18">
        <v>2</v>
      </c>
      <c r="F639" s="18" t="s">
        <v>35</v>
      </c>
      <c r="G639" s="18" t="s">
        <v>102</v>
      </c>
      <c r="H639" s="18" t="s">
        <v>3</v>
      </c>
      <c r="I639" s="18"/>
      <c r="J639" s="18"/>
      <c r="K639" s="19" t="s">
        <v>1726</v>
      </c>
      <c r="L639" s="275" t="s">
        <v>1605</v>
      </c>
      <c r="M639" s="275" t="s">
        <v>1666</v>
      </c>
      <c r="N639" s="19" t="s">
        <v>1727</v>
      </c>
      <c r="O639" s="143">
        <v>42951</v>
      </c>
      <c r="P639" s="143"/>
      <c r="Q639" s="143"/>
      <c r="R639" s="143"/>
      <c r="S639" s="144">
        <v>1356692</v>
      </c>
      <c r="T639" s="144"/>
      <c r="U639" s="145">
        <v>0</v>
      </c>
      <c r="V639" s="145">
        <v>0</v>
      </c>
      <c r="W639" s="145">
        <v>0</v>
      </c>
      <c r="X639" s="145">
        <f t="shared" si="192"/>
        <v>0</v>
      </c>
      <c r="Y639" s="145">
        <v>0</v>
      </c>
      <c r="Z639" s="145">
        <v>0</v>
      </c>
      <c r="AA639" s="145">
        <v>0</v>
      </c>
      <c r="AB639" s="145">
        <v>0</v>
      </c>
      <c r="AC639" s="145">
        <v>0</v>
      </c>
      <c r="AD639" s="145">
        <v>0</v>
      </c>
      <c r="AE639" s="145">
        <v>0</v>
      </c>
      <c r="AF639" s="145">
        <v>0</v>
      </c>
      <c r="AG639" s="145">
        <v>0</v>
      </c>
      <c r="AH639" s="145">
        <v>0</v>
      </c>
      <c r="AI639" s="145">
        <v>0</v>
      </c>
      <c r="AJ639" s="145">
        <v>0</v>
      </c>
      <c r="AK639" s="145">
        <f t="shared" si="193"/>
        <v>0</v>
      </c>
      <c r="AL639" s="145">
        <v>814015</v>
      </c>
      <c r="AM639" s="145">
        <v>542677</v>
      </c>
      <c r="AN639" s="145">
        <v>0</v>
      </c>
      <c r="AO639" s="145">
        <v>0</v>
      </c>
      <c r="AP639" s="145">
        <v>0</v>
      </c>
      <c r="AQ639" s="145">
        <v>0</v>
      </c>
      <c r="AR639" s="145">
        <v>0</v>
      </c>
      <c r="AS639" s="144">
        <f t="shared" si="190"/>
        <v>1356692</v>
      </c>
      <c r="AT639" s="144"/>
      <c r="AU639" s="146">
        <f t="shared" si="182"/>
        <v>1356692</v>
      </c>
      <c r="AV639" s="146">
        <f>IFERROR(VLOOKUP(J639,Maksājumu_pieprasījumu_iesn.!G:BL,57,0),0)</f>
        <v>0</v>
      </c>
      <c r="AW639" s="139">
        <f t="shared" si="185"/>
        <v>-1356692</v>
      </c>
      <c r="AX639" s="147">
        <f t="shared" si="191"/>
        <v>0</v>
      </c>
      <c r="AY639" s="147"/>
      <c r="AZ639" s="147"/>
      <c r="BA639" s="165"/>
      <c r="BB639" s="144"/>
      <c r="BC639" s="144"/>
      <c r="BD639" s="144"/>
      <c r="BE639" s="144"/>
      <c r="BF639" s="144"/>
      <c r="BG639" s="144"/>
      <c r="BH639" s="149"/>
      <c r="BI639" s="149"/>
      <c r="BJ639" s="149"/>
      <c r="BK639" s="149"/>
      <c r="BL639" s="149"/>
      <c r="BM639" s="149"/>
      <c r="BN639" s="149"/>
    </row>
    <row r="640" spans="1:66" ht="12.75" hidden="1" customHeight="1" x14ac:dyDescent="0.2">
      <c r="A640" s="142" t="s">
        <v>1603</v>
      </c>
      <c r="B640" s="18" t="s">
        <v>119</v>
      </c>
      <c r="C640" s="18" t="s">
        <v>120</v>
      </c>
      <c r="D640" s="19" t="s">
        <v>574</v>
      </c>
      <c r="E640" s="18">
        <v>2</v>
      </c>
      <c r="F640" s="18" t="s">
        <v>35</v>
      </c>
      <c r="G640" s="18" t="s">
        <v>102</v>
      </c>
      <c r="H640" s="18" t="s">
        <v>3</v>
      </c>
      <c r="I640" s="18"/>
      <c r="J640" s="18"/>
      <c r="K640" s="19" t="s">
        <v>1728</v>
      </c>
      <c r="L640" s="275" t="s">
        <v>1605</v>
      </c>
      <c r="M640" s="275" t="s">
        <v>1666</v>
      </c>
      <c r="N640" s="19"/>
      <c r="O640" s="143">
        <v>42916</v>
      </c>
      <c r="P640" s="143"/>
      <c r="Q640" s="143"/>
      <c r="R640" s="143"/>
      <c r="S640" s="144">
        <v>3130057</v>
      </c>
      <c r="T640" s="144"/>
      <c r="U640" s="145">
        <v>0</v>
      </c>
      <c r="V640" s="145">
        <v>0</v>
      </c>
      <c r="W640" s="145">
        <v>0</v>
      </c>
      <c r="X640" s="145">
        <f t="shared" si="192"/>
        <v>0</v>
      </c>
      <c r="Y640" s="145">
        <v>0</v>
      </c>
      <c r="Z640" s="145">
        <v>0</v>
      </c>
      <c r="AA640" s="145">
        <v>0</v>
      </c>
      <c r="AB640" s="145">
        <v>0</v>
      </c>
      <c r="AC640" s="145">
        <v>0</v>
      </c>
      <c r="AD640" s="145">
        <v>0</v>
      </c>
      <c r="AE640" s="145">
        <v>0</v>
      </c>
      <c r="AF640" s="145">
        <v>0</v>
      </c>
      <c r="AG640" s="145">
        <v>0</v>
      </c>
      <c r="AH640" s="145">
        <v>0</v>
      </c>
      <c r="AI640" s="145">
        <v>0</v>
      </c>
      <c r="AJ640" s="145">
        <v>0</v>
      </c>
      <c r="AK640" s="145">
        <f t="shared" si="193"/>
        <v>0</v>
      </c>
      <c r="AL640" s="145">
        <v>1565029</v>
      </c>
      <c r="AM640" s="145">
        <v>1565028</v>
      </c>
      <c r="AN640" s="145">
        <v>0</v>
      </c>
      <c r="AO640" s="145">
        <v>0</v>
      </c>
      <c r="AP640" s="145">
        <v>0</v>
      </c>
      <c r="AQ640" s="145">
        <v>0</v>
      </c>
      <c r="AR640" s="145">
        <v>0</v>
      </c>
      <c r="AS640" s="144">
        <f t="shared" si="190"/>
        <v>3130057</v>
      </c>
      <c r="AT640" s="144"/>
      <c r="AU640" s="146">
        <f t="shared" si="182"/>
        <v>3130057</v>
      </c>
      <c r="AV640" s="146">
        <f>IFERROR(VLOOKUP(J640,Maksājumu_pieprasījumu_iesn.!G:BL,57,0),0)</f>
        <v>0</v>
      </c>
      <c r="AW640" s="139">
        <f t="shared" si="185"/>
        <v>-3130057</v>
      </c>
      <c r="AX640" s="147">
        <f t="shared" si="191"/>
        <v>0</v>
      </c>
      <c r="AY640" s="147"/>
      <c r="AZ640" s="147"/>
      <c r="BA640" s="165"/>
      <c r="BB640" s="144"/>
      <c r="BC640" s="144"/>
      <c r="BD640" s="144"/>
      <c r="BE640" s="144"/>
      <c r="BF640" s="144"/>
      <c r="BG640" s="144"/>
      <c r="BH640" s="149"/>
      <c r="BI640" s="149"/>
      <c r="BJ640" s="149"/>
      <c r="BK640" s="149"/>
      <c r="BL640" s="149"/>
      <c r="BM640" s="149"/>
      <c r="BN640" s="149"/>
    </row>
    <row r="641" spans="1:66" ht="38.25" hidden="1" customHeight="1" x14ac:dyDescent="0.2">
      <c r="A641" s="142" t="s">
        <v>1603</v>
      </c>
      <c r="B641" s="18" t="s">
        <v>119</v>
      </c>
      <c r="C641" s="18" t="s">
        <v>120</v>
      </c>
      <c r="D641" s="19" t="s">
        <v>574</v>
      </c>
      <c r="E641" s="18">
        <v>2</v>
      </c>
      <c r="F641" s="18" t="s">
        <v>35</v>
      </c>
      <c r="G641" s="18" t="s">
        <v>102</v>
      </c>
      <c r="H641" s="18" t="s">
        <v>3</v>
      </c>
      <c r="I641" s="18"/>
      <c r="J641" s="18"/>
      <c r="K641" s="19" t="s">
        <v>1729</v>
      </c>
      <c r="L641" s="275" t="s">
        <v>1605</v>
      </c>
      <c r="M641" s="275" t="s">
        <v>1666</v>
      </c>
      <c r="N641" s="19"/>
      <c r="O641" s="143">
        <v>42855</v>
      </c>
      <c r="P641" s="143"/>
      <c r="Q641" s="143"/>
      <c r="R641" s="143"/>
      <c r="S641" s="144">
        <v>3316362</v>
      </c>
      <c r="T641" s="144"/>
      <c r="U641" s="145">
        <v>0</v>
      </c>
      <c r="V641" s="145">
        <v>0</v>
      </c>
      <c r="W641" s="145">
        <v>0</v>
      </c>
      <c r="X641" s="145">
        <f t="shared" si="192"/>
        <v>0</v>
      </c>
      <c r="Y641" s="145">
        <v>0</v>
      </c>
      <c r="Z641" s="145">
        <v>0</v>
      </c>
      <c r="AA641" s="145">
        <v>0</v>
      </c>
      <c r="AB641" s="145">
        <v>0</v>
      </c>
      <c r="AC641" s="145">
        <v>0</v>
      </c>
      <c r="AD641" s="145">
        <v>0</v>
      </c>
      <c r="AE641" s="145">
        <v>0</v>
      </c>
      <c r="AF641" s="145">
        <v>0</v>
      </c>
      <c r="AG641" s="145">
        <v>0</v>
      </c>
      <c r="AH641" s="145">
        <v>300000</v>
      </c>
      <c r="AI641" s="145">
        <v>200000</v>
      </c>
      <c r="AJ641" s="145">
        <v>300000</v>
      </c>
      <c r="AK641" s="145">
        <f t="shared" si="193"/>
        <v>800000</v>
      </c>
      <c r="AL641" s="145">
        <v>2516362</v>
      </c>
      <c r="AM641" s="145">
        <v>0</v>
      </c>
      <c r="AN641" s="145">
        <v>0</v>
      </c>
      <c r="AO641" s="145">
        <v>0</v>
      </c>
      <c r="AP641" s="145">
        <v>0</v>
      </c>
      <c r="AQ641" s="145">
        <v>0</v>
      </c>
      <c r="AR641" s="145">
        <v>0</v>
      </c>
      <c r="AS641" s="144">
        <f t="shared" si="190"/>
        <v>3316362</v>
      </c>
      <c r="AT641" s="144"/>
      <c r="AU641" s="146">
        <f t="shared" si="182"/>
        <v>3316362</v>
      </c>
      <c r="AV641" s="146">
        <f>IFERROR(VLOOKUP(J641,Maksājumu_pieprasījumu_iesn.!G:BL,57,0),0)</f>
        <v>0</v>
      </c>
      <c r="AW641" s="139">
        <f t="shared" si="185"/>
        <v>-3316362</v>
      </c>
      <c r="AX641" s="147">
        <f t="shared" si="191"/>
        <v>0</v>
      </c>
      <c r="AY641" s="147"/>
      <c r="AZ641" s="147"/>
      <c r="BA641" s="165"/>
      <c r="BB641" s="144"/>
      <c r="BC641" s="144"/>
      <c r="BD641" s="144"/>
      <c r="BE641" s="144"/>
      <c r="BF641" s="144"/>
      <c r="BG641" s="144"/>
      <c r="BH641" s="149"/>
      <c r="BI641" s="149"/>
      <c r="BJ641" s="149"/>
      <c r="BK641" s="149"/>
      <c r="BL641" s="149"/>
      <c r="BM641" s="149"/>
      <c r="BN641" s="149"/>
    </row>
    <row r="642" spans="1:66" ht="25.5" hidden="1" customHeight="1" x14ac:dyDescent="0.2">
      <c r="A642" s="142" t="s">
        <v>1603</v>
      </c>
      <c r="B642" s="18" t="s">
        <v>119</v>
      </c>
      <c r="C642" s="18" t="s">
        <v>120</v>
      </c>
      <c r="D642" s="19" t="s">
        <v>574</v>
      </c>
      <c r="E642" s="18">
        <v>2</v>
      </c>
      <c r="F642" s="18" t="s">
        <v>35</v>
      </c>
      <c r="G642" s="18" t="s">
        <v>102</v>
      </c>
      <c r="H642" s="18" t="s">
        <v>3</v>
      </c>
      <c r="I642" s="18"/>
      <c r="J642" s="18"/>
      <c r="K642" s="19" t="s">
        <v>1730</v>
      </c>
      <c r="L642" s="275" t="s">
        <v>1605</v>
      </c>
      <c r="M642" s="275" t="s">
        <v>1666</v>
      </c>
      <c r="N642" s="19" t="s">
        <v>1731</v>
      </c>
      <c r="O642" s="143">
        <v>42947</v>
      </c>
      <c r="P642" s="143"/>
      <c r="Q642" s="143"/>
      <c r="R642" s="143"/>
      <c r="S642" s="144">
        <v>1947021</v>
      </c>
      <c r="T642" s="144"/>
      <c r="U642" s="145">
        <v>0</v>
      </c>
      <c r="V642" s="145">
        <v>0</v>
      </c>
      <c r="W642" s="145">
        <v>0</v>
      </c>
      <c r="X642" s="145">
        <f t="shared" si="192"/>
        <v>0</v>
      </c>
      <c r="Y642" s="145">
        <v>0</v>
      </c>
      <c r="Z642" s="145">
        <v>0</v>
      </c>
      <c r="AA642" s="145">
        <v>0</v>
      </c>
      <c r="AB642" s="145">
        <v>0</v>
      </c>
      <c r="AC642" s="145">
        <v>0</v>
      </c>
      <c r="AD642" s="145">
        <v>0</v>
      </c>
      <c r="AE642" s="145">
        <v>0</v>
      </c>
      <c r="AF642" s="145">
        <v>0</v>
      </c>
      <c r="AG642" s="145">
        <v>0</v>
      </c>
      <c r="AH642" s="145">
        <v>0</v>
      </c>
      <c r="AI642" s="145">
        <v>0</v>
      </c>
      <c r="AJ642" s="145">
        <v>0</v>
      </c>
      <c r="AK642" s="145">
        <f t="shared" si="193"/>
        <v>0</v>
      </c>
      <c r="AL642" s="145">
        <v>780000</v>
      </c>
      <c r="AM642" s="145">
        <v>780000</v>
      </c>
      <c r="AN642" s="145">
        <v>387021</v>
      </c>
      <c r="AO642" s="145">
        <v>0</v>
      </c>
      <c r="AP642" s="145">
        <v>0</v>
      </c>
      <c r="AQ642" s="145">
        <v>0</v>
      </c>
      <c r="AR642" s="145">
        <v>0</v>
      </c>
      <c r="AS642" s="144">
        <f t="shared" si="190"/>
        <v>1947021</v>
      </c>
      <c r="AT642" s="144"/>
      <c r="AU642" s="146">
        <f t="shared" si="182"/>
        <v>1947021</v>
      </c>
      <c r="AV642" s="146">
        <f>IFERROR(VLOOKUP(J642,Maksājumu_pieprasījumu_iesn.!G:BL,57,0),0)</f>
        <v>0</v>
      </c>
      <c r="AW642" s="139">
        <f t="shared" si="185"/>
        <v>-1947021</v>
      </c>
      <c r="AX642" s="147">
        <f t="shared" si="191"/>
        <v>0</v>
      </c>
      <c r="AY642" s="147"/>
      <c r="AZ642" s="147"/>
      <c r="BA642" s="165"/>
      <c r="BB642" s="144"/>
      <c r="BC642" s="144"/>
      <c r="BD642" s="144"/>
      <c r="BE642" s="144"/>
      <c r="BF642" s="144"/>
      <c r="BG642" s="144"/>
      <c r="BH642" s="149"/>
      <c r="BI642" s="149"/>
      <c r="BJ642" s="149"/>
      <c r="BK642" s="149"/>
      <c r="BL642" s="149"/>
      <c r="BM642" s="149"/>
      <c r="BN642" s="149"/>
    </row>
    <row r="643" spans="1:66" ht="25.5" hidden="1" customHeight="1" x14ac:dyDescent="0.2">
      <c r="A643" s="142" t="s">
        <v>1603</v>
      </c>
      <c r="B643" s="18" t="s">
        <v>119</v>
      </c>
      <c r="C643" s="18" t="s">
        <v>120</v>
      </c>
      <c r="D643" s="19" t="s">
        <v>574</v>
      </c>
      <c r="E643" s="18">
        <v>2</v>
      </c>
      <c r="F643" s="18" t="s">
        <v>35</v>
      </c>
      <c r="G643" s="18" t="s">
        <v>102</v>
      </c>
      <c r="H643" s="18" t="s">
        <v>3</v>
      </c>
      <c r="I643" s="18"/>
      <c r="J643" s="18"/>
      <c r="K643" s="19" t="s">
        <v>1732</v>
      </c>
      <c r="L643" s="275" t="s">
        <v>1605</v>
      </c>
      <c r="M643" s="275" t="s">
        <v>1666</v>
      </c>
      <c r="N643" s="19" t="s">
        <v>1733</v>
      </c>
      <c r="O643" s="143">
        <v>42951</v>
      </c>
      <c r="P643" s="143"/>
      <c r="Q643" s="143"/>
      <c r="R643" s="143"/>
      <c r="S643" s="144">
        <v>593300</v>
      </c>
      <c r="T643" s="144"/>
      <c r="U643" s="145">
        <v>0</v>
      </c>
      <c r="V643" s="145">
        <v>0</v>
      </c>
      <c r="W643" s="145">
        <v>0</v>
      </c>
      <c r="X643" s="145">
        <f t="shared" si="192"/>
        <v>0</v>
      </c>
      <c r="Y643" s="145">
        <v>0</v>
      </c>
      <c r="Z643" s="145">
        <v>0</v>
      </c>
      <c r="AA643" s="145">
        <v>0</v>
      </c>
      <c r="AB643" s="145">
        <v>0</v>
      </c>
      <c r="AC643" s="145">
        <v>0</v>
      </c>
      <c r="AD643" s="145">
        <v>0</v>
      </c>
      <c r="AE643" s="145">
        <v>0</v>
      </c>
      <c r="AF643" s="145">
        <v>0</v>
      </c>
      <c r="AG643" s="145">
        <v>0</v>
      </c>
      <c r="AH643" s="145">
        <v>0</v>
      </c>
      <c r="AI643" s="145">
        <v>0</v>
      </c>
      <c r="AJ643" s="145">
        <v>0</v>
      </c>
      <c r="AK643" s="145">
        <f t="shared" si="193"/>
        <v>0</v>
      </c>
      <c r="AL643" s="145">
        <v>593300</v>
      </c>
      <c r="AM643" s="145">
        <v>0</v>
      </c>
      <c r="AN643" s="145">
        <v>0</v>
      </c>
      <c r="AO643" s="145">
        <v>0</v>
      </c>
      <c r="AP643" s="145">
        <v>0</v>
      </c>
      <c r="AQ643" s="145">
        <v>0</v>
      </c>
      <c r="AR643" s="145">
        <v>0</v>
      </c>
      <c r="AS643" s="144">
        <f t="shared" si="190"/>
        <v>593300</v>
      </c>
      <c r="AT643" s="144"/>
      <c r="AU643" s="146">
        <f t="shared" si="182"/>
        <v>593300</v>
      </c>
      <c r="AV643" s="146">
        <f>IFERROR(VLOOKUP(J643,Maksājumu_pieprasījumu_iesn.!G:BL,57,0),0)</f>
        <v>0</v>
      </c>
      <c r="AW643" s="139">
        <f t="shared" si="185"/>
        <v>-593300</v>
      </c>
      <c r="AX643" s="147">
        <f t="shared" si="191"/>
        <v>0</v>
      </c>
      <c r="AY643" s="147"/>
      <c r="AZ643" s="147"/>
      <c r="BA643" s="165"/>
      <c r="BB643" s="144"/>
      <c r="BC643" s="144"/>
      <c r="BD643" s="144"/>
      <c r="BE643" s="144"/>
      <c r="BF643" s="144"/>
      <c r="BG643" s="144"/>
      <c r="BH643" s="149"/>
      <c r="BI643" s="149"/>
      <c r="BJ643" s="149"/>
      <c r="BK643" s="149"/>
      <c r="BL643" s="149"/>
      <c r="BM643" s="149"/>
      <c r="BN643" s="149"/>
    </row>
    <row r="644" spans="1:66" ht="25.5" hidden="1" customHeight="1" x14ac:dyDescent="0.2">
      <c r="A644" s="142" t="s">
        <v>1603</v>
      </c>
      <c r="B644" s="18" t="s">
        <v>119</v>
      </c>
      <c r="C644" s="18" t="s">
        <v>120</v>
      </c>
      <c r="D644" s="19" t="s">
        <v>574</v>
      </c>
      <c r="E644" s="18">
        <v>2</v>
      </c>
      <c r="F644" s="18" t="s">
        <v>35</v>
      </c>
      <c r="G644" s="18" t="s">
        <v>102</v>
      </c>
      <c r="H644" s="18" t="s">
        <v>3</v>
      </c>
      <c r="I644" s="18"/>
      <c r="J644" s="18"/>
      <c r="K644" s="19" t="s">
        <v>1734</v>
      </c>
      <c r="L644" s="275" t="s">
        <v>1605</v>
      </c>
      <c r="M644" s="275" t="s">
        <v>1666</v>
      </c>
      <c r="N644" s="19" t="s">
        <v>1735</v>
      </c>
      <c r="O644" s="143">
        <v>42951</v>
      </c>
      <c r="P644" s="143"/>
      <c r="Q644" s="143"/>
      <c r="R644" s="143"/>
      <c r="S644" s="144">
        <v>1077423</v>
      </c>
      <c r="T644" s="144"/>
      <c r="U644" s="145">
        <v>0</v>
      </c>
      <c r="V644" s="145">
        <v>0</v>
      </c>
      <c r="W644" s="145">
        <v>0</v>
      </c>
      <c r="X644" s="145">
        <f t="shared" si="192"/>
        <v>0</v>
      </c>
      <c r="Y644" s="145">
        <v>0</v>
      </c>
      <c r="Z644" s="145">
        <v>0</v>
      </c>
      <c r="AA644" s="145">
        <v>0</v>
      </c>
      <c r="AB644" s="145">
        <v>0</v>
      </c>
      <c r="AC644" s="145">
        <v>0</v>
      </c>
      <c r="AD644" s="145">
        <v>0</v>
      </c>
      <c r="AE644" s="145">
        <v>0</v>
      </c>
      <c r="AF644" s="145">
        <v>0</v>
      </c>
      <c r="AG644" s="145">
        <v>0</v>
      </c>
      <c r="AH644" s="145">
        <v>0</v>
      </c>
      <c r="AI644" s="145">
        <v>0</v>
      </c>
      <c r="AJ644" s="145">
        <v>0</v>
      </c>
      <c r="AK644" s="145">
        <f t="shared" si="193"/>
        <v>0</v>
      </c>
      <c r="AL644" s="145">
        <v>325200</v>
      </c>
      <c r="AM644" s="145">
        <v>325200</v>
      </c>
      <c r="AN644" s="145">
        <v>427023</v>
      </c>
      <c r="AO644" s="145">
        <v>0</v>
      </c>
      <c r="AP644" s="145">
        <v>0</v>
      </c>
      <c r="AQ644" s="145">
        <v>0</v>
      </c>
      <c r="AR644" s="145">
        <v>0</v>
      </c>
      <c r="AS644" s="144">
        <f t="shared" si="190"/>
        <v>1077423</v>
      </c>
      <c r="AT644" s="144"/>
      <c r="AU644" s="146">
        <f t="shared" si="182"/>
        <v>1077423</v>
      </c>
      <c r="AV644" s="146">
        <f>IFERROR(VLOOKUP(J644,Maksājumu_pieprasījumu_iesn.!G:BL,57,0),0)</f>
        <v>0</v>
      </c>
      <c r="AW644" s="139">
        <f t="shared" si="185"/>
        <v>-1077423</v>
      </c>
      <c r="AX644" s="147">
        <f t="shared" si="191"/>
        <v>0</v>
      </c>
      <c r="AY644" s="147"/>
      <c r="AZ644" s="147"/>
      <c r="BA644" s="165"/>
      <c r="BB644" s="144"/>
      <c r="BC644" s="144"/>
      <c r="BD644" s="144"/>
      <c r="BE644" s="144"/>
      <c r="BF644" s="144"/>
      <c r="BG644" s="144"/>
      <c r="BH644" s="149"/>
      <c r="BI644" s="149"/>
      <c r="BJ644" s="149"/>
      <c r="BK644" s="149"/>
      <c r="BL644" s="149"/>
      <c r="BM644" s="149"/>
      <c r="BN644" s="149"/>
    </row>
    <row r="645" spans="1:66" ht="25.5" hidden="1" customHeight="1" x14ac:dyDescent="0.2">
      <c r="A645" s="142" t="s">
        <v>1603</v>
      </c>
      <c r="B645" s="18" t="s">
        <v>119</v>
      </c>
      <c r="C645" s="18" t="s">
        <v>120</v>
      </c>
      <c r="D645" s="19" t="s">
        <v>574</v>
      </c>
      <c r="E645" s="18">
        <v>2</v>
      </c>
      <c r="F645" s="18" t="s">
        <v>35</v>
      </c>
      <c r="G645" s="18" t="s">
        <v>102</v>
      </c>
      <c r="H645" s="18" t="s">
        <v>3</v>
      </c>
      <c r="I645" s="18"/>
      <c r="J645" s="18"/>
      <c r="K645" s="19" t="s">
        <v>1736</v>
      </c>
      <c r="L645" s="275" t="s">
        <v>1605</v>
      </c>
      <c r="M645" s="275" t="s">
        <v>1666</v>
      </c>
      <c r="N645" s="19"/>
      <c r="O645" s="143">
        <v>42951</v>
      </c>
      <c r="P645" s="143"/>
      <c r="Q645" s="143"/>
      <c r="R645" s="143"/>
      <c r="S645" s="144">
        <v>2923830</v>
      </c>
      <c r="T645" s="144"/>
      <c r="U645" s="145">
        <v>0</v>
      </c>
      <c r="V645" s="145">
        <v>0</v>
      </c>
      <c r="W645" s="145">
        <v>0</v>
      </c>
      <c r="X645" s="145">
        <f t="shared" si="192"/>
        <v>0</v>
      </c>
      <c r="Y645" s="145">
        <v>0</v>
      </c>
      <c r="Z645" s="145">
        <v>0</v>
      </c>
      <c r="AA645" s="145">
        <v>0</v>
      </c>
      <c r="AB645" s="145">
        <v>0</v>
      </c>
      <c r="AC645" s="145">
        <v>0</v>
      </c>
      <c r="AD645" s="145">
        <v>0</v>
      </c>
      <c r="AE645" s="145">
        <v>0</v>
      </c>
      <c r="AF645" s="145">
        <v>0</v>
      </c>
      <c r="AG645" s="145">
        <v>0</v>
      </c>
      <c r="AH645" s="145">
        <v>0</v>
      </c>
      <c r="AI645" s="145">
        <v>0</v>
      </c>
      <c r="AJ645" s="145">
        <v>0</v>
      </c>
      <c r="AK645" s="145">
        <f t="shared" si="193"/>
        <v>0</v>
      </c>
      <c r="AL645" s="145">
        <v>730957.5</v>
      </c>
      <c r="AM645" s="145">
        <v>730957.5</v>
      </c>
      <c r="AN645" s="145">
        <v>730957.5</v>
      </c>
      <c r="AO645" s="145">
        <v>730957.5</v>
      </c>
      <c r="AP645" s="145">
        <v>0</v>
      </c>
      <c r="AQ645" s="145">
        <v>0</v>
      </c>
      <c r="AR645" s="145">
        <v>0</v>
      </c>
      <c r="AS645" s="144">
        <f t="shared" si="190"/>
        <v>2923830</v>
      </c>
      <c r="AT645" s="144"/>
      <c r="AU645" s="146">
        <f t="shared" si="182"/>
        <v>2923830</v>
      </c>
      <c r="AV645" s="146">
        <f>IFERROR(VLOOKUP(J645,Maksājumu_pieprasījumu_iesn.!G:BL,57,0),0)</f>
        <v>0</v>
      </c>
      <c r="AW645" s="139">
        <f t="shared" si="185"/>
        <v>-2923830</v>
      </c>
      <c r="AX645" s="147">
        <f t="shared" si="191"/>
        <v>0</v>
      </c>
      <c r="AY645" s="147"/>
      <c r="AZ645" s="147"/>
      <c r="BA645" s="165"/>
      <c r="BB645" s="144"/>
      <c r="BC645" s="144"/>
      <c r="BD645" s="144"/>
      <c r="BE645" s="144"/>
      <c r="BF645" s="144"/>
      <c r="BG645" s="144"/>
      <c r="BH645" s="149"/>
      <c r="BI645" s="149"/>
      <c r="BJ645" s="149"/>
      <c r="BK645" s="149"/>
      <c r="BL645" s="149"/>
      <c r="BM645" s="149"/>
      <c r="BN645" s="149"/>
    </row>
    <row r="646" spans="1:66" ht="25.5" hidden="1" customHeight="1" x14ac:dyDescent="0.2">
      <c r="A646" s="142" t="s">
        <v>1603</v>
      </c>
      <c r="B646" s="18" t="s">
        <v>119</v>
      </c>
      <c r="C646" s="18" t="s">
        <v>120</v>
      </c>
      <c r="D646" s="19" t="s">
        <v>574</v>
      </c>
      <c r="E646" s="18">
        <v>2</v>
      </c>
      <c r="F646" s="18" t="s">
        <v>35</v>
      </c>
      <c r="G646" s="18" t="s">
        <v>102</v>
      </c>
      <c r="H646" s="18" t="s">
        <v>3</v>
      </c>
      <c r="I646" s="18"/>
      <c r="J646" s="18"/>
      <c r="K646" s="19" t="s">
        <v>1737</v>
      </c>
      <c r="L646" s="275" t="s">
        <v>1605</v>
      </c>
      <c r="M646" s="275" t="s">
        <v>1666</v>
      </c>
      <c r="N646" s="19" t="s">
        <v>1738</v>
      </c>
      <c r="O646" s="143">
        <v>42951</v>
      </c>
      <c r="P646" s="143"/>
      <c r="Q646" s="143"/>
      <c r="R646" s="143"/>
      <c r="S646" s="144">
        <v>102510</v>
      </c>
      <c r="T646" s="144"/>
      <c r="U646" s="145">
        <v>0</v>
      </c>
      <c r="V646" s="145">
        <v>0</v>
      </c>
      <c r="W646" s="145">
        <v>0</v>
      </c>
      <c r="X646" s="145">
        <f t="shared" si="192"/>
        <v>0</v>
      </c>
      <c r="Y646" s="145">
        <v>0</v>
      </c>
      <c r="Z646" s="145">
        <v>0</v>
      </c>
      <c r="AA646" s="145">
        <v>0</v>
      </c>
      <c r="AB646" s="145">
        <v>0</v>
      </c>
      <c r="AC646" s="145">
        <v>0</v>
      </c>
      <c r="AD646" s="145">
        <v>0</v>
      </c>
      <c r="AE646" s="145">
        <v>0</v>
      </c>
      <c r="AF646" s="145">
        <v>0</v>
      </c>
      <c r="AG646" s="145">
        <v>0</v>
      </c>
      <c r="AH646" s="145">
        <v>0</v>
      </c>
      <c r="AI646" s="145">
        <v>0</v>
      </c>
      <c r="AJ646" s="145">
        <v>0</v>
      </c>
      <c r="AK646" s="145">
        <f t="shared" si="193"/>
        <v>0</v>
      </c>
      <c r="AL646" s="145">
        <v>0</v>
      </c>
      <c r="AM646" s="145">
        <v>0</v>
      </c>
      <c r="AN646" s="145">
        <v>102510</v>
      </c>
      <c r="AO646" s="145">
        <v>0</v>
      </c>
      <c r="AP646" s="145">
        <v>0</v>
      </c>
      <c r="AQ646" s="145">
        <v>0</v>
      </c>
      <c r="AR646" s="145">
        <v>0</v>
      </c>
      <c r="AS646" s="144">
        <f t="shared" si="190"/>
        <v>102510</v>
      </c>
      <c r="AT646" s="144"/>
      <c r="AU646" s="146">
        <f t="shared" si="182"/>
        <v>102510</v>
      </c>
      <c r="AV646" s="146">
        <f>IFERROR(VLOOKUP(J646,Maksājumu_pieprasījumu_iesn.!G:BL,57,0),0)</f>
        <v>0</v>
      </c>
      <c r="AW646" s="139">
        <f t="shared" si="185"/>
        <v>-102510</v>
      </c>
      <c r="AX646" s="147">
        <f t="shared" si="191"/>
        <v>0</v>
      </c>
      <c r="AY646" s="147"/>
      <c r="AZ646" s="147"/>
      <c r="BA646" s="165"/>
      <c r="BB646" s="144"/>
      <c r="BC646" s="144"/>
      <c r="BD646" s="144"/>
      <c r="BE646" s="144"/>
      <c r="BF646" s="144"/>
      <c r="BG646" s="144"/>
      <c r="BH646" s="149"/>
      <c r="BI646" s="149"/>
      <c r="BJ646" s="149"/>
      <c r="BK646" s="149"/>
      <c r="BL646" s="149"/>
      <c r="BM646" s="149"/>
      <c r="BN646" s="149"/>
    </row>
    <row r="647" spans="1:66" ht="51" hidden="1" customHeight="1" x14ac:dyDescent="0.2">
      <c r="A647" s="142" t="s">
        <v>1603</v>
      </c>
      <c r="B647" s="18" t="s">
        <v>119</v>
      </c>
      <c r="C647" s="18" t="s">
        <v>120</v>
      </c>
      <c r="D647" s="19" t="s">
        <v>574</v>
      </c>
      <c r="E647" s="18">
        <v>2</v>
      </c>
      <c r="F647" s="18" t="s">
        <v>35</v>
      </c>
      <c r="G647" s="18" t="s">
        <v>102</v>
      </c>
      <c r="H647" s="18" t="s">
        <v>3</v>
      </c>
      <c r="I647" s="18"/>
      <c r="J647" s="18"/>
      <c r="K647" s="19" t="s">
        <v>1739</v>
      </c>
      <c r="L647" s="275" t="s">
        <v>1605</v>
      </c>
      <c r="M647" s="275" t="s">
        <v>1666</v>
      </c>
      <c r="N647" s="19" t="s">
        <v>1740</v>
      </c>
      <c r="O647" s="143">
        <v>42947</v>
      </c>
      <c r="P647" s="143"/>
      <c r="Q647" s="143"/>
      <c r="R647" s="143"/>
      <c r="S647" s="144">
        <v>1752710</v>
      </c>
      <c r="T647" s="144"/>
      <c r="U647" s="145">
        <v>0</v>
      </c>
      <c r="V647" s="145">
        <v>0</v>
      </c>
      <c r="W647" s="145">
        <v>0</v>
      </c>
      <c r="X647" s="145">
        <f t="shared" si="192"/>
        <v>0</v>
      </c>
      <c r="Y647" s="145">
        <v>0</v>
      </c>
      <c r="Z647" s="145">
        <v>0</v>
      </c>
      <c r="AA647" s="145">
        <v>0</v>
      </c>
      <c r="AB647" s="145">
        <v>0</v>
      </c>
      <c r="AC647" s="145">
        <v>0</v>
      </c>
      <c r="AD647" s="145">
        <v>0</v>
      </c>
      <c r="AE647" s="145">
        <v>0</v>
      </c>
      <c r="AF647" s="145">
        <v>0</v>
      </c>
      <c r="AG647" s="145">
        <v>0</v>
      </c>
      <c r="AH647" s="145">
        <v>0</v>
      </c>
      <c r="AI647" s="145">
        <v>0</v>
      </c>
      <c r="AJ647" s="145">
        <v>0</v>
      </c>
      <c r="AK647" s="145">
        <f t="shared" si="193"/>
        <v>0</v>
      </c>
      <c r="AL647" s="145">
        <v>973000</v>
      </c>
      <c r="AM647" s="145">
        <v>779710</v>
      </c>
      <c r="AN647" s="145">
        <v>0</v>
      </c>
      <c r="AO647" s="145">
        <v>0</v>
      </c>
      <c r="AP647" s="145">
        <v>0</v>
      </c>
      <c r="AQ647" s="145">
        <v>0</v>
      </c>
      <c r="AR647" s="145">
        <v>0</v>
      </c>
      <c r="AS647" s="144">
        <f t="shared" si="190"/>
        <v>1752710</v>
      </c>
      <c r="AT647" s="144"/>
      <c r="AU647" s="146">
        <f t="shared" si="182"/>
        <v>1752710</v>
      </c>
      <c r="AV647" s="146">
        <f>IFERROR(VLOOKUP(J647,Maksājumu_pieprasījumu_iesn.!G:BL,57,0),0)</f>
        <v>0</v>
      </c>
      <c r="AW647" s="139">
        <f t="shared" si="185"/>
        <v>-1752710</v>
      </c>
      <c r="AX647" s="147">
        <f t="shared" si="191"/>
        <v>0</v>
      </c>
      <c r="AY647" s="147"/>
      <c r="AZ647" s="147"/>
      <c r="BA647" s="165"/>
      <c r="BB647" s="144"/>
      <c r="BC647" s="144"/>
      <c r="BD647" s="144"/>
      <c r="BE647" s="144"/>
      <c r="BF647" s="144"/>
      <c r="BG647" s="144"/>
      <c r="BH647" s="149"/>
      <c r="BI647" s="149"/>
      <c r="BJ647" s="149"/>
      <c r="BK647" s="149"/>
      <c r="BL647" s="149"/>
      <c r="BM647" s="149"/>
      <c r="BN647" s="149"/>
    </row>
    <row r="648" spans="1:66" ht="25.5" hidden="1" customHeight="1" x14ac:dyDescent="0.2">
      <c r="A648" s="142" t="s">
        <v>1603</v>
      </c>
      <c r="B648" s="18" t="s">
        <v>119</v>
      </c>
      <c r="C648" s="18" t="s">
        <v>120</v>
      </c>
      <c r="D648" s="19" t="s">
        <v>574</v>
      </c>
      <c r="E648" s="18">
        <v>2</v>
      </c>
      <c r="F648" s="18" t="s">
        <v>35</v>
      </c>
      <c r="G648" s="18" t="s">
        <v>102</v>
      </c>
      <c r="H648" s="18" t="s">
        <v>3</v>
      </c>
      <c r="I648" s="18"/>
      <c r="J648" s="18"/>
      <c r="K648" s="19" t="s">
        <v>1741</v>
      </c>
      <c r="L648" s="275" t="s">
        <v>1605</v>
      </c>
      <c r="M648" s="275" t="s">
        <v>1666</v>
      </c>
      <c r="N648" s="19" t="s">
        <v>1742</v>
      </c>
      <c r="O648" s="143">
        <v>42951</v>
      </c>
      <c r="P648" s="143"/>
      <c r="Q648" s="143"/>
      <c r="R648" s="143"/>
      <c r="S648" s="144">
        <v>285367</v>
      </c>
      <c r="T648" s="144"/>
      <c r="U648" s="145">
        <v>0</v>
      </c>
      <c r="V648" s="145">
        <v>0</v>
      </c>
      <c r="W648" s="145">
        <v>0</v>
      </c>
      <c r="X648" s="145">
        <f t="shared" si="192"/>
        <v>0</v>
      </c>
      <c r="Y648" s="145">
        <v>0</v>
      </c>
      <c r="Z648" s="145">
        <v>0</v>
      </c>
      <c r="AA648" s="145">
        <v>0</v>
      </c>
      <c r="AB648" s="145">
        <v>0</v>
      </c>
      <c r="AC648" s="145">
        <v>0</v>
      </c>
      <c r="AD648" s="145">
        <v>0</v>
      </c>
      <c r="AE648" s="145">
        <v>0</v>
      </c>
      <c r="AF648" s="145">
        <v>0</v>
      </c>
      <c r="AG648" s="145">
        <v>0</v>
      </c>
      <c r="AH648" s="145">
        <v>0</v>
      </c>
      <c r="AI648" s="145">
        <v>0</v>
      </c>
      <c r="AJ648" s="145">
        <v>0</v>
      </c>
      <c r="AK648" s="145">
        <f t="shared" si="193"/>
        <v>0</v>
      </c>
      <c r="AL648" s="145">
        <v>285367</v>
      </c>
      <c r="AM648" s="145">
        <v>0</v>
      </c>
      <c r="AN648" s="145">
        <v>0</v>
      </c>
      <c r="AO648" s="145">
        <v>0</v>
      </c>
      <c r="AP648" s="145">
        <v>0</v>
      </c>
      <c r="AQ648" s="145">
        <v>0</v>
      </c>
      <c r="AR648" s="145">
        <v>0</v>
      </c>
      <c r="AS648" s="144">
        <f t="shared" si="190"/>
        <v>285367</v>
      </c>
      <c r="AT648" s="144"/>
      <c r="AU648" s="146">
        <f t="shared" si="182"/>
        <v>285367</v>
      </c>
      <c r="AV648" s="146">
        <f>IFERROR(VLOOKUP(J648,Maksājumu_pieprasījumu_iesn.!G:BL,57,0),0)</f>
        <v>0</v>
      </c>
      <c r="AW648" s="139">
        <f t="shared" si="185"/>
        <v>-285367</v>
      </c>
      <c r="AX648" s="147">
        <f t="shared" si="191"/>
        <v>0</v>
      </c>
      <c r="AY648" s="147"/>
      <c r="AZ648" s="147"/>
      <c r="BA648" s="165"/>
      <c r="BB648" s="144"/>
      <c r="BC648" s="144"/>
      <c r="BD648" s="144"/>
      <c r="BE648" s="144"/>
      <c r="BF648" s="144"/>
      <c r="BG648" s="144"/>
      <c r="BH648" s="149"/>
      <c r="BI648" s="149"/>
      <c r="BJ648" s="149"/>
      <c r="BK648" s="149"/>
      <c r="BL648" s="149"/>
      <c r="BM648" s="149"/>
      <c r="BN648" s="149"/>
    </row>
    <row r="649" spans="1:66" ht="25.5" hidden="1" customHeight="1" x14ac:dyDescent="0.2">
      <c r="A649" s="142" t="s">
        <v>1603</v>
      </c>
      <c r="B649" s="18" t="s">
        <v>119</v>
      </c>
      <c r="C649" s="18" t="s">
        <v>120</v>
      </c>
      <c r="D649" s="19" t="s">
        <v>574</v>
      </c>
      <c r="E649" s="18">
        <v>2</v>
      </c>
      <c r="F649" s="18" t="s">
        <v>35</v>
      </c>
      <c r="G649" s="18" t="s">
        <v>102</v>
      </c>
      <c r="H649" s="18" t="s">
        <v>3</v>
      </c>
      <c r="I649" s="18"/>
      <c r="J649" s="18"/>
      <c r="K649" s="19" t="s">
        <v>1743</v>
      </c>
      <c r="L649" s="275" t="s">
        <v>1605</v>
      </c>
      <c r="M649" s="275" t="s">
        <v>1666</v>
      </c>
      <c r="N649" s="19" t="s">
        <v>1744</v>
      </c>
      <c r="O649" s="143">
        <v>42947</v>
      </c>
      <c r="P649" s="143"/>
      <c r="Q649" s="143"/>
      <c r="R649" s="143"/>
      <c r="S649" s="144">
        <v>231065</v>
      </c>
      <c r="T649" s="144"/>
      <c r="U649" s="145">
        <v>0</v>
      </c>
      <c r="V649" s="145">
        <v>0</v>
      </c>
      <c r="W649" s="145">
        <v>0</v>
      </c>
      <c r="X649" s="145">
        <f t="shared" si="192"/>
        <v>0</v>
      </c>
      <c r="Y649" s="145">
        <v>0</v>
      </c>
      <c r="Z649" s="145">
        <v>0</v>
      </c>
      <c r="AA649" s="145">
        <v>0</v>
      </c>
      <c r="AB649" s="145">
        <v>0</v>
      </c>
      <c r="AC649" s="145">
        <v>0</v>
      </c>
      <c r="AD649" s="145">
        <v>0</v>
      </c>
      <c r="AE649" s="145">
        <v>0</v>
      </c>
      <c r="AF649" s="145">
        <v>0</v>
      </c>
      <c r="AG649" s="145">
        <v>0</v>
      </c>
      <c r="AH649" s="145">
        <v>0</v>
      </c>
      <c r="AI649" s="145">
        <v>0</v>
      </c>
      <c r="AJ649" s="145">
        <v>0</v>
      </c>
      <c r="AK649" s="145">
        <f t="shared" si="193"/>
        <v>0</v>
      </c>
      <c r="AL649" s="145">
        <v>231065</v>
      </c>
      <c r="AM649" s="145">
        <v>0</v>
      </c>
      <c r="AN649" s="145">
        <v>0</v>
      </c>
      <c r="AO649" s="145">
        <v>0</v>
      </c>
      <c r="AP649" s="145">
        <v>0</v>
      </c>
      <c r="AQ649" s="145">
        <v>0</v>
      </c>
      <c r="AR649" s="145">
        <v>0</v>
      </c>
      <c r="AS649" s="144">
        <f t="shared" si="190"/>
        <v>231065</v>
      </c>
      <c r="AT649" s="144"/>
      <c r="AU649" s="146">
        <f t="shared" si="182"/>
        <v>231065</v>
      </c>
      <c r="AV649" s="146">
        <f>IFERROR(VLOOKUP(J649,Maksājumu_pieprasījumu_iesn.!G:BL,57,0),0)</f>
        <v>0</v>
      </c>
      <c r="AW649" s="139">
        <f t="shared" si="185"/>
        <v>-231065</v>
      </c>
      <c r="AX649" s="147">
        <f t="shared" si="191"/>
        <v>0</v>
      </c>
      <c r="AY649" s="147"/>
      <c r="AZ649" s="147"/>
      <c r="BA649" s="165"/>
      <c r="BB649" s="144"/>
      <c r="BC649" s="144"/>
      <c r="BD649" s="144"/>
      <c r="BE649" s="144"/>
      <c r="BF649" s="144"/>
      <c r="BG649" s="144"/>
      <c r="BH649" s="149"/>
      <c r="BI649" s="149"/>
      <c r="BJ649" s="149"/>
      <c r="BK649" s="149"/>
      <c r="BL649" s="149"/>
      <c r="BM649" s="149"/>
      <c r="BN649" s="149"/>
    </row>
    <row r="650" spans="1:66" ht="25.5" hidden="1" customHeight="1" x14ac:dyDescent="0.2">
      <c r="A650" s="142" t="s">
        <v>1603</v>
      </c>
      <c r="B650" s="18" t="s">
        <v>119</v>
      </c>
      <c r="C650" s="18" t="s">
        <v>120</v>
      </c>
      <c r="D650" s="19" t="s">
        <v>574</v>
      </c>
      <c r="E650" s="18">
        <v>2</v>
      </c>
      <c r="F650" s="18" t="s">
        <v>35</v>
      </c>
      <c r="G650" s="18" t="s">
        <v>102</v>
      </c>
      <c r="H650" s="18" t="s">
        <v>3</v>
      </c>
      <c r="I650" s="18"/>
      <c r="J650" s="18"/>
      <c r="K650" s="19" t="s">
        <v>1745</v>
      </c>
      <c r="L650" s="275" t="s">
        <v>1605</v>
      </c>
      <c r="M650" s="275" t="s">
        <v>1666</v>
      </c>
      <c r="N650" s="19" t="s">
        <v>1746</v>
      </c>
      <c r="O650" s="143">
        <v>42886</v>
      </c>
      <c r="P650" s="143"/>
      <c r="Q650" s="143"/>
      <c r="R650" s="143"/>
      <c r="S650" s="144">
        <v>1148278</v>
      </c>
      <c r="T650" s="144"/>
      <c r="U650" s="145">
        <v>0</v>
      </c>
      <c r="V650" s="145">
        <v>0</v>
      </c>
      <c r="W650" s="145">
        <v>0</v>
      </c>
      <c r="X650" s="145">
        <f t="shared" si="192"/>
        <v>0</v>
      </c>
      <c r="Y650" s="145">
        <v>0</v>
      </c>
      <c r="Z650" s="145">
        <v>0</v>
      </c>
      <c r="AA650" s="145">
        <v>0</v>
      </c>
      <c r="AB650" s="145">
        <v>0</v>
      </c>
      <c r="AC650" s="145">
        <v>0</v>
      </c>
      <c r="AD650" s="145">
        <v>0</v>
      </c>
      <c r="AE650" s="145">
        <v>0</v>
      </c>
      <c r="AF650" s="145">
        <v>0</v>
      </c>
      <c r="AG650" s="145">
        <v>0</v>
      </c>
      <c r="AH650" s="145">
        <v>462713</v>
      </c>
      <c r="AI650" s="145">
        <v>140000</v>
      </c>
      <c r="AJ650" s="145">
        <v>140000</v>
      </c>
      <c r="AK650" s="145">
        <f t="shared" si="193"/>
        <v>742713</v>
      </c>
      <c r="AL650" s="145">
        <v>405565</v>
      </c>
      <c r="AM650" s="145">
        <v>0</v>
      </c>
      <c r="AN650" s="145">
        <v>0</v>
      </c>
      <c r="AO650" s="145">
        <v>0</v>
      </c>
      <c r="AP650" s="145">
        <v>0</v>
      </c>
      <c r="AQ650" s="145">
        <v>0</v>
      </c>
      <c r="AR650" s="145">
        <v>0</v>
      </c>
      <c r="AS650" s="144">
        <f t="shared" si="190"/>
        <v>1148278</v>
      </c>
      <c r="AT650" s="144"/>
      <c r="AU650" s="146">
        <f t="shared" si="182"/>
        <v>1148278</v>
      </c>
      <c r="AV650" s="146">
        <f>IFERROR(VLOOKUP(J650,Maksājumu_pieprasījumu_iesn.!G:BL,57,0),0)</f>
        <v>0</v>
      </c>
      <c r="AW650" s="139">
        <f t="shared" si="185"/>
        <v>-1148278</v>
      </c>
      <c r="AX650" s="147">
        <f t="shared" si="191"/>
        <v>0</v>
      </c>
      <c r="AY650" s="147"/>
      <c r="AZ650" s="147"/>
      <c r="BA650" s="165"/>
      <c r="BB650" s="144"/>
      <c r="BC650" s="144"/>
      <c r="BD650" s="144"/>
      <c r="BE650" s="144"/>
      <c r="BF650" s="144"/>
      <c r="BG650" s="144"/>
      <c r="BH650" s="149"/>
      <c r="BI650" s="149"/>
      <c r="BJ650" s="149"/>
      <c r="BK650" s="149"/>
      <c r="BL650" s="149"/>
      <c r="BM650" s="149"/>
      <c r="BN650" s="149"/>
    </row>
    <row r="651" spans="1:66" ht="12.75" hidden="1" customHeight="1" x14ac:dyDescent="0.2">
      <c r="A651" s="142" t="s">
        <v>1603</v>
      </c>
      <c r="B651" s="18" t="s">
        <v>119</v>
      </c>
      <c r="C651" s="18" t="s">
        <v>120</v>
      </c>
      <c r="D651" s="19" t="s">
        <v>574</v>
      </c>
      <c r="E651" s="18">
        <v>2</v>
      </c>
      <c r="F651" s="18" t="s">
        <v>35</v>
      </c>
      <c r="G651" s="18" t="s">
        <v>102</v>
      </c>
      <c r="H651" s="18" t="s">
        <v>3</v>
      </c>
      <c r="I651" s="18"/>
      <c r="J651" s="18"/>
      <c r="K651" s="19" t="s">
        <v>1747</v>
      </c>
      <c r="L651" s="275" t="s">
        <v>1605</v>
      </c>
      <c r="M651" s="275" t="s">
        <v>1666</v>
      </c>
      <c r="N651" s="19"/>
      <c r="O651" s="143">
        <v>42951</v>
      </c>
      <c r="P651" s="143"/>
      <c r="Q651" s="143"/>
      <c r="R651" s="143"/>
      <c r="S651" s="144">
        <v>3136976</v>
      </c>
      <c r="T651" s="144"/>
      <c r="U651" s="145">
        <v>0</v>
      </c>
      <c r="V651" s="145">
        <v>0</v>
      </c>
      <c r="W651" s="145">
        <v>0</v>
      </c>
      <c r="X651" s="145">
        <f t="shared" si="192"/>
        <v>0</v>
      </c>
      <c r="Y651" s="145">
        <v>0</v>
      </c>
      <c r="Z651" s="145">
        <v>0</v>
      </c>
      <c r="AA651" s="145">
        <v>0</v>
      </c>
      <c r="AB651" s="145">
        <v>0</v>
      </c>
      <c r="AC651" s="145">
        <v>0</v>
      </c>
      <c r="AD651" s="145">
        <v>0</v>
      </c>
      <c r="AE651" s="145">
        <v>0</v>
      </c>
      <c r="AF651" s="145">
        <v>0</v>
      </c>
      <c r="AG651" s="145">
        <v>0</v>
      </c>
      <c r="AH651" s="145">
        <v>0</v>
      </c>
      <c r="AI651" s="145">
        <v>0</v>
      </c>
      <c r="AJ651" s="145">
        <v>0</v>
      </c>
      <c r="AK651" s="145">
        <f t="shared" si="193"/>
        <v>0</v>
      </c>
      <c r="AL651" s="145">
        <v>784244</v>
      </c>
      <c r="AM651" s="145">
        <v>784244</v>
      </c>
      <c r="AN651" s="145">
        <v>784244</v>
      </c>
      <c r="AO651" s="145">
        <v>784244</v>
      </c>
      <c r="AP651" s="145">
        <v>0</v>
      </c>
      <c r="AQ651" s="145">
        <v>0</v>
      </c>
      <c r="AR651" s="145">
        <v>0</v>
      </c>
      <c r="AS651" s="144">
        <f t="shared" si="190"/>
        <v>3136976</v>
      </c>
      <c r="AT651" s="144"/>
      <c r="AU651" s="146">
        <f t="shared" si="182"/>
        <v>3136976</v>
      </c>
      <c r="AV651" s="146">
        <f>IFERROR(VLOOKUP(J651,Maksājumu_pieprasījumu_iesn.!G:BL,57,0),0)</f>
        <v>0</v>
      </c>
      <c r="AW651" s="139">
        <f t="shared" si="185"/>
        <v>-3136976</v>
      </c>
      <c r="AX651" s="147">
        <f t="shared" si="191"/>
        <v>0</v>
      </c>
      <c r="AY651" s="147"/>
      <c r="AZ651" s="147"/>
      <c r="BA651" s="165"/>
      <c r="BB651" s="144"/>
      <c r="BC651" s="144"/>
      <c r="BD651" s="144"/>
      <c r="BE651" s="144"/>
      <c r="BF651" s="144"/>
      <c r="BG651" s="144"/>
      <c r="BH651" s="149"/>
      <c r="BI651" s="149"/>
      <c r="BJ651" s="149"/>
      <c r="BK651" s="149"/>
      <c r="BL651" s="149"/>
      <c r="BM651" s="149"/>
      <c r="BN651" s="149"/>
    </row>
    <row r="652" spans="1:66" ht="25.5" hidden="1" customHeight="1" x14ac:dyDescent="0.2">
      <c r="A652" s="142" t="s">
        <v>1603</v>
      </c>
      <c r="B652" s="18" t="s">
        <v>119</v>
      </c>
      <c r="C652" s="18" t="s">
        <v>120</v>
      </c>
      <c r="D652" s="19" t="s">
        <v>574</v>
      </c>
      <c r="E652" s="18">
        <v>2</v>
      </c>
      <c r="F652" s="18" t="s">
        <v>35</v>
      </c>
      <c r="G652" s="18" t="s">
        <v>102</v>
      </c>
      <c r="H652" s="18" t="s">
        <v>3</v>
      </c>
      <c r="I652" s="18"/>
      <c r="J652" s="18"/>
      <c r="K652" s="19" t="s">
        <v>1748</v>
      </c>
      <c r="L652" s="275" t="s">
        <v>1605</v>
      </c>
      <c r="M652" s="275" t="s">
        <v>1666</v>
      </c>
      <c r="N652" s="19" t="s">
        <v>1749</v>
      </c>
      <c r="O652" s="143">
        <v>42948</v>
      </c>
      <c r="P652" s="143"/>
      <c r="Q652" s="143"/>
      <c r="R652" s="143"/>
      <c r="S652" s="144">
        <v>1238789</v>
      </c>
      <c r="T652" s="144"/>
      <c r="U652" s="145">
        <v>0</v>
      </c>
      <c r="V652" s="145">
        <v>0</v>
      </c>
      <c r="W652" s="145">
        <v>0</v>
      </c>
      <c r="X652" s="145">
        <f t="shared" si="192"/>
        <v>0</v>
      </c>
      <c r="Y652" s="145">
        <v>0</v>
      </c>
      <c r="Z652" s="145">
        <v>0</v>
      </c>
      <c r="AA652" s="145">
        <v>0</v>
      </c>
      <c r="AB652" s="145">
        <v>0</v>
      </c>
      <c r="AC652" s="145">
        <v>0</v>
      </c>
      <c r="AD652" s="145">
        <v>0</v>
      </c>
      <c r="AE652" s="145">
        <v>0</v>
      </c>
      <c r="AF652" s="145">
        <v>0</v>
      </c>
      <c r="AG652" s="145">
        <v>0</v>
      </c>
      <c r="AH652" s="145">
        <v>0</v>
      </c>
      <c r="AI652" s="145">
        <v>0</v>
      </c>
      <c r="AJ652" s="145">
        <v>0</v>
      </c>
      <c r="AK652" s="145">
        <f t="shared" si="193"/>
        <v>0</v>
      </c>
      <c r="AL652" s="145">
        <v>1157789</v>
      </c>
      <c r="AM652" s="145">
        <v>81000</v>
      </c>
      <c r="AN652" s="145">
        <v>0</v>
      </c>
      <c r="AO652" s="145">
        <v>0</v>
      </c>
      <c r="AP652" s="145">
        <v>0</v>
      </c>
      <c r="AQ652" s="145">
        <v>0</v>
      </c>
      <c r="AR652" s="145">
        <v>0</v>
      </c>
      <c r="AS652" s="144">
        <f t="shared" si="190"/>
        <v>1238789</v>
      </c>
      <c r="AT652" s="144"/>
      <c r="AU652" s="146">
        <f t="shared" si="182"/>
        <v>1238789</v>
      </c>
      <c r="AV652" s="146">
        <f>IFERROR(VLOOKUP(J652,Maksājumu_pieprasījumu_iesn.!G:BL,57,0),0)</f>
        <v>0</v>
      </c>
      <c r="AW652" s="139">
        <f t="shared" si="185"/>
        <v>-1238789</v>
      </c>
      <c r="AX652" s="147">
        <f t="shared" si="191"/>
        <v>0</v>
      </c>
      <c r="AY652" s="147"/>
      <c r="AZ652" s="147"/>
      <c r="BA652" s="165"/>
      <c r="BB652" s="144"/>
      <c r="BC652" s="144"/>
      <c r="BD652" s="144"/>
      <c r="BE652" s="144"/>
      <c r="BF652" s="144"/>
      <c r="BG652" s="144"/>
      <c r="BH652" s="149"/>
      <c r="BI652" s="149"/>
      <c r="BJ652" s="149"/>
      <c r="BK652" s="149"/>
      <c r="BL652" s="149"/>
      <c r="BM652" s="149"/>
      <c r="BN652" s="149"/>
    </row>
    <row r="653" spans="1:66" ht="25.5" hidden="1" customHeight="1" x14ac:dyDescent="0.2">
      <c r="A653" s="142" t="s">
        <v>1603</v>
      </c>
      <c r="B653" s="18" t="s">
        <v>119</v>
      </c>
      <c r="C653" s="18" t="s">
        <v>120</v>
      </c>
      <c r="D653" s="19" t="s">
        <v>574</v>
      </c>
      <c r="E653" s="18">
        <v>2</v>
      </c>
      <c r="F653" s="18" t="s">
        <v>35</v>
      </c>
      <c r="G653" s="18" t="s">
        <v>102</v>
      </c>
      <c r="H653" s="18" t="s">
        <v>3</v>
      </c>
      <c r="I653" s="18"/>
      <c r="J653" s="18"/>
      <c r="K653" s="19" t="s">
        <v>1750</v>
      </c>
      <c r="L653" s="275" t="s">
        <v>1605</v>
      </c>
      <c r="M653" s="275" t="s">
        <v>1666</v>
      </c>
      <c r="N653" s="19" t="s">
        <v>1751</v>
      </c>
      <c r="O653" s="143">
        <v>42951</v>
      </c>
      <c r="P653" s="143"/>
      <c r="Q653" s="143"/>
      <c r="R653" s="143"/>
      <c r="S653" s="144">
        <v>1522563</v>
      </c>
      <c r="T653" s="144"/>
      <c r="U653" s="145">
        <v>0</v>
      </c>
      <c r="V653" s="145">
        <v>0</v>
      </c>
      <c r="W653" s="145">
        <v>0</v>
      </c>
      <c r="X653" s="145">
        <f t="shared" si="192"/>
        <v>0</v>
      </c>
      <c r="Y653" s="145">
        <v>0</v>
      </c>
      <c r="Z653" s="145">
        <v>0</v>
      </c>
      <c r="AA653" s="145">
        <v>0</v>
      </c>
      <c r="AB653" s="145">
        <v>0</v>
      </c>
      <c r="AC653" s="145">
        <v>0</v>
      </c>
      <c r="AD653" s="145">
        <v>0</v>
      </c>
      <c r="AE653" s="145">
        <v>0</v>
      </c>
      <c r="AF653" s="145">
        <v>0</v>
      </c>
      <c r="AG653" s="145">
        <v>0</v>
      </c>
      <c r="AH653" s="145">
        <v>0</v>
      </c>
      <c r="AI653" s="145">
        <v>0</v>
      </c>
      <c r="AJ653" s="145">
        <v>0</v>
      </c>
      <c r="AK653" s="145">
        <f t="shared" si="193"/>
        <v>0</v>
      </c>
      <c r="AL653" s="145">
        <v>837409.65</v>
      </c>
      <c r="AM653" s="145">
        <v>685153.35</v>
      </c>
      <c r="AN653" s="145">
        <v>0</v>
      </c>
      <c r="AO653" s="145">
        <v>0</v>
      </c>
      <c r="AP653" s="145">
        <v>0</v>
      </c>
      <c r="AQ653" s="145">
        <v>0</v>
      </c>
      <c r="AR653" s="145">
        <v>0</v>
      </c>
      <c r="AS653" s="144">
        <f t="shared" si="190"/>
        <v>1522563</v>
      </c>
      <c r="AT653" s="144"/>
      <c r="AU653" s="146">
        <f t="shared" si="182"/>
        <v>1522563</v>
      </c>
      <c r="AV653" s="146">
        <f>IFERROR(VLOOKUP(J653,Maksājumu_pieprasījumu_iesn.!G:BL,57,0),0)</f>
        <v>0</v>
      </c>
      <c r="AW653" s="139">
        <f t="shared" si="185"/>
        <v>-1522563</v>
      </c>
      <c r="AX653" s="147">
        <f t="shared" si="191"/>
        <v>0</v>
      </c>
      <c r="AY653" s="147"/>
      <c r="AZ653" s="147"/>
      <c r="BA653" s="165"/>
      <c r="BB653" s="144"/>
      <c r="BC653" s="144"/>
      <c r="BD653" s="144"/>
      <c r="BE653" s="144"/>
      <c r="BF653" s="144"/>
      <c r="BG653" s="144"/>
      <c r="BH653" s="149"/>
      <c r="BI653" s="149"/>
      <c r="BJ653" s="149"/>
      <c r="BK653" s="149"/>
      <c r="BL653" s="149"/>
      <c r="BM653" s="149"/>
      <c r="BN653" s="149"/>
    </row>
    <row r="654" spans="1:66" ht="25.5" hidden="1" customHeight="1" x14ac:dyDescent="0.2">
      <c r="A654" s="142" t="s">
        <v>1603</v>
      </c>
      <c r="B654" s="18" t="s">
        <v>119</v>
      </c>
      <c r="C654" s="18" t="s">
        <v>120</v>
      </c>
      <c r="D654" s="19" t="s">
        <v>574</v>
      </c>
      <c r="E654" s="18">
        <v>2</v>
      </c>
      <c r="F654" s="18" t="s">
        <v>35</v>
      </c>
      <c r="G654" s="18" t="s">
        <v>102</v>
      </c>
      <c r="H654" s="18" t="s">
        <v>3</v>
      </c>
      <c r="I654" s="18"/>
      <c r="J654" s="18"/>
      <c r="K654" s="19" t="s">
        <v>1752</v>
      </c>
      <c r="L654" s="275" t="s">
        <v>1605</v>
      </c>
      <c r="M654" s="275" t="s">
        <v>1666</v>
      </c>
      <c r="N654" s="19" t="s">
        <v>1753</v>
      </c>
      <c r="O654" s="143">
        <v>42951</v>
      </c>
      <c r="P654" s="143"/>
      <c r="Q654" s="143"/>
      <c r="R654" s="143"/>
      <c r="S654" s="144">
        <v>422790</v>
      </c>
      <c r="T654" s="144"/>
      <c r="U654" s="145">
        <v>0</v>
      </c>
      <c r="V654" s="145">
        <v>0</v>
      </c>
      <c r="W654" s="145">
        <v>0</v>
      </c>
      <c r="X654" s="145">
        <f t="shared" si="192"/>
        <v>0</v>
      </c>
      <c r="Y654" s="145">
        <v>0</v>
      </c>
      <c r="Z654" s="145">
        <v>0</v>
      </c>
      <c r="AA654" s="145">
        <v>0</v>
      </c>
      <c r="AB654" s="145">
        <v>0</v>
      </c>
      <c r="AC654" s="145">
        <v>0</v>
      </c>
      <c r="AD654" s="145">
        <v>0</v>
      </c>
      <c r="AE654" s="145">
        <v>0</v>
      </c>
      <c r="AF654" s="145">
        <v>0</v>
      </c>
      <c r="AG654" s="145">
        <v>0</v>
      </c>
      <c r="AH654" s="145">
        <v>0</v>
      </c>
      <c r="AI654" s="145">
        <v>0</v>
      </c>
      <c r="AJ654" s="145">
        <v>0</v>
      </c>
      <c r="AK654" s="145">
        <f t="shared" si="193"/>
        <v>0</v>
      </c>
      <c r="AL654" s="145">
        <v>422790</v>
      </c>
      <c r="AM654" s="145">
        <v>0</v>
      </c>
      <c r="AN654" s="145">
        <v>0</v>
      </c>
      <c r="AO654" s="145">
        <v>0</v>
      </c>
      <c r="AP654" s="145">
        <v>0</v>
      </c>
      <c r="AQ654" s="145">
        <v>0</v>
      </c>
      <c r="AR654" s="145">
        <v>0</v>
      </c>
      <c r="AS654" s="144">
        <f t="shared" si="190"/>
        <v>422790</v>
      </c>
      <c r="AT654" s="144"/>
      <c r="AU654" s="146">
        <f t="shared" si="182"/>
        <v>422790</v>
      </c>
      <c r="AV654" s="146">
        <f>IFERROR(VLOOKUP(J654,Maksājumu_pieprasījumu_iesn.!G:BL,57,0),0)</f>
        <v>0</v>
      </c>
      <c r="AW654" s="139">
        <f t="shared" si="185"/>
        <v>-422790</v>
      </c>
      <c r="AX654" s="147">
        <f t="shared" si="191"/>
        <v>0</v>
      </c>
      <c r="AY654" s="147"/>
      <c r="AZ654" s="147"/>
      <c r="BA654" s="165"/>
      <c r="BB654" s="144"/>
      <c r="BC654" s="144"/>
      <c r="BD654" s="144"/>
      <c r="BE654" s="144"/>
      <c r="BF654" s="144"/>
      <c r="BG654" s="144"/>
      <c r="BH654" s="149"/>
      <c r="BI654" s="149"/>
      <c r="BJ654" s="149"/>
      <c r="BK654" s="149"/>
      <c r="BL654" s="149"/>
      <c r="BM654" s="149"/>
      <c r="BN654" s="149"/>
    </row>
    <row r="655" spans="1:66" ht="25.5" hidden="1" customHeight="1" x14ac:dyDescent="0.2">
      <c r="A655" s="142" t="s">
        <v>1603</v>
      </c>
      <c r="B655" s="18" t="s">
        <v>119</v>
      </c>
      <c r="C655" s="18" t="s">
        <v>120</v>
      </c>
      <c r="D655" s="19" t="s">
        <v>574</v>
      </c>
      <c r="E655" s="18">
        <v>2</v>
      </c>
      <c r="F655" s="18" t="s">
        <v>35</v>
      </c>
      <c r="G655" s="18" t="s">
        <v>102</v>
      </c>
      <c r="H655" s="18" t="s">
        <v>3</v>
      </c>
      <c r="I655" s="18"/>
      <c r="J655" s="18"/>
      <c r="K655" s="19" t="s">
        <v>1754</v>
      </c>
      <c r="L655" s="275" t="s">
        <v>1605</v>
      </c>
      <c r="M655" s="275" t="s">
        <v>1666</v>
      </c>
      <c r="N655" s="19" t="s">
        <v>1755</v>
      </c>
      <c r="O655" s="143">
        <v>42948</v>
      </c>
      <c r="P655" s="143"/>
      <c r="Q655" s="143"/>
      <c r="R655" s="143"/>
      <c r="S655" s="144">
        <v>308401</v>
      </c>
      <c r="T655" s="144"/>
      <c r="U655" s="145">
        <v>0</v>
      </c>
      <c r="V655" s="145">
        <v>0</v>
      </c>
      <c r="W655" s="145">
        <v>0</v>
      </c>
      <c r="X655" s="145">
        <f t="shared" si="192"/>
        <v>0</v>
      </c>
      <c r="Y655" s="145">
        <v>0</v>
      </c>
      <c r="Z655" s="145">
        <v>0</v>
      </c>
      <c r="AA655" s="145">
        <v>0</v>
      </c>
      <c r="AB655" s="145">
        <v>0</v>
      </c>
      <c r="AC655" s="145">
        <v>0</v>
      </c>
      <c r="AD655" s="145">
        <v>0</v>
      </c>
      <c r="AE655" s="145">
        <v>0</v>
      </c>
      <c r="AF655" s="145">
        <v>0</v>
      </c>
      <c r="AG655" s="145">
        <v>0</v>
      </c>
      <c r="AH655" s="145">
        <v>0</v>
      </c>
      <c r="AI655" s="145">
        <v>0</v>
      </c>
      <c r="AJ655" s="145">
        <v>0</v>
      </c>
      <c r="AK655" s="145">
        <f t="shared" si="193"/>
        <v>0</v>
      </c>
      <c r="AL655" s="145">
        <v>308401</v>
      </c>
      <c r="AM655" s="145">
        <v>0</v>
      </c>
      <c r="AN655" s="145">
        <v>0</v>
      </c>
      <c r="AO655" s="145">
        <v>0</v>
      </c>
      <c r="AP655" s="145">
        <v>0</v>
      </c>
      <c r="AQ655" s="145">
        <v>0</v>
      </c>
      <c r="AR655" s="145">
        <v>0</v>
      </c>
      <c r="AS655" s="144">
        <f t="shared" si="190"/>
        <v>308401</v>
      </c>
      <c r="AT655" s="144"/>
      <c r="AU655" s="146">
        <f t="shared" si="182"/>
        <v>308401</v>
      </c>
      <c r="AV655" s="146">
        <f>IFERROR(VLOOKUP(J655,Maksājumu_pieprasījumu_iesn.!G:BL,57,0),0)</f>
        <v>0</v>
      </c>
      <c r="AW655" s="139">
        <f t="shared" si="185"/>
        <v>-308401</v>
      </c>
      <c r="AX655" s="147">
        <f t="shared" si="191"/>
        <v>0</v>
      </c>
      <c r="AY655" s="147"/>
      <c r="AZ655" s="147"/>
      <c r="BA655" s="165"/>
      <c r="BB655" s="144"/>
      <c r="BC655" s="144"/>
      <c r="BD655" s="144"/>
      <c r="BE655" s="144"/>
      <c r="BF655" s="144"/>
      <c r="BG655" s="144"/>
      <c r="BH655" s="149"/>
      <c r="BI655" s="149"/>
      <c r="BJ655" s="149"/>
      <c r="BK655" s="149"/>
      <c r="BL655" s="149"/>
      <c r="BM655" s="149"/>
      <c r="BN655" s="149"/>
    </row>
    <row r="656" spans="1:66" ht="25.5" hidden="1" customHeight="1" x14ac:dyDescent="0.2">
      <c r="A656" s="142" t="s">
        <v>1603</v>
      </c>
      <c r="B656" s="18" t="s">
        <v>119</v>
      </c>
      <c r="C656" s="18" t="s">
        <v>120</v>
      </c>
      <c r="D656" s="19" t="s">
        <v>574</v>
      </c>
      <c r="E656" s="18">
        <v>2</v>
      </c>
      <c r="F656" s="18" t="s">
        <v>35</v>
      </c>
      <c r="G656" s="18" t="s">
        <v>102</v>
      </c>
      <c r="H656" s="18" t="s">
        <v>3</v>
      </c>
      <c r="I656" s="18"/>
      <c r="J656" s="18"/>
      <c r="K656" s="19"/>
      <c r="L656" s="275" t="s">
        <v>1605</v>
      </c>
      <c r="M656" s="275" t="s">
        <v>1666</v>
      </c>
      <c r="N656" s="19" t="s">
        <v>1756</v>
      </c>
      <c r="O656" s="143"/>
      <c r="P656" s="143"/>
      <c r="Q656" s="143"/>
      <c r="R656" s="143"/>
      <c r="S656" s="144">
        <f>S619-SUM(S620:S655)</f>
        <v>2152556</v>
      </c>
      <c r="T656" s="144"/>
      <c r="U656" s="145"/>
      <c r="V656" s="145"/>
      <c r="W656" s="145"/>
      <c r="X656" s="145">
        <f t="shared" si="192"/>
        <v>0</v>
      </c>
      <c r="Y656" s="145"/>
      <c r="Z656" s="145"/>
      <c r="AA656" s="145"/>
      <c r="AB656" s="145"/>
      <c r="AC656" s="145"/>
      <c r="AD656" s="145"/>
      <c r="AE656" s="145"/>
      <c r="AF656" s="145"/>
      <c r="AG656" s="145"/>
      <c r="AH656" s="145"/>
      <c r="AI656" s="145"/>
      <c r="AJ656" s="145"/>
      <c r="AK656" s="145"/>
      <c r="AL656" s="145"/>
      <c r="AM656" s="145"/>
      <c r="AN656" s="145"/>
      <c r="AO656" s="145"/>
      <c r="AP656" s="145"/>
      <c r="AQ656" s="145"/>
      <c r="AR656" s="145"/>
      <c r="AS656" s="144"/>
      <c r="AT656" s="144"/>
      <c r="AU656" s="146"/>
      <c r="AV656" s="146">
        <f>IFERROR(VLOOKUP(J656,Maksājumu_pieprasījumu_iesn.!G:BL,57,0),0)</f>
        <v>0</v>
      </c>
      <c r="AW656" s="139">
        <f t="shared" ref="AW656:AW719" si="194">AV656-AU656</f>
        <v>0</v>
      </c>
      <c r="AX656" s="147"/>
      <c r="AY656" s="147">
        <f>S656</f>
        <v>2152556</v>
      </c>
      <c r="AZ656" s="147"/>
      <c r="BA656" s="149" t="s">
        <v>1757</v>
      </c>
      <c r="BB656" s="144"/>
      <c r="BC656" s="144"/>
      <c r="BD656" s="144"/>
      <c r="BE656" s="144"/>
      <c r="BF656" s="144"/>
      <c r="BG656" s="144"/>
      <c r="BH656" s="149"/>
      <c r="BI656" s="149"/>
      <c r="BJ656" s="149"/>
      <c r="BK656" s="149"/>
      <c r="BL656" s="149"/>
      <c r="BM656" s="149"/>
      <c r="BN656" s="149"/>
    </row>
    <row r="657" spans="1:66" ht="12.75" hidden="1" customHeight="1" x14ac:dyDescent="0.2">
      <c r="A657" s="173" t="s">
        <v>1603</v>
      </c>
      <c r="B657" s="132" t="s">
        <v>119</v>
      </c>
      <c r="C657" s="132" t="s">
        <v>120</v>
      </c>
      <c r="D657" s="133" t="s">
        <v>574</v>
      </c>
      <c r="E657" s="132">
        <v>3</v>
      </c>
      <c r="F657" s="132" t="s">
        <v>35</v>
      </c>
      <c r="G657" s="132" t="s">
        <v>102</v>
      </c>
      <c r="H657" s="132" t="s">
        <v>3</v>
      </c>
      <c r="I657" s="132" t="s">
        <v>1022</v>
      </c>
      <c r="J657" s="273" t="s">
        <v>1026</v>
      </c>
      <c r="K657" s="133"/>
      <c r="L657" s="274"/>
      <c r="M657" s="274"/>
      <c r="N657" s="133"/>
      <c r="O657" s="230"/>
      <c r="P657" s="230"/>
      <c r="Q657" s="230"/>
      <c r="R657" s="230"/>
      <c r="S657" s="165">
        <v>11707775</v>
      </c>
      <c r="T657" s="165">
        <v>0</v>
      </c>
      <c r="U657" s="137">
        <f>SUM(U658:U659)</f>
        <v>0</v>
      </c>
      <c r="V657" s="137">
        <f>SUM(V658:V659)</f>
        <v>0</v>
      </c>
      <c r="W657" s="137">
        <f>SUM(W658:W659)</f>
        <v>0</v>
      </c>
      <c r="X657" s="138">
        <f>U657+V657+W657</f>
        <v>0</v>
      </c>
      <c r="Y657" s="137">
        <f t="shared" ref="Y657:AR657" si="195">SUM(Y658:Y659)</f>
        <v>0</v>
      </c>
      <c r="Z657" s="137">
        <f t="shared" si="195"/>
        <v>0</v>
      </c>
      <c r="AA657" s="137">
        <f t="shared" si="195"/>
        <v>0</v>
      </c>
      <c r="AB657" s="137">
        <f t="shared" si="195"/>
        <v>0</v>
      </c>
      <c r="AC657" s="137">
        <f t="shared" si="195"/>
        <v>0</v>
      </c>
      <c r="AD657" s="137">
        <f t="shared" si="195"/>
        <v>0</v>
      </c>
      <c r="AE657" s="137">
        <f t="shared" si="195"/>
        <v>0</v>
      </c>
      <c r="AF657" s="137">
        <f t="shared" si="195"/>
        <v>0</v>
      </c>
      <c r="AG657" s="137">
        <f t="shared" si="195"/>
        <v>0</v>
      </c>
      <c r="AH657" s="137">
        <f t="shared" si="195"/>
        <v>0</v>
      </c>
      <c r="AI657" s="137">
        <f t="shared" si="195"/>
        <v>0</v>
      </c>
      <c r="AJ657" s="137">
        <f t="shared" si="195"/>
        <v>0</v>
      </c>
      <c r="AK657" s="137">
        <f t="shared" si="195"/>
        <v>0</v>
      </c>
      <c r="AL657" s="137">
        <f t="shared" si="195"/>
        <v>2117756.767842432</v>
      </c>
      <c r="AM657" s="137">
        <f t="shared" si="195"/>
        <v>5255233.2968212441</v>
      </c>
      <c r="AN657" s="137">
        <f t="shared" si="195"/>
        <v>4334785.3183025103</v>
      </c>
      <c r="AO657" s="137">
        <f t="shared" si="195"/>
        <v>0</v>
      </c>
      <c r="AP657" s="137">
        <f t="shared" si="195"/>
        <v>0</v>
      </c>
      <c r="AQ657" s="137">
        <f t="shared" si="195"/>
        <v>0</v>
      </c>
      <c r="AR657" s="137">
        <f t="shared" si="195"/>
        <v>0</v>
      </c>
      <c r="AS657" s="165">
        <f>U657+V657+W657+AK657+AL657+AM657+AN657+AO657+AP657+AQ657+AR657</f>
        <v>11707775.382966187</v>
      </c>
      <c r="AT657" s="165">
        <f>SUM(AT658:AT659)</f>
        <v>0</v>
      </c>
      <c r="AU657" s="146">
        <f t="shared" ref="AU657:AU666" si="196">AS657-AT657</f>
        <v>11707775.382966187</v>
      </c>
      <c r="AV657" s="146">
        <f>IFERROR(VLOOKUP(J657,Maksājumu_pieprasījumu_iesn.!G:BL,57,0),0)</f>
        <v>0</v>
      </c>
      <c r="AW657" s="139">
        <f t="shared" si="194"/>
        <v>-11707775.382966187</v>
      </c>
      <c r="AX657" s="147">
        <f>S657-T657-AU657</f>
        <v>-0.38296618685126305</v>
      </c>
      <c r="AY657" s="165"/>
      <c r="AZ657" s="165"/>
      <c r="BA657" s="149"/>
      <c r="BB657" s="231"/>
      <c r="BC657" s="231">
        <f>X657+AK657+AL657/2</f>
        <v>1058878.383921216</v>
      </c>
      <c r="BD657" s="231"/>
      <c r="BE657" s="231">
        <f>BC657/0.85</f>
        <v>1245739.2752014305</v>
      </c>
      <c r="BF657" s="165"/>
      <c r="BG657" s="165"/>
      <c r="BH657" s="149">
        <v>0</v>
      </c>
      <c r="BI657" s="149">
        <v>0</v>
      </c>
      <c r="BJ657" s="149"/>
      <c r="BK657" s="149"/>
      <c r="BL657" s="149">
        <v>0</v>
      </c>
      <c r="BM657" s="149"/>
      <c r="BN657" s="149"/>
    </row>
    <row r="658" spans="1:66" ht="38.25" hidden="1" customHeight="1" x14ac:dyDescent="0.2">
      <c r="A658" s="142" t="s">
        <v>1603</v>
      </c>
      <c r="B658" s="18" t="s">
        <v>119</v>
      </c>
      <c r="C658" s="18" t="s">
        <v>120</v>
      </c>
      <c r="D658" s="19" t="s">
        <v>574</v>
      </c>
      <c r="E658" s="18">
        <v>3</v>
      </c>
      <c r="F658" s="18" t="s">
        <v>35</v>
      </c>
      <c r="G658" s="18" t="s">
        <v>102</v>
      </c>
      <c r="H658" s="18" t="s">
        <v>3</v>
      </c>
      <c r="I658" s="18"/>
      <c r="J658" s="18"/>
      <c r="K658" s="19" t="s">
        <v>1758</v>
      </c>
      <c r="L658" s="275" t="s">
        <v>1605</v>
      </c>
      <c r="M658" s="275" t="s">
        <v>1666</v>
      </c>
      <c r="N658" s="19" t="s">
        <v>1759</v>
      </c>
      <c r="O658" s="143">
        <v>43098</v>
      </c>
      <c r="P658" s="143"/>
      <c r="Q658" s="143"/>
      <c r="R658" s="143"/>
      <c r="S658" s="144">
        <v>1775050</v>
      </c>
      <c r="T658" s="144"/>
      <c r="U658" s="145">
        <v>0</v>
      </c>
      <c r="V658" s="145">
        <v>0</v>
      </c>
      <c r="W658" s="145">
        <v>0</v>
      </c>
      <c r="X658" s="145">
        <f>W658+V658+U658</f>
        <v>0</v>
      </c>
      <c r="Y658" s="145">
        <v>0</v>
      </c>
      <c r="Z658" s="145">
        <v>0</v>
      </c>
      <c r="AA658" s="145">
        <v>0</v>
      </c>
      <c r="AB658" s="145">
        <v>0</v>
      </c>
      <c r="AC658" s="145">
        <v>0</v>
      </c>
      <c r="AD658" s="145">
        <v>0</v>
      </c>
      <c r="AE658" s="145">
        <v>0</v>
      </c>
      <c r="AF658" s="145">
        <v>0</v>
      </c>
      <c r="AG658" s="145">
        <v>0</v>
      </c>
      <c r="AH658" s="145">
        <v>0</v>
      </c>
      <c r="AI658" s="145">
        <v>0</v>
      </c>
      <c r="AJ658" s="145">
        <v>0</v>
      </c>
      <c r="AK658" s="145">
        <f>SUM(Y658:AJ658)</f>
        <v>0</v>
      </c>
      <c r="AL658" s="145">
        <v>846000</v>
      </c>
      <c r="AM658" s="145">
        <v>929050</v>
      </c>
      <c r="AN658" s="145">
        <v>0</v>
      </c>
      <c r="AO658" s="145">
        <v>0</v>
      </c>
      <c r="AP658" s="145">
        <v>0</v>
      </c>
      <c r="AQ658" s="145">
        <v>0</v>
      </c>
      <c r="AR658" s="145">
        <v>0</v>
      </c>
      <c r="AS658" s="144">
        <f>U658+V658+W658+AK658+AL658+AM658+AN658+AO658+AP658+AQ658+AR658</f>
        <v>1775050</v>
      </c>
      <c r="AT658" s="144"/>
      <c r="AU658" s="146">
        <f t="shared" si="196"/>
        <v>1775050</v>
      </c>
      <c r="AV658" s="146">
        <f>IFERROR(VLOOKUP(J658,Maksājumu_pieprasījumu_iesn.!G:BL,57,0),0)</f>
        <v>0</v>
      </c>
      <c r="AW658" s="139">
        <f t="shared" si="194"/>
        <v>-1775050</v>
      </c>
      <c r="AX658" s="147">
        <f>S658-T658-AU658</f>
        <v>0</v>
      </c>
      <c r="AY658" s="147"/>
      <c r="AZ658" s="147"/>
      <c r="BA658" s="149"/>
      <c r="BB658" s="144"/>
      <c r="BC658" s="144"/>
      <c r="BD658" s="144"/>
      <c r="BE658" s="144"/>
      <c r="BF658" s="144"/>
      <c r="BG658" s="144"/>
      <c r="BH658" s="149"/>
      <c r="BI658" s="149"/>
      <c r="BJ658" s="149"/>
      <c r="BK658" s="149"/>
      <c r="BL658" s="149"/>
      <c r="BM658" s="149"/>
      <c r="BN658" s="149"/>
    </row>
    <row r="659" spans="1:66" ht="51" hidden="1" customHeight="1" x14ac:dyDescent="0.2">
      <c r="A659" s="142" t="s">
        <v>1603</v>
      </c>
      <c r="B659" s="286" t="s">
        <v>119</v>
      </c>
      <c r="C659" s="286" t="s">
        <v>120</v>
      </c>
      <c r="D659" s="19" t="s">
        <v>574</v>
      </c>
      <c r="E659" s="286">
        <v>3</v>
      </c>
      <c r="F659" s="286" t="s">
        <v>35</v>
      </c>
      <c r="G659" s="286" t="s">
        <v>102</v>
      </c>
      <c r="H659" s="286" t="s">
        <v>3</v>
      </c>
      <c r="I659" s="286"/>
      <c r="J659" s="286"/>
      <c r="K659" s="287" t="s">
        <v>1760</v>
      </c>
      <c r="L659" s="275" t="s">
        <v>1605</v>
      </c>
      <c r="M659" s="275" t="s">
        <v>1666</v>
      </c>
      <c r="N659" s="287" t="s">
        <v>1761</v>
      </c>
      <c r="O659" s="288">
        <v>43039</v>
      </c>
      <c r="P659" s="288"/>
      <c r="Q659" s="288"/>
      <c r="R659" s="288"/>
      <c r="S659" s="289">
        <v>9932725.3829661869</v>
      </c>
      <c r="T659" s="289"/>
      <c r="U659" s="290">
        <v>0</v>
      </c>
      <c r="V659" s="290">
        <v>0</v>
      </c>
      <c r="W659" s="290">
        <v>0</v>
      </c>
      <c r="X659" s="145">
        <f>W659+V659+U659</f>
        <v>0</v>
      </c>
      <c r="Y659" s="290">
        <v>0</v>
      </c>
      <c r="Z659" s="290">
        <v>0</v>
      </c>
      <c r="AA659" s="290">
        <v>0</v>
      </c>
      <c r="AB659" s="290">
        <v>0</v>
      </c>
      <c r="AC659" s="290">
        <v>0</v>
      </c>
      <c r="AD659" s="290">
        <v>0</v>
      </c>
      <c r="AE659" s="290">
        <v>0</v>
      </c>
      <c r="AF659" s="290">
        <v>0</v>
      </c>
      <c r="AG659" s="290">
        <v>0</v>
      </c>
      <c r="AH659" s="290">
        <v>0</v>
      </c>
      <c r="AI659" s="290">
        <v>0</v>
      </c>
      <c r="AJ659" s="290">
        <v>0</v>
      </c>
      <c r="AK659" s="290">
        <f>SUM(Y659:AJ659)</f>
        <v>0</v>
      </c>
      <c r="AL659" s="290">
        <v>1271756.767842432</v>
      </c>
      <c r="AM659" s="290">
        <v>4326183.2968212441</v>
      </c>
      <c r="AN659" s="290">
        <v>4334785.3183025103</v>
      </c>
      <c r="AO659" s="290">
        <v>0</v>
      </c>
      <c r="AP659" s="290">
        <v>0</v>
      </c>
      <c r="AQ659" s="290">
        <v>0</v>
      </c>
      <c r="AR659" s="290">
        <v>0</v>
      </c>
      <c r="AS659" s="289">
        <f>U659+V659+W659+AK659+AL659+AM659+AN659+AO659+AP659+AQ659+AR659</f>
        <v>9932725.3829661869</v>
      </c>
      <c r="AT659" s="289"/>
      <c r="AU659" s="146">
        <f t="shared" si="196"/>
        <v>9932725.3829661869</v>
      </c>
      <c r="AV659" s="146">
        <f>IFERROR(VLOOKUP(J659,Maksājumu_pieprasījumu_iesn.!G:BL,57,0),0)</f>
        <v>0</v>
      </c>
      <c r="AW659" s="139">
        <f t="shared" si="194"/>
        <v>-9932725.3829661869</v>
      </c>
      <c r="AX659" s="147">
        <f>S659-T659-AU659</f>
        <v>0</v>
      </c>
      <c r="AY659" s="291"/>
      <c r="AZ659" s="291"/>
      <c r="BA659" s="165"/>
      <c r="BB659" s="289"/>
      <c r="BC659" s="289"/>
      <c r="BD659" s="289"/>
      <c r="BE659" s="289"/>
      <c r="BF659" s="289"/>
      <c r="BG659" s="289"/>
      <c r="BH659" s="149"/>
      <c r="BI659" s="149"/>
      <c r="BJ659" s="149"/>
      <c r="BK659" s="149"/>
      <c r="BL659" s="149"/>
      <c r="BM659" s="149"/>
      <c r="BN659" s="149"/>
    </row>
    <row r="660" spans="1:66" s="297" customFormat="1" ht="25.5" hidden="1" customHeight="1" x14ac:dyDescent="0.2">
      <c r="A660" s="173" t="s">
        <v>1603</v>
      </c>
      <c r="B660" s="292" t="s">
        <v>119</v>
      </c>
      <c r="C660" s="292" t="s">
        <v>120</v>
      </c>
      <c r="D660" s="133" t="s">
        <v>574</v>
      </c>
      <c r="E660" s="292">
        <v>4</v>
      </c>
      <c r="F660" s="292" t="s">
        <v>35</v>
      </c>
      <c r="G660" s="292" t="s">
        <v>102</v>
      </c>
      <c r="H660" s="292" t="s">
        <v>3</v>
      </c>
      <c r="I660" s="132" t="s">
        <v>1022</v>
      </c>
      <c r="J660" s="273" t="s">
        <v>1026</v>
      </c>
      <c r="K660" s="292"/>
      <c r="L660" s="293"/>
      <c r="M660" s="293"/>
      <c r="N660" s="292"/>
      <c r="O660" s="294"/>
      <c r="P660" s="294"/>
      <c r="Q660" s="294"/>
      <c r="R660" s="294"/>
      <c r="S660" s="165">
        <v>2613571</v>
      </c>
      <c r="T660" s="165">
        <v>0</v>
      </c>
      <c r="U660" s="295">
        <v>0</v>
      </c>
      <c r="V660" s="295">
        <v>0</v>
      </c>
      <c r="W660" s="295">
        <v>0</v>
      </c>
      <c r="X660" s="138">
        <f>U660+V660+W660</f>
        <v>0</v>
      </c>
      <c r="Y660" s="295">
        <v>0</v>
      </c>
      <c r="Z660" s="295">
        <v>0</v>
      </c>
      <c r="AA660" s="295">
        <v>0</v>
      </c>
      <c r="AB660" s="295">
        <v>0</v>
      </c>
      <c r="AC660" s="295">
        <v>0</v>
      </c>
      <c r="AD660" s="295">
        <v>0</v>
      </c>
      <c r="AE660" s="295">
        <v>0</v>
      </c>
      <c r="AF660" s="295">
        <v>0</v>
      </c>
      <c r="AG660" s="295">
        <v>0</v>
      </c>
      <c r="AH660" s="295">
        <v>0</v>
      </c>
      <c r="AI660" s="295">
        <v>0</v>
      </c>
      <c r="AJ660" s="295">
        <v>0</v>
      </c>
      <c r="AK660" s="295">
        <v>0</v>
      </c>
      <c r="AL660" s="295">
        <v>0</v>
      </c>
      <c r="AM660" s="295">
        <v>0</v>
      </c>
      <c r="AN660" s="295">
        <v>0</v>
      </c>
      <c r="AO660" s="295">
        <v>0</v>
      </c>
      <c r="AP660" s="295">
        <v>0</v>
      </c>
      <c r="AQ660" s="295">
        <v>0</v>
      </c>
      <c r="AR660" s="295">
        <v>0</v>
      </c>
      <c r="AS660" s="296">
        <v>0</v>
      </c>
      <c r="AT660" s="296"/>
      <c r="AU660" s="146">
        <f t="shared" si="196"/>
        <v>0</v>
      </c>
      <c r="AV660" s="146">
        <f>IFERROR(VLOOKUP(J660,Maksājumu_pieprasījumu_iesn.!G:BL,57,0),0)</f>
        <v>0</v>
      </c>
      <c r="AW660" s="139">
        <f t="shared" si="194"/>
        <v>0</v>
      </c>
      <c r="AX660" s="147">
        <v>0</v>
      </c>
      <c r="AY660" s="296">
        <v>2613572</v>
      </c>
      <c r="AZ660" s="296"/>
      <c r="BA660" s="149" t="s">
        <v>1762</v>
      </c>
      <c r="BB660" s="231"/>
      <c r="BC660" s="231">
        <f>X660+AK660+AL660/2</f>
        <v>0</v>
      </c>
      <c r="BD660" s="231"/>
      <c r="BE660" s="231">
        <f>BC660/0.85</f>
        <v>0</v>
      </c>
      <c r="BF660" s="296"/>
      <c r="BG660" s="296"/>
      <c r="BH660" s="149">
        <v>0</v>
      </c>
      <c r="BI660" s="149">
        <v>0</v>
      </c>
      <c r="BJ660" s="149"/>
      <c r="BK660" s="149"/>
      <c r="BL660" s="149">
        <v>0</v>
      </c>
      <c r="BM660" s="149"/>
      <c r="BN660" s="149"/>
    </row>
    <row r="661" spans="1:66" s="304" customFormat="1" ht="25.5" hidden="1" x14ac:dyDescent="0.25">
      <c r="A661" s="298" t="s">
        <v>1603</v>
      </c>
      <c r="B661" s="299" t="s">
        <v>133</v>
      </c>
      <c r="C661" s="299" t="s">
        <v>1023</v>
      </c>
      <c r="D661" s="267" t="s">
        <v>1763</v>
      </c>
      <c r="E661" s="299"/>
      <c r="F661" s="299"/>
      <c r="G661" s="299" t="s">
        <v>102</v>
      </c>
      <c r="H661" s="299"/>
      <c r="I661" s="299"/>
      <c r="J661" s="299"/>
      <c r="K661" s="299"/>
      <c r="L661" s="300"/>
      <c r="M661" s="300"/>
      <c r="N661" s="299"/>
      <c r="O661" s="301"/>
      <c r="P661" s="301"/>
      <c r="Q661" s="301"/>
      <c r="R661" s="301"/>
      <c r="S661" s="302">
        <f>S662+S664</f>
        <v>22221960</v>
      </c>
      <c r="T661" s="302">
        <f>T662+T664</f>
        <v>2289729</v>
      </c>
      <c r="U661" s="303">
        <f>U662+U664</f>
        <v>0</v>
      </c>
      <c r="V661" s="303">
        <f>V662+V664</f>
        <v>0</v>
      </c>
      <c r="W661" s="303">
        <f>W662+W664</f>
        <v>0</v>
      </c>
      <c r="X661" s="129">
        <f>U661+V661+W661</f>
        <v>0</v>
      </c>
      <c r="Y661" s="303">
        <f t="shared" ref="Y661:AT661" si="197">Y662+Y664</f>
        <v>52289.599999999999</v>
      </c>
      <c r="Z661" s="303">
        <f t="shared" si="197"/>
        <v>0</v>
      </c>
      <c r="AA661" s="303">
        <f t="shared" si="197"/>
        <v>0</v>
      </c>
      <c r="AB661" s="303">
        <f t="shared" si="197"/>
        <v>25194.14</v>
      </c>
      <c r="AC661" s="303">
        <f t="shared" si="197"/>
        <v>0</v>
      </c>
      <c r="AD661" s="303">
        <f t="shared" si="197"/>
        <v>0</v>
      </c>
      <c r="AE661" s="303">
        <f t="shared" si="197"/>
        <v>668171.78</v>
      </c>
      <c r="AF661" s="303">
        <f t="shared" si="197"/>
        <v>0</v>
      </c>
      <c r="AG661" s="303">
        <f t="shared" si="197"/>
        <v>0</v>
      </c>
      <c r="AH661" s="303">
        <f t="shared" si="197"/>
        <v>628831.59</v>
      </c>
      <c r="AI661" s="303">
        <f t="shared" si="197"/>
        <v>0</v>
      </c>
      <c r="AJ661" s="303">
        <f t="shared" si="197"/>
        <v>0</v>
      </c>
      <c r="AK661" s="303">
        <f t="shared" si="197"/>
        <v>1374487.1099999999</v>
      </c>
      <c r="AL661" s="303">
        <f t="shared" si="197"/>
        <v>10860670.93</v>
      </c>
      <c r="AM661" s="303">
        <f t="shared" si="197"/>
        <v>4060932.48</v>
      </c>
      <c r="AN661" s="303">
        <f t="shared" si="197"/>
        <v>3025844.48</v>
      </c>
      <c r="AO661" s="303">
        <f t="shared" si="197"/>
        <v>610296</v>
      </c>
      <c r="AP661" s="303">
        <f t="shared" si="197"/>
        <v>0</v>
      </c>
      <c r="AQ661" s="303">
        <f t="shared" si="197"/>
        <v>0</v>
      </c>
      <c r="AR661" s="303">
        <f t="shared" si="197"/>
        <v>0</v>
      </c>
      <c r="AS661" s="302">
        <f t="shared" si="197"/>
        <v>19932231</v>
      </c>
      <c r="AT661" s="302">
        <f t="shared" si="197"/>
        <v>0</v>
      </c>
      <c r="AU661" s="271">
        <f t="shared" si="196"/>
        <v>19932231</v>
      </c>
      <c r="AV661" s="146">
        <f>IFERROR(VLOOKUP(J661,Maksājumu_pieprasījumu_iesn.!G:BL,57,0),0)</f>
        <v>0</v>
      </c>
      <c r="AW661" s="139">
        <f t="shared" si="194"/>
        <v>-19932231</v>
      </c>
      <c r="AX661" s="302">
        <f>AX662+AX664</f>
        <v>0</v>
      </c>
      <c r="AY661" s="302">
        <f>AY662+AY664</f>
        <v>0</v>
      </c>
      <c r="AZ661" s="302"/>
      <c r="BA661" s="270"/>
      <c r="BB661" s="302">
        <f>BB662+BB664</f>
        <v>0</v>
      </c>
      <c r="BC661" s="302">
        <f>BC662+BC664</f>
        <v>6804822.5750000002</v>
      </c>
      <c r="BD661" s="272">
        <f>BC661*0.83</f>
        <v>5648002.7372500002</v>
      </c>
      <c r="BE661" s="272">
        <f>BD661/0.85</f>
        <v>6644709.1026470596</v>
      </c>
      <c r="BF661" s="302">
        <f>BF662+BF664</f>
        <v>0</v>
      </c>
      <c r="BG661" s="302">
        <f>BG662+BG664</f>
        <v>0</v>
      </c>
      <c r="BH661" s="272">
        <f>BH662+BH664</f>
        <v>0</v>
      </c>
      <c r="BI661" s="272">
        <f>BI662+BI664</f>
        <v>3038617</v>
      </c>
      <c r="BJ661" s="272">
        <f>AK661*0.83</f>
        <v>1140824.3012999999</v>
      </c>
      <c r="BK661" s="272">
        <f>BJ661-BI661</f>
        <v>-1897792.6987000001</v>
      </c>
      <c r="BL661" s="272">
        <f>BL662+BL664</f>
        <v>4724921.3429486398</v>
      </c>
      <c r="BM661" s="272">
        <f>AL661*0.83</f>
        <v>9014356.8718999997</v>
      </c>
      <c r="BN661" s="272">
        <f>BM661-BL661</f>
        <v>4289435.5289513599</v>
      </c>
    </row>
    <row r="662" spans="1:66" ht="12.75" hidden="1" customHeight="1" x14ac:dyDescent="0.2">
      <c r="A662" s="173" t="s">
        <v>1603</v>
      </c>
      <c r="B662" s="132" t="s">
        <v>133</v>
      </c>
      <c r="C662" s="132" t="s">
        <v>134</v>
      </c>
      <c r="D662" s="133" t="s">
        <v>575</v>
      </c>
      <c r="E662" s="132" t="s">
        <v>3</v>
      </c>
      <c r="F662" s="132" t="s">
        <v>35</v>
      </c>
      <c r="G662" s="132" t="s">
        <v>102</v>
      </c>
      <c r="H662" s="132" t="s">
        <v>3</v>
      </c>
      <c r="I662" s="132" t="s">
        <v>1022</v>
      </c>
      <c r="J662" s="273" t="s">
        <v>1026</v>
      </c>
      <c r="K662" s="133"/>
      <c r="L662" s="274"/>
      <c r="M662" s="274"/>
      <c r="N662" s="133"/>
      <c r="O662" s="230"/>
      <c r="P662" s="230"/>
      <c r="Q662" s="230"/>
      <c r="R662" s="230"/>
      <c r="S662" s="165">
        <v>8075000</v>
      </c>
      <c r="T662" s="165">
        <v>0</v>
      </c>
      <c r="U662" s="137">
        <f>SUM(U663)</f>
        <v>0</v>
      </c>
      <c r="V662" s="137">
        <f>SUM(V663)</f>
        <v>0</v>
      </c>
      <c r="W662" s="137">
        <f>SUM(W663)</f>
        <v>0</v>
      </c>
      <c r="X662" s="138">
        <f>U662+V662+W662</f>
        <v>0</v>
      </c>
      <c r="Y662" s="137">
        <f t="shared" ref="Y662:AR662" si="198">SUM(Y663)</f>
        <v>52289.599999999999</v>
      </c>
      <c r="Z662" s="137">
        <f t="shared" si="198"/>
        <v>0</v>
      </c>
      <c r="AA662" s="137">
        <f t="shared" si="198"/>
        <v>0</v>
      </c>
      <c r="AB662" s="137">
        <f t="shared" si="198"/>
        <v>25194.14</v>
      </c>
      <c r="AC662" s="137">
        <f t="shared" si="198"/>
        <v>0</v>
      </c>
      <c r="AD662" s="137">
        <f t="shared" si="198"/>
        <v>0</v>
      </c>
      <c r="AE662" s="137">
        <f t="shared" si="198"/>
        <v>668171.78</v>
      </c>
      <c r="AF662" s="137">
        <f t="shared" si="198"/>
        <v>0</v>
      </c>
      <c r="AG662" s="137">
        <f t="shared" si="198"/>
        <v>0</v>
      </c>
      <c r="AH662" s="137">
        <f t="shared" si="198"/>
        <v>628831.59</v>
      </c>
      <c r="AI662" s="137">
        <f t="shared" si="198"/>
        <v>0</v>
      </c>
      <c r="AJ662" s="137">
        <f t="shared" si="198"/>
        <v>0</v>
      </c>
      <c r="AK662" s="137">
        <f t="shared" si="198"/>
        <v>1374487.1099999999</v>
      </c>
      <c r="AL662" s="137">
        <f t="shared" si="198"/>
        <v>2539951.9300000002</v>
      </c>
      <c r="AM662" s="137">
        <f t="shared" si="198"/>
        <v>2305179.48</v>
      </c>
      <c r="AN662" s="137">
        <f t="shared" si="198"/>
        <v>1855381.48</v>
      </c>
      <c r="AO662" s="137">
        <f t="shared" si="198"/>
        <v>0</v>
      </c>
      <c r="AP662" s="137">
        <f t="shared" si="198"/>
        <v>0</v>
      </c>
      <c r="AQ662" s="137">
        <f t="shared" si="198"/>
        <v>0</v>
      </c>
      <c r="AR662" s="137">
        <f t="shared" si="198"/>
        <v>0</v>
      </c>
      <c r="AS662" s="165">
        <f>U662+V662+W662+AK662+AL662+AM662+AN662+AO662+AP662+AQ662+AR662</f>
        <v>8075000</v>
      </c>
      <c r="AT662" s="165">
        <f>SUM(AT663)</f>
        <v>0</v>
      </c>
      <c r="AU662" s="146">
        <f t="shared" si="196"/>
        <v>8075000</v>
      </c>
      <c r="AV662" s="146">
        <f>IFERROR(VLOOKUP(J662,Maksājumu_pieprasījumu_iesn.!G:BL,57,0),0)</f>
        <v>0</v>
      </c>
      <c r="AW662" s="139">
        <f t="shared" si="194"/>
        <v>-8075000</v>
      </c>
      <c r="AX662" s="231">
        <f>S662-T662-AU662</f>
        <v>0</v>
      </c>
      <c r="AY662" s="165"/>
      <c r="AZ662" s="165"/>
      <c r="BA662" s="149"/>
      <c r="BB662" s="231"/>
      <c r="BC662" s="231">
        <f>X662+AK662+AL662/2</f>
        <v>2644463.0750000002</v>
      </c>
      <c r="BD662" s="231"/>
      <c r="BE662" s="231">
        <f>BC662/0.85</f>
        <v>3111133.0294117648</v>
      </c>
      <c r="BF662" s="165"/>
      <c r="BG662" s="165"/>
      <c r="BH662" s="149">
        <v>0</v>
      </c>
      <c r="BI662" s="149">
        <v>1260032</v>
      </c>
      <c r="BJ662" s="149"/>
      <c r="BK662" s="149"/>
      <c r="BL662" s="149">
        <v>1971923.34294864</v>
      </c>
      <c r="BM662" s="149"/>
      <c r="BN662" s="149"/>
    </row>
    <row r="663" spans="1:66" ht="51" hidden="1" customHeight="1" x14ac:dyDescent="0.2">
      <c r="A663" s="142" t="s">
        <v>1603</v>
      </c>
      <c r="B663" s="18" t="s">
        <v>133</v>
      </c>
      <c r="C663" s="18" t="s">
        <v>134</v>
      </c>
      <c r="D663" s="19" t="s">
        <v>575</v>
      </c>
      <c r="E663" s="18">
        <v>1</v>
      </c>
      <c r="F663" s="18" t="s">
        <v>35</v>
      </c>
      <c r="G663" s="18" t="s">
        <v>102</v>
      </c>
      <c r="H663" s="18" t="s">
        <v>3</v>
      </c>
      <c r="I663" s="18"/>
      <c r="J663" s="18" t="s">
        <v>135</v>
      </c>
      <c r="K663" s="19" t="s">
        <v>136</v>
      </c>
      <c r="L663" s="275" t="s">
        <v>1626</v>
      </c>
      <c r="M663" s="275" t="s">
        <v>35</v>
      </c>
      <c r="N663" s="19" t="s">
        <v>137</v>
      </c>
      <c r="O663" s="143"/>
      <c r="P663" s="143"/>
      <c r="Q663" s="143"/>
      <c r="R663" s="143">
        <v>42677</v>
      </c>
      <c r="S663" s="144">
        <v>8075000</v>
      </c>
      <c r="T663" s="144"/>
      <c r="U663" s="145">
        <v>0</v>
      </c>
      <c r="V663" s="145">
        <v>0</v>
      </c>
      <c r="W663" s="145">
        <v>0</v>
      </c>
      <c r="X663" s="145">
        <f>W663+V663+U663</f>
        <v>0</v>
      </c>
      <c r="Y663" s="145">
        <v>52289.599999999999</v>
      </c>
      <c r="Z663" s="145">
        <v>0</v>
      </c>
      <c r="AA663" s="145">
        <v>0</v>
      </c>
      <c r="AB663" s="145">
        <v>25194.14</v>
      </c>
      <c r="AC663" s="145">
        <v>0</v>
      </c>
      <c r="AD663" s="166">
        <v>0</v>
      </c>
      <c r="AE663" s="166">
        <v>668171.78</v>
      </c>
      <c r="AF663" s="145">
        <v>0</v>
      </c>
      <c r="AG663" s="145">
        <v>0</v>
      </c>
      <c r="AH663" s="145">
        <v>628831.59</v>
      </c>
      <c r="AI663" s="145">
        <v>0</v>
      </c>
      <c r="AJ663" s="145">
        <v>0</v>
      </c>
      <c r="AK663" s="145">
        <f>SUM(Y663:AJ663)</f>
        <v>1374487.1099999999</v>
      </c>
      <c r="AL663" s="145">
        <v>2539951.9300000002</v>
      </c>
      <c r="AM663" s="145">
        <v>2305179.48</v>
      </c>
      <c r="AN663" s="145">
        <v>1855381.48</v>
      </c>
      <c r="AO663" s="145">
        <v>0</v>
      </c>
      <c r="AP663" s="145">
        <v>0</v>
      </c>
      <c r="AQ663" s="145">
        <v>0</v>
      </c>
      <c r="AR663" s="145">
        <v>0</v>
      </c>
      <c r="AS663" s="144">
        <f>U663+V663+W663+AK663+AL663+AM663+AN663+AO663+AP663+AQ663+AR663</f>
        <v>8075000</v>
      </c>
      <c r="AT663" s="144">
        <v>0</v>
      </c>
      <c r="AU663" s="146">
        <f t="shared" si="196"/>
        <v>8075000</v>
      </c>
      <c r="AV663" s="146" t="str">
        <f>IFERROR(VLOOKUP(J663,Maksājumu_pieprasījumu_iesn.!G:BL,57,0),0)</f>
        <v>Iepirkumam “Dabas aizsardzības plānu izstrāde īpaši aizsargājamām teritorijām” sākotnēji izsludinātajā konkursā iesniegtie piedāvājumi pārsniedza paredzēto  cenu. Iepirkums tiek izskatīts Vides aizsardzības un reģionālās attīstības ministrijā, jo, atkārtoti izsludinot, tas beidzies bez rezultāta. Maksājums pārcelts uz 2018. gadu.</v>
      </c>
      <c r="AW663" s="139" t="e">
        <f t="shared" si="194"/>
        <v>#VALUE!</v>
      </c>
      <c r="AX663" s="147"/>
      <c r="AY663" s="147"/>
      <c r="AZ663" s="147"/>
      <c r="BA663" s="165"/>
      <c r="BB663" s="144"/>
      <c r="BC663" s="144"/>
      <c r="BD663" s="144"/>
      <c r="BE663" s="144"/>
      <c r="BF663" s="144"/>
      <c r="BG663" s="144"/>
      <c r="BH663" s="149"/>
      <c r="BI663" s="149"/>
      <c r="BJ663" s="149"/>
      <c r="BK663" s="149"/>
      <c r="BL663" s="149"/>
      <c r="BM663" s="149"/>
      <c r="BN663" s="149"/>
    </row>
    <row r="664" spans="1:66" ht="165.75" hidden="1" customHeight="1" x14ac:dyDescent="0.2">
      <c r="A664" s="173" t="s">
        <v>1603</v>
      </c>
      <c r="B664" s="132" t="s">
        <v>133</v>
      </c>
      <c r="C664" s="132" t="s">
        <v>1764</v>
      </c>
      <c r="D664" s="133" t="s">
        <v>1765</v>
      </c>
      <c r="E664" s="132" t="s">
        <v>3</v>
      </c>
      <c r="F664" s="132" t="s">
        <v>35</v>
      </c>
      <c r="G664" s="132" t="s">
        <v>102</v>
      </c>
      <c r="H664" s="132" t="s">
        <v>3</v>
      </c>
      <c r="I664" s="132" t="s">
        <v>1022</v>
      </c>
      <c r="J664" s="273" t="s">
        <v>1026</v>
      </c>
      <c r="K664" s="133"/>
      <c r="L664" s="274"/>
      <c r="M664" s="274"/>
      <c r="N664" s="133"/>
      <c r="O664" s="230"/>
      <c r="P664" s="230"/>
      <c r="Q664" s="230"/>
      <c r="R664" s="230"/>
      <c r="S664" s="165">
        <v>14146960</v>
      </c>
      <c r="T664" s="165">
        <v>2289729</v>
      </c>
      <c r="U664" s="137">
        <f>SUM(U665:U667)</f>
        <v>0</v>
      </c>
      <c r="V664" s="137">
        <f>SUM(V665:V667)</f>
        <v>0</v>
      </c>
      <c r="W664" s="137">
        <f t="shared" ref="W664:AR664" si="199">SUM(W665:W667)</f>
        <v>0</v>
      </c>
      <c r="X664" s="137">
        <f t="shared" si="199"/>
        <v>0</v>
      </c>
      <c r="Y664" s="137">
        <f t="shared" si="199"/>
        <v>0</v>
      </c>
      <c r="Z664" s="137">
        <f t="shared" si="199"/>
        <v>0</v>
      </c>
      <c r="AA664" s="137">
        <f t="shared" si="199"/>
        <v>0</v>
      </c>
      <c r="AB664" s="137">
        <f t="shared" si="199"/>
        <v>0</v>
      </c>
      <c r="AC664" s="137">
        <f t="shared" si="199"/>
        <v>0</v>
      </c>
      <c r="AD664" s="137">
        <f t="shared" si="199"/>
        <v>0</v>
      </c>
      <c r="AE664" s="137">
        <f t="shared" si="199"/>
        <v>0</v>
      </c>
      <c r="AF664" s="137">
        <f t="shared" si="199"/>
        <v>0</v>
      </c>
      <c r="AG664" s="137">
        <f t="shared" si="199"/>
        <v>0</v>
      </c>
      <c r="AH664" s="137">
        <f t="shared" si="199"/>
        <v>0</v>
      </c>
      <c r="AI664" s="137">
        <v>0</v>
      </c>
      <c r="AJ664" s="137">
        <f t="shared" si="199"/>
        <v>0</v>
      </c>
      <c r="AK664" s="137">
        <f t="shared" si="199"/>
        <v>0</v>
      </c>
      <c r="AL664" s="137">
        <f t="shared" si="199"/>
        <v>8320719</v>
      </c>
      <c r="AM664" s="137">
        <f t="shared" si="199"/>
        <v>1755753</v>
      </c>
      <c r="AN664" s="137">
        <f t="shared" si="199"/>
        <v>1170463</v>
      </c>
      <c r="AO664" s="137">
        <f t="shared" si="199"/>
        <v>610296</v>
      </c>
      <c r="AP664" s="137">
        <f t="shared" si="199"/>
        <v>0</v>
      </c>
      <c r="AQ664" s="137">
        <f t="shared" si="199"/>
        <v>0</v>
      </c>
      <c r="AR664" s="137">
        <f t="shared" si="199"/>
        <v>0</v>
      </c>
      <c r="AS664" s="137">
        <f>SUM(AS665:AS667)</f>
        <v>11857231</v>
      </c>
      <c r="AT664" s="165">
        <f>SUM(AT665:AT667)</f>
        <v>0</v>
      </c>
      <c r="AU664" s="146">
        <f t="shared" si="196"/>
        <v>11857231</v>
      </c>
      <c r="AV664" s="146">
        <f>IFERROR(VLOOKUP(J664,Maksājumu_pieprasījumu_iesn.!G:BL,57,0),0)</f>
        <v>0</v>
      </c>
      <c r="AW664" s="139">
        <f t="shared" si="194"/>
        <v>-11857231</v>
      </c>
      <c r="AX664" s="231">
        <f>S664-T664-AU664</f>
        <v>0</v>
      </c>
      <c r="AY664" s="137">
        <f>SUM(AY665:AY667)</f>
        <v>0</v>
      </c>
      <c r="AZ664" s="137"/>
      <c r="BA664" s="149" t="s">
        <v>1766</v>
      </c>
      <c r="BB664" s="231"/>
      <c r="BC664" s="231">
        <f>X664+AK664+AL664/2</f>
        <v>4160359.5</v>
      </c>
      <c r="BD664" s="231"/>
      <c r="BE664" s="231">
        <f>BC664/0.85</f>
        <v>4894540.5882352944</v>
      </c>
      <c r="BF664" s="165"/>
      <c r="BG664" s="165"/>
      <c r="BH664" s="149">
        <v>0</v>
      </c>
      <c r="BI664" s="149">
        <v>1778585</v>
      </c>
      <c r="BJ664" s="149"/>
      <c r="BK664" s="149"/>
      <c r="BL664" s="149">
        <v>2752998</v>
      </c>
      <c r="BM664" s="149"/>
      <c r="BN664" s="149"/>
    </row>
    <row r="665" spans="1:66" ht="38.25" hidden="1" customHeight="1" x14ac:dyDescent="0.2">
      <c r="A665" s="142" t="s">
        <v>1603</v>
      </c>
      <c r="B665" s="18" t="s">
        <v>133</v>
      </c>
      <c r="C665" s="18" t="s">
        <v>1764</v>
      </c>
      <c r="D665" s="19" t="s">
        <v>1765</v>
      </c>
      <c r="E665" s="18">
        <v>1</v>
      </c>
      <c r="F665" s="18" t="s">
        <v>35</v>
      </c>
      <c r="G665" s="18" t="s">
        <v>102</v>
      </c>
      <c r="H665" s="18" t="s">
        <v>3</v>
      </c>
      <c r="I665" s="18"/>
      <c r="J665" s="18"/>
      <c r="K665" s="19" t="s">
        <v>1767</v>
      </c>
      <c r="L665" s="275" t="s">
        <v>1626</v>
      </c>
      <c r="M665" s="275" t="s">
        <v>35</v>
      </c>
      <c r="N665" s="19" t="s">
        <v>1768</v>
      </c>
      <c r="O665" s="143">
        <v>42916</v>
      </c>
      <c r="P665" s="143"/>
      <c r="Q665" s="143"/>
      <c r="R665" s="143"/>
      <c r="S665" s="144">
        <v>5945241</v>
      </c>
      <c r="T665" s="144"/>
      <c r="U665" s="145">
        <v>0</v>
      </c>
      <c r="V665" s="145">
        <v>0</v>
      </c>
      <c r="W665" s="145">
        <v>0</v>
      </c>
      <c r="X665" s="145">
        <f>W665+V665+U665</f>
        <v>0</v>
      </c>
      <c r="Y665" s="145">
        <v>0</v>
      </c>
      <c r="Z665" s="145">
        <v>0</v>
      </c>
      <c r="AA665" s="145">
        <v>0</v>
      </c>
      <c r="AB665" s="145">
        <v>0</v>
      </c>
      <c r="AC665" s="145">
        <v>0</v>
      </c>
      <c r="AD665" s="145">
        <v>0</v>
      </c>
      <c r="AE665" s="145">
        <v>0</v>
      </c>
      <c r="AF665" s="145">
        <v>0</v>
      </c>
      <c r="AG665" s="145">
        <v>0</v>
      </c>
      <c r="AH665" s="145">
        <v>0</v>
      </c>
      <c r="AI665" s="145">
        <v>0</v>
      </c>
      <c r="AJ665" s="145">
        <v>0</v>
      </c>
      <c r="AK665" s="145">
        <f>SUM(Y665:AJ665)</f>
        <v>0</v>
      </c>
      <c r="AL665" s="145">
        <v>2408729</v>
      </c>
      <c r="AM665" s="145">
        <v>1755753</v>
      </c>
      <c r="AN665" s="145">
        <v>1170463</v>
      </c>
      <c r="AO665" s="145">
        <v>610296</v>
      </c>
      <c r="AP665" s="145">
        <v>0</v>
      </c>
      <c r="AQ665" s="145">
        <v>0</v>
      </c>
      <c r="AR665" s="145">
        <v>0</v>
      </c>
      <c r="AS665" s="144">
        <f>U665+V665+W665+AK665+AL665+AM665+AN665+AO665+AP665+AQ665+AR665</f>
        <v>5945241</v>
      </c>
      <c r="AT665" s="144"/>
      <c r="AU665" s="146">
        <f t="shared" si="196"/>
        <v>5945241</v>
      </c>
      <c r="AV665" s="146">
        <f>IFERROR(VLOOKUP(J665,Maksājumu_pieprasījumu_iesn.!G:BL,57,0),0)</f>
        <v>0</v>
      </c>
      <c r="AW665" s="139">
        <f t="shared" si="194"/>
        <v>-5945241</v>
      </c>
      <c r="AX665" s="165">
        <f>S665-T665-AU665</f>
        <v>0</v>
      </c>
      <c r="AY665" s="165"/>
      <c r="AZ665" s="165"/>
      <c r="BA665" s="165"/>
      <c r="BB665" s="144"/>
      <c r="BC665" s="144"/>
      <c r="BD665" s="144"/>
      <c r="BE665" s="144"/>
      <c r="BF665" s="144"/>
      <c r="BG665" s="144"/>
      <c r="BH665" s="149"/>
      <c r="BI665" s="149"/>
      <c r="BJ665" s="149"/>
      <c r="BK665" s="149"/>
      <c r="BL665" s="149"/>
      <c r="BM665" s="149"/>
      <c r="BN665" s="149"/>
    </row>
    <row r="666" spans="1:66" ht="38.25" hidden="1" customHeight="1" x14ac:dyDescent="0.2">
      <c r="A666" s="142" t="s">
        <v>1603</v>
      </c>
      <c r="B666" s="18" t="s">
        <v>133</v>
      </c>
      <c r="C666" s="18" t="s">
        <v>1764</v>
      </c>
      <c r="D666" s="19" t="s">
        <v>1765</v>
      </c>
      <c r="E666" s="18">
        <v>1</v>
      </c>
      <c r="F666" s="18" t="s">
        <v>35</v>
      </c>
      <c r="G666" s="18" t="s">
        <v>102</v>
      </c>
      <c r="H666" s="18" t="s">
        <v>3</v>
      </c>
      <c r="I666" s="18"/>
      <c r="J666" s="18"/>
      <c r="K666" s="19" t="s">
        <v>1142</v>
      </c>
      <c r="L666" s="275" t="s">
        <v>1605</v>
      </c>
      <c r="M666" s="275" t="s">
        <v>1627</v>
      </c>
      <c r="N666" s="19" t="s">
        <v>1769</v>
      </c>
      <c r="O666" s="143">
        <v>42916</v>
      </c>
      <c r="P666" s="143"/>
      <c r="Q666" s="143"/>
      <c r="R666" s="143"/>
      <c r="S666" s="144">
        <v>5911990</v>
      </c>
      <c r="T666" s="144"/>
      <c r="U666" s="145">
        <v>0</v>
      </c>
      <c r="V666" s="145">
        <v>0</v>
      </c>
      <c r="W666" s="145">
        <v>0</v>
      </c>
      <c r="X666" s="145">
        <f>W666+V666+U666</f>
        <v>0</v>
      </c>
      <c r="Y666" s="145">
        <v>0</v>
      </c>
      <c r="Z666" s="145">
        <v>0</v>
      </c>
      <c r="AA666" s="145">
        <v>0</v>
      </c>
      <c r="AB666" s="145">
        <v>0</v>
      </c>
      <c r="AC666" s="145">
        <v>0</v>
      </c>
      <c r="AD666" s="145">
        <v>0</v>
      </c>
      <c r="AE666" s="145">
        <v>0</v>
      </c>
      <c r="AF666" s="145">
        <v>0</v>
      </c>
      <c r="AG666" s="145">
        <v>0</v>
      </c>
      <c r="AH666" s="145">
        <v>0</v>
      </c>
      <c r="AI666" s="145">
        <v>0</v>
      </c>
      <c r="AJ666" s="145">
        <v>0</v>
      </c>
      <c r="AK666" s="145">
        <f>SUM(Y666:AJ666)</f>
        <v>0</v>
      </c>
      <c r="AL666" s="145">
        <v>5911990</v>
      </c>
      <c r="AM666" s="145">
        <v>0</v>
      </c>
      <c r="AN666" s="145">
        <v>0</v>
      </c>
      <c r="AO666" s="145">
        <v>0</v>
      </c>
      <c r="AP666" s="145">
        <v>0</v>
      </c>
      <c r="AQ666" s="145">
        <v>0</v>
      </c>
      <c r="AR666" s="145">
        <v>0</v>
      </c>
      <c r="AS666" s="144">
        <f>U666+V666+W666+AK666+AL666+AM666+AN666+AO666+AP666+AQ666+AR666</f>
        <v>5911990</v>
      </c>
      <c r="AT666" s="144"/>
      <c r="AU666" s="146">
        <f t="shared" si="196"/>
        <v>5911990</v>
      </c>
      <c r="AV666" s="146">
        <f>IFERROR(VLOOKUP(J666,Maksājumu_pieprasījumu_iesn.!G:BL,57,0),0)</f>
        <v>0</v>
      </c>
      <c r="AW666" s="139">
        <f t="shared" si="194"/>
        <v>-5911990</v>
      </c>
      <c r="AX666" s="165">
        <f>S666-T666-AU666</f>
        <v>0</v>
      </c>
      <c r="AY666" s="165"/>
      <c r="AZ666" s="165"/>
      <c r="BA666" s="165"/>
      <c r="BB666" s="144"/>
      <c r="BC666" s="144"/>
      <c r="BD666" s="144"/>
      <c r="BE666" s="144"/>
      <c r="BF666" s="144"/>
      <c r="BG666" s="144"/>
      <c r="BH666" s="149"/>
      <c r="BI666" s="149"/>
      <c r="BJ666" s="149"/>
      <c r="BK666" s="149"/>
      <c r="BL666" s="149"/>
      <c r="BM666" s="149"/>
      <c r="BN666" s="149"/>
    </row>
    <row r="667" spans="1:66" ht="38.25" hidden="1" customHeight="1" x14ac:dyDescent="0.2">
      <c r="A667" s="142" t="s">
        <v>1603</v>
      </c>
      <c r="B667" s="18" t="s">
        <v>133</v>
      </c>
      <c r="C667" s="18" t="s">
        <v>1764</v>
      </c>
      <c r="D667" s="19" t="s">
        <v>1765</v>
      </c>
      <c r="E667" s="18">
        <v>1</v>
      </c>
      <c r="F667" s="18" t="s">
        <v>35</v>
      </c>
      <c r="G667" s="18" t="s">
        <v>102</v>
      </c>
      <c r="H667" s="18" t="s">
        <v>3</v>
      </c>
      <c r="I667" s="18"/>
      <c r="J667" s="18"/>
      <c r="K667" s="19" t="s">
        <v>1142</v>
      </c>
      <c r="L667" s="275" t="s">
        <v>1605</v>
      </c>
      <c r="M667" s="275" t="s">
        <v>1627</v>
      </c>
      <c r="N667" s="19" t="s">
        <v>1770</v>
      </c>
      <c r="O667" s="143" t="s">
        <v>1771</v>
      </c>
      <c r="P667" s="143"/>
      <c r="Q667" s="143"/>
      <c r="R667" s="143"/>
      <c r="S667" s="144">
        <v>2289729</v>
      </c>
      <c r="T667" s="144"/>
      <c r="U667" s="145">
        <v>0</v>
      </c>
      <c r="V667" s="145">
        <v>0</v>
      </c>
      <c r="W667" s="145">
        <v>0</v>
      </c>
      <c r="X667" s="145">
        <f>W667+V667+U667</f>
        <v>0</v>
      </c>
      <c r="Y667" s="145">
        <v>0</v>
      </c>
      <c r="Z667" s="145">
        <v>0</v>
      </c>
      <c r="AA667" s="145">
        <v>0</v>
      </c>
      <c r="AB667" s="145">
        <v>0</v>
      </c>
      <c r="AC667" s="145">
        <v>0</v>
      </c>
      <c r="AD667" s="145">
        <v>0</v>
      </c>
      <c r="AE667" s="145">
        <v>0</v>
      </c>
      <c r="AF667" s="145">
        <v>0</v>
      </c>
      <c r="AG667" s="145">
        <v>0</v>
      </c>
      <c r="AH667" s="145">
        <v>0</v>
      </c>
      <c r="AI667" s="145">
        <v>0</v>
      </c>
      <c r="AJ667" s="145">
        <v>0</v>
      </c>
      <c r="AK667" s="145">
        <f>SUM(Y667:AJ667)</f>
        <v>0</v>
      </c>
      <c r="AL667" s="145">
        <v>0</v>
      </c>
      <c r="AM667" s="145">
        <v>0</v>
      </c>
      <c r="AN667" s="145">
        <v>0</v>
      </c>
      <c r="AO667" s="145">
        <v>0</v>
      </c>
      <c r="AP667" s="145">
        <v>0</v>
      </c>
      <c r="AQ667" s="145">
        <v>0</v>
      </c>
      <c r="AR667" s="145">
        <v>0</v>
      </c>
      <c r="AS667" s="144">
        <f>U667+V667+W667+AK667+AL667+AM667+AN667+AO667+AP667+AQ667+AR667</f>
        <v>0</v>
      </c>
      <c r="AT667" s="144"/>
      <c r="AU667" s="146">
        <v>0</v>
      </c>
      <c r="AV667" s="146">
        <f>IFERROR(VLOOKUP(J667,Maksājumu_pieprasījumu_iesn.!G:BL,57,0),0)</f>
        <v>0</v>
      </c>
      <c r="AW667" s="139">
        <f t="shared" si="194"/>
        <v>0</v>
      </c>
      <c r="AX667" s="165">
        <v>0</v>
      </c>
      <c r="AY667" s="165">
        <v>0</v>
      </c>
      <c r="AZ667" s="165"/>
      <c r="BA667" s="149" t="s">
        <v>1772</v>
      </c>
      <c r="BB667" s="144"/>
      <c r="BC667" s="144"/>
      <c r="BD667" s="144"/>
      <c r="BE667" s="144"/>
      <c r="BF667" s="144"/>
      <c r="BG667" s="144"/>
      <c r="BH667" s="149"/>
      <c r="BI667" s="149"/>
      <c r="BJ667" s="149"/>
      <c r="BK667" s="149"/>
      <c r="BL667" s="149"/>
      <c r="BM667" s="149"/>
      <c r="BN667" s="149"/>
    </row>
    <row r="668" spans="1:66" hidden="1" x14ac:dyDescent="0.2">
      <c r="A668" s="266" t="s">
        <v>1603</v>
      </c>
      <c r="B668" s="266" t="s">
        <v>1773</v>
      </c>
      <c r="C668" s="266" t="s">
        <v>1023</v>
      </c>
      <c r="D668" s="267" t="s">
        <v>1774</v>
      </c>
      <c r="E668" s="266"/>
      <c r="F668" s="266"/>
      <c r="G668" s="266" t="s">
        <v>5</v>
      </c>
      <c r="H668" s="266"/>
      <c r="I668" s="266"/>
      <c r="J668" s="266"/>
      <c r="K668" s="267"/>
      <c r="L668" s="268"/>
      <c r="M668" s="268"/>
      <c r="N668" s="267"/>
      <c r="O668" s="269"/>
      <c r="P668" s="269"/>
      <c r="Q668" s="269"/>
      <c r="R668" s="269"/>
      <c r="S668" s="270">
        <f>S669</f>
        <v>7830726</v>
      </c>
      <c r="T668" s="270">
        <f>T669</f>
        <v>7830726</v>
      </c>
      <c r="U668" s="164">
        <f>U669</f>
        <v>0</v>
      </c>
      <c r="V668" s="164">
        <f>V669</f>
        <v>0</v>
      </c>
      <c r="W668" s="164">
        <f>W669</f>
        <v>0</v>
      </c>
      <c r="X668" s="129">
        <f>U668+V668+W668</f>
        <v>0</v>
      </c>
      <c r="Y668" s="164">
        <f t="shared" ref="Y668:AT668" si="200">Y669</f>
        <v>0</v>
      </c>
      <c r="Z668" s="164">
        <f t="shared" si="200"/>
        <v>0</v>
      </c>
      <c r="AA668" s="164">
        <f t="shared" si="200"/>
        <v>0</v>
      </c>
      <c r="AB668" s="164">
        <f t="shared" si="200"/>
        <v>0</v>
      </c>
      <c r="AC668" s="164">
        <f t="shared" si="200"/>
        <v>0</v>
      </c>
      <c r="AD668" s="164">
        <f t="shared" si="200"/>
        <v>0</v>
      </c>
      <c r="AE668" s="164">
        <f t="shared" si="200"/>
        <v>0</v>
      </c>
      <c r="AF668" s="164">
        <f t="shared" si="200"/>
        <v>0</v>
      </c>
      <c r="AG668" s="164">
        <f t="shared" si="200"/>
        <v>0</v>
      </c>
      <c r="AH668" s="164">
        <f t="shared" si="200"/>
        <v>0</v>
      </c>
      <c r="AI668" s="164">
        <f t="shared" si="200"/>
        <v>0</v>
      </c>
      <c r="AJ668" s="164">
        <f t="shared" si="200"/>
        <v>0</v>
      </c>
      <c r="AK668" s="164">
        <f t="shared" si="200"/>
        <v>0</v>
      </c>
      <c r="AL668" s="164">
        <f t="shared" si="200"/>
        <v>0</v>
      </c>
      <c r="AM668" s="164">
        <f t="shared" si="200"/>
        <v>0</v>
      </c>
      <c r="AN668" s="164">
        <f t="shared" si="200"/>
        <v>0</v>
      </c>
      <c r="AO668" s="164">
        <f t="shared" si="200"/>
        <v>0</v>
      </c>
      <c r="AP668" s="164">
        <f t="shared" si="200"/>
        <v>0</v>
      </c>
      <c r="AQ668" s="164">
        <f t="shared" si="200"/>
        <v>0</v>
      </c>
      <c r="AR668" s="164">
        <f t="shared" si="200"/>
        <v>0</v>
      </c>
      <c r="AS668" s="270">
        <f t="shared" si="200"/>
        <v>0</v>
      </c>
      <c r="AT668" s="270">
        <f t="shared" si="200"/>
        <v>0</v>
      </c>
      <c r="AU668" s="271">
        <f t="shared" ref="AU668:AU731" si="201">AS668-AT668</f>
        <v>0</v>
      </c>
      <c r="AV668" s="146">
        <f>IFERROR(VLOOKUP(J668,Maksājumu_pieprasījumu_iesn.!G:BL,57,0),0)</f>
        <v>0</v>
      </c>
      <c r="AW668" s="139">
        <f t="shared" si="194"/>
        <v>0</v>
      </c>
      <c r="AX668" s="270">
        <f>AX669</f>
        <v>0</v>
      </c>
      <c r="AY668" s="270">
        <f>AY669</f>
        <v>0</v>
      </c>
      <c r="AZ668" s="270"/>
      <c r="BA668" s="270"/>
      <c r="BB668" s="270">
        <f>BB669</f>
        <v>0</v>
      </c>
      <c r="BC668" s="270">
        <f>BC669</f>
        <v>0</v>
      </c>
      <c r="BD668" s="270">
        <f>BC668*0.86</f>
        <v>0</v>
      </c>
      <c r="BE668" s="272">
        <f>BD668/0.85</f>
        <v>0</v>
      </c>
      <c r="BF668" s="270">
        <f>BF669</f>
        <v>0</v>
      </c>
      <c r="BG668" s="270">
        <f>BG669</f>
        <v>0</v>
      </c>
      <c r="BH668" s="272">
        <f>BH669</f>
        <v>0</v>
      </c>
      <c r="BI668" s="272">
        <f>BI669</f>
        <v>0</v>
      </c>
      <c r="BJ668" s="272">
        <f>AK668*0.86</f>
        <v>0</v>
      </c>
      <c r="BK668" s="272">
        <f>BJ668-BI668</f>
        <v>0</v>
      </c>
      <c r="BL668" s="272">
        <f>BL669</f>
        <v>0</v>
      </c>
      <c r="BM668" s="272">
        <f>AL668*0.86</f>
        <v>0</v>
      </c>
      <c r="BN668" s="272">
        <f>BM668-BL668</f>
        <v>0</v>
      </c>
    </row>
    <row r="669" spans="1:66" ht="12.75" hidden="1" customHeight="1" x14ac:dyDescent="0.2">
      <c r="A669" s="173" t="s">
        <v>1603</v>
      </c>
      <c r="B669" s="132" t="s">
        <v>1773</v>
      </c>
      <c r="C669" s="132" t="s">
        <v>1775</v>
      </c>
      <c r="D669" s="133" t="s">
        <v>1774</v>
      </c>
      <c r="E669" s="132" t="s">
        <v>3</v>
      </c>
      <c r="F669" s="132" t="s">
        <v>35</v>
      </c>
      <c r="G669" s="132" t="s">
        <v>5</v>
      </c>
      <c r="H669" s="132" t="s">
        <v>3</v>
      </c>
      <c r="I669" s="132" t="s">
        <v>1022</v>
      </c>
      <c r="J669" s="273" t="s">
        <v>1026</v>
      </c>
      <c r="K669" s="133"/>
      <c r="L669" s="274"/>
      <c r="M669" s="274"/>
      <c r="N669" s="133"/>
      <c r="O669" s="230"/>
      <c r="P669" s="230"/>
      <c r="Q669" s="230"/>
      <c r="R669" s="230"/>
      <c r="S669" s="165">
        <v>7830726</v>
      </c>
      <c r="T669" s="165">
        <v>7830726</v>
      </c>
      <c r="U669" s="137">
        <f>SUM(U670)</f>
        <v>0</v>
      </c>
      <c r="V669" s="137">
        <f>SUM(V670)</f>
        <v>0</v>
      </c>
      <c r="W669" s="137">
        <f>SUM(W670)</f>
        <v>0</v>
      </c>
      <c r="X669" s="138">
        <f>U669+V669+W669</f>
        <v>0</v>
      </c>
      <c r="Y669" s="137">
        <f t="shared" ref="Y669:AR669" si="202">SUM(Y670)</f>
        <v>0</v>
      </c>
      <c r="Z669" s="137">
        <f t="shared" si="202"/>
        <v>0</v>
      </c>
      <c r="AA669" s="137">
        <f t="shared" si="202"/>
        <v>0</v>
      </c>
      <c r="AB669" s="137">
        <f t="shared" si="202"/>
        <v>0</v>
      </c>
      <c r="AC669" s="137">
        <f t="shared" si="202"/>
        <v>0</v>
      </c>
      <c r="AD669" s="137">
        <f t="shared" si="202"/>
        <v>0</v>
      </c>
      <c r="AE669" s="137">
        <f t="shared" si="202"/>
        <v>0</v>
      </c>
      <c r="AF669" s="137">
        <f t="shared" si="202"/>
        <v>0</v>
      </c>
      <c r="AG669" s="137">
        <f t="shared" si="202"/>
        <v>0</v>
      </c>
      <c r="AH669" s="137">
        <f t="shared" si="202"/>
        <v>0</v>
      </c>
      <c r="AI669" s="137">
        <f t="shared" si="202"/>
        <v>0</v>
      </c>
      <c r="AJ669" s="137">
        <f t="shared" si="202"/>
        <v>0</v>
      </c>
      <c r="AK669" s="137">
        <f t="shared" si="202"/>
        <v>0</v>
      </c>
      <c r="AL669" s="137">
        <f t="shared" si="202"/>
        <v>0</v>
      </c>
      <c r="AM669" s="137">
        <f t="shared" si="202"/>
        <v>0</v>
      </c>
      <c r="AN669" s="137">
        <f t="shared" si="202"/>
        <v>0</v>
      </c>
      <c r="AO669" s="137">
        <f t="shared" si="202"/>
        <v>0</v>
      </c>
      <c r="AP669" s="137">
        <f t="shared" si="202"/>
        <v>0</v>
      </c>
      <c r="AQ669" s="137">
        <f t="shared" si="202"/>
        <v>0</v>
      </c>
      <c r="AR669" s="137">
        <f t="shared" si="202"/>
        <v>0</v>
      </c>
      <c r="AS669" s="165">
        <f>U669+V669+W669+AK669+AL669+AM669+AN669+AO669+AP669+AQ669+AR669</f>
        <v>0</v>
      </c>
      <c r="AT669" s="165">
        <f>AT670</f>
        <v>0</v>
      </c>
      <c r="AU669" s="146">
        <f t="shared" si="201"/>
        <v>0</v>
      </c>
      <c r="AV669" s="146">
        <f>IFERROR(VLOOKUP(J669,Maksājumu_pieprasījumu_iesn.!G:BL,57,0),0)</f>
        <v>0</v>
      </c>
      <c r="AW669" s="139">
        <f t="shared" si="194"/>
        <v>0</v>
      </c>
      <c r="AX669" s="231">
        <f>S669-T669-AU669</f>
        <v>0</v>
      </c>
      <c r="AY669" s="165"/>
      <c r="AZ669" s="165"/>
      <c r="BA669" s="149"/>
      <c r="BB669" s="231"/>
      <c r="BC669" s="231">
        <f>X669+AK669+AL669/2</f>
        <v>0</v>
      </c>
      <c r="BD669" s="231"/>
      <c r="BE669" s="231">
        <f>BC669/0.85</f>
        <v>0</v>
      </c>
      <c r="BF669" s="165"/>
      <c r="BG669" s="165"/>
      <c r="BH669" s="149">
        <v>0</v>
      </c>
      <c r="BI669" s="149">
        <v>0</v>
      </c>
      <c r="BJ669" s="149"/>
      <c r="BK669" s="149"/>
      <c r="BL669" s="149">
        <v>0</v>
      </c>
      <c r="BM669" s="149"/>
      <c r="BN669" s="149"/>
    </row>
    <row r="670" spans="1:66" ht="12.75" hidden="1" customHeight="1" x14ac:dyDescent="0.2">
      <c r="A670" s="142" t="s">
        <v>1603</v>
      </c>
      <c r="B670" s="18" t="s">
        <v>1773</v>
      </c>
      <c r="C670" s="18" t="s">
        <v>1773</v>
      </c>
      <c r="D670" s="19" t="s">
        <v>1774</v>
      </c>
      <c r="E670" s="18" t="s">
        <v>3</v>
      </c>
      <c r="F670" s="18" t="s">
        <v>35</v>
      </c>
      <c r="G670" s="18" t="s">
        <v>5</v>
      </c>
      <c r="H670" s="18" t="s">
        <v>3</v>
      </c>
      <c r="I670" s="18"/>
      <c r="J670" s="18"/>
      <c r="K670" s="19"/>
      <c r="L670" s="275"/>
      <c r="M670" s="275"/>
      <c r="N670" s="19"/>
      <c r="O670" s="143"/>
      <c r="P670" s="143"/>
      <c r="Q670" s="143"/>
      <c r="R670" s="143"/>
      <c r="S670" s="144"/>
      <c r="T670" s="144"/>
      <c r="U670" s="145">
        <v>0</v>
      </c>
      <c r="V670" s="145">
        <v>0</v>
      </c>
      <c r="W670" s="145">
        <v>0</v>
      </c>
      <c r="X670" s="145">
        <f>W670+V670+U670</f>
        <v>0</v>
      </c>
      <c r="Y670" s="145">
        <v>0</v>
      </c>
      <c r="Z670" s="145">
        <v>0</v>
      </c>
      <c r="AA670" s="145">
        <v>0</v>
      </c>
      <c r="AB670" s="145">
        <v>0</v>
      </c>
      <c r="AC670" s="145">
        <v>0</v>
      </c>
      <c r="AD670" s="145">
        <v>0</v>
      </c>
      <c r="AE670" s="145">
        <v>0</v>
      </c>
      <c r="AF670" s="145">
        <v>0</v>
      </c>
      <c r="AG670" s="145">
        <v>0</v>
      </c>
      <c r="AH670" s="145">
        <v>0</v>
      </c>
      <c r="AI670" s="145">
        <v>0</v>
      </c>
      <c r="AJ670" s="145">
        <v>0</v>
      </c>
      <c r="AK670" s="145">
        <f>SUM(Y670:AJ670)</f>
        <v>0</v>
      </c>
      <c r="AL670" s="145">
        <v>0</v>
      </c>
      <c r="AM670" s="145">
        <v>0</v>
      </c>
      <c r="AN670" s="145">
        <v>0</v>
      </c>
      <c r="AO670" s="145">
        <v>0</v>
      </c>
      <c r="AP670" s="145">
        <v>0</v>
      </c>
      <c r="AQ670" s="145">
        <v>0</v>
      </c>
      <c r="AR670" s="145">
        <v>0</v>
      </c>
      <c r="AS670" s="144">
        <f>U670+V670+W670+AK670+AL670+AM670+AN670+AO670+AP670+AQ670+AR670</f>
        <v>0</v>
      </c>
      <c r="AT670" s="144"/>
      <c r="AU670" s="146">
        <f t="shared" si="201"/>
        <v>0</v>
      </c>
      <c r="AV670" s="146">
        <f>IFERROR(VLOOKUP(J670,Maksājumu_pieprasījumu_iesn.!G:BL,57,0),0)</f>
        <v>0</v>
      </c>
      <c r="AW670" s="139">
        <f t="shared" si="194"/>
        <v>0</v>
      </c>
      <c r="AX670" s="147"/>
      <c r="AY670" s="147"/>
      <c r="AZ670" s="147"/>
      <c r="BA670" s="165"/>
      <c r="BB670" s="144"/>
      <c r="BC670" s="144"/>
      <c r="BD670" s="144"/>
      <c r="BE670" s="144"/>
      <c r="BF670" s="144"/>
      <c r="BG670" s="144"/>
      <c r="BH670" s="149"/>
      <c r="BI670" s="149"/>
      <c r="BJ670" s="149"/>
      <c r="BK670" s="149"/>
      <c r="BL670" s="149"/>
      <c r="BM670" s="149"/>
      <c r="BN670" s="149"/>
    </row>
    <row r="671" spans="1:66" ht="25.5" hidden="1" x14ac:dyDescent="0.2">
      <c r="A671" s="266" t="s">
        <v>1603</v>
      </c>
      <c r="B671" s="266" t="s">
        <v>1776</v>
      </c>
      <c r="C671" s="266" t="s">
        <v>1023</v>
      </c>
      <c r="D671" s="267" t="s">
        <v>1777</v>
      </c>
      <c r="E671" s="266"/>
      <c r="F671" s="266"/>
      <c r="G671" s="266" t="s">
        <v>5</v>
      </c>
      <c r="H671" s="266"/>
      <c r="I671" s="266"/>
      <c r="J671" s="266"/>
      <c r="K671" s="267"/>
      <c r="L671" s="268"/>
      <c r="M671" s="268"/>
      <c r="N671" s="267"/>
      <c r="O671" s="269"/>
      <c r="P671" s="269"/>
      <c r="Q671" s="269"/>
      <c r="R671" s="269"/>
      <c r="S671" s="270">
        <f>S672+S679+S684</f>
        <v>35190555</v>
      </c>
      <c r="T671" s="270">
        <f>T672+T679</f>
        <v>2142678</v>
      </c>
      <c r="U671" s="164">
        <f>U672+U679</f>
        <v>0</v>
      </c>
      <c r="V671" s="164">
        <f>V672+V679</f>
        <v>0</v>
      </c>
      <c r="W671" s="164">
        <f>W672+W679</f>
        <v>0</v>
      </c>
      <c r="X671" s="129">
        <f>U671+V671+W671</f>
        <v>0</v>
      </c>
      <c r="Y671" s="164">
        <f t="shared" ref="Y671:AT671" si="203">Y672+Y679</f>
        <v>0</v>
      </c>
      <c r="Z671" s="164">
        <f t="shared" si="203"/>
        <v>0</v>
      </c>
      <c r="AA671" s="164">
        <f t="shared" si="203"/>
        <v>0</v>
      </c>
      <c r="AB671" s="164">
        <f t="shared" si="203"/>
        <v>0</v>
      </c>
      <c r="AC671" s="164">
        <f t="shared" si="203"/>
        <v>0</v>
      </c>
      <c r="AD671" s="164">
        <f t="shared" si="203"/>
        <v>0</v>
      </c>
      <c r="AE671" s="164">
        <f t="shared" si="203"/>
        <v>0</v>
      </c>
      <c r="AF671" s="164">
        <f t="shared" si="203"/>
        <v>0</v>
      </c>
      <c r="AG671" s="164">
        <f t="shared" si="203"/>
        <v>0</v>
      </c>
      <c r="AH671" s="164">
        <f t="shared" si="203"/>
        <v>0</v>
      </c>
      <c r="AI671" s="164">
        <f t="shared" si="203"/>
        <v>0</v>
      </c>
      <c r="AJ671" s="164">
        <f t="shared" si="203"/>
        <v>312098.78999999998</v>
      </c>
      <c r="AK671" s="164">
        <f t="shared" si="203"/>
        <v>312098.78999999998</v>
      </c>
      <c r="AL671" s="164">
        <f t="shared" si="203"/>
        <v>25690852.629999999</v>
      </c>
      <c r="AM671" s="164">
        <f t="shared" si="203"/>
        <v>6442505.3700000001</v>
      </c>
      <c r="AN671" s="164">
        <f t="shared" si="203"/>
        <v>537732.92000000004</v>
      </c>
      <c r="AO671" s="164">
        <f t="shared" si="203"/>
        <v>0</v>
      </c>
      <c r="AP671" s="164">
        <f t="shared" si="203"/>
        <v>0</v>
      </c>
      <c r="AQ671" s="164">
        <f t="shared" si="203"/>
        <v>0</v>
      </c>
      <c r="AR671" s="164">
        <f t="shared" si="203"/>
        <v>0</v>
      </c>
      <c r="AS671" s="270">
        <f t="shared" si="203"/>
        <v>32983189.709999993</v>
      </c>
      <c r="AT671" s="270">
        <f t="shared" si="203"/>
        <v>0</v>
      </c>
      <c r="AU671" s="271">
        <f t="shared" si="201"/>
        <v>32983189.709999993</v>
      </c>
      <c r="AV671" s="146">
        <f>IFERROR(VLOOKUP(J671,Maksājumu_pieprasījumu_iesn.!G:BL,57,0),0)</f>
        <v>0</v>
      </c>
      <c r="AW671" s="139">
        <f t="shared" si="194"/>
        <v>-32983189.709999993</v>
      </c>
      <c r="AX671" s="270">
        <f>AX672+AX679</f>
        <v>0.29000000469386578</v>
      </c>
      <c r="AY671" s="270">
        <f>AY672+AY679+AY684</f>
        <v>64687</v>
      </c>
      <c r="AZ671" s="270"/>
      <c r="BA671" s="272" t="s">
        <v>1778</v>
      </c>
      <c r="BB671" s="270">
        <f>BB672+BB679</f>
        <v>0</v>
      </c>
      <c r="BC671" s="270">
        <f>BC672+BC679</f>
        <v>13157525.105</v>
      </c>
      <c r="BD671" s="270">
        <f>BC671*0.86</f>
        <v>11315471.590299999</v>
      </c>
      <c r="BE671" s="272">
        <f>BD671/0.85</f>
        <v>13312319.517999999</v>
      </c>
      <c r="BF671" s="270">
        <f>BF672+BF679</f>
        <v>0</v>
      </c>
      <c r="BG671" s="270">
        <f>BG672+BG679</f>
        <v>0</v>
      </c>
      <c r="BH671" s="272">
        <f>BH672+BH679</f>
        <v>0</v>
      </c>
      <c r="BI671" s="272">
        <f>BI672+BI679</f>
        <v>1359235.1868750001</v>
      </c>
      <c r="BJ671" s="272">
        <f>AK671*0.86</f>
        <v>268404.95939999999</v>
      </c>
      <c r="BK671" s="272">
        <f>BJ671-BI671</f>
        <v>-1090830.2274750001</v>
      </c>
      <c r="BL671" s="272">
        <f>BL672+BL679</f>
        <v>3602815.9220779203</v>
      </c>
      <c r="BM671" s="272">
        <f>AL671*0.86</f>
        <v>22094133.261799999</v>
      </c>
      <c r="BN671" s="272">
        <f>BM671-BL671</f>
        <v>18491317.339722078</v>
      </c>
    </row>
    <row r="672" spans="1:66" ht="114.75" hidden="1" customHeight="1" x14ac:dyDescent="0.2">
      <c r="A672" s="173" t="s">
        <v>1603</v>
      </c>
      <c r="B672" s="132" t="s">
        <v>1776</v>
      </c>
      <c r="C672" s="132" t="s">
        <v>1779</v>
      </c>
      <c r="D672" s="133" t="s">
        <v>1777</v>
      </c>
      <c r="E672" s="132">
        <v>1</v>
      </c>
      <c r="F672" s="132" t="s">
        <v>807</v>
      </c>
      <c r="G672" s="132" t="s">
        <v>5</v>
      </c>
      <c r="H672" s="132" t="s">
        <v>3</v>
      </c>
      <c r="I672" s="132" t="s">
        <v>1022</v>
      </c>
      <c r="J672" s="273" t="s">
        <v>1026</v>
      </c>
      <c r="K672" s="133"/>
      <c r="L672" s="274"/>
      <c r="M672" s="274"/>
      <c r="N672" s="133"/>
      <c r="O672" s="230"/>
      <c r="P672" s="230"/>
      <c r="Q672" s="230"/>
      <c r="R672" s="230"/>
      <c r="S672" s="165">
        <v>20150000</v>
      </c>
      <c r="T672" s="165">
        <v>1229150</v>
      </c>
      <c r="U672" s="137">
        <f>SUM(U673:U678)</f>
        <v>0</v>
      </c>
      <c r="V672" s="137">
        <f>SUM(V673:V678)</f>
        <v>0</v>
      </c>
      <c r="W672" s="137">
        <f>SUM(W673:W678)</f>
        <v>0</v>
      </c>
      <c r="X672" s="138">
        <f>U672+V672+W672</f>
        <v>0</v>
      </c>
      <c r="Y672" s="137">
        <f t="shared" ref="Y672:AR672" si="204">SUM(Y673:Y678)</f>
        <v>0</v>
      </c>
      <c r="Z672" s="137">
        <f t="shared" si="204"/>
        <v>0</v>
      </c>
      <c r="AA672" s="137">
        <f t="shared" si="204"/>
        <v>0</v>
      </c>
      <c r="AB672" s="137">
        <f t="shared" si="204"/>
        <v>0</v>
      </c>
      <c r="AC672" s="137">
        <f t="shared" si="204"/>
        <v>0</v>
      </c>
      <c r="AD672" s="137">
        <f t="shared" si="204"/>
        <v>0</v>
      </c>
      <c r="AE672" s="137">
        <f t="shared" si="204"/>
        <v>0</v>
      </c>
      <c r="AF672" s="137">
        <f t="shared" si="204"/>
        <v>0</v>
      </c>
      <c r="AG672" s="137">
        <f t="shared" si="204"/>
        <v>0</v>
      </c>
      <c r="AH672" s="137">
        <f t="shared" si="204"/>
        <v>0</v>
      </c>
      <c r="AI672" s="137">
        <f t="shared" si="204"/>
        <v>0</v>
      </c>
      <c r="AJ672" s="137">
        <f t="shared" si="204"/>
        <v>0</v>
      </c>
      <c r="AK672" s="137">
        <f t="shared" si="204"/>
        <v>0</v>
      </c>
      <c r="AL672" s="137">
        <f t="shared" si="204"/>
        <v>14665358.119999999</v>
      </c>
      <c r="AM672" s="137">
        <f t="shared" si="204"/>
        <v>4162992</v>
      </c>
      <c r="AN672" s="137">
        <f t="shared" si="204"/>
        <v>92500</v>
      </c>
      <c r="AO672" s="137">
        <f t="shared" si="204"/>
        <v>0</v>
      </c>
      <c r="AP672" s="137">
        <f t="shared" si="204"/>
        <v>0</v>
      </c>
      <c r="AQ672" s="137">
        <f t="shared" si="204"/>
        <v>0</v>
      </c>
      <c r="AR672" s="137">
        <f t="shared" si="204"/>
        <v>0</v>
      </c>
      <c r="AS672" s="165">
        <f t="shared" ref="AS672:AS683" si="205">U672+V672+W672+AK672+AL672+AM672+AN672+AO672+AP672+AQ672+AR672</f>
        <v>18920850.119999997</v>
      </c>
      <c r="AT672" s="165">
        <f>SUM(AT673:AT678)</f>
        <v>0</v>
      </c>
      <c r="AU672" s="146">
        <f t="shared" si="201"/>
        <v>18920850.119999997</v>
      </c>
      <c r="AV672" s="146">
        <f>IFERROR(VLOOKUP(J672,Maksājumu_pieprasījumu_iesn.!G:BL,57,0),0)</f>
        <v>0</v>
      </c>
      <c r="AW672" s="139">
        <f t="shared" si="194"/>
        <v>-18920850.119999997</v>
      </c>
      <c r="AX672" s="231">
        <f>S672-T672-AU672</f>
        <v>-0.11999999731779099</v>
      </c>
      <c r="AY672" s="165"/>
      <c r="AZ672" s="165"/>
      <c r="BA672" s="149" t="s">
        <v>1780</v>
      </c>
      <c r="BB672" s="231"/>
      <c r="BC672" s="231">
        <f>X672+AK672+AL672/2</f>
        <v>7332679.0599999996</v>
      </c>
      <c r="BD672" s="231"/>
      <c r="BE672" s="231">
        <f>BC672/0.85</f>
        <v>8626681.2470588237</v>
      </c>
      <c r="BF672" s="165"/>
      <c r="BG672" s="165"/>
      <c r="BH672" s="149">
        <v>0</v>
      </c>
      <c r="BI672" s="149">
        <v>779860.18687500001</v>
      </c>
      <c r="BJ672" s="149"/>
      <c r="BK672" s="149"/>
      <c r="BL672" s="149">
        <v>2067113</v>
      </c>
      <c r="BM672" s="149"/>
      <c r="BN672" s="149"/>
    </row>
    <row r="673" spans="1:66" ht="38.25" hidden="1" customHeight="1" x14ac:dyDescent="0.2">
      <c r="A673" s="142" t="s">
        <v>1603</v>
      </c>
      <c r="B673" s="18" t="s">
        <v>1776</v>
      </c>
      <c r="C673" s="18" t="s">
        <v>1779</v>
      </c>
      <c r="D673" s="19" t="s">
        <v>1777</v>
      </c>
      <c r="E673" s="18">
        <v>1</v>
      </c>
      <c r="F673" s="18" t="s">
        <v>807</v>
      </c>
      <c r="G673" s="18" t="s">
        <v>5</v>
      </c>
      <c r="H673" s="18" t="s">
        <v>3</v>
      </c>
      <c r="I673" s="18"/>
      <c r="J673" s="18"/>
      <c r="K673" s="19" t="s">
        <v>920</v>
      </c>
      <c r="L673" s="275" t="s">
        <v>1605</v>
      </c>
      <c r="M673" s="275" t="s">
        <v>1606</v>
      </c>
      <c r="N673" s="19" t="s">
        <v>1781</v>
      </c>
      <c r="O673" s="143">
        <v>42916</v>
      </c>
      <c r="P673" s="143"/>
      <c r="Q673" s="143"/>
      <c r="R673" s="143"/>
      <c r="S673" s="144"/>
      <c r="T673" s="144"/>
      <c r="U673" s="145">
        <v>0</v>
      </c>
      <c r="V673" s="145">
        <v>0</v>
      </c>
      <c r="W673" s="145">
        <v>0</v>
      </c>
      <c r="X673" s="145">
        <f t="shared" ref="X673:X678" si="206">W673+V673+U673</f>
        <v>0</v>
      </c>
      <c r="Y673" s="145">
        <v>0</v>
      </c>
      <c r="Z673" s="145">
        <v>0</v>
      </c>
      <c r="AA673" s="145">
        <v>0</v>
      </c>
      <c r="AB673" s="145">
        <v>0</v>
      </c>
      <c r="AC673" s="145">
        <v>0</v>
      </c>
      <c r="AD673" s="145">
        <v>0</v>
      </c>
      <c r="AE673" s="145">
        <v>0</v>
      </c>
      <c r="AF673" s="145">
        <v>0</v>
      </c>
      <c r="AG673" s="145">
        <v>0</v>
      </c>
      <c r="AH673" s="145">
        <v>0</v>
      </c>
      <c r="AI673" s="145">
        <v>0</v>
      </c>
      <c r="AJ673" s="145">
        <v>0</v>
      </c>
      <c r="AK673" s="145">
        <f t="shared" ref="AK673:AK678" si="207">SUM(Y673:AJ673)</f>
        <v>0</v>
      </c>
      <c r="AL673" s="145">
        <v>4322420</v>
      </c>
      <c r="AM673" s="145">
        <v>1311580</v>
      </c>
      <c r="AN673" s="145">
        <v>0</v>
      </c>
      <c r="AO673" s="145">
        <v>0</v>
      </c>
      <c r="AP673" s="145">
        <v>0</v>
      </c>
      <c r="AQ673" s="145">
        <v>0</v>
      </c>
      <c r="AR673" s="145">
        <v>0</v>
      </c>
      <c r="AS673" s="144">
        <f t="shared" si="205"/>
        <v>5634000</v>
      </c>
      <c r="AT673" s="144">
        <v>0</v>
      </c>
      <c r="AU673" s="146">
        <f t="shared" si="201"/>
        <v>5634000</v>
      </c>
      <c r="AV673" s="146">
        <f>IFERROR(VLOOKUP(J673,Maksājumu_pieprasījumu_iesn.!G:BL,57,0),0)</f>
        <v>0</v>
      </c>
      <c r="AW673" s="139">
        <f t="shared" si="194"/>
        <v>-5634000</v>
      </c>
      <c r="AX673" s="147"/>
      <c r="AY673" s="147"/>
      <c r="AZ673" s="147"/>
      <c r="BA673" s="149" t="s">
        <v>1782</v>
      </c>
      <c r="BB673" s="144"/>
      <c r="BC673" s="144"/>
      <c r="BD673" s="144"/>
      <c r="BE673" s="144"/>
      <c r="BF673" s="144"/>
      <c r="BG673" s="144"/>
      <c r="BH673" s="149"/>
      <c r="BI673" s="149"/>
      <c r="BJ673" s="149"/>
      <c r="BK673" s="149"/>
      <c r="BL673" s="149"/>
      <c r="BM673" s="149"/>
      <c r="BN673" s="149"/>
    </row>
    <row r="674" spans="1:66" ht="38.25" hidden="1" customHeight="1" x14ac:dyDescent="0.2">
      <c r="A674" s="142" t="s">
        <v>1603</v>
      </c>
      <c r="B674" s="18" t="s">
        <v>1776</v>
      </c>
      <c r="C674" s="18" t="s">
        <v>1779</v>
      </c>
      <c r="D674" s="19" t="s">
        <v>1777</v>
      </c>
      <c r="E674" s="18">
        <v>1</v>
      </c>
      <c r="F674" s="18" t="s">
        <v>807</v>
      </c>
      <c r="G674" s="18" t="s">
        <v>5</v>
      </c>
      <c r="H674" s="18" t="s">
        <v>3</v>
      </c>
      <c r="I674" s="18"/>
      <c r="J674" s="18"/>
      <c r="K674" s="19" t="s">
        <v>1783</v>
      </c>
      <c r="L674" s="275" t="s">
        <v>1605</v>
      </c>
      <c r="M674" s="275" t="s">
        <v>1606</v>
      </c>
      <c r="N674" s="19" t="s">
        <v>1784</v>
      </c>
      <c r="O674" s="143">
        <v>42978</v>
      </c>
      <c r="P674" s="143"/>
      <c r="Q674" s="143"/>
      <c r="R674" s="143"/>
      <c r="S674" s="144"/>
      <c r="T674" s="144"/>
      <c r="U674" s="145">
        <v>0</v>
      </c>
      <c r="V674" s="145">
        <v>0</v>
      </c>
      <c r="W674" s="145">
        <v>0</v>
      </c>
      <c r="X674" s="145">
        <f t="shared" si="206"/>
        <v>0</v>
      </c>
      <c r="Y674" s="145">
        <v>0</v>
      </c>
      <c r="Z674" s="145">
        <v>0</v>
      </c>
      <c r="AA674" s="145">
        <v>0</v>
      </c>
      <c r="AB674" s="145">
        <v>0</v>
      </c>
      <c r="AC674" s="145">
        <v>0</v>
      </c>
      <c r="AD674" s="145">
        <v>0</v>
      </c>
      <c r="AE674" s="145">
        <v>0</v>
      </c>
      <c r="AF674" s="145">
        <v>0</v>
      </c>
      <c r="AG674" s="145">
        <v>0</v>
      </c>
      <c r="AH674" s="145">
        <v>0</v>
      </c>
      <c r="AI674" s="145">
        <v>0</v>
      </c>
      <c r="AJ674" s="145">
        <v>0</v>
      </c>
      <c r="AK674" s="145">
        <f t="shared" si="207"/>
        <v>0</v>
      </c>
      <c r="AL674" s="145">
        <v>2532400</v>
      </c>
      <c r="AM674" s="145">
        <v>425450</v>
      </c>
      <c r="AN674" s="145">
        <v>0</v>
      </c>
      <c r="AO674" s="145">
        <v>0</v>
      </c>
      <c r="AP674" s="145">
        <v>0</v>
      </c>
      <c r="AQ674" s="145">
        <v>0</v>
      </c>
      <c r="AR674" s="145">
        <v>0</v>
      </c>
      <c r="AS674" s="144">
        <f t="shared" si="205"/>
        <v>2957850</v>
      </c>
      <c r="AT674" s="144">
        <v>0</v>
      </c>
      <c r="AU674" s="146">
        <f t="shared" si="201"/>
        <v>2957850</v>
      </c>
      <c r="AV674" s="146">
        <f>IFERROR(VLOOKUP(J674,Maksājumu_pieprasījumu_iesn.!G:BL,57,0),0)</f>
        <v>0</v>
      </c>
      <c r="AW674" s="139">
        <f t="shared" si="194"/>
        <v>-2957850</v>
      </c>
      <c r="AX674" s="147"/>
      <c r="AY674" s="147"/>
      <c r="AZ674" s="147"/>
      <c r="BA674" s="149" t="s">
        <v>1782</v>
      </c>
      <c r="BB674" s="144"/>
      <c r="BC674" s="144"/>
      <c r="BD674" s="144"/>
      <c r="BE674" s="144"/>
      <c r="BF674" s="144"/>
      <c r="BG674" s="144"/>
      <c r="BH674" s="149"/>
      <c r="BI674" s="149"/>
      <c r="BJ674" s="149"/>
      <c r="BK674" s="149"/>
      <c r="BL674" s="149"/>
      <c r="BM674" s="149"/>
      <c r="BN674" s="149"/>
    </row>
    <row r="675" spans="1:66" ht="38.25" hidden="1" customHeight="1" x14ac:dyDescent="0.2">
      <c r="A675" s="142" t="s">
        <v>1603</v>
      </c>
      <c r="B675" s="18" t="s">
        <v>1776</v>
      </c>
      <c r="C675" s="18" t="s">
        <v>1779</v>
      </c>
      <c r="D675" s="19" t="s">
        <v>1777</v>
      </c>
      <c r="E675" s="18">
        <v>1</v>
      </c>
      <c r="F675" s="18" t="s">
        <v>807</v>
      </c>
      <c r="G675" s="18" t="s">
        <v>5</v>
      </c>
      <c r="H675" s="18" t="s">
        <v>3</v>
      </c>
      <c r="I675" s="18"/>
      <c r="J675" s="18"/>
      <c r="K675" s="19" t="s">
        <v>893</v>
      </c>
      <c r="L675" s="275" t="s">
        <v>1605</v>
      </c>
      <c r="M675" s="275" t="s">
        <v>1606</v>
      </c>
      <c r="N675" s="19" t="s">
        <v>1785</v>
      </c>
      <c r="O675" s="143" t="s">
        <v>1786</v>
      </c>
      <c r="P675" s="143"/>
      <c r="Q675" s="143"/>
      <c r="R675" s="143"/>
      <c r="S675" s="144"/>
      <c r="T675" s="144"/>
      <c r="U675" s="145">
        <v>0</v>
      </c>
      <c r="V675" s="145">
        <v>0</v>
      </c>
      <c r="W675" s="145">
        <v>0</v>
      </c>
      <c r="X675" s="145">
        <f t="shared" si="206"/>
        <v>0</v>
      </c>
      <c r="Y675" s="145">
        <v>0</v>
      </c>
      <c r="Z675" s="145">
        <v>0</v>
      </c>
      <c r="AA675" s="145">
        <v>0</v>
      </c>
      <c r="AB675" s="145">
        <v>0</v>
      </c>
      <c r="AC675" s="145">
        <v>0</v>
      </c>
      <c r="AD675" s="145">
        <v>0</v>
      </c>
      <c r="AE675" s="145">
        <v>0</v>
      </c>
      <c r="AF675" s="145">
        <v>0</v>
      </c>
      <c r="AG675" s="145">
        <v>0</v>
      </c>
      <c r="AH675" s="145">
        <v>0</v>
      </c>
      <c r="AI675" s="145">
        <v>0</v>
      </c>
      <c r="AJ675" s="145">
        <v>0</v>
      </c>
      <c r="AK675" s="145">
        <f t="shared" si="207"/>
        <v>0</v>
      </c>
      <c r="AL675" s="145">
        <v>3851778</v>
      </c>
      <c r="AM675" s="145">
        <v>843222</v>
      </c>
      <c r="AN675" s="145">
        <f>305000-305000</f>
        <v>0</v>
      </c>
      <c r="AO675" s="145">
        <v>0</v>
      </c>
      <c r="AP675" s="145">
        <v>0</v>
      </c>
      <c r="AQ675" s="145">
        <v>0</v>
      </c>
      <c r="AR675" s="145">
        <v>0</v>
      </c>
      <c r="AS675" s="144">
        <f t="shared" si="205"/>
        <v>4695000</v>
      </c>
      <c r="AT675" s="144">
        <v>0</v>
      </c>
      <c r="AU675" s="146">
        <f t="shared" si="201"/>
        <v>4695000</v>
      </c>
      <c r="AV675" s="146">
        <f>IFERROR(VLOOKUP(J675,Maksājumu_pieprasījumu_iesn.!G:BL,57,0),0)</f>
        <v>0</v>
      </c>
      <c r="AW675" s="139">
        <f t="shared" si="194"/>
        <v>-4695000</v>
      </c>
      <c r="AX675" s="147"/>
      <c r="AY675" s="147"/>
      <c r="AZ675" s="147"/>
      <c r="BA675" s="149" t="s">
        <v>1782</v>
      </c>
      <c r="BB675" s="144"/>
      <c r="BC675" s="144"/>
      <c r="BD675" s="144"/>
      <c r="BE675" s="144"/>
      <c r="BF675" s="144"/>
      <c r="BG675" s="144"/>
      <c r="BH675" s="149"/>
      <c r="BI675" s="149"/>
      <c r="BJ675" s="149"/>
      <c r="BK675" s="149"/>
      <c r="BL675" s="149"/>
      <c r="BM675" s="149"/>
      <c r="BN675" s="149"/>
    </row>
    <row r="676" spans="1:66" ht="63.75" hidden="1" customHeight="1" x14ac:dyDescent="0.2">
      <c r="A676" s="142" t="s">
        <v>1603</v>
      </c>
      <c r="B676" s="18" t="s">
        <v>1776</v>
      </c>
      <c r="C676" s="18" t="s">
        <v>1779</v>
      </c>
      <c r="D676" s="19" t="s">
        <v>1777</v>
      </c>
      <c r="E676" s="18">
        <v>1</v>
      </c>
      <c r="F676" s="18" t="s">
        <v>807</v>
      </c>
      <c r="G676" s="18" t="s">
        <v>5</v>
      </c>
      <c r="H676" s="18" t="s">
        <v>3</v>
      </c>
      <c r="I676" s="18"/>
      <c r="J676" s="18"/>
      <c r="K676" s="19" t="s">
        <v>519</v>
      </c>
      <c r="L676" s="275" t="s">
        <v>1605</v>
      </c>
      <c r="M676" s="275" t="s">
        <v>1606</v>
      </c>
      <c r="N676" s="19" t="s">
        <v>1787</v>
      </c>
      <c r="O676" s="143">
        <v>42916</v>
      </c>
      <c r="P676" s="143"/>
      <c r="Q676" s="143"/>
      <c r="R676" s="143"/>
      <c r="S676" s="144"/>
      <c r="T676" s="144"/>
      <c r="U676" s="145">
        <v>0</v>
      </c>
      <c r="V676" s="145">
        <v>0</v>
      </c>
      <c r="W676" s="145">
        <v>0</v>
      </c>
      <c r="X676" s="145">
        <f t="shared" si="206"/>
        <v>0</v>
      </c>
      <c r="Y676" s="145">
        <v>0</v>
      </c>
      <c r="Z676" s="145">
        <v>0</v>
      </c>
      <c r="AA676" s="145">
        <v>0</v>
      </c>
      <c r="AB676" s="145">
        <v>0</v>
      </c>
      <c r="AC676" s="145">
        <v>0</v>
      </c>
      <c r="AD676" s="145">
        <v>0</v>
      </c>
      <c r="AE676" s="145">
        <v>0</v>
      </c>
      <c r="AF676" s="145">
        <v>0</v>
      </c>
      <c r="AG676" s="145">
        <v>0</v>
      </c>
      <c r="AH676" s="145">
        <v>0</v>
      </c>
      <c r="AI676" s="145">
        <v>0</v>
      </c>
      <c r="AJ676" s="145">
        <v>0</v>
      </c>
      <c r="AK676" s="145">
        <f t="shared" si="207"/>
        <v>0</v>
      </c>
      <c r="AL676" s="145">
        <v>1640000</v>
      </c>
      <c r="AM676" s="145">
        <v>615000</v>
      </c>
      <c r="AN676" s="224">
        <f>245000-152500</f>
        <v>92500</v>
      </c>
      <c r="AO676" s="145">
        <v>0</v>
      </c>
      <c r="AP676" s="145">
        <v>0</v>
      </c>
      <c r="AQ676" s="145">
        <v>0</v>
      </c>
      <c r="AR676" s="145">
        <v>0</v>
      </c>
      <c r="AS676" s="144">
        <f t="shared" si="205"/>
        <v>2347500</v>
      </c>
      <c r="AT676" s="144">
        <v>0</v>
      </c>
      <c r="AU676" s="146">
        <f t="shared" si="201"/>
        <v>2347500</v>
      </c>
      <c r="AV676" s="146">
        <f>IFERROR(VLOOKUP(J676,Maksājumu_pieprasījumu_iesn.!G:BL,57,0),0)</f>
        <v>0</v>
      </c>
      <c r="AW676" s="139">
        <f t="shared" si="194"/>
        <v>-2347500</v>
      </c>
      <c r="AX676" s="147"/>
      <c r="AY676" s="147"/>
      <c r="AZ676" s="147"/>
      <c r="BA676" s="149" t="s">
        <v>1782</v>
      </c>
      <c r="BB676" s="144"/>
      <c r="BC676" s="144"/>
      <c r="BD676" s="144"/>
      <c r="BE676" s="144"/>
      <c r="BF676" s="144"/>
      <c r="BG676" s="144"/>
      <c r="BH676" s="149"/>
      <c r="BI676" s="149"/>
      <c r="BJ676" s="149"/>
      <c r="BK676" s="149"/>
      <c r="BL676" s="149"/>
      <c r="BM676" s="149"/>
      <c r="BN676" s="149"/>
    </row>
    <row r="677" spans="1:66" ht="38.25" hidden="1" customHeight="1" x14ac:dyDescent="0.2">
      <c r="A677" s="142" t="s">
        <v>1603</v>
      </c>
      <c r="B677" s="18" t="s">
        <v>1776</v>
      </c>
      <c r="C677" s="18" t="s">
        <v>1779</v>
      </c>
      <c r="D677" s="19" t="s">
        <v>1777</v>
      </c>
      <c r="E677" s="18">
        <v>1</v>
      </c>
      <c r="F677" s="18" t="s">
        <v>807</v>
      </c>
      <c r="G677" s="18" t="s">
        <v>5</v>
      </c>
      <c r="H677" s="18" t="s">
        <v>3</v>
      </c>
      <c r="I677" s="18"/>
      <c r="J677" s="18"/>
      <c r="K677" s="19" t="s">
        <v>1788</v>
      </c>
      <c r="L677" s="275" t="s">
        <v>1605</v>
      </c>
      <c r="M677" s="275" t="s">
        <v>1606</v>
      </c>
      <c r="N677" s="19" t="s">
        <v>1789</v>
      </c>
      <c r="O677" s="143">
        <v>42886</v>
      </c>
      <c r="P677" s="143"/>
      <c r="Q677" s="143"/>
      <c r="R677" s="143"/>
      <c r="S677" s="144"/>
      <c r="T677" s="144"/>
      <c r="U677" s="145">
        <v>0</v>
      </c>
      <c r="V677" s="145">
        <v>0</v>
      </c>
      <c r="W677" s="145">
        <v>0</v>
      </c>
      <c r="X677" s="145">
        <f t="shared" si="206"/>
        <v>0</v>
      </c>
      <c r="Y677" s="145">
        <v>0</v>
      </c>
      <c r="Z677" s="145">
        <v>0</v>
      </c>
      <c r="AA677" s="145">
        <v>0</v>
      </c>
      <c r="AB677" s="145">
        <v>0</v>
      </c>
      <c r="AC677" s="145">
        <v>0</v>
      </c>
      <c r="AD677" s="145">
        <v>0</v>
      </c>
      <c r="AE677" s="145">
        <v>0</v>
      </c>
      <c r="AF677" s="145">
        <v>0</v>
      </c>
      <c r="AG677" s="145">
        <v>0</v>
      </c>
      <c r="AH677" s="145">
        <v>0</v>
      </c>
      <c r="AI677" s="145">
        <v>0</v>
      </c>
      <c r="AJ677" s="145">
        <v>0</v>
      </c>
      <c r="AK677" s="145">
        <f t="shared" si="207"/>
        <v>0</v>
      </c>
      <c r="AL677" s="145">
        <v>1718760.1199999999</v>
      </c>
      <c r="AM677" s="145">
        <v>159240</v>
      </c>
      <c r="AN677" s="145">
        <v>0</v>
      </c>
      <c r="AO677" s="145">
        <v>0</v>
      </c>
      <c r="AP677" s="145">
        <v>0</v>
      </c>
      <c r="AQ677" s="145">
        <v>0</v>
      </c>
      <c r="AR677" s="145">
        <v>0</v>
      </c>
      <c r="AS677" s="144">
        <f t="shared" si="205"/>
        <v>1878000.1199999999</v>
      </c>
      <c r="AT677" s="144">
        <v>0</v>
      </c>
      <c r="AU677" s="146">
        <f t="shared" si="201"/>
        <v>1878000.1199999999</v>
      </c>
      <c r="AV677" s="146">
        <f>IFERROR(VLOOKUP(J677,Maksājumu_pieprasījumu_iesn.!G:BL,57,0),0)</f>
        <v>0</v>
      </c>
      <c r="AW677" s="139">
        <f t="shared" si="194"/>
        <v>-1878000.1199999999</v>
      </c>
      <c r="AX677" s="147"/>
      <c r="AY677" s="147"/>
      <c r="AZ677" s="147"/>
      <c r="BA677" s="149" t="s">
        <v>1782</v>
      </c>
      <c r="BB677" s="144"/>
      <c r="BC677" s="144"/>
      <c r="BD677" s="144"/>
      <c r="BE677" s="144"/>
      <c r="BF677" s="144"/>
      <c r="BG677" s="144"/>
      <c r="BH677" s="149"/>
      <c r="BI677" s="149"/>
      <c r="BJ677" s="149"/>
      <c r="BK677" s="149"/>
      <c r="BL677" s="149"/>
      <c r="BM677" s="149"/>
      <c r="BN677" s="149"/>
    </row>
    <row r="678" spans="1:66" ht="38.25" hidden="1" customHeight="1" x14ac:dyDescent="0.2">
      <c r="A678" s="142" t="s">
        <v>1603</v>
      </c>
      <c r="B678" s="18" t="s">
        <v>1776</v>
      </c>
      <c r="C678" s="18" t="s">
        <v>1779</v>
      </c>
      <c r="D678" s="19" t="s">
        <v>1777</v>
      </c>
      <c r="E678" s="18">
        <v>1</v>
      </c>
      <c r="F678" s="18" t="s">
        <v>807</v>
      </c>
      <c r="G678" s="18" t="s">
        <v>5</v>
      </c>
      <c r="H678" s="18" t="s">
        <v>3</v>
      </c>
      <c r="I678" s="18"/>
      <c r="J678" s="18"/>
      <c r="K678" s="19" t="s">
        <v>1790</v>
      </c>
      <c r="L678" s="275" t="s">
        <v>1605</v>
      </c>
      <c r="M678" s="275" t="s">
        <v>1606</v>
      </c>
      <c r="N678" s="19" t="s">
        <v>1791</v>
      </c>
      <c r="O678" s="143">
        <v>42968</v>
      </c>
      <c r="P678" s="143"/>
      <c r="Q678" s="143"/>
      <c r="R678" s="143"/>
      <c r="S678" s="144"/>
      <c r="T678" s="144"/>
      <c r="U678" s="145">
        <v>0</v>
      </c>
      <c r="V678" s="145">
        <v>0</v>
      </c>
      <c r="W678" s="145">
        <v>0</v>
      </c>
      <c r="X678" s="145">
        <f t="shared" si="206"/>
        <v>0</v>
      </c>
      <c r="Y678" s="145">
        <v>0</v>
      </c>
      <c r="Z678" s="145">
        <v>0</v>
      </c>
      <c r="AA678" s="145">
        <v>0</v>
      </c>
      <c r="AB678" s="145">
        <v>0</v>
      </c>
      <c r="AC678" s="145">
        <v>0</v>
      </c>
      <c r="AD678" s="145">
        <v>0</v>
      </c>
      <c r="AE678" s="145">
        <v>0</v>
      </c>
      <c r="AF678" s="145">
        <v>0</v>
      </c>
      <c r="AG678" s="145">
        <v>0</v>
      </c>
      <c r="AH678" s="145">
        <v>0</v>
      </c>
      <c r="AI678" s="145">
        <v>0</v>
      </c>
      <c r="AJ678" s="145">
        <v>0</v>
      </c>
      <c r="AK678" s="145">
        <f t="shared" si="207"/>
        <v>0</v>
      </c>
      <c r="AL678" s="145">
        <v>600000</v>
      </c>
      <c r="AM678" s="145">
        <f>900000-91500</f>
        <v>808500</v>
      </c>
      <c r="AN678" s="145">
        <v>0</v>
      </c>
      <c r="AO678" s="145">
        <v>0</v>
      </c>
      <c r="AP678" s="145">
        <v>0</v>
      </c>
      <c r="AQ678" s="145">
        <v>0</v>
      </c>
      <c r="AR678" s="145">
        <v>0</v>
      </c>
      <c r="AS678" s="144">
        <f t="shared" si="205"/>
        <v>1408500</v>
      </c>
      <c r="AT678" s="144">
        <v>0</v>
      </c>
      <c r="AU678" s="146">
        <f t="shared" si="201"/>
        <v>1408500</v>
      </c>
      <c r="AV678" s="146">
        <f>IFERROR(VLOOKUP(J678,Maksājumu_pieprasījumu_iesn.!G:BL,57,0),0)</f>
        <v>0</v>
      </c>
      <c r="AW678" s="139">
        <f t="shared" si="194"/>
        <v>-1408500</v>
      </c>
      <c r="AX678" s="147"/>
      <c r="AY678" s="147"/>
      <c r="AZ678" s="147"/>
      <c r="BA678" s="149" t="s">
        <v>1782</v>
      </c>
      <c r="BB678" s="144"/>
      <c r="BC678" s="144"/>
      <c r="BD678" s="144"/>
      <c r="BE678" s="144"/>
      <c r="BF678" s="144"/>
      <c r="BG678" s="144"/>
      <c r="BH678" s="149"/>
      <c r="BI678" s="149"/>
      <c r="BJ678" s="149"/>
      <c r="BK678" s="149"/>
      <c r="BL678" s="149"/>
      <c r="BM678" s="149"/>
      <c r="BN678" s="149"/>
    </row>
    <row r="679" spans="1:66" ht="114.75" hidden="1" customHeight="1" x14ac:dyDescent="0.2">
      <c r="A679" s="173" t="s">
        <v>1603</v>
      </c>
      <c r="B679" s="132" t="s">
        <v>1776</v>
      </c>
      <c r="C679" s="132" t="s">
        <v>1779</v>
      </c>
      <c r="D679" s="133" t="s">
        <v>1777</v>
      </c>
      <c r="E679" s="132">
        <v>2</v>
      </c>
      <c r="F679" s="132" t="s">
        <v>807</v>
      </c>
      <c r="G679" s="132" t="s">
        <v>5</v>
      </c>
      <c r="H679" s="132" t="s">
        <v>3</v>
      </c>
      <c r="I679" s="132" t="s">
        <v>1022</v>
      </c>
      <c r="J679" s="273" t="s">
        <v>1026</v>
      </c>
      <c r="K679" s="133"/>
      <c r="L679" s="274"/>
      <c r="M679" s="274"/>
      <c r="N679" s="133"/>
      <c r="O679" s="230"/>
      <c r="P679" s="230"/>
      <c r="Q679" s="230"/>
      <c r="R679" s="230"/>
      <c r="S679" s="165">
        <v>14975868</v>
      </c>
      <c r="T679" s="165">
        <v>913528</v>
      </c>
      <c r="U679" s="137">
        <f>SUM(U680:U683)</f>
        <v>0</v>
      </c>
      <c r="V679" s="137">
        <f>SUM(V680:V683)</f>
        <v>0</v>
      </c>
      <c r="W679" s="137">
        <f>SUM(W680:W683)</f>
        <v>0</v>
      </c>
      <c r="X679" s="138">
        <f>U679+V679+W679</f>
        <v>0</v>
      </c>
      <c r="Y679" s="137">
        <f t="shared" ref="Y679:AR679" si="208">SUM(Y680:Y683)</f>
        <v>0</v>
      </c>
      <c r="Z679" s="137">
        <f t="shared" si="208"/>
        <v>0</v>
      </c>
      <c r="AA679" s="137">
        <f t="shared" si="208"/>
        <v>0</v>
      </c>
      <c r="AB679" s="137">
        <f t="shared" si="208"/>
        <v>0</v>
      </c>
      <c r="AC679" s="137">
        <f t="shared" si="208"/>
        <v>0</v>
      </c>
      <c r="AD679" s="137">
        <f t="shared" si="208"/>
        <v>0</v>
      </c>
      <c r="AE679" s="137">
        <f t="shared" si="208"/>
        <v>0</v>
      </c>
      <c r="AF679" s="137">
        <f t="shared" si="208"/>
        <v>0</v>
      </c>
      <c r="AG679" s="137">
        <f t="shared" si="208"/>
        <v>0</v>
      </c>
      <c r="AH679" s="137">
        <f t="shared" si="208"/>
        <v>0</v>
      </c>
      <c r="AI679" s="137">
        <f t="shared" si="208"/>
        <v>0</v>
      </c>
      <c r="AJ679" s="137">
        <f t="shared" si="208"/>
        <v>312098.78999999998</v>
      </c>
      <c r="AK679" s="137">
        <f t="shared" si="208"/>
        <v>312098.78999999998</v>
      </c>
      <c r="AL679" s="137">
        <f t="shared" si="208"/>
        <v>11025494.51</v>
      </c>
      <c r="AM679" s="137">
        <f t="shared" si="208"/>
        <v>2279513.37</v>
      </c>
      <c r="AN679" s="137">
        <f t="shared" si="208"/>
        <v>445232.92000000004</v>
      </c>
      <c r="AO679" s="137">
        <f t="shared" si="208"/>
        <v>0</v>
      </c>
      <c r="AP679" s="137">
        <f t="shared" si="208"/>
        <v>0</v>
      </c>
      <c r="AQ679" s="137">
        <f t="shared" si="208"/>
        <v>0</v>
      </c>
      <c r="AR679" s="137">
        <f t="shared" si="208"/>
        <v>0</v>
      </c>
      <c r="AS679" s="165">
        <f t="shared" si="205"/>
        <v>14062339.589999998</v>
      </c>
      <c r="AT679" s="165">
        <f>SUM(AT680:AT683)</f>
        <v>0</v>
      </c>
      <c r="AU679" s="146">
        <f t="shared" si="201"/>
        <v>14062339.589999998</v>
      </c>
      <c r="AV679" s="146">
        <f>IFERROR(VLOOKUP(J679,Maksājumu_pieprasījumu_iesn.!G:BL,57,0),0)</f>
        <v>0</v>
      </c>
      <c r="AW679" s="139">
        <f t="shared" si="194"/>
        <v>-14062339.589999998</v>
      </c>
      <c r="AX679" s="231">
        <f>S679-T679-AU679</f>
        <v>0.41000000201165676</v>
      </c>
      <c r="AY679" s="165"/>
      <c r="AZ679" s="165"/>
      <c r="BA679" s="149" t="s">
        <v>1792</v>
      </c>
      <c r="BB679" s="231"/>
      <c r="BC679" s="231">
        <f>X679+AK679+AL679/2</f>
        <v>5824846.0449999999</v>
      </c>
      <c r="BD679" s="231"/>
      <c r="BE679" s="231">
        <f>BC679/0.85</f>
        <v>6852760.0529411761</v>
      </c>
      <c r="BF679" s="165"/>
      <c r="BG679" s="165"/>
      <c r="BH679" s="149">
        <v>0</v>
      </c>
      <c r="BI679" s="149">
        <v>579375</v>
      </c>
      <c r="BJ679" s="149"/>
      <c r="BK679" s="149"/>
      <c r="BL679" s="149">
        <v>1535702.9220779201</v>
      </c>
      <c r="BM679" s="149"/>
      <c r="BN679" s="149"/>
    </row>
    <row r="680" spans="1:66" ht="38.25" hidden="1" customHeight="1" x14ac:dyDescent="0.2">
      <c r="A680" s="142" t="s">
        <v>1603</v>
      </c>
      <c r="B680" s="18" t="s">
        <v>1776</v>
      </c>
      <c r="C680" s="18" t="s">
        <v>1779</v>
      </c>
      <c r="D680" s="19" t="s">
        <v>1777</v>
      </c>
      <c r="E680" s="18">
        <v>2</v>
      </c>
      <c r="F680" s="18" t="s">
        <v>807</v>
      </c>
      <c r="G680" s="18" t="s">
        <v>5</v>
      </c>
      <c r="H680" s="18" t="s">
        <v>3</v>
      </c>
      <c r="I680" s="18"/>
      <c r="J680" s="18"/>
      <c r="K680" s="19" t="s">
        <v>1793</v>
      </c>
      <c r="L680" s="275" t="s">
        <v>1605</v>
      </c>
      <c r="M680" s="275" t="s">
        <v>1606</v>
      </c>
      <c r="N680" s="19" t="s">
        <v>1794</v>
      </c>
      <c r="O680" s="143">
        <v>42946</v>
      </c>
      <c r="P680" s="143"/>
      <c r="Q680" s="143"/>
      <c r="R680" s="143"/>
      <c r="S680" s="144"/>
      <c r="T680" s="144"/>
      <c r="U680" s="145">
        <v>0</v>
      </c>
      <c r="V680" s="145">
        <v>0</v>
      </c>
      <c r="W680" s="145">
        <v>0</v>
      </c>
      <c r="X680" s="145">
        <f>W680+V680+U680</f>
        <v>0</v>
      </c>
      <c r="Y680" s="145">
        <v>0</v>
      </c>
      <c r="Z680" s="145">
        <v>0</v>
      </c>
      <c r="AA680" s="145">
        <v>0</v>
      </c>
      <c r="AB680" s="145">
        <v>0</v>
      </c>
      <c r="AC680" s="145">
        <v>0</v>
      </c>
      <c r="AD680" s="145">
        <v>0</v>
      </c>
      <c r="AE680" s="145">
        <v>0</v>
      </c>
      <c r="AF680" s="145">
        <v>0</v>
      </c>
      <c r="AG680" s="145">
        <v>0</v>
      </c>
      <c r="AH680" s="145">
        <v>0</v>
      </c>
      <c r="AI680" s="145">
        <v>0</v>
      </c>
      <c r="AJ680" s="145">
        <v>0</v>
      </c>
      <c r="AK680" s="145">
        <f>SUM(Y680:AJ680)</f>
        <v>0</v>
      </c>
      <c r="AL680" s="145">
        <v>3831120</v>
      </c>
      <c r="AM680" s="145">
        <v>676080</v>
      </c>
      <c r="AN680" s="145">
        <v>0</v>
      </c>
      <c r="AO680" s="145">
        <v>0</v>
      </c>
      <c r="AP680" s="145">
        <v>0</v>
      </c>
      <c r="AQ680" s="145">
        <v>0</v>
      </c>
      <c r="AR680" s="145">
        <v>0</v>
      </c>
      <c r="AS680" s="144">
        <f t="shared" si="205"/>
        <v>4507200</v>
      </c>
      <c r="AT680" s="144">
        <v>0</v>
      </c>
      <c r="AU680" s="146">
        <f t="shared" si="201"/>
        <v>4507200</v>
      </c>
      <c r="AV680" s="146">
        <f>IFERROR(VLOOKUP(J680,Maksājumu_pieprasījumu_iesn.!G:BL,57,0),0)</f>
        <v>0</v>
      </c>
      <c r="AW680" s="139">
        <f t="shared" si="194"/>
        <v>-4507200</v>
      </c>
      <c r="AX680" s="147"/>
      <c r="AY680" s="147"/>
      <c r="AZ680" s="147"/>
      <c r="BA680" s="149" t="s">
        <v>1782</v>
      </c>
      <c r="BB680" s="144"/>
      <c r="BC680" s="144"/>
      <c r="BD680" s="144"/>
      <c r="BE680" s="144"/>
      <c r="BF680" s="144"/>
      <c r="BG680" s="144"/>
      <c r="BH680" s="149"/>
      <c r="BI680" s="149"/>
      <c r="BJ680" s="149"/>
      <c r="BK680" s="149"/>
      <c r="BL680" s="149"/>
      <c r="BM680" s="149"/>
      <c r="BN680" s="149"/>
    </row>
    <row r="681" spans="1:66" ht="51" hidden="1" customHeight="1" x14ac:dyDescent="0.2">
      <c r="A681" s="142" t="s">
        <v>1603</v>
      </c>
      <c r="B681" s="18" t="s">
        <v>1776</v>
      </c>
      <c r="C681" s="18" t="s">
        <v>1779</v>
      </c>
      <c r="D681" s="19" t="s">
        <v>1777</v>
      </c>
      <c r="E681" s="18">
        <v>2</v>
      </c>
      <c r="F681" s="18" t="s">
        <v>807</v>
      </c>
      <c r="G681" s="18" t="s">
        <v>5</v>
      </c>
      <c r="H681" s="18" t="s">
        <v>3</v>
      </c>
      <c r="I681" s="18"/>
      <c r="J681" s="18"/>
      <c r="K681" s="19" t="s">
        <v>1795</v>
      </c>
      <c r="L681" s="275" t="s">
        <v>1605</v>
      </c>
      <c r="M681" s="275" t="s">
        <v>1606</v>
      </c>
      <c r="N681" s="19" t="s">
        <v>1796</v>
      </c>
      <c r="O681" s="143">
        <v>42916</v>
      </c>
      <c r="P681" s="143"/>
      <c r="Q681" s="143"/>
      <c r="R681" s="143"/>
      <c r="S681" s="144"/>
      <c r="T681" s="144"/>
      <c r="U681" s="145">
        <v>0</v>
      </c>
      <c r="V681" s="145">
        <v>0</v>
      </c>
      <c r="W681" s="145">
        <v>0</v>
      </c>
      <c r="X681" s="145">
        <f>W681+V681+U681</f>
        <v>0</v>
      </c>
      <c r="Y681" s="145">
        <v>0</v>
      </c>
      <c r="Z681" s="145">
        <v>0</v>
      </c>
      <c r="AA681" s="145">
        <v>0</v>
      </c>
      <c r="AB681" s="145">
        <v>0</v>
      </c>
      <c r="AC681" s="145">
        <v>0</v>
      </c>
      <c r="AD681" s="145">
        <v>0</v>
      </c>
      <c r="AE681" s="145">
        <v>0</v>
      </c>
      <c r="AF681" s="145">
        <v>0</v>
      </c>
      <c r="AG681" s="145">
        <v>0</v>
      </c>
      <c r="AH681" s="145">
        <v>0</v>
      </c>
      <c r="AI681" s="145">
        <v>0</v>
      </c>
      <c r="AJ681" s="145">
        <v>0</v>
      </c>
      <c r="AK681" s="145">
        <f>SUM(Y681:AJ681)</f>
        <v>0</v>
      </c>
      <c r="AL681" s="145">
        <v>2463613.94</v>
      </c>
      <c r="AM681" s="145">
        <v>241428.64</v>
      </c>
      <c r="AN681" s="145">
        <v>243417</v>
      </c>
      <c r="AO681" s="145">
        <v>0</v>
      </c>
      <c r="AP681" s="145">
        <v>0</v>
      </c>
      <c r="AQ681" s="145">
        <v>0</v>
      </c>
      <c r="AR681" s="145">
        <v>0</v>
      </c>
      <c r="AS681" s="144">
        <f t="shared" si="205"/>
        <v>2948459.58</v>
      </c>
      <c r="AT681" s="144">
        <v>0</v>
      </c>
      <c r="AU681" s="146">
        <f t="shared" si="201"/>
        <v>2948459.58</v>
      </c>
      <c r="AV681" s="146">
        <f>IFERROR(VLOOKUP(J681,Maksājumu_pieprasījumu_iesn.!G:BL,57,0),0)</f>
        <v>0</v>
      </c>
      <c r="AW681" s="139">
        <f t="shared" si="194"/>
        <v>-2948459.58</v>
      </c>
      <c r="AX681" s="147"/>
      <c r="AY681" s="147"/>
      <c r="AZ681" s="147"/>
      <c r="BA681" s="149" t="s">
        <v>1782</v>
      </c>
      <c r="BB681" s="144"/>
      <c r="BC681" s="144"/>
      <c r="BD681" s="144"/>
      <c r="BE681" s="144"/>
      <c r="BF681" s="144"/>
      <c r="BG681" s="144"/>
      <c r="BH681" s="149"/>
      <c r="BI681" s="149"/>
      <c r="BJ681" s="149"/>
      <c r="BK681" s="149"/>
      <c r="BL681" s="149"/>
      <c r="BM681" s="149"/>
      <c r="BN681" s="149"/>
    </row>
    <row r="682" spans="1:66" ht="51" hidden="1" customHeight="1" x14ac:dyDescent="0.2">
      <c r="A682" s="142" t="s">
        <v>1603</v>
      </c>
      <c r="B682" s="18" t="s">
        <v>1776</v>
      </c>
      <c r="C682" s="18" t="s">
        <v>1779</v>
      </c>
      <c r="D682" s="19" t="s">
        <v>1777</v>
      </c>
      <c r="E682" s="18">
        <v>2</v>
      </c>
      <c r="F682" s="18" t="s">
        <v>807</v>
      </c>
      <c r="G682" s="18" t="s">
        <v>5</v>
      </c>
      <c r="H682" s="18" t="s">
        <v>3</v>
      </c>
      <c r="I682" s="18"/>
      <c r="J682" s="18"/>
      <c r="K682" s="19" t="s">
        <v>1797</v>
      </c>
      <c r="L682" s="275" t="s">
        <v>1605</v>
      </c>
      <c r="M682" s="275" t="s">
        <v>1606</v>
      </c>
      <c r="N682" s="19" t="s">
        <v>1798</v>
      </c>
      <c r="O682" s="143">
        <v>42916</v>
      </c>
      <c r="P682" s="143"/>
      <c r="Q682" s="143"/>
      <c r="R682" s="143"/>
      <c r="S682" s="144"/>
      <c r="T682" s="144"/>
      <c r="U682" s="145">
        <v>0</v>
      </c>
      <c r="V682" s="145">
        <v>0</v>
      </c>
      <c r="W682" s="145">
        <v>0</v>
      </c>
      <c r="X682" s="145">
        <f>W682+V682+U682</f>
        <v>0</v>
      </c>
      <c r="Y682" s="145">
        <v>0</v>
      </c>
      <c r="Z682" s="145">
        <v>0</v>
      </c>
      <c r="AA682" s="145">
        <v>0</v>
      </c>
      <c r="AB682" s="145">
        <v>0</v>
      </c>
      <c r="AC682" s="145">
        <v>0</v>
      </c>
      <c r="AD682" s="145">
        <v>0</v>
      </c>
      <c r="AE682" s="145">
        <v>0</v>
      </c>
      <c r="AF682" s="145">
        <v>0</v>
      </c>
      <c r="AG682" s="145">
        <v>0</v>
      </c>
      <c r="AH682" s="145">
        <v>0</v>
      </c>
      <c r="AI682" s="145">
        <v>0</v>
      </c>
      <c r="AJ682" s="145">
        <v>312098.78999999998</v>
      </c>
      <c r="AK682" s="145">
        <f>SUM(Y682:AJ682)</f>
        <v>312098.78999999998</v>
      </c>
      <c r="AL682" s="145">
        <v>2512080.5700000003</v>
      </c>
      <c r="AM682" s="145">
        <v>1261504.73</v>
      </c>
      <c r="AN682" s="145">
        <v>139815.92000000001</v>
      </c>
      <c r="AO682" s="145">
        <v>0</v>
      </c>
      <c r="AP682" s="145">
        <v>0</v>
      </c>
      <c r="AQ682" s="145">
        <v>0</v>
      </c>
      <c r="AR682" s="145">
        <v>0</v>
      </c>
      <c r="AS682" s="144">
        <f t="shared" si="205"/>
        <v>4225500.0100000007</v>
      </c>
      <c r="AT682" s="144">
        <v>0</v>
      </c>
      <c r="AU682" s="146">
        <f t="shared" si="201"/>
        <v>4225500.0100000007</v>
      </c>
      <c r="AV682" s="146">
        <f>IFERROR(VLOOKUP(J682,Maksājumu_pieprasījumu_iesn.!G:BL,57,0),0)</f>
        <v>0</v>
      </c>
      <c r="AW682" s="139">
        <f t="shared" si="194"/>
        <v>-4225500.0100000007</v>
      </c>
      <c r="AX682" s="147"/>
      <c r="AY682" s="147"/>
      <c r="AZ682" s="147"/>
      <c r="BA682" s="149" t="s">
        <v>1782</v>
      </c>
      <c r="BB682" s="144"/>
      <c r="BC682" s="144"/>
      <c r="BD682" s="144"/>
      <c r="BE682" s="144"/>
      <c r="BF682" s="144"/>
      <c r="BG682" s="144"/>
      <c r="BH682" s="149"/>
      <c r="BI682" s="149"/>
      <c r="BJ682" s="149"/>
      <c r="BK682" s="149"/>
      <c r="BL682" s="149"/>
      <c r="BM682" s="149"/>
      <c r="BN682" s="149"/>
    </row>
    <row r="683" spans="1:66" ht="63.75" hidden="1" customHeight="1" x14ac:dyDescent="0.2">
      <c r="A683" s="142" t="s">
        <v>1603</v>
      </c>
      <c r="B683" s="18" t="s">
        <v>1776</v>
      </c>
      <c r="C683" s="18" t="s">
        <v>1779</v>
      </c>
      <c r="D683" s="19" t="s">
        <v>1777</v>
      </c>
      <c r="E683" s="18">
        <v>2</v>
      </c>
      <c r="F683" s="18" t="s">
        <v>807</v>
      </c>
      <c r="G683" s="18" t="s">
        <v>5</v>
      </c>
      <c r="H683" s="18" t="s">
        <v>3</v>
      </c>
      <c r="I683" s="18"/>
      <c r="J683" s="18"/>
      <c r="K683" s="19" t="s">
        <v>1263</v>
      </c>
      <c r="L683" s="275" t="s">
        <v>1605</v>
      </c>
      <c r="M683" s="275" t="s">
        <v>1606</v>
      </c>
      <c r="N683" s="19" t="s">
        <v>1799</v>
      </c>
      <c r="O683" s="143">
        <v>42916</v>
      </c>
      <c r="P683" s="143"/>
      <c r="Q683" s="143"/>
      <c r="R683" s="143"/>
      <c r="S683" s="144"/>
      <c r="T683" s="144"/>
      <c r="U683" s="145">
        <v>0</v>
      </c>
      <c r="V683" s="145">
        <v>0</v>
      </c>
      <c r="W683" s="145">
        <v>0</v>
      </c>
      <c r="X683" s="145">
        <f>W683+V683+U683</f>
        <v>0</v>
      </c>
      <c r="Y683" s="145">
        <v>0</v>
      </c>
      <c r="Z683" s="145">
        <v>0</v>
      </c>
      <c r="AA683" s="145">
        <v>0</v>
      </c>
      <c r="AB683" s="145">
        <v>0</v>
      </c>
      <c r="AC683" s="145">
        <v>0</v>
      </c>
      <c r="AD683" s="145">
        <v>0</v>
      </c>
      <c r="AE683" s="145">
        <v>0</v>
      </c>
      <c r="AF683" s="145">
        <v>0</v>
      </c>
      <c r="AG683" s="145">
        <v>0</v>
      </c>
      <c r="AH683" s="145">
        <v>0</v>
      </c>
      <c r="AI683" s="145">
        <v>0</v>
      </c>
      <c r="AJ683" s="145">
        <v>0</v>
      </c>
      <c r="AK683" s="145">
        <f>SUM(Y683:AJ683)</f>
        <v>0</v>
      </c>
      <c r="AL683" s="145">
        <v>2218680</v>
      </c>
      <c r="AM683" s="145">
        <v>100500</v>
      </c>
      <c r="AN683" s="145">
        <v>62000</v>
      </c>
      <c r="AO683" s="145">
        <v>0</v>
      </c>
      <c r="AP683" s="145">
        <v>0</v>
      </c>
      <c r="AQ683" s="145">
        <v>0</v>
      </c>
      <c r="AR683" s="145">
        <v>0</v>
      </c>
      <c r="AS683" s="144">
        <f t="shared" si="205"/>
        <v>2381180</v>
      </c>
      <c r="AT683" s="144">
        <v>0</v>
      </c>
      <c r="AU683" s="146">
        <f t="shared" si="201"/>
        <v>2381180</v>
      </c>
      <c r="AV683" s="146">
        <f>IFERROR(VLOOKUP(J683,Maksājumu_pieprasījumu_iesn.!G:BL,57,0),0)</f>
        <v>0</v>
      </c>
      <c r="AW683" s="139">
        <f t="shared" si="194"/>
        <v>-2381180</v>
      </c>
      <c r="AX683" s="147"/>
      <c r="AY683" s="147"/>
      <c r="AZ683" s="147"/>
      <c r="BA683" s="149" t="s">
        <v>1782</v>
      </c>
      <c r="BB683" s="144"/>
      <c r="BC683" s="144"/>
      <c r="BD683" s="144"/>
      <c r="BE683" s="144"/>
      <c r="BF683" s="144"/>
      <c r="BG683" s="144"/>
      <c r="BH683" s="149"/>
      <c r="BI683" s="149"/>
      <c r="BJ683" s="149"/>
      <c r="BK683" s="149"/>
      <c r="BL683" s="149"/>
      <c r="BM683" s="149"/>
      <c r="BN683" s="149"/>
    </row>
    <row r="684" spans="1:66" s="161" customFormat="1" ht="38.25" hidden="1" customHeight="1" x14ac:dyDescent="0.2">
      <c r="A684" s="173" t="s">
        <v>1603</v>
      </c>
      <c r="B684" s="132" t="s">
        <v>1776</v>
      </c>
      <c r="C684" s="132" t="s">
        <v>1779</v>
      </c>
      <c r="D684" s="133" t="s">
        <v>1800</v>
      </c>
      <c r="E684" s="132" t="s">
        <v>1801</v>
      </c>
      <c r="F684" s="132" t="s">
        <v>807</v>
      </c>
      <c r="G684" s="132" t="s">
        <v>5</v>
      </c>
      <c r="H684" s="132" t="s">
        <v>3</v>
      </c>
      <c r="I684" s="132" t="s">
        <v>1022</v>
      </c>
      <c r="J684" s="132" t="s">
        <v>1593</v>
      </c>
      <c r="K684" s="133"/>
      <c r="L684" s="274"/>
      <c r="M684" s="274"/>
      <c r="N684" s="133"/>
      <c r="O684" s="230"/>
      <c r="P684" s="230"/>
      <c r="Q684" s="230"/>
      <c r="R684" s="230"/>
      <c r="S684" s="165">
        <v>64687</v>
      </c>
      <c r="T684" s="165"/>
      <c r="U684" s="153"/>
      <c r="V684" s="153"/>
      <c r="W684" s="153"/>
      <c r="X684" s="153">
        <f>W684+V684+U684</f>
        <v>0</v>
      </c>
      <c r="Y684" s="153"/>
      <c r="Z684" s="153"/>
      <c r="AA684" s="153"/>
      <c r="AB684" s="153"/>
      <c r="AC684" s="153"/>
      <c r="AD684" s="153"/>
      <c r="AE684" s="153"/>
      <c r="AF684" s="153"/>
      <c r="AG684" s="153"/>
      <c r="AH684" s="153"/>
      <c r="AI684" s="153"/>
      <c r="AJ684" s="153"/>
      <c r="AK684" s="153"/>
      <c r="AL684" s="153"/>
      <c r="AM684" s="153"/>
      <c r="AN684" s="153"/>
      <c r="AO684" s="153"/>
      <c r="AP684" s="153"/>
      <c r="AQ684" s="153"/>
      <c r="AR684" s="153"/>
      <c r="AS684" s="165">
        <v>64687</v>
      </c>
      <c r="AT684" s="147"/>
      <c r="AU684" s="146">
        <f t="shared" si="201"/>
        <v>64687</v>
      </c>
      <c r="AV684" s="146">
        <f>IFERROR(VLOOKUP(J684,Maksājumu_pieprasījumu_iesn.!G:BL,57,0),0)</f>
        <v>0</v>
      </c>
      <c r="AW684" s="139">
        <f t="shared" si="194"/>
        <v>-64687</v>
      </c>
      <c r="AX684" s="147"/>
      <c r="AY684" s="147">
        <v>64687</v>
      </c>
      <c r="AZ684" s="147"/>
      <c r="BA684" s="149"/>
      <c r="BB684" s="147"/>
      <c r="BC684" s="147"/>
      <c r="BD684" s="147"/>
      <c r="BE684" s="147"/>
      <c r="BF684" s="147"/>
      <c r="BG684" s="147"/>
      <c r="BH684" s="149"/>
      <c r="BI684" s="149"/>
      <c r="BJ684" s="149"/>
      <c r="BK684" s="149"/>
      <c r="BL684" s="149"/>
      <c r="BM684" s="149"/>
      <c r="BN684" s="149"/>
    </row>
    <row r="685" spans="1:66" hidden="1" x14ac:dyDescent="0.2">
      <c r="A685" s="266" t="s">
        <v>1603</v>
      </c>
      <c r="B685" s="266" t="s">
        <v>804</v>
      </c>
      <c r="C685" s="266" t="s">
        <v>1023</v>
      </c>
      <c r="D685" s="267" t="s">
        <v>806</v>
      </c>
      <c r="E685" s="266"/>
      <c r="F685" s="266"/>
      <c r="G685" s="266" t="s">
        <v>5</v>
      </c>
      <c r="H685" s="266"/>
      <c r="I685" s="266"/>
      <c r="J685" s="266"/>
      <c r="K685" s="267"/>
      <c r="L685" s="268"/>
      <c r="M685" s="268"/>
      <c r="N685" s="267"/>
      <c r="O685" s="269"/>
      <c r="P685" s="269"/>
      <c r="Q685" s="269"/>
      <c r="R685" s="269"/>
      <c r="S685" s="270">
        <f>S686</f>
        <v>80382791</v>
      </c>
      <c r="T685" s="270">
        <f>T686</f>
        <v>4902967.6857516551</v>
      </c>
      <c r="U685" s="164">
        <f>U686</f>
        <v>0</v>
      </c>
      <c r="V685" s="164">
        <f>V686</f>
        <v>0</v>
      </c>
      <c r="W685" s="164">
        <f>W686</f>
        <v>0</v>
      </c>
      <c r="X685" s="129">
        <f>U685+V685+W685</f>
        <v>0</v>
      </c>
      <c r="Y685" s="164">
        <f t="shared" ref="Y685:AT685" si="209">Y686</f>
        <v>0</v>
      </c>
      <c r="Z685" s="164">
        <f t="shared" si="209"/>
        <v>0</v>
      </c>
      <c r="AA685" s="164">
        <f t="shared" si="209"/>
        <v>0</v>
      </c>
      <c r="AB685" s="164">
        <f t="shared" si="209"/>
        <v>0</v>
      </c>
      <c r="AC685" s="164">
        <f t="shared" si="209"/>
        <v>0</v>
      </c>
      <c r="AD685" s="164">
        <f t="shared" si="209"/>
        <v>6700000</v>
      </c>
      <c r="AE685" s="164">
        <f t="shared" si="209"/>
        <v>0</v>
      </c>
      <c r="AF685" s="164">
        <f t="shared" si="209"/>
        <v>3600000</v>
      </c>
      <c r="AG685" s="164">
        <f t="shared" si="209"/>
        <v>1700000</v>
      </c>
      <c r="AH685" s="164">
        <f t="shared" si="209"/>
        <v>1700000</v>
      </c>
      <c r="AI685" s="164">
        <f t="shared" si="209"/>
        <v>0</v>
      </c>
      <c r="AJ685" s="164">
        <f t="shared" si="209"/>
        <v>850000</v>
      </c>
      <c r="AK685" s="164">
        <f>AK686</f>
        <v>14550000</v>
      </c>
      <c r="AL685" s="164">
        <f t="shared" si="209"/>
        <v>11307172.619999997</v>
      </c>
      <c r="AM685" s="164">
        <f t="shared" si="209"/>
        <v>15804040.939999999</v>
      </c>
      <c r="AN685" s="164">
        <f t="shared" si="209"/>
        <v>19999051.670000002</v>
      </c>
      <c r="AO685" s="164">
        <f t="shared" si="209"/>
        <v>11385987.630000003</v>
      </c>
      <c r="AP685" s="164">
        <f t="shared" si="209"/>
        <v>2235584.8999999994</v>
      </c>
      <c r="AQ685" s="164">
        <f t="shared" si="209"/>
        <v>0</v>
      </c>
      <c r="AR685" s="164">
        <f t="shared" si="209"/>
        <v>0</v>
      </c>
      <c r="AS685" s="270">
        <f>AS686</f>
        <v>75281837.760000005</v>
      </c>
      <c r="AT685" s="270">
        <f t="shared" si="209"/>
        <v>0</v>
      </c>
      <c r="AU685" s="271">
        <f>AS685-AT685</f>
        <v>75281837.760000005</v>
      </c>
      <c r="AV685" s="146">
        <f>IFERROR(VLOOKUP(J685,Maksājumu_pieprasījumu_iesn.!G:BL,57,0),0)</f>
        <v>0</v>
      </c>
      <c r="AW685" s="139">
        <f t="shared" si="194"/>
        <v>-75281837.760000005</v>
      </c>
      <c r="AX685" s="270">
        <f>AX686</f>
        <v>197985.55424833298</v>
      </c>
      <c r="AY685" s="270">
        <f>AY686</f>
        <v>0</v>
      </c>
      <c r="AZ685" s="270"/>
      <c r="BA685" s="270"/>
      <c r="BB685" s="270">
        <f>BB686</f>
        <v>0</v>
      </c>
      <c r="BC685" s="270">
        <f>BC686</f>
        <v>20203586.309999999</v>
      </c>
      <c r="BD685" s="270">
        <f>BC685*0.86</f>
        <v>17375084.226599999</v>
      </c>
      <c r="BE685" s="272">
        <f>BD685/0.85</f>
        <v>20441275.560705882</v>
      </c>
      <c r="BF685" s="270">
        <f>BF686</f>
        <v>0</v>
      </c>
      <c r="BG685" s="270">
        <f>BG686</f>
        <v>0</v>
      </c>
      <c r="BH685" s="272">
        <f>BH686</f>
        <v>0</v>
      </c>
      <c r="BI685" s="272">
        <f>BI686</f>
        <v>2927812.54013963</v>
      </c>
      <c r="BJ685" s="272">
        <f>AK685*0.86</f>
        <v>12513000</v>
      </c>
      <c r="BK685" s="272">
        <f>BJ685-BI685</f>
        <v>9585187.4598603696</v>
      </c>
      <c r="BL685" s="272">
        <f>BL686</f>
        <v>7937491.0331114205</v>
      </c>
      <c r="BM685" s="272">
        <f>AL685*0.86</f>
        <v>9724168.4531999975</v>
      </c>
      <c r="BN685" s="272">
        <f>BM685-BL685</f>
        <v>1786677.4200885771</v>
      </c>
    </row>
    <row r="686" spans="1:66" ht="38.25" hidden="1" customHeight="1" x14ac:dyDescent="0.2">
      <c r="A686" s="173" t="s">
        <v>1603</v>
      </c>
      <c r="B686" s="132" t="s">
        <v>804</v>
      </c>
      <c r="C686" s="132" t="s">
        <v>805</v>
      </c>
      <c r="D686" s="133" t="s">
        <v>806</v>
      </c>
      <c r="E686" s="132" t="s">
        <v>3</v>
      </c>
      <c r="F686" s="132" t="s">
        <v>807</v>
      </c>
      <c r="G686" s="132" t="s">
        <v>5</v>
      </c>
      <c r="H686" s="132" t="s">
        <v>3</v>
      </c>
      <c r="I686" s="132" t="s">
        <v>1022</v>
      </c>
      <c r="J686" s="273" t="s">
        <v>1026</v>
      </c>
      <c r="K686" s="133"/>
      <c r="L686" s="274"/>
      <c r="M686" s="274"/>
      <c r="N686" s="133"/>
      <c r="O686" s="230"/>
      <c r="P686" s="230"/>
      <c r="Q686" s="230"/>
      <c r="R686" s="230"/>
      <c r="S686" s="165">
        <v>80382791</v>
      </c>
      <c r="T686" s="165">
        <v>4902967.6857516551</v>
      </c>
      <c r="U686" s="137">
        <f>SUM(U687:U691)</f>
        <v>0</v>
      </c>
      <c r="V686" s="137">
        <f>SUM(V687:V691)</f>
        <v>0</v>
      </c>
      <c r="W686" s="137">
        <f>SUM(W687:W691)</f>
        <v>0</v>
      </c>
      <c r="X686" s="138">
        <f>U686+V686+W686</f>
        <v>0</v>
      </c>
      <c r="Y686" s="137">
        <f t="shared" ref="Y686:AR686" si="210">SUM(Y687:Y691)</f>
        <v>0</v>
      </c>
      <c r="Z686" s="137">
        <f t="shared" si="210"/>
        <v>0</v>
      </c>
      <c r="AA686" s="137">
        <f t="shared" si="210"/>
        <v>0</v>
      </c>
      <c r="AB686" s="137">
        <f t="shared" si="210"/>
        <v>0</v>
      </c>
      <c r="AC686" s="137">
        <f t="shared" si="210"/>
        <v>0</v>
      </c>
      <c r="AD686" s="137">
        <f t="shared" si="210"/>
        <v>6700000</v>
      </c>
      <c r="AE686" s="137">
        <f t="shared" si="210"/>
        <v>0</v>
      </c>
      <c r="AF686" s="137">
        <f t="shared" si="210"/>
        <v>3600000</v>
      </c>
      <c r="AG686" s="137">
        <f t="shared" si="210"/>
        <v>1700000</v>
      </c>
      <c r="AH686" s="137">
        <f t="shared" si="210"/>
        <v>1700000</v>
      </c>
      <c r="AI686" s="137">
        <f t="shared" si="210"/>
        <v>0</v>
      </c>
      <c r="AJ686" s="137">
        <f t="shared" si="210"/>
        <v>850000</v>
      </c>
      <c r="AK686" s="137">
        <f>SUM(AK687:AK691)</f>
        <v>14550000</v>
      </c>
      <c r="AL686" s="137">
        <f t="shared" si="210"/>
        <v>11307172.619999997</v>
      </c>
      <c r="AM686" s="137">
        <f t="shared" si="210"/>
        <v>15804040.939999999</v>
      </c>
      <c r="AN686" s="137">
        <f t="shared" si="210"/>
        <v>19999051.670000002</v>
      </c>
      <c r="AO686" s="137">
        <f t="shared" si="210"/>
        <v>11385987.630000003</v>
      </c>
      <c r="AP686" s="137">
        <f t="shared" si="210"/>
        <v>2235584.8999999994</v>
      </c>
      <c r="AQ686" s="137">
        <f t="shared" si="210"/>
        <v>0</v>
      </c>
      <c r="AR686" s="137">
        <f t="shared" si="210"/>
        <v>0</v>
      </c>
      <c r="AS686" s="165">
        <f t="shared" ref="AS686:AS691" si="211">U686+V686+W686+AK686+AL686+AM686+AN686+AO686+AP686+AQ686+AR686</f>
        <v>75281837.760000005</v>
      </c>
      <c r="AT686" s="165">
        <f>SUM(AT687:AT691)</f>
        <v>0</v>
      </c>
      <c r="AU686" s="146">
        <f>AS686-AT686</f>
        <v>75281837.760000005</v>
      </c>
      <c r="AV686" s="146">
        <f>IFERROR(VLOOKUP(J686,Maksājumu_pieprasījumu_iesn.!G:BL,57,0),0)</f>
        <v>0</v>
      </c>
      <c r="AW686" s="139">
        <f t="shared" si="194"/>
        <v>-75281837.760000005</v>
      </c>
      <c r="AX686" s="231">
        <f>S686-T686-AU686</f>
        <v>197985.55424833298</v>
      </c>
      <c r="AY686" s="165"/>
      <c r="AZ686" s="165"/>
      <c r="BA686" s="149" t="s">
        <v>1802</v>
      </c>
      <c r="BB686" s="231"/>
      <c r="BC686" s="231">
        <f>X686+AK686+AL686/2</f>
        <v>20203586.309999999</v>
      </c>
      <c r="BD686" s="231"/>
      <c r="BE686" s="231">
        <f>BC686/0.85</f>
        <v>23768925.070588235</v>
      </c>
      <c r="BF686" s="165"/>
      <c r="BG686" s="165"/>
      <c r="BH686" s="149">
        <v>0</v>
      </c>
      <c r="BI686" s="149">
        <v>2927812.54013963</v>
      </c>
      <c r="BJ686" s="149"/>
      <c r="BK686" s="149"/>
      <c r="BL686" s="149">
        <v>7937491.0331114205</v>
      </c>
      <c r="BM686" s="149"/>
      <c r="BN686" s="149"/>
    </row>
    <row r="687" spans="1:66" ht="38.25" hidden="1" customHeight="1" x14ac:dyDescent="0.2">
      <c r="A687" s="142" t="s">
        <v>1603</v>
      </c>
      <c r="B687" s="18" t="s">
        <v>804</v>
      </c>
      <c r="C687" s="18" t="s">
        <v>805</v>
      </c>
      <c r="D687" s="19" t="s">
        <v>806</v>
      </c>
      <c r="E687" s="18" t="s">
        <v>3</v>
      </c>
      <c r="F687" s="18" t="s">
        <v>807</v>
      </c>
      <c r="G687" s="18" t="s">
        <v>5</v>
      </c>
      <c r="H687" s="18" t="s">
        <v>3</v>
      </c>
      <c r="I687" s="18"/>
      <c r="J687" s="18" t="s">
        <v>777</v>
      </c>
      <c r="K687" s="19" t="s">
        <v>808</v>
      </c>
      <c r="L687" s="275" t="s">
        <v>1605</v>
      </c>
      <c r="M687" s="275" t="s">
        <v>1627</v>
      </c>
      <c r="N687" s="19" t="s">
        <v>809</v>
      </c>
      <c r="O687" s="143"/>
      <c r="P687" s="143"/>
      <c r="Q687" s="143"/>
      <c r="R687" s="187" t="s">
        <v>1803</v>
      </c>
      <c r="S687" s="144">
        <v>37550530.460000001</v>
      </c>
      <c r="T687" s="172"/>
      <c r="U687" s="145">
        <v>0</v>
      </c>
      <c r="V687" s="145">
        <v>0</v>
      </c>
      <c r="W687" s="145">
        <v>0</v>
      </c>
      <c r="X687" s="145">
        <f>W687+V687+U687</f>
        <v>0</v>
      </c>
      <c r="Y687" s="145">
        <v>0</v>
      </c>
      <c r="Z687" s="145">
        <v>0</v>
      </c>
      <c r="AA687" s="145">
        <v>0</v>
      </c>
      <c r="AB687" s="145">
        <v>0</v>
      </c>
      <c r="AC687" s="145">
        <v>0</v>
      </c>
      <c r="AD687" s="145">
        <v>5000000</v>
      </c>
      <c r="AE687" s="145">
        <v>0</v>
      </c>
      <c r="AF687" s="420">
        <v>3600000</v>
      </c>
      <c r="AG687" s="145">
        <v>0</v>
      </c>
      <c r="AH687" s="145">
        <v>1700000</v>
      </c>
      <c r="AI687" s="145">
        <v>0</v>
      </c>
      <c r="AJ687" s="145">
        <v>0</v>
      </c>
      <c r="AK687" s="145">
        <f>SUM(Y687:AJ687)</f>
        <v>10300000</v>
      </c>
      <c r="AL687" s="145">
        <v>6160139</v>
      </c>
      <c r="AM687" s="145">
        <v>9821637</v>
      </c>
      <c r="AN687" s="145">
        <v>8628211</v>
      </c>
      <c r="AO687" s="145">
        <v>2640543.4600000037</v>
      </c>
      <c r="AP687" s="145"/>
      <c r="AQ687" s="145">
        <v>0</v>
      </c>
      <c r="AR687" s="145">
        <v>0</v>
      </c>
      <c r="AS687" s="144">
        <f t="shared" si="211"/>
        <v>37550530.460000001</v>
      </c>
      <c r="AT687" s="144">
        <v>0</v>
      </c>
      <c r="AU687" s="146">
        <f>AS687-AT687</f>
        <v>37550530.460000001</v>
      </c>
      <c r="AV687" s="146" t="str">
        <f>IFERROR(VLOOKUP(J687,Maksājumu_pieprasījumu_iesn.!G:BL,57,0),0)</f>
        <v>Atbilstoši būvdarbu līgumam, avansa maksājumu var veikt pēc tribīņu pārbūves būvprojekta saskaņošanas. Tribīņu pārbūves būvprojekts augustā ir saņēmis pozitīvu ekspertīzes atzinumu un iesniegts Rīgas pilsētas būvvaldē, lai būvatļauju saņemtu. Tāpēc precizēts plānoto maksājuma pieprasījumu iesniegšanas grafiks un starpposma maksājuma pieprasījumu Nr.2 finansējuma saņēmējs plāno iesniegt septembrī.</v>
      </c>
      <c r="AW687" s="139" t="e">
        <f t="shared" si="194"/>
        <v>#VALUE!</v>
      </c>
      <c r="AX687" s="231">
        <f>S687-T687-AU687</f>
        <v>0</v>
      </c>
      <c r="AY687" s="147"/>
      <c r="AZ687" s="147"/>
      <c r="BA687" s="149"/>
      <c r="BB687" s="144"/>
      <c r="BC687" s="144"/>
      <c r="BD687" s="144"/>
      <c r="BE687" s="144"/>
      <c r="BF687" s="144"/>
      <c r="BG687" s="144"/>
      <c r="BH687" s="149"/>
      <c r="BI687" s="149"/>
      <c r="BJ687" s="149"/>
      <c r="BK687" s="149"/>
      <c r="BL687" s="149"/>
      <c r="BM687" s="149"/>
      <c r="BN687" s="149"/>
    </row>
    <row r="688" spans="1:66" ht="25.5" hidden="1" customHeight="1" x14ac:dyDescent="0.2">
      <c r="A688" s="142" t="s">
        <v>1603</v>
      </c>
      <c r="B688" s="18" t="s">
        <v>804</v>
      </c>
      <c r="C688" s="18" t="s">
        <v>805</v>
      </c>
      <c r="D688" s="19" t="s">
        <v>806</v>
      </c>
      <c r="E688" s="18" t="s">
        <v>3</v>
      </c>
      <c r="F688" s="18" t="s">
        <v>807</v>
      </c>
      <c r="G688" s="18" t="s">
        <v>5</v>
      </c>
      <c r="H688" s="18" t="s">
        <v>3</v>
      </c>
      <c r="I688" s="18"/>
      <c r="J688" s="56" t="s">
        <v>778</v>
      </c>
      <c r="K688" s="19" t="s">
        <v>148</v>
      </c>
      <c r="L688" s="275" t="s">
        <v>1605</v>
      </c>
      <c r="M688" s="275" t="s">
        <v>1606</v>
      </c>
      <c r="N688" s="19" t="s">
        <v>841</v>
      </c>
      <c r="O688" s="143"/>
      <c r="P688" s="143"/>
      <c r="Q688" s="143"/>
      <c r="R688" s="187" t="s">
        <v>1804</v>
      </c>
      <c r="S688" s="144">
        <v>4250000</v>
      </c>
      <c r="T688" s="172"/>
      <c r="U688" s="145">
        <v>0</v>
      </c>
      <c r="V688" s="145">
        <v>0</v>
      </c>
      <c r="W688" s="145">
        <v>0</v>
      </c>
      <c r="X688" s="145">
        <f>W688+V688+U688</f>
        <v>0</v>
      </c>
      <c r="Y688" s="145">
        <v>0</v>
      </c>
      <c r="Z688" s="145">
        <v>0</v>
      </c>
      <c r="AA688" s="145">
        <v>0</v>
      </c>
      <c r="AB688" s="145">
        <v>0</v>
      </c>
      <c r="AC688" s="145">
        <v>0</v>
      </c>
      <c r="AD688" s="145">
        <v>1700000</v>
      </c>
      <c r="AE688" s="145">
        <v>0</v>
      </c>
      <c r="AF688" s="145">
        <v>0</v>
      </c>
      <c r="AG688" s="145">
        <v>1700000</v>
      </c>
      <c r="AH688" s="145">
        <v>0</v>
      </c>
      <c r="AI688" s="145">
        <v>0</v>
      </c>
      <c r="AJ688" s="145">
        <v>850000</v>
      </c>
      <c r="AK688" s="145">
        <f>SUM(Y688:AJ688)</f>
        <v>4250000</v>
      </c>
      <c r="AL688" s="145">
        <v>0</v>
      </c>
      <c r="AM688" s="145">
        <v>0</v>
      </c>
      <c r="AN688" s="145">
        <v>0</v>
      </c>
      <c r="AO688" s="145">
        <v>0</v>
      </c>
      <c r="AP688" s="145">
        <v>0</v>
      </c>
      <c r="AQ688" s="145">
        <v>0</v>
      </c>
      <c r="AR688" s="145">
        <v>0</v>
      </c>
      <c r="AS688" s="144">
        <f t="shared" si="211"/>
        <v>4250000</v>
      </c>
      <c r="AT688" s="144">
        <v>0</v>
      </c>
      <c r="AU688" s="146">
        <f t="shared" si="201"/>
        <v>4250000</v>
      </c>
      <c r="AV688" s="146">
        <f>IFERROR(VLOOKUP(J688,Maksājumu_pieprasījumu_iesn.!G:BL,57,0),0)</f>
        <v>0</v>
      </c>
      <c r="AW688" s="139">
        <f t="shared" si="194"/>
        <v>-4250000</v>
      </c>
      <c r="AX688" s="231">
        <f>S688-T688-AU688</f>
        <v>0</v>
      </c>
      <c r="AY688" s="147"/>
      <c r="AZ688" s="147"/>
      <c r="BA688" s="149"/>
      <c r="BB688" s="144"/>
      <c r="BC688" s="144"/>
      <c r="BD688" s="144"/>
      <c r="BE688" s="144"/>
      <c r="BF688" s="144"/>
      <c r="BG688" s="144"/>
      <c r="BH688" s="149"/>
      <c r="BI688" s="149"/>
      <c r="BJ688" s="149"/>
      <c r="BK688" s="149"/>
      <c r="BL688" s="149"/>
      <c r="BM688" s="149"/>
      <c r="BN688" s="149"/>
    </row>
    <row r="689" spans="1:66" ht="38.25" hidden="1" customHeight="1" x14ac:dyDescent="0.2">
      <c r="A689" s="142" t="s">
        <v>1603</v>
      </c>
      <c r="B689" s="18" t="s">
        <v>804</v>
      </c>
      <c r="C689" s="18" t="s">
        <v>805</v>
      </c>
      <c r="D689" s="19" t="s">
        <v>806</v>
      </c>
      <c r="E689" s="18" t="s">
        <v>3</v>
      </c>
      <c r="F689" s="18" t="s">
        <v>807</v>
      </c>
      <c r="G689" s="18" t="s">
        <v>5</v>
      </c>
      <c r="H689" s="18" t="s">
        <v>3</v>
      </c>
      <c r="I689" s="18"/>
      <c r="J689" s="18"/>
      <c r="K689" s="19" t="s">
        <v>1805</v>
      </c>
      <c r="L689" s="275" t="s">
        <v>1605</v>
      </c>
      <c r="M689" s="275" t="s">
        <v>1806</v>
      </c>
      <c r="N689" s="19" t="s">
        <v>1807</v>
      </c>
      <c r="O689" s="143">
        <v>43100</v>
      </c>
      <c r="P689" s="143"/>
      <c r="Q689" s="143"/>
      <c r="R689" s="143"/>
      <c r="S689" s="144"/>
      <c r="T689" s="144"/>
      <c r="U689" s="145">
        <v>0</v>
      </c>
      <c r="V689" s="145">
        <v>0</v>
      </c>
      <c r="W689" s="145">
        <v>0</v>
      </c>
      <c r="X689" s="145">
        <f>W689+V689+U689</f>
        <v>0</v>
      </c>
      <c r="Y689" s="145">
        <v>0</v>
      </c>
      <c r="Z689" s="145">
        <v>0</v>
      </c>
      <c r="AA689" s="145">
        <v>0</v>
      </c>
      <c r="AB689" s="145">
        <v>0</v>
      </c>
      <c r="AC689" s="145">
        <v>0</v>
      </c>
      <c r="AD689" s="145">
        <v>0</v>
      </c>
      <c r="AE689" s="145">
        <v>0</v>
      </c>
      <c r="AF689" s="145">
        <v>0</v>
      </c>
      <c r="AG689" s="145">
        <v>0</v>
      </c>
      <c r="AH689" s="145">
        <v>0</v>
      </c>
      <c r="AI689" s="145">
        <v>0</v>
      </c>
      <c r="AJ689" s="145">
        <v>0</v>
      </c>
      <c r="AK689" s="145">
        <f>SUM(Y689:AJ689)</f>
        <v>0</v>
      </c>
      <c r="AL689" s="145">
        <v>158353.11000000002</v>
      </c>
      <c r="AM689" s="145">
        <v>225825.85</v>
      </c>
      <c r="AN689" s="145">
        <v>777379.17</v>
      </c>
      <c r="AO689" s="145">
        <v>3063024.64</v>
      </c>
      <c r="AP689" s="145">
        <v>25392.3</v>
      </c>
      <c r="AQ689" s="145">
        <v>0</v>
      </c>
      <c r="AR689" s="145">
        <v>0</v>
      </c>
      <c r="AS689" s="144">
        <f t="shared" si="211"/>
        <v>4249975.07</v>
      </c>
      <c r="AT689" s="144">
        <v>0</v>
      </c>
      <c r="AU689" s="146">
        <f t="shared" si="201"/>
        <v>4249975.07</v>
      </c>
      <c r="AV689" s="146">
        <f>IFERROR(VLOOKUP(J689,Maksājumu_pieprasījumu_iesn.!G:BL,57,0),0)</f>
        <v>0</v>
      </c>
      <c r="AW689" s="139">
        <f t="shared" si="194"/>
        <v>-4249975.07</v>
      </c>
      <c r="AX689" s="147"/>
      <c r="AY689" s="147"/>
      <c r="AZ689" s="147"/>
      <c r="BA689" s="149"/>
      <c r="BB689" s="144"/>
      <c r="BC689" s="144"/>
      <c r="BD689" s="144"/>
      <c r="BE689" s="144"/>
      <c r="BF689" s="144"/>
      <c r="BG689" s="144"/>
      <c r="BH689" s="149"/>
      <c r="BI689" s="149"/>
      <c r="BJ689" s="149"/>
      <c r="BK689" s="149"/>
      <c r="BL689" s="149"/>
      <c r="BM689" s="149"/>
      <c r="BN689" s="149"/>
    </row>
    <row r="690" spans="1:66" ht="38.25" hidden="1" customHeight="1" x14ac:dyDescent="0.2">
      <c r="A690" s="142" t="s">
        <v>1603</v>
      </c>
      <c r="B690" s="18" t="s">
        <v>804</v>
      </c>
      <c r="C690" s="18" t="s">
        <v>805</v>
      </c>
      <c r="D690" s="19" t="s">
        <v>806</v>
      </c>
      <c r="E690" s="18" t="s">
        <v>3</v>
      </c>
      <c r="F690" s="18" t="s">
        <v>807</v>
      </c>
      <c r="G690" s="18" t="s">
        <v>5</v>
      </c>
      <c r="H690" s="18" t="s">
        <v>3</v>
      </c>
      <c r="I690" s="18"/>
      <c r="J690" s="18"/>
      <c r="K690" s="19" t="s">
        <v>1805</v>
      </c>
      <c r="L690" s="275" t="s">
        <v>1605</v>
      </c>
      <c r="M690" s="275" t="s">
        <v>1806</v>
      </c>
      <c r="N690" s="19" t="s">
        <v>1808</v>
      </c>
      <c r="O690" s="143">
        <v>43100</v>
      </c>
      <c r="P690" s="143"/>
      <c r="Q690" s="143"/>
      <c r="R690" s="143"/>
      <c r="S690" s="144"/>
      <c r="T690" s="144"/>
      <c r="U690" s="145">
        <v>0</v>
      </c>
      <c r="V690" s="145">
        <v>0</v>
      </c>
      <c r="W690" s="145">
        <v>0</v>
      </c>
      <c r="X690" s="145">
        <f>W690+V690+U690</f>
        <v>0</v>
      </c>
      <c r="Y690" s="145">
        <v>0</v>
      </c>
      <c r="Z690" s="145">
        <v>0</v>
      </c>
      <c r="AA690" s="145">
        <v>0</v>
      </c>
      <c r="AB690" s="145">
        <v>0</v>
      </c>
      <c r="AC690" s="145">
        <v>0</v>
      </c>
      <c r="AD690" s="145">
        <v>0</v>
      </c>
      <c r="AE690" s="145">
        <v>0</v>
      </c>
      <c r="AF690" s="145">
        <v>0</v>
      </c>
      <c r="AG690" s="145">
        <v>0</v>
      </c>
      <c r="AH690" s="145">
        <v>0</v>
      </c>
      <c r="AI690" s="145">
        <v>0</v>
      </c>
      <c r="AJ690" s="145">
        <v>0</v>
      </c>
      <c r="AK690" s="145">
        <f>SUM(Y690:AJ690)</f>
        <v>0</v>
      </c>
      <c r="AL690" s="145">
        <v>2669461.2099999986</v>
      </c>
      <c r="AM690" s="145">
        <v>1118139.49</v>
      </c>
      <c r="AN690" s="145">
        <v>3635803.6</v>
      </c>
      <c r="AO690" s="145">
        <v>1043980.93</v>
      </c>
      <c r="AP690" s="145">
        <v>0</v>
      </c>
      <c r="AQ690" s="145">
        <v>0</v>
      </c>
      <c r="AR690" s="145">
        <v>0</v>
      </c>
      <c r="AS690" s="144">
        <f t="shared" si="211"/>
        <v>8467385.2299999986</v>
      </c>
      <c r="AT690" s="144">
        <v>0</v>
      </c>
      <c r="AU690" s="146">
        <f t="shared" si="201"/>
        <v>8467385.2299999986</v>
      </c>
      <c r="AV690" s="146">
        <f>IFERROR(VLOOKUP(J690,Maksājumu_pieprasījumu_iesn.!G:BL,57,0),0)</f>
        <v>0</v>
      </c>
      <c r="AW690" s="139">
        <f t="shared" si="194"/>
        <v>-8467385.2299999986</v>
      </c>
      <c r="AX690" s="147"/>
      <c r="AY690" s="147"/>
      <c r="AZ690" s="147"/>
      <c r="BA690" s="149"/>
      <c r="BB690" s="144"/>
      <c r="BC690" s="144"/>
      <c r="BD690" s="144"/>
      <c r="BE690" s="144"/>
      <c r="BF690" s="144"/>
      <c r="BG690" s="144"/>
      <c r="BH690" s="149"/>
      <c r="BI690" s="149"/>
      <c r="BJ690" s="149"/>
      <c r="BK690" s="149"/>
      <c r="BL690" s="149"/>
      <c r="BM690" s="149"/>
      <c r="BN690" s="149"/>
    </row>
    <row r="691" spans="1:66" ht="12.75" hidden="1" customHeight="1" x14ac:dyDescent="0.2">
      <c r="A691" s="142" t="s">
        <v>1603</v>
      </c>
      <c r="B691" s="18" t="s">
        <v>804</v>
      </c>
      <c r="C691" s="18" t="s">
        <v>805</v>
      </c>
      <c r="D691" s="19" t="s">
        <v>806</v>
      </c>
      <c r="E691" s="18" t="s">
        <v>3</v>
      </c>
      <c r="F691" s="18" t="s">
        <v>807</v>
      </c>
      <c r="G691" s="18" t="s">
        <v>5</v>
      </c>
      <c r="H691" s="18" t="s">
        <v>3</v>
      </c>
      <c r="I691" s="18"/>
      <c r="J691" s="18"/>
      <c r="K691" s="19"/>
      <c r="L691" s="275"/>
      <c r="M691" s="275"/>
      <c r="N691" s="19" t="s">
        <v>1809</v>
      </c>
      <c r="O691" s="143">
        <v>43281</v>
      </c>
      <c r="P691" s="143"/>
      <c r="Q691" s="143"/>
      <c r="R691" s="143"/>
      <c r="S691" s="144"/>
      <c r="T691" s="144"/>
      <c r="U691" s="145">
        <v>0</v>
      </c>
      <c r="V691" s="145">
        <v>0</v>
      </c>
      <c r="W691" s="145">
        <v>0</v>
      </c>
      <c r="X691" s="145">
        <f>W691+V691+U691</f>
        <v>0</v>
      </c>
      <c r="Y691" s="145">
        <v>0</v>
      </c>
      <c r="Z691" s="145">
        <v>0</v>
      </c>
      <c r="AA691" s="145">
        <v>0</v>
      </c>
      <c r="AB691" s="145">
        <v>0</v>
      </c>
      <c r="AC691" s="145">
        <v>0</v>
      </c>
      <c r="AD691" s="145">
        <v>0</v>
      </c>
      <c r="AE691" s="145">
        <v>0</v>
      </c>
      <c r="AF691" s="145">
        <v>0</v>
      </c>
      <c r="AG691" s="145">
        <v>0</v>
      </c>
      <c r="AH691" s="145">
        <v>0</v>
      </c>
      <c r="AI691" s="145">
        <v>0</v>
      </c>
      <c r="AJ691" s="145">
        <v>0</v>
      </c>
      <c r="AK691" s="145">
        <f>SUM(Y691:AJ691)</f>
        <v>0</v>
      </c>
      <c r="AL691" s="145">
        <v>2319219.2999999998</v>
      </c>
      <c r="AM691" s="145">
        <v>4638438.5999999996</v>
      </c>
      <c r="AN691" s="145">
        <v>6957657.9000000004</v>
      </c>
      <c r="AO691" s="145">
        <v>4638438.5999999996</v>
      </c>
      <c r="AP691" s="145">
        <f>4638438.6-2451484+23238</f>
        <v>2210192.5999999996</v>
      </c>
      <c r="AQ691" s="145">
        <v>0</v>
      </c>
      <c r="AR691" s="145">
        <v>0</v>
      </c>
      <c r="AS691" s="144">
        <f t="shared" si="211"/>
        <v>20763947</v>
      </c>
      <c r="AT691" s="144">
        <v>0</v>
      </c>
      <c r="AU691" s="146">
        <f t="shared" si="201"/>
        <v>20763947</v>
      </c>
      <c r="AV691" s="146">
        <f>IFERROR(VLOOKUP(J691,Maksājumu_pieprasījumu_iesn.!G:BL,57,0),0)</f>
        <v>0</v>
      </c>
      <c r="AW691" s="139">
        <f t="shared" si="194"/>
        <v>-20763947</v>
      </c>
      <c r="AX691" s="147"/>
      <c r="AY691" s="147"/>
      <c r="AZ691" s="147"/>
      <c r="BA691" s="149" t="s">
        <v>1810</v>
      </c>
      <c r="BB691" s="144"/>
      <c r="BC691" s="144"/>
      <c r="BD691" s="144"/>
      <c r="BE691" s="144"/>
      <c r="BF691" s="144"/>
      <c r="BG691" s="144"/>
      <c r="BH691" s="149"/>
      <c r="BI691" s="149"/>
      <c r="BJ691" s="149"/>
      <c r="BK691" s="149"/>
      <c r="BL691" s="149"/>
      <c r="BM691" s="149"/>
      <c r="BN691" s="149"/>
    </row>
    <row r="692" spans="1:66" ht="25.5" hidden="1" x14ac:dyDescent="0.2">
      <c r="A692" s="266" t="s">
        <v>1603</v>
      </c>
      <c r="B692" s="266" t="s">
        <v>138</v>
      </c>
      <c r="C692" s="266" t="s">
        <v>1023</v>
      </c>
      <c r="D692" s="267" t="s">
        <v>576</v>
      </c>
      <c r="E692" s="266"/>
      <c r="F692" s="266"/>
      <c r="G692" s="266" t="s">
        <v>5</v>
      </c>
      <c r="H692" s="266"/>
      <c r="I692" s="266"/>
      <c r="J692" s="266"/>
      <c r="K692" s="267"/>
      <c r="L692" s="268"/>
      <c r="M692" s="268"/>
      <c r="N692" s="267"/>
      <c r="O692" s="269"/>
      <c r="P692" s="269"/>
      <c r="Q692" s="269"/>
      <c r="R692" s="269"/>
      <c r="S692" s="270">
        <f>S693+S720+S793</f>
        <v>264623652</v>
      </c>
      <c r="T692" s="270">
        <f>T693+T720+T793</f>
        <v>14426860.076131295</v>
      </c>
      <c r="U692" s="164">
        <f>U693+U720+U793</f>
        <v>0</v>
      </c>
      <c r="V692" s="164">
        <f>V693+V720+V793</f>
        <v>0</v>
      </c>
      <c r="W692" s="164">
        <f>W693+W720+W793</f>
        <v>0</v>
      </c>
      <c r="X692" s="129">
        <f>U692+V692+W692</f>
        <v>0</v>
      </c>
      <c r="Y692" s="164">
        <f t="shared" ref="Y692:AT692" si="212">Y693+Y720+Y793</f>
        <v>0</v>
      </c>
      <c r="Z692" s="164">
        <f t="shared" si="212"/>
        <v>0</v>
      </c>
      <c r="AA692" s="164">
        <f t="shared" si="212"/>
        <v>89197.56</v>
      </c>
      <c r="AB692" s="164">
        <f t="shared" si="212"/>
        <v>0</v>
      </c>
      <c r="AC692" s="164">
        <f t="shared" si="212"/>
        <v>645746.71</v>
      </c>
      <c r="AD692" s="164">
        <f t="shared" si="212"/>
        <v>176068.42</v>
      </c>
      <c r="AE692" s="164">
        <f t="shared" si="212"/>
        <v>440252.14</v>
      </c>
      <c r="AF692" s="164">
        <f t="shared" si="212"/>
        <v>0</v>
      </c>
      <c r="AG692" s="164">
        <f t="shared" si="212"/>
        <v>2770004.66</v>
      </c>
      <c r="AH692" s="164">
        <f t="shared" si="212"/>
        <v>772642.01</v>
      </c>
      <c r="AI692" s="164">
        <f t="shared" si="212"/>
        <v>0</v>
      </c>
      <c r="AJ692" s="164">
        <f t="shared" si="212"/>
        <v>183628.51</v>
      </c>
      <c r="AK692" s="164">
        <f t="shared" si="212"/>
        <v>5077540.01</v>
      </c>
      <c r="AL692" s="164">
        <f t="shared" si="212"/>
        <v>173034314.45322013</v>
      </c>
      <c r="AM692" s="164">
        <f t="shared" si="212"/>
        <v>52811274.57020314</v>
      </c>
      <c r="AN692" s="164">
        <f t="shared" si="212"/>
        <v>17841200.729133312</v>
      </c>
      <c r="AO692" s="164">
        <f t="shared" si="212"/>
        <v>0</v>
      </c>
      <c r="AP692" s="164">
        <f t="shared" si="212"/>
        <v>0</v>
      </c>
      <c r="AQ692" s="164">
        <f t="shared" si="212"/>
        <v>0</v>
      </c>
      <c r="AR692" s="164">
        <f t="shared" si="212"/>
        <v>0</v>
      </c>
      <c r="AS692" s="270">
        <f t="shared" si="212"/>
        <v>248764329.76255658</v>
      </c>
      <c r="AT692" s="270">
        <f t="shared" si="212"/>
        <v>2963990.76</v>
      </c>
      <c r="AU692" s="271">
        <f>AS692-AT692</f>
        <v>245800339.00255659</v>
      </c>
      <c r="AV692" s="146">
        <f>IFERROR(VLOOKUP(J692,Maksājumu_pieprasījumu_iesn.!G:BL,57,0),0)</f>
        <v>0</v>
      </c>
      <c r="AW692" s="139">
        <f t="shared" si="194"/>
        <v>-245800339.00255659</v>
      </c>
      <c r="AX692" s="270">
        <f>AX693+AX720+AX793</f>
        <v>4396452.9213121459</v>
      </c>
      <c r="AY692" s="270">
        <f>AY693+AY720+AY793</f>
        <v>0</v>
      </c>
      <c r="AZ692" s="270"/>
      <c r="BA692" s="270"/>
      <c r="BB692" s="270">
        <f>BB693+BB720+BB793</f>
        <v>0</v>
      </c>
      <c r="BC692" s="270">
        <f>BC693+BC720+BC793</f>
        <v>91594697.236610055</v>
      </c>
      <c r="BD692" s="270">
        <f>BC692*0.86</f>
        <v>78771439.623484641</v>
      </c>
      <c r="BE692" s="272">
        <f>BD692/0.85</f>
        <v>92672281.909981936</v>
      </c>
      <c r="BF692" s="270">
        <f>BF693+BF720+BF793</f>
        <v>0</v>
      </c>
      <c r="BG692" s="270">
        <f>BG693+BG720+BG793</f>
        <v>0</v>
      </c>
      <c r="BH692" s="272">
        <f>BH693+BH720+BH793</f>
        <v>0</v>
      </c>
      <c r="BI692" s="272">
        <f>BI693+BI720+BI793</f>
        <v>34695132.640000001</v>
      </c>
      <c r="BJ692" s="272">
        <f>AK692*0.86</f>
        <v>4366684.4085999997</v>
      </c>
      <c r="BK692" s="272">
        <f>BJ692-BI692</f>
        <v>-30328448.231400002</v>
      </c>
      <c r="BL692" s="272">
        <f>BL693+BL720+BL793</f>
        <v>56829381.149663799</v>
      </c>
      <c r="BM692" s="272">
        <f>AL692*0.86</f>
        <v>148809510.42976931</v>
      </c>
      <c r="BN692" s="272">
        <f>BM692-BL692</f>
        <v>91980129.280105501</v>
      </c>
    </row>
    <row r="693" spans="1:66" ht="25.5" hidden="1" customHeight="1" x14ac:dyDescent="0.2">
      <c r="A693" s="173" t="s">
        <v>1603</v>
      </c>
      <c r="B693" s="132" t="s">
        <v>138</v>
      </c>
      <c r="C693" s="132" t="s">
        <v>139</v>
      </c>
      <c r="D693" s="133" t="s">
        <v>576</v>
      </c>
      <c r="E693" s="132">
        <v>1</v>
      </c>
      <c r="F693" s="132" t="s">
        <v>35</v>
      </c>
      <c r="G693" s="132" t="s">
        <v>5</v>
      </c>
      <c r="H693" s="132" t="s">
        <v>960</v>
      </c>
      <c r="I693" s="132" t="s">
        <v>1022</v>
      </c>
      <c r="J693" s="273" t="s">
        <v>1026</v>
      </c>
      <c r="K693" s="133"/>
      <c r="L693" s="274"/>
      <c r="M693" s="274"/>
      <c r="N693" s="133"/>
      <c r="O693" s="230"/>
      <c r="P693" s="230"/>
      <c r="Q693" s="230"/>
      <c r="R693" s="230"/>
      <c r="S693" s="165">
        <v>120237953</v>
      </c>
      <c r="T693" s="165">
        <v>5620020.5380656477</v>
      </c>
      <c r="U693" s="137">
        <f>SUM(U694:U719)</f>
        <v>0</v>
      </c>
      <c r="V693" s="137">
        <f>SUM(V694:V719)</f>
        <v>0</v>
      </c>
      <c r="W693" s="137">
        <f>SUM(W694:W719)</f>
        <v>0</v>
      </c>
      <c r="X693" s="138">
        <f>U693+V693+W693</f>
        <v>0</v>
      </c>
      <c r="Y693" s="137">
        <f t="shared" ref="Y693:AR693" si="213">SUM(Y694:Y719)</f>
        <v>0</v>
      </c>
      <c r="Z693" s="137">
        <f t="shared" si="213"/>
        <v>0</v>
      </c>
      <c r="AA693" s="137">
        <f t="shared" si="213"/>
        <v>0</v>
      </c>
      <c r="AB693" s="137">
        <f t="shared" si="213"/>
        <v>0</v>
      </c>
      <c r="AC693" s="137">
        <f t="shared" si="213"/>
        <v>72946.38</v>
      </c>
      <c r="AD693" s="137">
        <f t="shared" si="213"/>
        <v>0</v>
      </c>
      <c r="AE693" s="137">
        <f t="shared" si="213"/>
        <v>0</v>
      </c>
      <c r="AF693" s="137">
        <f t="shared" si="213"/>
        <v>0</v>
      </c>
      <c r="AG693" s="137">
        <f t="shared" si="213"/>
        <v>0</v>
      </c>
      <c r="AH693" s="137">
        <f t="shared" si="213"/>
        <v>0</v>
      </c>
      <c r="AI693" s="137">
        <f t="shared" si="213"/>
        <v>0</v>
      </c>
      <c r="AJ693" s="137">
        <f t="shared" si="213"/>
        <v>0</v>
      </c>
      <c r="AK693" s="137">
        <f t="shared" si="213"/>
        <v>72946.38</v>
      </c>
      <c r="AL693" s="137">
        <f t="shared" si="213"/>
        <v>68219087.446165875</v>
      </c>
      <c r="AM693" s="137">
        <f t="shared" si="213"/>
        <v>29138613.517918989</v>
      </c>
      <c r="AN693" s="137">
        <f t="shared" si="213"/>
        <v>12706580.036588382</v>
      </c>
      <c r="AO693" s="137">
        <f t="shared" si="213"/>
        <v>0</v>
      </c>
      <c r="AP693" s="137">
        <f t="shared" si="213"/>
        <v>0</v>
      </c>
      <c r="AQ693" s="137">
        <f t="shared" si="213"/>
        <v>0</v>
      </c>
      <c r="AR693" s="137">
        <f t="shared" si="213"/>
        <v>0</v>
      </c>
      <c r="AS693" s="165">
        <f t="shared" ref="AS693:AS737" si="214">U693+V693+W693+AK693+AL693+AM693+AN693+AO693+AP693+AQ693+AR693</f>
        <v>110137227.38067324</v>
      </c>
      <c r="AT693" s="165">
        <f>SUM(AT694:AT719)</f>
        <v>0</v>
      </c>
      <c r="AU693" s="146">
        <f t="shared" si="201"/>
        <v>110137227.38067324</v>
      </c>
      <c r="AV693" s="146">
        <f>IFERROR(VLOOKUP(J693,Maksājumu_pieprasījumu_iesn.!G:BL,57,0),0)</f>
        <v>0</v>
      </c>
      <c r="AW693" s="139">
        <f t="shared" si="194"/>
        <v>-110137227.38067324</v>
      </c>
      <c r="AX693" s="231">
        <f>S693-T693-AU693</f>
        <v>4480705.0812611133</v>
      </c>
      <c r="AY693" s="165"/>
      <c r="AZ693" s="165"/>
      <c r="BA693" s="149"/>
      <c r="BB693" s="231"/>
      <c r="BC693" s="231">
        <f>X693+AK693+AL693/2</f>
        <v>34182490.10308294</v>
      </c>
      <c r="BD693" s="231"/>
      <c r="BE693" s="231">
        <f>BC693/0.85</f>
        <v>40214694.238921106</v>
      </c>
      <c r="BF693" s="165"/>
      <c r="BG693" s="165"/>
      <c r="BH693" s="149">
        <v>0</v>
      </c>
      <c r="BI693" s="149">
        <v>11146058.25</v>
      </c>
      <c r="BJ693" s="149"/>
      <c r="BK693" s="149"/>
      <c r="BL693" s="149">
        <v>20000746.482129</v>
      </c>
      <c r="BM693" s="149"/>
      <c r="BN693" s="149"/>
    </row>
    <row r="694" spans="1:66" ht="38.25" hidden="1" customHeight="1" x14ac:dyDescent="0.2">
      <c r="A694" s="142" t="s">
        <v>1603</v>
      </c>
      <c r="B694" s="18" t="s">
        <v>138</v>
      </c>
      <c r="C694" s="18" t="s">
        <v>139</v>
      </c>
      <c r="D694" s="19" t="s">
        <v>576</v>
      </c>
      <c r="E694" s="18">
        <v>1</v>
      </c>
      <c r="F694" s="18" t="s">
        <v>35</v>
      </c>
      <c r="G694" s="18" t="s">
        <v>5</v>
      </c>
      <c r="H694" s="18" t="s">
        <v>960</v>
      </c>
      <c r="I694" s="18"/>
      <c r="J694" s="18"/>
      <c r="K694" s="19" t="s">
        <v>893</v>
      </c>
      <c r="L694" s="275" t="s">
        <v>1605</v>
      </c>
      <c r="M694" s="275" t="s">
        <v>1606</v>
      </c>
      <c r="N694" s="19" t="s">
        <v>1811</v>
      </c>
      <c r="O694" s="143">
        <v>42978</v>
      </c>
      <c r="P694" s="143"/>
      <c r="Q694" s="143"/>
      <c r="R694" s="144"/>
      <c r="S694" s="144">
        <v>12927537</v>
      </c>
      <c r="T694" s="144">
        <v>604243.68208101101</v>
      </c>
      <c r="U694" s="145">
        <v>0</v>
      </c>
      <c r="V694" s="145">
        <v>0</v>
      </c>
      <c r="W694" s="145">
        <v>0</v>
      </c>
      <c r="X694" s="145">
        <f t="shared" ref="X694:X719" si="215">W694+V694+U694</f>
        <v>0</v>
      </c>
      <c r="Y694" s="145">
        <v>0</v>
      </c>
      <c r="Z694" s="145">
        <v>0</v>
      </c>
      <c r="AA694" s="145">
        <v>0</v>
      </c>
      <c r="AB694" s="145">
        <v>0</v>
      </c>
      <c r="AC694" s="145">
        <v>0</v>
      </c>
      <c r="AD694" s="145">
        <v>0</v>
      </c>
      <c r="AE694" s="145">
        <v>0</v>
      </c>
      <c r="AF694" s="145">
        <v>0</v>
      </c>
      <c r="AG694" s="145">
        <v>0</v>
      </c>
      <c r="AH694" s="145">
        <v>0</v>
      </c>
      <c r="AI694" s="145">
        <v>0</v>
      </c>
      <c r="AJ694" s="145">
        <v>0</v>
      </c>
      <c r="AK694" s="145">
        <f t="shared" ref="AK694:AK719" si="216">SUM(Y694:AJ694)</f>
        <v>0</v>
      </c>
      <c r="AL694" s="145">
        <v>6039675</v>
      </c>
      <c r="AM694" s="145">
        <v>66831.317918988992</v>
      </c>
      <c r="AN694" s="145">
        <v>0</v>
      </c>
      <c r="AO694" s="145">
        <v>0</v>
      </c>
      <c r="AP694" s="145">
        <v>0</v>
      </c>
      <c r="AQ694" s="145">
        <v>0</v>
      </c>
      <c r="AR694" s="145">
        <v>0</v>
      </c>
      <c r="AS694" s="144">
        <f t="shared" si="214"/>
        <v>6106506.3179189889</v>
      </c>
      <c r="AT694" s="144"/>
      <c r="AU694" s="146">
        <f t="shared" si="201"/>
        <v>6106506.3179189889</v>
      </c>
      <c r="AV694" s="146">
        <f>IFERROR(VLOOKUP(J694,Maksājumu_pieprasījumu_iesn.!G:BL,57,0),0)</f>
        <v>0</v>
      </c>
      <c r="AW694" s="139">
        <f t="shared" si="194"/>
        <v>-6106506.3179189889</v>
      </c>
      <c r="AX694" s="147"/>
      <c r="AY694" s="147" t="s">
        <v>1085</v>
      </c>
      <c r="AZ694" s="147"/>
      <c r="BA694" s="165" t="s">
        <v>1086</v>
      </c>
      <c r="BB694" s="144"/>
      <c r="BC694" s="144"/>
      <c r="BD694" s="144"/>
      <c r="BE694" s="144"/>
      <c r="BF694" s="144"/>
      <c r="BG694" s="144"/>
      <c r="BH694" s="149"/>
      <c r="BI694" s="149"/>
      <c r="BJ694" s="149"/>
      <c r="BK694" s="149"/>
      <c r="BL694" s="149"/>
      <c r="BM694" s="149"/>
      <c r="BN694" s="149"/>
    </row>
    <row r="695" spans="1:66" ht="38.25" hidden="1" customHeight="1" x14ac:dyDescent="0.2">
      <c r="A695" s="142" t="s">
        <v>1603</v>
      </c>
      <c r="B695" s="18" t="s">
        <v>138</v>
      </c>
      <c r="C695" s="18" t="s">
        <v>139</v>
      </c>
      <c r="D695" s="19" t="s">
        <v>576</v>
      </c>
      <c r="E695" s="18">
        <v>1</v>
      </c>
      <c r="F695" s="18" t="s">
        <v>35</v>
      </c>
      <c r="G695" s="18" t="s">
        <v>5</v>
      </c>
      <c r="H695" s="18" t="s">
        <v>960</v>
      </c>
      <c r="I695" s="18"/>
      <c r="J695" s="18"/>
      <c r="K695" s="19" t="s">
        <v>893</v>
      </c>
      <c r="L695" s="275" t="s">
        <v>1605</v>
      </c>
      <c r="M695" s="275" t="s">
        <v>1606</v>
      </c>
      <c r="N695" s="19" t="s">
        <v>1812</v>
      </c>
      <c r="O695" s="143">
        <v>42978</v>
      </c>
      <c r="P695" s="143"/>
      <c r="Q695" s="143"/>
      <c r="R695" s="144"/>
      <c r="S695" s="144">
        <v>0</v>
      </c>
      <c r="T695" s="144">
        <v>0</v>
      </c>
      <c r="U695" s="145">
        <v>0</v>
      </c>
      <c r="V695" s="145">
        <v>0</v>
      </c>
      <c r="W695" s="145">
        <v>0</v>
      </c>
      <c r="X695" s="145">
        <f t="shared" si="215"/>
        <v>0</v>
      </c>
      <c r="Y695" s="145">
        <v>0</v>
      </c>
      <c r="Z695" s="145">
        <v>0</v>
      </c>
      <c r="AA695" s="145">
        <v>0</v>
      </c>
      <c r="AB695" s="145">
        <v>0</v>
      </c>
      <c r="AC695" s="145">
        <v>0</v>
      </c>
      <c r="AD695" s="145">
        <v>0</v>
      </c>
      <c r="AE695" s="145">
        <v>0</v>
      </c>
      <c r="AF695" s="145">
        <v>0</v>
      </c>
      <c r="AG695" s="145">
        <v>0</v>
      </c>
      <c r="AH695" s="145">
        <v>0</v>
      </c>
      <c r="AI695" s="145">
        <v>0</v>
      </c>
      <c r="AJ695" s="145">
        <v>0</v>
      </c>
      <c r="AK695" s="145">
        <f t="shared" si="216"/>
        <v>0</v>
      </c>
      <c r="AL695" s="145">
        <v>2590571</v>
      </c>
      <c r="AM695" s="145">
        <v>287841</v>
      </c>
      <c r="AN695" s="145">
        <v>0</v>
      </c>
      <c r="AO695" s="145">
        <v>0</v>
      </c>
      <c r="AP695" s="145">
        <v>0</v>
      </c>
      <c r="AQ695" s="145">
        <v>0</v>
      </c>
      <c r="AR695" s="145">
        <v>0</v>
      </c>
      <c r="AS695" s="144">
        <f t="shared" si="214"/>
        <v>2878412</v>
      </c>
      <c r="AT695" s="144"/>
      <c r="AU695" s="146">
        <f t="shared" si="201"/>
        <v>2878412</v>
      </c>
      <c r="AV695" s="146">
        <f>IFERROR(VLOOKUP(J695,Maksājumu_pieprasījumu_iesn.!G:BL,57,0),0)</f>
        <v>0</v>
      </c>
      <c r="AW695" s="139">
        <f t="shared" si="194"/>
        <v>-2878412</v>
      </c>
      <c r="AX695" s="147"/>
      <c r="AY695" s="147"/>
      <c r="AZ695" s="147"/>
      <c r="BA695" s="165"/>
      <c r="BB695" s="144"/>
      <c r="BC695" s="144"/>
      <c r="BD695" s="144"/>
      <c r="BE695" s="144"/>
      <c r="BF695" s="144"/>
      <c r="BG695" s="144"/>
      <c r="BH695" s="149"/>
      <c r="BI695" s="149"/>
      <c r="BJ695" s="149"/>
      <c r="BK695" s="149"/>
      <c r="BL695" s="149"/>
      <c r="BM695" s="149"/>
      <c r="BN695" s="149"/>
    </row>
    <row r="696" spans="1:66" ht="38.25" hidden="1" customHeight="1" x14ac:dyDescent="0.2">
      <c r="A696" s="142" t="s">
        <v>1603</v>
      </c>
      <c r="B696" s="18" t="s">
        <v>138</v>
      </c>
      <c r="C696" s="18" t="s">
        <v>139</v>
      </c>
      <c r="D696" s="19" t="s">
        <v>576</v>
      </c>
      <c r="E696" s="18">
        <v>1</v>
      </c>
      <c r="F696" s="18" t="s">
        <v>35</v>
      </c>
      <c r="G696" s="18" t="s">
        <v>5</v>
      </c>
      <c r="H696" s="18" t="s">
        <v>960</v>
      </c>
      <c r="I696" s="18"/>
      <c r="J696" s="18"/>
      <c r="K696" s="19" t="s">
        <v>893</v>
      </c>
      <c r="L696" s="275" t="s">
        <v>1605</v>
      </c>
      <c r="M696" s="275" t="s">
        <v>1606</v>
      </c>
      <c r="N696" s="19" t="s">
        <v>1813</v>
      </c>
      <c r="O696" s="143">
        <v>42978</v>
      </c>
      <c r="P696" s="143"/>
      <c r="Q696" s="143"/>
      <c r="R696" s="144"/>
      <c r="S696" s="144">
        <v>0</v>
      </c>
      <c r="T696" s="144">
        <v>0</v>
      </c>
      <c r="U696" s="145">
        <v>0</v>
      </c>
      <c r="V696" s="145">
        <v>0</v>
      </c>
      <c r="W696" s="145">
        <v>0</v>
      </c>
      <c r="X696" s="145">
        <f t="shared" si="215"/>
        <v>0</v>
      </c>
      <c r="Y696" s="145">
        <v>0</v>
      </c>
      <c r="Z696" s="145">
        <v>0</v>
      </c>
      <c r="AA696" s="145">
        <v>0</v>
      </c>
      <c r="AB696" s="145">
        <v>0</v>
      </c>
      <c r="AC696" s="145">
        <v>0</v>
      </c>
      <c r="AD696" s="145">
        <v>0</v>
      </c>
      <c r="AE696" s="145">
        <v>0</v>
      </c>
      <c r="AF696" s="145">
        <v>0</v>
      </c>
      <c r="AG696" s="145">
        <v>0</v>
      </c>
      <c r="AH696" s="145">
        <v>0</v>
      </c>
      <c r="AI696" s="145">
        <v>0</v>
      </c>
      <c r="AJ696" s="145">
        <v>0</v>
      </c>
      <c r="AK696" s="145">
        <f t="shared" si="216"/>
        <v>0</v>
      </c>
      <c r="AL696" s="145">
        <v>3004537</v>
      </c>
      <c r="AM696" s="145">
        <v>333838</v>
      </c>
      <c r="AN696" s="145">
        <v>0</v>
      </c>
      <c r="AO696" s="145">
        <v>0</v>
      </c>
      <c r="AP696" s="145">
        <v>0</v>
      </c>
      <c r="AQ696" s="145">
        <v>0</v>
      </c>
      <c r="AR696" s="145">
        <v>0</v>
      </c>
      <c r="AS696" s="144">
        <f t="shared" si="214"/>
        <v>3338375</v>
      </c>
      <c r="AT696" s="144"/>
      <c r="AU696" s="146">
        <f t="shared" si="201"/>
        <v>3338375</v>
      </c>
      <c r="AV696" s="146">
        <f>IFERROR(VLOOKUP(J696,Maksājumu_pieprasījumu_iesn.!G:BL,57,0),0)</f>
        <v>0</v>
      </c>
      <c r="AW696" s="139">
        <f t="shared" si="194"/>
        <v>-3338375</v>
      </c>
      <c r="AX696" s="147"/>
      <c r="AY696" s="147"/>
      <c r="AZ696" s="147"/>
      <c r="BA696" s="165"/>
      <c r="BB696" s="144"/>
      <c r="BC696" s="144"/>
      <c r="BD696" s="144"/>
      <c r="BE696" s="144"/>
      <c r="BF696" s="144"/>
      <c r="BG696" s="144"/>
      <c r="BH696" s="149"/>
      <c r="BI696" s="149"/>
      <c r="BJ696" s="149"/>
      <c r="BK696" s="149"/>
      <c r="BL696" s="149"/>
      <c r="BM696" s="149"/>
      <c r="BN696" s="149"/>
    </row>
    <row r="697" spans="1:66" ht="38.25" hidden="1" customHeight="1" x14ac:dyDescent="0.2">
      <c r="A697" s="142" t="s">
        <v>1603</v>
      </c>
      <c r="B697" s="18" t="s">
        <v>138</v>
      </c>
      <c r="C697" s="18" t="s">
        <v>139</v>
      </c>
      <c r="D697" s="19" t="s">
        <v>576</v>
      </c>
      <c r="E697" s="18">
        <v>1</v>
      </c>
      <c r="F697" s="18" t="s">
        <v>35</v>
      </c>
      <c r="G697" s="18" t="s">
        <v>5</v>
      </c>
      <c r="H697" s="18" t="s">
        <v>960</v>
      </c>
      <c r="I697" s="18"/>
      <c r="J697" s="18"/>
      <c r="K697" s="19" t="s">
        <v>1195</v>
      </c>
      <c r="L697" s="275" t="s">
        <v>1605</v>
      </c>
      <c r="M697" s="275" t="s">
        <v>1606</v>
      </c>
      <c r="N697" s="19" t="s">
        <v>1814</v>
      </c>
      <c r="O697" s="143">
        <v>43131</v>
      </c>
      <c r="P697" s="143"/>
      <c r="Q697" s="143"/>
      <c r="R697" s="144"/>
      <c r="S697" s="144">
        <v>4200000</v>
      </c>
      <c r="T697" s="144">
        <v>622448.296718503</v>
      </c>
      <c r="U697" s="145">
        <v>0</v>
      </c>
      <c r="V697" s="145">
        <v>0</v>
      </c>
      <c r="W697" s="145">
        <v>0</v>
      </c>
      <c r="X697" s="145">
        <f t="shared" si="215"/>
        <v>0</v>
      </c>
      <c r="Y697" s="145">
        <v>0</v>
      </c>
      <c r="Z697" s="145">
        <v>0</v>
      </c>
      <c r="AA697" s="145">
        <v>0</v>
      </c>
      <c r="AB697" s="145">
        <v>0</v>
      </c>
      <c r="AC697" s="145">
        <v>0</v>
      </c>
      <c r="AD697" s="145">
        <v>0</v>
      </c>
      <c r="AE697" s="145">
        <v>0</v>
      </c>
      <c r="AF697" s="145">
        <v>0</v>
      </c>
      <c r="AG697" s="145">
        <v>0</v>
      </c>
      <c r="AH697" s="145">
        <v>0</v>
      </c>
      <c r="AI697" s="145">
        <v>0</v>
      </c>
      <c r="AJ697" s="145">
        <v>0</v>
      </c>
      <c r="AK697" s="145">
        <f t="shared" si="216"/>
        <v>0</v>
      </c>
      <c r="AL697" s="145">
        <v>2100000</v>
      </c>
      <c r="AM697" s="145">
        <v>2100000</v>
      </c>
      <c r="AN697" s="145">
        <v>0</v>
      </c>
      <c r="AO697" s="145">
        <v>0</v>
      </c>
      <c r="AP697" s="145">
        <v>0</v>
      </c>
      <c r="AQ697" s="145">
        <v>0</v>
      </c>
      <c r="AR697" s="145">
        <v>0</v>
      </c>
      <c r="AS697" s="144">
        <f t="shared" si="214"/>
        <v>4200000</v>
      </c>
      <c r="AT697" s="144"/>
      <c r="AU697" s="146">
        <f t="shared" si="201"/>
        <v>4200000</v>
      </c>
      <c r="AV697" s="146">
        <f>IFERROR(VLOOKUP(J697,Maksājumu_pieprasījumu_iesn.!G:BL,57,0),0)</f>
        <v>0</v>
      </c>
      <c r="AW697" s="139">
        <f t="shared" si="194"/>
        <v>-4200000</v>
      </c>
      <c r="AX697" s="147"/>
      <c r="AY697" s="147"/>
      <c r="AZ697" s="147"/>
      <c r="BA697" s="165"/>
      <c r="BB697" s="144"/>
      <c r="BC697" s="144"/>
      <c r="BD697" s="144"/>
      <c r="BE697" s="144"/>
      <c r="BF697" s="144"/>
      <c r="BG697" s="144"/>
      <c r="BH697" s="149"/>
      <c r="BI697" s="149"/>
      <c r="BJ697" s="149"/>
      <c r="BK697" s="149"/>
      <c r="BL697" s="149"/>
      <c r="BM697" s="149"/>
      <c r="BN697" s="149"/>
    </row>
    <row r="698" spans="1:66" ht="38.25" hidden="1" customHeight="1" x14ac:dyDescent="0.2">
      <c r="A698" s="142" t="s">
        <v>1603</v>
      </c>
      <c r="B698" s="18" t="s">
        <v>138</v>
      </c>
      <c r="C698" s="18" t="s">
        <v>139</v>
      </c>
      <c r="D698" s="19" t="s">
        <v>576</v>
      </c>
      <c r="E698" s="18">
        <v>1</v>
      </c>
      <c r="F698" s="18" t="s">
        <v>35</v>
      </c>
      <c r="G698" s="18" t="s">
        <v>5</v>
      </c>
      <c r="H698" s="18" t="s">
        <v>960</v>
      </c>
      <c r="I698" s="18"/>
      <c r="J698" s="18"/>
      <c r="K698" s="19" t="s">
        <v>1195</v>
      </c>
      <c r="L698" s="275" t="s">
        <v>1605</v>
      </c>
      <c r="M698" s="275" t="s">
        <v>1606</v>
      </c>
      <c r="N698" s="19" t="s">
        <v>1815</v>
      </c>
      <c r="O698" s="143">
        <v>43131</v>
      </c>
      <c r="P698" s="143"/>
      <c r="Q698" s="143"/>
      <c r="R698" s="144"/>
      <c r="S698" s="144">
        <v>9117017</v>
      </c>
      <c r="T698" s="144">
        <v>0</v>
      </c>
      <c r="U698" s="145">
        <v>0</v>
      </c>
      <c r="V698" s="145">
        <v>0</v>
      </c>
      <c r="W698" s="145">
        <v>0</v>
      </c>
      <c r="X698" s="145">
        <f t="shared" si="215"/>
        <v>0</v>
      </c>
      <c r="Y698" s="145">
        <v>0</v>
      </c>
      <c r="Z698" s="145">
        <v>0</v>
      </c>
      <c r="AA698" s="145">
        <v>0</v>
      </c>
      <c r="AB698" s="145">
        <v>0</v>
      </c>
      <c r="AC698" s="145">
        <v>0</v>
      </c>
      <c r="AD698" s="145">
        <v>0</v>
      </c>
      <c r="AE698" s="145">
        <v>0</v>
      </c>
      <c r="AF698" s="145">
        <v>0</v>
      </c>
      <c r="AG698" s="145">
        <v>0</v>
      </c>
      <c r="AH698" s="145">
        <v>0</v>
      </c>
      <c r="AI698" s="145">
        <v>0</v>
      </c>
      <c r="AJ698" s="145">
        <v>0</v>
      </c>
      <c r="AK698" s="145">
        <f t="shared" si="216"/>
        <v>0</v>
      </c>
      <c r="AL698" s="145">
        <v>3000000</v>
      </c>
      <c r="AM698" s="145">
        <v>3004867</v>
      </c>
      <c r="AN698" s="145">
        <v>0</v>
      </c>
      <c r="AO698" s="145">
        <v>0</v>
      </c>
      <c r="AP698" s="145">
        <v>0</v>
      </c>
      <c r="AQ698" s="145">
        <v>0</v>
      </c>
      <c r="AR698" s="145">
        <v>0</v>
      </c>
      <c r="AS698" s="144">
        <f t="shared" si="214"/>
        <v>6004867</v>
      </c>
      <c r="AT698" s="144"/>
      <c r="AU698" s="146">
        <f t="shared" si="201"/>
        <v>6004867</v>
      </c>
      <c r="AV698" s="146">
        <f>IFERROR(VLOOKUP(J698,Maksājumu_pieprasījumu_iesn.!G:BL,57,0),0)</f>
        <v>0</v>
      </c>
      <c r="AW698" s="139">
        <f t="shared" si="194"/>
        <v>-6004867</v>
      </c>
      <c r="AX698" s="147"/>
      <c r="AY698" s="147"/>
      <c r="AZ698" s="149" t="s">
        <v>1816</v>
      </c>
      <c r="BA698" s="149" t="s">
        <v>1816</v>
      </c>
      <c r="BB698" s="144"/>
      <c r="BC698" s="144"/>
      <c r="BD698" s="144"/>
      <c r="BE698" s="144"/>
      <c r="BF698" s="144"/>
      <c r="BG698" s="144"/>
      <c r="BH698" s="149"/>
      <c r="BI698" s="149"/>
      <c r="BJ698" s="149"/>
      <c r="BK698" s="149"/>
      <c r="BL698" s="149"/>
      <c r="BM698" s="149"/>
      <c r="BN698" s="149"/>
    </row>
    <row r="699" spans="1:66" ht="51" hidden="1" customHeight="1" x14ac:dyDescent="0.2">
      <c r="A699" s="142" t="s">
        <v>1603</v>
      </c>
      <c r="B699" s="18" t="s">
        <v>138</v>
      </c>
      <c r="C699" s="18" t="s">
        <v>139</v>
      </c>
      <c r="D699" s="19" t="s">
        <v>576</v>
      </c>
      <c r="E699" s="18">
        <v>1</v>
      </c>
      <c r="F699" s="18" t="s">
        <v>35</v>
      </c>
      <c r="G699" s="18" t="s">
        <v>5</v>
      </c>
      <c r="H699" s="18" t="s">
        <v>960</v>
      </c>
      <c r="I699" s="18"/>
      <c r="J699" s="18" t="s">
        <v>698</v>
      </c>
      <c r="K699" s="19" t="s">
        <v>488</v>
      </c>
      <c r="L699" s="275" t="s">
        <v>1605</v>
      </c>
      <c r="M699" s="275" t="s">
        <v>1606</v>
      </c>
      <c r="N699" s="19" t="s">
        <v>699</v>
      </c>
      <c r="O699" s="143"/>
      <c r="P699" s="143"/>
      <c r="Q699" s="143"/>
      <c r="R699" s="172" t="s">
        <v>1817</v>
      </c>
      <c r="S699" s="144">
        <v>2503114</v>
      </c>
      <c r="T699" s="86">
        <v>0</v>
      </c>
      <c r="U699" s="145">
        <v>0</v>
      </c>
      <c r="V699" s="145">
        <v>0</v>
      </c>
      <c r="W699" s="145">
        <v>0</v>
      </c>
      <c r="X699" s="145">
        <f t="shared" si="215"/>
        <v>0</v>
      </c>
      <c r="Y699" s="145">
        <v>0</v>
      </c>
      <c r="Z699" s="145">
        <v>0</v>
      </c>
      <c r="AA699" s="145">
        <v>0</v>
      </c>
      <c r="AB699" s="145">
        <v>0</v>
      </c>
      <c r="AC699" s="145">
        <v>43468.12</v>
      </c>
      <c r="AD699" s="145">
        <v>0</v>
      </c>
      <c r="AE699" s="145">
        <v>0</v>
      </c>
      <c r="AF699" s="145">
        <v>0</v>
      </c>
      <c r="AG699" s="145">
        <v>0</v>
      </c>
      <c r="AH699" s="145">
        <v>0</v>
      </c>
      <c r="AI699" s="145">
        <v>0</v>
      </c>
      <c r="AJ699" s="145">
        <v>0</v>
      </c>
      <c r="AK699" s="145">
        <f t="shared" si="216"/>
        <v>43468.12</v>
      </c>
      <c r="AL699" s="145">
        <v>2459646.21</v>
      </c>
      <c r="AM699" s="145">
        <v>0</v>
      </c>
      <c r="AN699" s="145">
        <v>0</v>
      </c>
      <c r="AO699" s="145">
        <v>0</v>
      </c>
      <c r="AP699" s="145">
        <v>0</v>
      </c>
      <c r="AQ699" s="145">
        <v>0</v>
      </c>
      <c r="AR699" s="145">
        <v>0</v>
      </c>
      <c r="AS699" s="144">
        <f t="shared" si="214"/>
        <v>2503114.33</v>
      </c>
      <c r="AT699" s="144">
        <v>0</v>
      </c>
      <c r="AU699" s="146">
        <f t="shared" si="201"/>
        <v>2503114.33</v>
      </c>
      <c r="AV699" s="146">
        <f>IFERROR(VLOOKUP(J699,Maksājumu_pieprasījumu_iesn.!G:BL,57,0),0)</f>
        <v>0</v>
      </c>
      <c r="AW699" s="139">
        <f t="shared" si="194"/>
        <v>-2503114.33</v>
      </c>
      <c r="AX699" s="147"/>
      <c r="AY699" s="147"/>
      <c r="AZ699" s="147"/>
      <c r="BA699" s="165"/>
      <c r="BB699" s="144"/>
      <c r="BC699" s="144"/>
      <c r="BD699" s="144"/>
      <c r="BE699" s="144"/>
      <c r="BF699" s="144"/>
      <c r="BG699" s="144"/>
      <c r="BH699" s="149"/>
      <c r="BI699" s="149"/>
      <c r="BJ699" s="149"/>
      <c r="BK699" s="149"/>
      <c r="BL699" s="149"/>
      <c r="BM699" s="149"/>
      <c r="BN699" s="149"/>
    </row>
    <row r="700" spans="1:66" ht="38.25" hidden="1" customHeight="1" x14ac:dyDescent="0.2">
      <c r="A700" s="142" t="s">
        <v>1603</v>
      </c>
      <c r="B700" s="18" t="s">
        <v>138</v>
      </c>
      <c r="C700" s="18" t="s">
        <v>139</v>
      </c>
      <c r="D700" s="19" t="s">
        <v>576</v>
      </c>
      <c r="E700" s="18">
        <v>1</v>
      </c>
      <c r="F700" s="18" t="s">
        <v>35</v>
      </c>
      <c r="G700" s="18" t="s">
        <v>5</v>
      </c>
      <c r="H700" s="18" t="s">
        <v>960</v>
      </c>
      <c r="I700" s="18"/>
      <c r="J700" s="18" t="s">
        <v>700</v>
      </c>
      <c r="K700" s="19" t="s">
        <v>488</v>
      </c>
      <c r="L700" s="275" t="s">
        <v>1605</v>
      </c>
      <c r="M700" s="275" t="s">
        <v>1606</v>
      </c>
      <c r="N700" s="19" t="s">
        <v>701</v>
      </c>
      <c r="O700" s="143"/>
      <c r="P700" s="143"/>
      <c r="Q700" s="143"/>
      <c r="R700" s="172" t="s">
        <v>1818</v>
      </c>
      <c r="S700" s="144">
        <v>5915023</v>
      </c>
      <c r="T700" s="144">
        <v>0</v>
      </c>
      <c r="U700" s="145">
        <v>0</v>
      </c>
      <c r="V700" s="145">
        <v>0</v>
      </c>
      <c r="W700" s="145">
        <v>0</v>
      </c>
      <c r="X700" s="145">
        <f t="shared" si="215"/>
        <v>0</v>
      </c>
      <c r="Y700" s="145">
        <v>0</v>
      </c>
      <c r="Z700" s="145">
        <v>0</v>
      </c>
      <c r="AA700" s="145">
        <v>0</v>
      </c>
      <c r="AB700" s="145">
        <v>0</v>
      </c>
      <c r="AC700" s="145">
        <v>29478.26</v>
      </c>
      <c r="AD700" s="145">
        <v>0</v>
      </c>
      <c r="AE700" s="145">
        <v>0</v>
      </c>
      <c r="AF700" s="145">
        <v>0</v>
      </c>
      <c r="AG700" s="145">
        <v>0</v>
      </c>
      <c r="AH700" s="145">
        <v>0</v>
      </c>
      <c r="AI700" s="145">
        <v>0</v>
      </c>
      <c r="AJ700" s="145">
        <v>0</v>
      </c>
      <c r="AK700" s="145">
        <f t="shared" si="216"/>
        <v>29478.26</v>
      </c>
      <c r="AL700" s="145">
        <v>5885545.2700000005</v>
      </c>
      <c r="AM700" s="145">
        <v>0</v>
      </c>
      <c r="AN700" s="145">
        <v>0</v>
      </c>
      <c r="AO700" s="145">
        <v>0</v>
      </c>
      <c r="AP700" s="145">
        <v>0</v>
      </c>
      <c r="AQ700" s="145">
        <v>0</v>
      </c>
      <c r="AR700" s="145">
        <v>0</v>
      </c>
      <c r="AS700" s="144">
        <f t="shared" si="214"/>
        <v>5915023.5300000003</v>
      </c>
      <c r="AT700" s="144">
        <v>0</v>
      </c>
      <c r="AU700" s="146">
        <f t="shared" si="201"/>
        <v>5915023.5300000003</v>
      </c>
      <c r="AV700" s="146">
        <f>IFERROR(VLOOKUP(J700,Maksājumu_pieprasījumu_iesn.!G:BL,57,0),0)</f>
        <v>0</v>
      </c>
      <c r="AW700" s="139">
        <f t="shared" si="194"/>
        <v>-5915023.5300000003</v>
      </c>
      <c r="AX700" s="147">
        <f>S700-T700-(AS700-AT700)</f>
        <v>-0.53000000026077032</v>
      </c>
      <c r="AY700" s="147"/>
      <c r="AZ700" s="147"/>
      <c r="BA700" s="165"/>
      <c r="BB700" s="144"/>
      <c r="BC700" s="144"/>
      <c r="BD700" s="144"/>
      <c r="BE700" s="144"/>
      <c r="BF700" s="144"/>
      <c r="BG700" s="144"/>
      <c r="BH700" s="149"/>
      <c r="BI700" s="149"/>
      <c r="BJ700" s="149"/>
      <c r="BK700" s="149"/>
      <c r="BL700" s="149"/>
      <c r="BM700" s="149"/>
      <c r="BN700" s="149"/>
    </row>
    <row r="701" spans="1:66" ht="38.25" hidden="1" customHeight="1" x14ac:dyDescent="0.2">
      <c r="A701" s="142" t="s">
        <v>1603</v>
      </c>
      <c r="B701" s="18" t="s">
        <v>138</v>
      </c>
      <c r="C701" s="18" t="s">
        <v>139</v>
      </c>
      <c r="D701" s="19" t="s">
        <v>576</v>
      </c>
      <c r="E701" s="18">
        <v>1</v>
      </c>
      <c r="F701" s="18" t="s">
        <v>35</v>
      </c>
      <c r="G701" s="18" t="s">
        <v>5</v>
      </c>
      <c r="H701" s="18" t="s">
        <v>960</v>
      </c>
      <c r="I701" s="18"/>
      <c r="J701" s="18"/>
      <c r="K701" s="19" t="s">
        <v>488</v>
      </c>
      <c r="L701" s="275" t="s">
        <v>1605</v>
      </c>
      <c r="M701" s="275" t="s">
        <v>1606</v>
      </c>
      <c r="N701" s="19" t="s">
        <v>1819</v>
      </c>
      <c r="O701" s="143">
        <v>43281</v>
      </c>
      <c r="P701" s="143"/>
      <c r="Q701" s="143"/>
      <c r="R701" s="144"/>
      <c r="S701" s="144">
        <v>3853517</v>
      </c>
      <c r="T701" s="144">
        <v>573587.17272935796</v>
      </c>
      <c r="U701" s="145">
        <v>0</v>
      </c>
      <c r="V701" s="145">
        <v>0</v>
      </c>
      <c r="W701" s="145">
        <v>0</v>
      </c>
      <c r="X701" s="145">
        <f t="shared" si="215"/>
        <v>0</v>
      </c>
      <c r="Y701" s="145">
        <v>0</v>
      </c>
      <c r="Z701" s="145">
        <v>0</v>
      </c>
      <c r="AA701" s="145">
        <v>0</v>
      </c>
      <c r="AB701" s="145">
        <v>0</v>
      </c>
      <c r="AC701" s="145">
        <v>0</v>
      </c>
      <c r="AD701" s="145">
        <v>0</v>
      </c>
      <c r="AE701" s="145">
        <v>0</v>
      </c>
      <c r="AF701" s="145">
        <v>0</v>
      </c>
      <c r="AG701" s="145">
        <v>0</v>
      </c>
      <c r="AH701" s="145">
        <v>0</v>
      </c>
      <c r="AI701" s="145">
        <v>0</v>
      </c>
      <c r="AJ701" s="145">
        <v>0</v>
      </c>
      <c r="AK701" s="145">
        <f t="shared" si="216"/>
        <v>0</v>
      </c>
      <c r="AL701" s="145">
        <v>515570</v>
      </c>
      <c r="AM701" s="145">
        <v>773356</v>
      </c>
      <c r="AN701" s="145">
        <v>0</v>
      </c>
      <c r="AO701" s="145">
        <v>0</v>
      </c>
      <c r="AP701" s="145">
        <v>0</v>
      </c>
      <c r="AQ701" s="145">
        <v>0</v>
      </c>
      <c r="AR701" s="145">
        <v>0</v>
      </c>
      <c r="AS701" s="144">
        <f t="shared" si="214"/>
        <v>1288926</v>
      </c>
      <c r="AT701" s="144"/>
      <c r="AU701" s="146">
        <f t="shared" si="201"/>
        <v>1288926</v>
      </c>
      <c r="AV701" s="146">
        <f>IFERROR(VLOOKUP(J701,Maksājumu_pieprasījumu_iesn.!G:BL,57,0),0)</f>
        <v>0</v>
      </c>
      <c r="AW701" s="139">
        <f t="shared" si="194"/>
        <v>-1288926</v>
      </c>
      <c r="AX701" s="147">
        <f>S701-T701-(AS701-AT701)</f>
        <v>1991003.8272706419</v>
      </c>
      <c r="AY701" s="147"/>
      <c r="AZ701" s="149" t="s">
        <v>1816</v>
      </c>
      <c r="BA701" s="149" t="s">
        <v>1816</v>
      </c>
      <c r="BB701" s="144"/>
      <c r="BC701" s="144"/>
      <c r="BD701" s="144"/>
      <c r="BE701" s="144"/>
      <c r="BF701" s="144"/>
      <c r="BG701" s="144"/>
      <c r="BH701" s="149"/>
      <c r="BI701" s="149"/>
      <c r="BJ701" s="149"/>
      <c r="BK701" s="149"/>
      <c r="BL701" s="149"/>
      <c r="BM701" s="149"/>
      <c r="BN701" s="149"/>
    </row>
    <row r="702" spans="1:66" ht="25.5" hidden="1" customHeight="1" x14ac:dyDescent="0.2">
      <c r="A702" s="142" t="s">
        <v>1603</v>
      </c>
      <c r="B702" s="18" t="s">
        <v>138</v>
      </c>
      <c r="C702" s="18" t="s">
        <v>139</v>
      </c>
      <c r="D702" s="19" t="s">
        <v>576</v>
      </c>
      <c r="E702" s="18">
        <v>1</v>
      </c>
      <c r="F702" s="18" t="s">
        <v>35</v>
      </c>
      <c r="G702" s="18" t="s">
        <v>5</v>
      </c>
      <c r="H702" s="18" t="s">
        <v>960</v>
      </c>
      <c r="I702" s="18"/>
      <c r="J702" s="18"/>
      <c r="K702" s="19" t="s">
        <v>1432</v>
      </c>
      <c r="L702" s="275" t="s">
        <v>1605</v>
      </c>
      <c r="M702" s="275" t="s">
        <v>1606</v>
      </c>
      <c r="N702" s="19" t="s">
        <v>1820</v>
      </c>
      <c r="O702" s="143">
        <v>43190</v>
      </c>
      <c r="P702" s="143"/>
      <c r="Q702" s="143"/>
      <c r="R702" s="144"/>
      <c r="S702" s="144">
        <v>13000000</v>
      </c>
      <c r="T702" s="144">
        <v>607630.66213255795</v>
      </c>
      <c r="U702" s="145">
        <v>0</v>
      </c>
      <c r="V702" s="145">
        <v>0</v>
      </c>
      <c r="W702" s="145">
        <v>0</v>
      </c>
      <c r="X702" s="145">
        <f t="shared" si="215"/>
        <v>0</v>
      </c>
      <c r="Y702" s="145">
        <v>0</v>
      </c>
      <c r="Z702" s="145">
        <v>0</v>
      </c>
      <c r="AA702" s="145">
        <v>0</v>
      </c>
      <c r="AB702" s="145">
        <v>0</v>
      </c>
      <c r="AC702" s="145">
        <v>0</v>
      </c>
      <c r="AD702" s="145">
        <v>0</v>
      </c>
      <c r="AE702" s="145">
        <v>0</v>
      </c>
      <c r="AF702" s="145">
        <v>0</v>
      </c>
      <c r="AG702" s="145">
        <v>0</v>
      </c>
      <c r="AH702" s="145">
        <v>0</v>
      </c>
      <c r="AI702" s="145">
        <v>0</v>
      </c>
      <c r="AJ702" s="145">
        <v>0</v>
      </c>
      <c r="AK702" s="145">
        <f t="shared" si="216"/>
        <v>0</v>
      </c>
      <c r="AL702" s="145">
        <v>2586184.67</v>
      </c>
      <c r="AM702" s="145">
        <v>2586184.67</v>
      </c>
      <c r="AN702" s="145">
        <v>0</v>
      </c>
      <c r="AO702" s="145">
        <v>0</v>
      </c>
      <c r="AP702" s="145">
        <v>0</v>
      </c>
      <c r="AQ702" s="145">
        <v>0</v>
      </c>
      <c r="AR702" s="145">
        <v>0</v>
      </c>
      <c r="AS702" s="144">
        <f t="shared" si="214"/>
        <v>5172369.34</v>
      </c>
      <c r="AT702" s="144"/>
      <c r="AU702" s="146">
        <f t="shared" si="201"/>
        <v>5172369.34</v>
      </c>
      <c r="AV702" s="146">
        <f>IFERROR(VLOOKUP(J702,Maksājumu_pieprasījumu_iesn.!G:BL,57,0),0)</f>
        <v>0</v>
      </c>
      <c r="AW702" s="139">
        <f t="shared" si="194"/>
        <v>-5172369.34</v>
      </c>
      <c r="AX702" s="147"/>
      <c r="AY702" s="147"/>
      <c r="AZ702" s="147"/>
      <c r="BA702" s="165"/>
      <c r="BB702" s="144"/>
      <c r="BC702" s="144"/>
      <c r="BD702" s="144"/>
      <c r="BE702" s="144"/>
      <c r="BF702" s="144"/>
      <c r="BG702" s="144"/>
      <c r="BH702" s="149"/>
      <c r="BI702" s="149"/>
      <c r="BJ702" s="149"/>
      <c r="BK702" s="149"/>
      <c r="BL702" s="149"/>
      <c r="BM702" s="149"/>
      <c r="BN702" s="149"/>
    </row>
    <row r="703" spans="1:66" ht="25.5" hidden="1" customHeight="1" x14ac:dyDescent="0.2">
      <c r="A703" s="142" t="s">
        <v>1603</v>
      </c>
      <c r="B703" s="18" t="s">
        <v>138</v>
      </c>
      <c r="C703" s="18" t="s">
        <v>139</v>
      </c>
      <c r="D703" s="19" t="s">
        <v>576</v>
      </c>
      <c r="E703" s="18">
        <v>1</v>
      </c>
      <c r="F703" s="18" t="s">
        <v>35</v>
      </c>
      <c r="G703" s="18" t="s">
        <v>5</v>
      </c>
      <c r="H703" s="18" t="s">
        <v>960</v>
      </c>
      <c r="I703" s="18"/>
      <c r="J703" s="18"/>
      <c r="K703" s="19" t="s">
        <v>1432</v>
      </c>
      <c r="L703" s="275" t="s">
        <v>1605</v>
      </c>
      <c r="M703" s="275" t="s">
        <v>1606</v>
      </c>
      <c r="N703" s="19" t="s">
        <v>1821</v>
      </c>
      <c r="O703" s="143">
        <v>43070</v>
      </c>
      <c r="P703" s="143"/>
      <c r="Q703" s="143"/>
      <c r="R703" s="144"/>
      <c r="S703" s="144">
        <v>0</v>
      </c>
      <c r="T703" s="144">
        <v>0</v>
      </c>
      <c r="U703" s="145">
        <v>0</v>
      </c>
      <c r="V703" s="145">
        <v>0</v>
      </c>
      <c r="W703" s="145">
        <v>0</v>
      </c>
      <c r="X703" s="145">
        <f t="shared" si="215"/>
        <v>0</v>
      </c>
      <c r="Y703" s="145">
        <v>0</v>
      </c>
      <c r="Z703" s="145">
        <v>0</v>
      </c>
      <c r="AA703" s="145">
        <v>0</v>
      </c>
      <c r="AB703" s="145">
        <v>0</v>
      </c>
      <c r="AC703" s="145">
        <v>0</v>
      </c>
      <c r="AD703" s="145">
        <v>0</v>
      </c>
      <c r="AE703" s="145">
        <v>0</v>
      </c>
      <c r="AF703" s="145">
        <v>0</v>
      </c>
      <c r="AG703" s="145">
        <v>0</v>
      </c>
      <c r="AH703" s="145">
        <v>0</v>
      </c>
      <c r="AI703" s="145">
        <v>0</v>
      </c>
      <c r="AJ703" s="145">
        <v>0</v>
      </c>
      <c r="AK703" s="145">
        <f t="shared" si="216"/>
        <v>0</v>
      </c>
      <c r="AL703" s="145">
        <v>1220000</v>
      </c>
      <c r="AM703" s="145">
        <v>0</v>
      </c>
      <c r="AN703" s="145">
        <v>0</v>
      </c>
      <c r="AO703" s="145">
        <v>0</v>
      </c>
      <c r="AP703" s="145">
        <v>0</v>
      </c>
      <c r="AQ703" s="145">
        <v>0</v>
      </c>
      <c r="AR703" s="145">
        <v>0</v>
      </c>
      <c r="AS703" s="144">
        <f t="shared" si="214"/>
        <v>1220000</v>
      </c>
      <c r="AT703" s="144"/>
      <c r="AU703" s="146">
        <f t="shared" si="201"/>
        <v>1220000</v>
      </c>
      <c r="AV703" s="146">
        <f>IFERROR(VLOOKUP(J703,Maksājumu_pieprasījumu_iesn.!G:BL,57,0),0)</f>
        <v>0</v>
      </c>
      <c r="AW703" s="139">
        <f t="shared" si="194"/>
        <v>-1220000</v>
      </c>
      <c r="AX703" s="147"/>
      <c r="AY703" s="147"/>
      <c r="AZ703" s="147"/>
      <c r="BA703" s="165"/>
      <c r="BB703" s="144"/>
      <c r="BC703" s="144"/>
      <c r="BD703" s="144"/>
      <c r="BE703" s="144"/>
      <c r="BF703" s="144"/>
      <c r="BG703" s="144"/>
      <c r="BH703" s="149"/>
      <c r="BI703" s="149"/>
      <c r="BJ703" s="149"/>
      <c r="BK703" s="149"/>
      <c r="BL703" s="149"/>
      <c r="BM703" s="149"/>
      <c r="BN703" s="149"/>
    </row>
    <row r="704" spans="1:66" ht="25.5" hidden="1" customHeight="1" x14ac:dyDescent="0.2">
      <c r="A704" s="142" t="s">
        <v>1603</v>
      </c>
      <c r="B704" s="18" t="s">
        <v>138</v>
      </c>
      <c r="C704" s="18" t="s">
        <v>139</v>
      </c>
      <c r="D704" s="19" t="s">
        <v>576</v>
      </c>
      <c r="E704" s="18">
        <v>1</v>
      </c>
      <c r="F704" s="18" t="s">
        <v>35</v>
      </c>
      <c r="G704" s="18" t="s">
        <v>5</v>
      </c>
      <c r="H704" s="18" t="s">
        <v>960</v>
      </c>
      <c r="I704" s="18"/>
      <c r="J704" s="18"/>
      <c r="K704" s="19" t="s">
        <v>1432</v>
      </c>
      <c r="L704" s="275" t="s">
        <v>1605</v>
      </c>
      <c r="M704" s="275" t="s">
        <v>1606</v>
      </c>
      <c r="N704" s="19" t="s">
        <v>1822</v>
      </c>
      <c r="O704" s="143">
        <v>43343</v>
      </c>
      <c r="P704" s="143"/>
      <c r="Q704" s="143"/>
      <c r="R704" s="144"/>
      <c r="S704" s="144">
        <v>0</v>
      </c>
      <c r="T704" s="144">
        <v>0</v>
      </c>
      <c r="U704" s="145">
        <v>0</v>
      </c>
      <c r="V704" s="145">
        <v>0</v>
      </c>
      <c r="W704" s="145">
        <v>0</v>
      </c>
      <c r="X704" s="145">
        <f t="shared" si="215"/>
        <v>0</v>
      </c>
      <c r="Y704" s="145">
        <v>0</v>
      </c>
      <c r="Z704" s="145">
        <v>0</v>
      </c>
      <c r="AA704" s="145">
        <v>0</v>
      </c>
      <c r="AB704" s="145">
        <v>0</v>
      </c>
      <c r="AC704" s="145">
        <v>0</v>
      </c>
      <c r="AD704" s="145">
        <v>0</v>
      </c>
      <c r="AE704" s="145">
        <v>0</v>
      </c>
      <c r="AF704" s="145">
        <v>0</v>
      </c>
      <c r="AG704" s="145">
        <v>0</v>
      </c>
      <c r="AH704" s="145">
        <v>0</v>
      </c>
      <c r="AI704" s="145">
        <v>0</v>
      </c>
      <c r="AJ704" s="145">
        <v>0</v>
      </c>
      <c r="AK704" s="145">
        <f t="shared" si="216"/>
        <v>0</v>
      </c>
      <c r="AL704" s="145">
        <v>1200000</v>
      </c>
      <c r="AM704" s="145">
        <v>3000000</v>
      </c>
      <c r="AN704" s="145">
        <v>1800000</v>
      </c>
      <c r="AO704" s="145">
        <v>0</v>
      </c>
      <c r="AP704" s="145">
        <v>0</v>
      </c>
      <c r="AQ704" s="145">
        <v>0</v>
      </c>
      <c r="AR704" s="145">
        <v>0</v>
      </c>
      <c r="AS704" s="144">
        <f t="shared" si="214"/>
        <v>6000000</v>
      </c>
      <c r="AT704" s="144"/>
      <c r="AU704" s="146">
        <f t="shared" si="201"/>
        <v>6000000</v>
      </c>
      <c r="AV704" s="146">
        <f>IFERROR(VLOOKUP(J704,Maksājumu_pieprasījumu_iesn.!G:BL,57,0),0)</f>
        <v>0</v>
      </c>
      <c r="AW704" s="139">
        <f t="shared" si="194"/>
        <v>-6000000</v>
      </c>
      <c r="AX704" s="147"/>
      <c r="AY704" s="147"/>
      <c r="AZ704" s="147"/>
      <c r="BA704" s="165"/>
      <c r="BB704" s="144"/>
      <c r="BC704" s="144"/>
      <c r="BD704" s="144"/>
      <c r="BE704" s="144"/>
      <c r="BF704" s="144"/>
      <c r="BG704" s="144"/>
      <c r="BH704" s="149"/>
      <c r="BI704" s="149"/>
      <c r="BJ704" s="149"/>
      <c r="BK704" s="149"/>
      <c r="BL704" s="149"/>
      <c r="BM704" s="149"/>
      <c r="BN704" s="149"/>
    </row>
    <row r="705" spans="1:66" ht="25.5" hidden="1" customHeight="1" x14ac:dyDescent="0.2">
      <c r="A705" s="142" t="s">
        <v>1603</v>
      </c>
      <c r="B705" s="18" t="s">
        <v>138</v>
      </c>
      <c r="C705" s="18" t="s">
        <v>139</v>
      </c>
      <c r="D705" s="19" t="s">
        <v>576</v>
      </c>
      <c r="E705" s="18">
        <v>1</v>
      </c>
      <c r="F705" s="18" t="s">
        <v>35</v>
      </c>
      <c r="G705" s="18" t="s">
        <v>5</v>
      </c>
      <c r="H705" s="18" t="s">
        <v>960</v>
      </c>
      <c r="I705" s="18"/>
      <c r="J705" s="18"/>
      <c r="K705" s="19" t="s">
        <v>1432</v>
      </c>
      <c r="L705" s="275" t="s">
        <v>1605</v>
      </c>
      <c r="M705" s="275" t="s">
        <v>1606</v>
      </c>
      <c r="N705" s="19" t="s">
        <v>1823</v>
      </c>
      <c r="O705" s="143">
        <v>43444</v>
      </c>
      <c r="P705" s="143"/>
      <c r="Q705" s="143"/>
      <c r="R705" s="144"/>
      <c r="S705" s="144">
        <v>0</v>
      </c>
      <c r="T705" s="144">
        <v>0</v>
      </c>
      <c r="U705" s="145">
        <v>0</v>
      </c>
      <c r="V705" s="145">
        <v>0</v>
      </c>
      <c r="W705" s="145">
        <v>0</v>
      </c>
      <c r="X705" s="145">
        <f t="shared" si="215"/>
        <v>0</v>
      </c>
      <c r="Y705" s="145">
        <v>0</v>
      </c>
      <c r="Z705" s="145">
        <v>0</v>
      </c>
      <c r="AA705" s="145">
        <v>0</v>
      </c>
      <c r="AB705" s="145">
        <v>0</v>
      </c>
      <c r="AC705" s="145">
        <v>0</v>
      </c>
      <c r="AD705" s="145">
        <v>0</v>
      </c>
      <c r="AE705" s="145">
        <v>0</v>
      </c>
      <c r="AF705" s="145">
        <v>0</v>
      </c>
      <c r="AG705" s="145">
        <v>0</v>
      </c>
      <c r="AH705" s="145">
        <v>0</v>
      </c>
      <c r="AI705" s="145">
        <v>0</v>
      </c>
      <c r="AJ705" s="145">
        <v>0</v>
      </c>
      <c r="AK705" s="145">
        <f t="shared" si="216"/>
        <v>0</v>
      </c>
      <c r="AL705" s="145">
        <v>0</v>
      </c>
      <c r="AM705" s="145">
        <v>0</v>
      </c>
      <c r="AN705" s="145">
        <v>0</v>
      </c>
      <c r="AO705" s="145">
        <v>0</v>
      </c>
      <c r="AP705" s="145">
        <v>0</v>
      </c>
      <c r="AQ705" s="145">
        <v>0</v>
      </c>
      <c r="AR705" s="145">
        <v>0</v>
      </c>
      <c r="AS705" s="144">
        <f t="shared" si="214"/>
        <v>0</v>
      </c>
      <c r="AT705" s="144"/>
      <c r="AU705" s="146">
        <f t="shared" si="201"/>
        <v>0</v>
      </c>
      <c r="AV705" s="146">
        <f>IFERROR(VLOOKUP(J705,Maksājumu_pieprasījumu_iesn.!G:BL,57,0),0)</f>
        <v>0</v>
      </c>
      <c r="AW705" s="139">
        <f t="shared" si="194"/>
        <v>0</v>
      </c>
      <c r="AX705" s="147"/>
      <c r="AY705" s="147" t="s">
        <v>1085</v>
      </c>
      <c r="AZ705" s="147"/>
      <c r="BA705" s="165" t="s">
        <v>1824</v>
      </c>
      <c r="BB705" s="144"/>
      <c r="BC705" s="144"/>
      <c r="BD705" s="144"/>
      <c r="BE705" s="144"/>
      <c r="BF705" s="144"/>
      <c r="BG705" s="144"/>
      <c r="BH705" s="149"/>
      <c r="BI705" s="149"/>
      <c r="BJ705" s="149"/>
      <c r="BK705" s="149"/>
      <c r="BL705" s="149"/>
      <c r="BM705" s="149"/>
      <c r="BN705" s="149"/>
    </row>
    <row r="706" spans="1:66" ht="38.25" hidden="1" customHeight="1" x14ac:dyDescent="0.2">
      <c r="A706" s="142" t="s">
        <v>1603</v>
      </c>
      <c r="B706" s="18" t="s">
        <v>138</v>
      </c>
      <c r="C706" s="18" t="s">
        <v>139</v>
      </c>
      <c r="D706" s="19" t="s">
        <v>576</v>
      </c>
      <c r="E706" s="18">
        <v>1</v>
      </c>
      <c r="F706" s="18" t="s">
        <v>35</v>
      </c>
      <c r="G706" s="18" t="s">
        <v>5</v>
      </c>
      <c r="H706" s="18" t="s">
        <v>960</v>
      </c>
      <c r="I706" s="18"/>
      <c r="J706" s="18"/>
      <c r="K706" s="19" t="s">
        <v>499</v>
      </c>
      <c r="L706" s="275" t="s">
        <v>1605</v>
      </c>
      <c r="M706" s="275" t="s">
        <v>1606</v>
      </c>
      <c r="N706" s="19" t="s">
        <v>1825</v>
      </c>
      <c r="O706" s="143">
        <v>42947</v>
      </c>
      <c r="P706" s="143"/>
      <c r="Q706" s="143"/>
      <c r="R706" s="144"/>
      <c r="S706" s="144">
        <v>16305323</v>
      </c>
      <c r="T706" s="144">
        <v>762124.17005963298</v>
      </c>
      <c r="U706" s="145">
        <v>0</v>
      </c>
      <c r="V706" s="145">
        <v>0</v>
      </c>
      <c r="W706" s="145">
        <v>0</v>
      </c>
      <c r="X706" s="145">
        <f t="shared" si="215"/>
        <v>0</v>
      </c>
      <c r="Y706" s="145">
        <v>0</v>
      </c>
      <c r="Z706" s="145">
        <v>0</v>
      </c>
      <c r="AA706" s="145">
        <v>0</v>
      </c>
      <c r="AB706" s="145">
        <v>0</v>
      </c>
      <c r="AC706" s="145">
        <v>0</v>
      </c>
      <c r="AD706" s="145">
        <v>0</v>
      </c>
      <c r="AE706" s="145">
        <v>0</v>
      </c>
      <c r="AF706" s="145">
        <v>0</v>
      </c>
      <c r="AG706" s="145">
        <v>0</v>
      </c>
      <c r="AH706" s="145">
        <v>0</v>
      </c>
      <c r="AI706" s="145">
        <v>0</v>
      </c>
      <c r="AJ706" s="145">
        <v>0</v>
      </c>
      <c r="AK706" s="145">
        <f t="shared" si="216"/>
        <v>0</v>
      </c>
      <c r="AL706" s="145">
        <v>427060</v>
      </c>
      <c r="AM706" s="145">
        <v>0</v>
      </c>
      <c r="AN706" s="145">
        <v>0</v>
      </c>
      <c r="AO706" s="145">
        <v>0</v>
      </c>
      <c r="AP706" s="145">
        <v>0</v>
      </c>
      <c r="AQ706" s="145">
        <v>0</v>
      </c>
      <c r="AR706" s="145">
        <v>0</v>
      </c>
      <c r="AS706" s="144">
        <f t="shared" si="214"/>
        <v>427060</v>
      </c>
      <c r="AT706" s="144"/>
      <c r="AU706" s="146">
        <f t="shared" si="201"/>
        <v>427060</v>
      </c>
      <c r="AV706" s="146">
        <f>IFERROR(VLOOKUP(J706,Maksājumu_pieprasījumu_iesn.!G:BL,57,0),0)</f>
        <v>0</v>
      </c>
      <c r="AW706" s="139">
        <f t="shared" si="194"/>
        <v>-427060</v>
      </c>
      <c r="AX706" s="147"/>
      <c r="AY706" s="147"/>
      <c r="AZ706" s="147"/>
      <c r="BA706" s="165"/>
      <c r="BB706" s="144"/>
      <c r="BC706" s="144"/>
      <c r="BD706" s="144"/>
      <c r="BE706" s="144"/>
      <c r="BF706" s="144"/>
      <c r="BG706" s="144"/>
      <c r="BH706" s="149"/>
      <c r="BI706" s="149"/>
      <c r="BJ706" s="149"/>
      <c r="BK706" s="149"/>
      <c r="BL706" s="149"/>
      <c r="BM706" s="149"/>
      <c r="BN706" s="149"/>
    </row>
    <row r="707" spans="1:66" ht="25.5" hidden="1" customHeight="1" x14ac:dyDescent="0.2">
      <c r="A707" s="142" t="s">
        <v>1603</v>
      </c>
      <c r="B707" s="18" t="s">
        <v>138</v>
      </c>
      <c r="C707" s="18" t="s">
        <v>139</v>
      </c>
      <c r="D707" s="19" t="s">
        <v>576</v>
      </c>
      <c r="E707" s="18">
        <v>1</v>
      </c>
      <c r="F707" s="18" t="s">
        <v>35</v>
      </c>
      <c r="G707" s="18" t="s">
        <v>5</v>
      </c>
      <c r="H707" s="18" t="s">
        <v>960</v>
      </c>
      <c r="I707" s="18"/>
      <c r="J707" s="18"/>
      <c r="K707" s="19" t="s">
        <v>499</v>
      </c>
      <c r="L707" s="275" t="s">
        <v>1605</v>
      </c>
      <c r="M707" s="275" t="s">
        <v>1606</v>
      </c>
      <c r="N707" s="19" t="s">
        <v>1826</v>
      </c>
      <c r="O707" s="143">
        <v>43039</v>
      </c>
      <c r="P707" s="143"/>
      <c r="Q707" s="143"/>
      <c r="R707" s="144"/>
      <c r="S707" s="144">
        <v>0</v>
      </c>
      <c r="T707" s="144">
        <v>0</v>
      </c>
      <c r="U707" s="145">
        <v>0</v>
      </c>
      <c r="V707" s="145">
        <v>0</v>
      </c>
      <c r="W707" s="145">
        <v>0</v>
      </c>
      <c r="X707" s="145">
        <f t="shared" si="215"/>
        <v>0</v>
      </c>
      <c r="Y707" s="145">
        <v>0</v>
      </c>
      <c r="Z707" s="145">
        <v>0</v>
      </c>
      <c r="AA707" s="145">
        <v>0</v>
      </c>
      <c r="AB707" s="145">
        <v>0</v>
      </c>
      <c r="AC707" s="145">
        <v>0</v>
      </c>
      <c r="AD707" s="145">
        <v>0</v>
      </c>
      <c r="AE707" s="145">
        <v>0</v>
      </c>
      <c r="AF707" s="145">
        <v>0</v>
      </c>
      <c r="AG707" s="145">
        <v>0</v>
      </c>
      <c r="AH707" s="145">
        <v>0</v>
      </c>
      <c r="AI707" s="145">
        <v>0</v>
      </c>
      <c r="AJ707" s="145">
        <v>0</v>
      </c>
      <c r="AK707" s="145">
        <f t="shared" si="216"/>
        <v>0</v>
      </c>
      <c r="AL707" s="145">
        <v>1870241.9999999998</v>
      </c>
      <c r="AM707" s="145">
        <v>0</v>
      </c>
      <c r="AN707" s="145">
        <v>0</v>
      </c>
      <c r="AO707" s="145">
        <v>0</v>
      </c>
      <c r="AP707" s="145">
        <v>0</v>
      </c>
      <c r="AQ707" s="145">
        <v>0</v>
      </c>
      <c r="AR707" s="145">
        <v>0</v>
      </c>
      <c r="AS707" s="144">
        <f t="shared" si="214"/>
        <v>1870241.9999999998</v>
      </c>
      <c r="AT707" s="144"/>
      <c r="AU707" s="146">
        <f t="shared" si="201"/>
        <v>1870241.9999999998</v>
      </c>
      <c r="AV707" s="146">
        <f>IFERROR(VLOOKUP(J707,Maksājumu_pieprasījumu_iesn.!G:BL,57,0),0)</f>
        <v>0</v>
      </c>
      <c r="AW707" s="139">
        <f t="shared" si="194"/>
        <v>-1870241.9999999998</v>
      </c>
      <c r="AX707" s="147"/>
      <c r="AY707" s="147"/>
      <c r="AZ707" s="147"/>
      <c r="BA707" s="165"/>
      <c r="BB707" s="144"/>
      <c r="BC707" s="144"/>
      <c r="BD707" s="144"/>
      <c r="BE707" s="144"/>
      <c r="BF707" s="144"/>
      <c r="BG707" s="144"/>
      <c r="BH707" s="149"/>
      <c r="BI707" s="149"/>
      <c r="BJ707" s="149"/>
      <c r="BK707" s="149"/>
      <c r="BL707" s="149"/>
      <c r="BM707" s="149"/>
      <c r="BN707" s="149"/>
    </row>
    <row r="708" spans="1:66" ht="38.25" hidden="1" customHeight="1" x14ac:dyDescent="0.2">
      <c r="A708" s="142" t="s">
        <v>1603</v>
      </c>
      <c r="B708" s="18" t="s">
        <v>138</v>
      </c>
      <c r="C708" s="18" t="s">
        <v>139</v>
      </c>
      <c r="D708" s="19" t="s">
        <v>576</v>
      </c>
      <c r="E708" s="18">
        <v>1</v>
      </c>
      <c r="F708" s="18" t="s">
        <v>35</v>
      </c>
      <c r="G708" s="18" t="s">
        <v>5</v>
      </c>
      <c r="H708" s="18" t="s">
        <v>960</v>
      </c>
      <c r="I708" s="18"/>
      <c r="J708" s="18"/>
      <c r="K708" s="19" t="s">
        <v>499</v>
      </c>
      <c r="L708" s="275" t="s">
        <v>1605</v>
      </c>
      <c r="M708" s="275" t="s">
        <v>1606</v>
      </c>
      <c r="N708" s="19" t="s">
        <v>1827</v>
      </c>
      <c r="O708" s="143">
        <v>43039</v>
      </c>
      <c r="P708" s="143"/>
      <c r="Q708" s="143"/>
      <c r="R708" s="144"/>
      <c r="S708" s="144">
        <v>0</v>
      </c>
      <c r="T708" s="144">
        <v>0</v>
      </c>
      <c r="U708" s="145">
        <v>0</v>
      </c>
      <c r="V708" s="145">
        <v>0</v>
      </c>
      <c r="W708" s="145">
        <v>0</v>
      </c>
      <c r="X708" s="145">
        <f t="shared" si="215"/>
        <v>0</v>
      </c>
      <c r="Y708" s="145">
        <v>0</v>
      </c>
      <c r="Z708" s="145">
        <v>0</v>
      </c>
      <c r="AA708" s="145">
        <v>0</v>
      </c>
      <c r="AB708" s="145">
        <v>0</v>
      </c>
      <c r="AC708" s="145">
        <v>0</v>
      </c>
      <c r="AD708" s="145">
        <v>0</v>
      </c>
      <c r="AE708" s="145">
        <v>0</v>
      </c>
      <c r="AF708" s="145">
        <v>0</v>
      </c>
      <c r="AG708" s="145">
        <v>0</v>
      </c>
      <c r="AH708" s="145">
        <v>0</v>
      </c>
      <c r="AI708" s="145">
        <v>0</v>
      </c>
      <c r="AJ708" s="145">
        <v>0</v>
      </c>
      <c r="AK708" s="145">
        <f t="shared" si="216"/>
        <v>0</v>
      </c>
      <c r="AL708" s="145">
        <v>1000000</v>
      </c>
      <c r="AM708" s="145">
        <v>0</v>
      </c>
      <c r="AN708" s="145">
        <v>0</v>
      </c>
      <c r="AO708" s="145">
        <v>0</v>
      </c>
      <c r="AP708" s="145">
        <v>0</v>
      </c>
      <c r="AQ708" s="145">
        <v>0</v>
      </c>
      <c r="AR708" s="145">
        <v>0</v>
      </c>
      <c r="AS708" s="144">
        <f t="shared" si="214"/>
        <v>1000000</v>
      </c>
      <c r="AT708" s="144"/>
      <c r="AU708" s="146">
        <f t="shared" si="201"/>
        <v>1000000</v>
      </c>
      <c r="AV708" s="146">
        <f>IFERROR(VLOOKUP(J708,Maksājumu_pieprasījumu_iesn.!G:BL,57,0),0)</f>
        <v>0</v>
      </c>
      <c r="AW708" s="139">
        <f t="shared" si="194"/>
        <v>-1000000</v>
      </c>
      <c r="AX708" s="147"/>
      <c r="AY708" s="147"/>
      <c r="AZ708" s="147"/>
      <c r="BA708" s="165"/>
      <c r="BB708" s="144"/>
      <c r="BC708" s="144"/>
      <c r="BD708" s="144"/>
      <c r="BE708" s="144"/>
      <c r="BF708" s="144"/>
      <c r="BG708" s="144"/>
      <c r="BH708" s="149"/>
      <c r="BI708" s="149"/>
      <c r="BJ708" s="149"/>
      <c r="BK708" s="149"/>
      <c r="BL708" s="149"/>
      <c r="BM708" s="149"/>
      <c r="BN708" s="149"/>
    </row>
    <row r="709" spans="1:66" ht="38.25" hidden="1" customHeight="1" x14ac:dyDescent="0.2">
      <c r="A709" s="142" t="s">
        <v>1603</v>
      </c>
      <c r="B709" s="18" t="s">
        <v>138</v>
      </c>
      <c r="C709" s="18" t="s">
        <v>139</v>
      </c>
      <c r="D709" s="19" t="s">
        <v>576</v>
      </c>
      <c r="E709" s="18">
        <v>1</v>
      </c>
      <c r="F709" s="18" t="s">
        <v>35</v>
      </c>
      <c r="G709" s="18" t="s">
        <v>5</v>
      </c>
      <c r="H709" s="18" t="s">
        <v>960</v>
      </c>
      <c r="I709" s="18"/>
      <c r="J709" s="18"/>
      <c r="K709" s="19" t="s">
        <v>499</v>
      </c>
      <c r="L709" s="275" t="s">
        <v>1605</v>
      </c>
      <c r="M709" s="275" t="s">
        <v>1606</v>
      </c>
      <c r="N709" s="19" t="s">
        <v>1828</v>
      </c>
      <c r="O709" s="143">
        <v>43190</v>
      </c>
      <c r="P709" s="143"/>
      <c r="Q709" s="143"/>
      <c r="R709" s="144"/>
      <c r="S709" s="144">
        <v>0</v>
      </c>
      <c r="T709" s="144">
        <v>0</v>
      </c>
      <c r="U709" s="145">
        <v>0</v>
      </c>
      <c r="V709" s="145">
        <v>0</v>
      </c>
      <c r="W709" s="145">
        <v>0</v>
      </c>
      <c r="X709" s="145">
        <f t="shared" si="215"/>
        <v>0</v>
      </c>
      <c r="Y709" s="145">
        <v>0</v>
      </c>
      <c r="Z709" s="145">
        <v>0</v>
      </c>
      <c r="AA709" s="145">
        <v>0</v>
      </c>
      <c r="AB709" s="145">
        <v>0</v>
      </c>
      <c r="AC709" s="145">
        <v>0</v>
      </c>
      <c r="AD709" s="145">
        <v>0</v>
      </c>
      <c r="AE709" s="145">
        <v>0</v>
      </c>
      <c r="AF709" s="145">
        <v>0</v>
      </c>
      <c r="AG709" s="145">
        <v>0</v>
      </c>
      <c r="AH709" s="145">
        <v>0</v>
      </c>
      <c r="AI709" s="145">
        <v>0</v>
      </c>
      <c r="AJ709" s="145">
        <v>0</v>
      </c>
      <c r="AK709" s="145">
        <f t="shared" si="216"/>
        <v>0</v>
      </c>
      <c r="AL709" s="145">
        <v>5000000</v>
      </c>
      <c r="AM709" s="145">
        <v>2008021</v>
      </c>
      <c r="AN709" s="145">
        <v>0</v>
      </c>
      <c r="AO709" s="145">
        <v>0</v>
      </c>
      <c r="AP709" s="145">
        <v>0</v>
      </c>
      <c r="AQ709" s="145">
        <v>0</v>
      </c>
      <c r="AR709" s="145">
        <v>0</v>
      </c>
      <c r="AS709" s="144">
        <f t="shared" si="214"/>
        <v>7008021</v>
      </c>
      <c r="AT709" s="144"/>
      <c r="AU709" s="146">
        <f t="shared" si="201"/>
        <v>7008021</v>
      </c>
      <c r="AV709" s="146">
        <f>IFERROR(VLOOKUP(J709,Maksājumu_pieprasījumu_iesn.!G:BL,57,0),0)</f>
        <v>0</v>
      </c>
      <c r="AW709" s="139">
        <f t="shared" si="194"/>
        <v>-7008021</v>
      </c>
      <c r="AX709" s="147"/>
      <c r="AY709" s="147"/>
      <c r="AZ709" s="147"/>
      <c r="BA709" s="165"/>
      <c r="BB709" s="144"/>
      <c r="BC709" s="144"/>
      <c r="BD709" s="144"/>
      <c r="BE709" s="144"/>
      <c r="BF709" s="144"/>
      <c r="BG709" s="144"/>
      <c r="BH709" s="149"/>
      <c r="BI709" s="149"/>
      <c r="BJ709" s="149"/>
      <c r="BK709" s="149"/>
      <c r="BL709" s="149"/>
      <c r="BM709" s="149"/>
      <c r="BN709" s="149"/>
    </row>
    <row r="710" spans="1:66" ht="51" hidden="1" customHeight="1" x14ac:dyDescent="0.2">
      <c r="A710" s="142" t="s">
        <v>1603</v>
      </c>
      <c r="B710" s="18" t="s">
        <v>138</v>
      </c>
      <c r="C710" s="18" t="s">
        <v>139</v>
      </c>
      <c r="D710" s="19" t="s">
        <v>576</v>
      </c>
      <c r="E710" s="18">
        <v>1</v>
      </c>
      <c r="F710" s="18" t="s">
        <v>35</v>
      </c>
      <c r="G710" s="18" t="s">
        <v>5</v>
      </c>
      <c r="H710" s="18" t="s">
        <v>960</v>
      </c>
      <c r="I710" s="18"/>
      <c r="J710" s="18"/>
      <c r="K710" s="19" t="s">
        <v>499</v>
      </c>
      <c r="L710" s="275" t="s">
        <v>1605</v>
      </c>
      <c r="M710" s="275" t="s">
        <v>1606</v>
      </c>
      <c r="N710" s="19" t="s">
        <v>1829</v>
      </c>
      <c r="O710" s="143">
        <v>43465</v>
      </c>
      <c r="P710" s="143"/>
      <c r="Q710" s="143"/>
      <c r="R710" s="144"/>
      <c r="S710" s="144">
        <v>0</v>
      </c>
      <c r="T710" s="144">
        <v>0</v>
      </c>
      <c r="U710" s="145">
        <v>0</v>
      </c>
      <c r="V710" s="145">
        <v>0</v>
      </c>
      <c r="W710" s="145">
        <v>0</v>
      </c>
      <c r="X710" s="145">
        <f t="shared" si="215"/>
        <v>0</v>
      </c>
      <c r="Y710" s="145">
        <v>0</v>
      </c>
      <c r="Z710" s="145">
        <v>0</v>
      </c>
      <c r="AA710" s="145">
        <v>0</v>
      </c>
      <c r="AB710" s="145">
        <v>0</v>
      </c>
      <c r="AC710" s="145">
        <v>0</v>
      </c>
      <c r="AD710" s="145">
        <v>0</v>
      </c>
      <c r="AE710" s="145">
        <v>0</v>
      </c>
      <c r="AF710" s="145">
        <v>0</v>
      </c>
      <c r="AG710" s="145">
        <v>0</v>
      </c>
      <c r="AH710" s="145">
        <v>0</v>
      </c>
      <c r="AI710" s="145">
        <v>0</v>
      </c>
      <c r="AJ710" s="145">
        <v>0</v>
      </c>
      <c r="AK710" s="145">
        <f t="shared" si="216"/>
        <v>0</v>
      </c>
      <c r="AL710" s="145">
        <v>0</v>
      </c>
      <c r="AM710" s="145">
        <v>0</v>
      </c>
      <c r="AN710" s="145">
        <v>5237875.8299403675</v>
      </c>
      <c r="AO710" s="145">
        <v>0</v>
      </c>
      <c r="AP710" s="145">
        <v>0</v>
      </c>
      <c r="AQ710" s="145">
        <v>0</v>
      </c>
      <c r="AR710" s="145">
        <v>0</v>
      </c>
      <c r="AS710" s="144">
        <f t="shared" si="214"/>
        <v>5237875.8299403675</v>
      </c>
      <c r="AT710" s="144"/>
      <c r="AU710" s="146">
        <f t="shared" si="201"/>
        <v>5237875.8299403675</v>
      </c>
      <c r="AV710" s="146">
        <f>IFERROR(VLOOKUP(J710,Maksājumu_pieprasījumu_iesn.!G:BL,57,0),0)</f>
        <v>0</v>
      </c>
      <c r="AW710" s="139">
        <f t="shared" si="194"/>
        <v>-5237875.8299403675</v>
      </c>
      <c r="AX710" s="147"/>
      <c r="AY710" s="147" t="s">
        <v>1085</v>
      </c>
      <c r="AZ710" s="147"/>
      <c r="BA710" s="165" t="s">
        <v>1086</v>
      </c>
      <c r="BB710" s="144"/>
      <c r="BC710" s="144"/>
      <c r="BD710" s="144"/>
      <c r="BE710" s="144"/>
      <c r="BF710" s="144"/>
      <c r="BG710" s="144"/>
      <c r="BH710" s="149"/>
      <c r="BI710" s="149"/>
      <c r="BJ710" s="149"/>
      <c r="BK710" s="149"/>
      <c r="BL710" s="149"/>
      <c r="BM710" s="149"/>
      <c r="BN710" s="149"/>
    </row>
    <row r="711" spans="1:66" ht="63.75" hidden="1" customHeight="1" x14ac:dyDescent="0.2">
      <c r="A711" s="142" t="s">
        <v>1603</v>
      </c>
      <c r="B711" s="18" t="s">
        <v>138</v>
      </c>
      <c r="C711" s="18" t="s">
        <v>139</v>
      </c>
      <c r="D711" s="19" t="s">
        <v>576</v>
      </c>
      <c r="E711" s="18">
        <v>1</v>
      </c>
      <c r="F711" s="18" t="s">
        <v>35</v>
      </c>
      <c r="G711" s="18" t="s">
        <v>5</v>
      </c>
      <c r="H711" s="18" t="s">
        <v>960</v>
      </c>
      <c r="I711" s="18"/>
      <c r="J711" s="18" t="s">
        <v>1830</v>
      </c>
      <c r="K711" s="19" t="s">
        <v>1212</v>
      </c>
      <c r="L711" s="275" t="s">
        <v>1605</v>
      </c>
      <c r="M711" s="275" t="s">
        <v>1606</v>
      </c>
      <c r="N711" s="19" t="s">
        <v>1831</v>
      </c>
      <c r="O711" s="143"/>
      <c r="P711" s="143"/>
      <c r="Q711" s="143"/>
      <c r="R711" s="172" t="s">
        <v>1832</v>
      </c>
      <c r="S711" s="144">
        <v>11910759</v>
      </c>
      <c r="T711" s="144">
        <v>556718.64443625603</v>
      </c>
      <c r="U711" s="145">
        <v>0</v>
      </c>
      <c r="V711" s="145">
        <v>0</v>
      </c>
      <c r="W711" s="145">
        <v>0</v>
      </c>
      <c r="X711" s="145">
        <f t="shared" si="215"/>
        <v>0</v>
      </c>
      <c r="Y711" s="145">
        <v>0</v>
      </c>
      <c r="Z711" s="145">
        <v>0</v>
      </c>
      <c r="AA711" s="145">
        <v>0</v>
      </c>
      <c r="AB711" s="145">
        <v>0</v>
      </c>
      <c r="AC711" s="145">
        <v>0</v>
      </c>
      <c r="AD711" s="145">
        <v>0</v>
      </c>
      <c r="AE711" s="145">
        <v>0</v>
      </c>
      <c r="AF711" s="145">
        <v>0</v>
      </c>
      <c r="AG711" s="145">
        <v>0</v>
      </c>
      <c r="AH711" s="145">
        <v>0</v>
      </c>
      <c r="AI711" s="145">
        <v>0</v>
      </c>
      <c r="AJ711" s="145">
        <v>0</v>
      </c>
      <c r="AK711" s="145">
        <f t="shared" si="216"/>
        <v>0</v>
      </c>
      <c r="AL711" s="145">
        <v>3500000</v>
      </c>
      <c r="AM711" s="145">
        <v>0</v>
      </c>
      <c r="AN711" s="145">
        <v>0</v>
      </c>
      <c r="AO711" s="145">
        <v>0</v>
      </c>
      <c r="AP711" s="145">
        <v>0</v>
      </c>
      <c r="AQ711" s="145">
        <v>0</v>
      </c>
      <c r="AR711" s="145">
        <v>0</v>
      </c>
      <c r="AS711" s="144">
        <f t="shared" si="214"/>
        <v>3500000</v>
      </c>
      <c r="AT711" s="144">
        <v>0</v>
      </c>
      <c r="AU711" s="146">
        <f t="shared" si="201"/>
        <v>3500000</v>
      </c>
      <c r="AV711" s="146">
        <f>IFERROR(VLOOKUP(J711,Maksājumu_pieprasījumu_iesn.!G:BL,57,0),0)</f>
        <v>0</v>
      </c>
      <c r="AW711" s="139">
        <f t="shared" si="194"/>
        <v>-3500000</v>
      </c>
      <c r="AX711" s="147"/>
      <c r="AY711" s="147"/>
      <c r="AZ711" s="147"/>
      <c r="BA711" s="165"/>
      <c r="BB711" s="144"/>
      <c r="BC711" s="144"/>
      <c r="BD711" s="144"/>
      <c r="BE711" s="144"/>
      <c r="BF711" s="144"/>
      <c r="BG711" s="144"/>
      <c r="BH711" s="149"/>
      <c r="BI711" s="149"/>
      <c r="BJ711" s="149"/>
      <c r="BK711" s="149"/>
      <c r="BL711" s="149"/>
      <c r="BM711" s="149"/>
      <c r="BN711" s="149"/>
    </row>
    <row r="712" spans="1:66" ht="89.25" hidden="1" customHeight="1" x14ac:dyDescent="0.2">
      <c r="A712" s="142" t="s">
        <v>1603</v>
      </c>
      <c r="B712" s="18" t="s">
        <v>138</v>
      </c>
      <c r="C712" s="18" t="s">
        <v>139</v>
      </c>
      <c r="D712" s="19" t="s">
        <v>576</v>
      </c>
      <c r="E712" s="18">
        <v>1</v>
      </c>
      <c r="F712" s="18" t="s">
        <v>35</v>
      </c>
      <c r="G712" s="18" t="s">
        <v>5</v>
      </c>
      <c r="H712" s="18" t="s">
        <v>960</v>
      </c>
      <c r="I712" s="18"/>
      <c r="J712" s="18"/>
      <c r="K712" s="19" t="s">
        <v>1212</v>
      </c>
      <c r="L712" s="275" t="s">
        <v>1605</v>
      </c>
      <c r="M712" s="275" t="s">
        <v>1606</v>
      </c>
      <c r="N712" s="19" t="s">
        <v>1833</v>
      </c>
      <c r="O712" s="143">
        <v>42885</v>
      </c>
      <c r="P712" s="143"/>
      <c r="Q712" s="143"/>
      <c r="R712" s="144"/>
      <c r="S712" s="144">
        <v>0</v>
      </c>
      <c r="T712" s="144">
        <v>0</v>
      </c>
      <c r="U712" s="145">
        <v>0</v>
      </c>
      <c r="V712" s="145">
        <v>0</v>
      </c>
      <c r="W712" s="145">
        <v>0</v>
      </c>
      <c r="X712" s="145">
        <f t="shared" si="215"/>
        <v>0</v>
      </c>
      <c r="Y712" s="145">
        <v>0</v>
      </c>
      <c r="Z712" s="145">
        <v>0</v>
      </c>
      <c r="AA712" s="145">
        <v>0</v>
      </c>
      <c r="AB712" s="145">
        <v>0</v>
      </c>
      <c r="AC712" s="145">
        <v>0</v>
      </c>
      <c r="AD712" s="145">
        <v>0</v>
      </c>
      <c r="AE712" s="145">
        <v>0</v>
      </c>
      <c r="AF712" s="145">
        <v>0</v>
      </c>
      <c r="AG712" s="145">
        <v>0</v>
      </c>
      <c r="AH712" s="145">
        <v>0</v>
      </c>
      <c r="AI712" s="145">
        <v>0</v>
      </c>
      <c r="AJ712" s="145">
        <v>0</v>
      </c>
      <c r="AK712" s="145">
        <f t="shared" si="216"/>
        <v>0</v>
      </c>
      <c r="AL712" s="145">
        <v>2500000</v>
      </c>
      <c r="AM712" s="145">
        <v>0</v>
      </c>
      <c r="AN712" s="145">
        <v>0</v>
      </c>
      <c r="AO712" s="145">
        <v>0</v>
      </c>
      <c r="AP712" s="145">
        <v>0</v>
      </c>
      <c r="AQ712" s="145">
        <v>0</v>
      </c>
      <c r="AR712" s="145">
        <v>0</v>
      </c>
      <c r="AS712" s="144">
        <f t="shared" si="214"/>
        <v>2500000</v>
      </c>
      <c r="AT712" s="144"/>
      <c r="AU712" s="146">
        <f t="shared" si="201"/>
        <v>2500000</v>
      </c>
      <c r="AV712" s="146">
        <f>IFERROR(VLOOKUP(J712,Maksājumu_pieprasījumu_iesn.!G:BL,57,0),0)</f>
        <v>0</v>
      </c>
      <c r="AW712" s="139">
        <f t="shared" si="194"/>
        <v>-2500000</v>
      </c>
      <c r="AX712" s="147"/>
      <c r="AY712" s="147"/>
      <c r="AZ712" s="147"/>
      <c r="BA712" s="165"/>
      <c r="BB712" s="144"/>
      <c r="BC712" s="144"/>
      <c r="BD712" s="144"/>
      <c r="BE712" s="144"/>
      <c r="BF712" s="144"/>
      <c r="BG712" s="144"/>
      <c r="BH712" s="149"/>
      <c r="BI712" s="149"/>
      <c r="BJ712" s="149"/>
      <c r="BK712" s="149"/>
      <c r="BL712" s="149"/>
      <c r="BM712" s="149"/>
      <c r="BN712" s="149"/>
    </row>
    <row r="713" spans="1:66" ht="38.25" hidden="1" customHeight="1" x14ac:dyDescent="0.2">
      <c r="A713" s="142" t="s">
        <v>1603</v>
      </c>
      <c r="B713" s="18" t="s">
        <v>138</v>
      </c>
      <c r="C713" s="18" t="s">
        <v>139</v>
      </c>
      <c r="D713" s="19" t="s">
        <v>576</v>
      </c>
      <c r="E713" s="18">
        <v>1</v>
      </c>
      <c r="F713" s="18" t="s">
        <v>35</v>
      </c>
      <c r="G713" s="18" t="s">
        <v>5</v>
      </c>
      <c r="H713" s="18" t="s">
        <v>960</v>
      </c>
      <c r="I713" s="18"/>
      <c r="J713" s="18"/>
      <c r="K713" s="19" t="s">
        <v>1212</v>
      </c>
      <c r="L713" s="275" t="s">
        <v>1605</v>
      </c>
      <c r="M713" s="275" t="s">
        <v>1606</v>
      </c>
      <c r="N713" s="19" t="s">
        <v>1834</v>
      </c>
      <c r="O713" s="143">
        <v>43404</v>
      </c>
      <c r="P713" s="143"/>
      <c r="Q713" s="143"/>
      <c r="R713" s="144"/>
      <c r="S713" s="144">
        <v>0</v>
      </c>
      <c r="T713" s="144">
        <v>0</v>
      </c>
      <c r="U713" s="145">
        <v>0</v>
      </c>
      <c r="V713" s="145">
        <v>0</v>
      </c>
      <c r="W713" s="145">
        <v>0</v>
      </c>
      <c r="X713" s="145">
        <f t="shared" si="215"/>
        <v>0</v>
      </c>
      <c r="Y713" s="145">
        <v>0</v>
      </c>
      <c r="Z713" s="145">
        <v>0</v>
      </c>
      <c r="AA713" s="145">
        <v>0</v>
      </c>
      <c r="AB713" s="145">
        <v>0</v>
      </c>
      <c r="AC713" s="145">
        <v>0</v>
      </c>
      <c r="AD713" s="145">
        <v>0</v>
      </c>
      <c r="AE713" s="145">
        <v>0</v>
      </c>
      <c r="AF713" s="145">
        <v>0</v>
      </c>
      <c r="AG713" s="145">
        <v>0</v>
      </c>
      <c r="AH713" s="145">
        <v>0</v>
      </c>
      <c r="AI713" s="145">
        <v>0</v>
      </c>
      <c r="AJ713" s="145">
        <v>0</v>
      </c>
      <c r="AK713" s="145">
        <f t="shared" si="216"/>
        <v>0</v>
      </c>
      <c r="AL713" s="145">
        <v>4443281.355563744</v>
      </c>
      <c r="AM713" s="145">
        <v>0</v>
      </c>
      <c r="AN713" s="145">
        <v>0</v>
      </c>
      <c r="AO713" s="145">
        <v>0</v>
      </c>
      <c r="AP713" s="145">
        <v>0</v>
      </c>
      <c r="AQ713" s="145">
        <v>0</v>
      </c>
      <c r="AR713" s="145">
        <v>0</v>
      </c>
      <c r="AS713" s="144">
        <f t="shared" si="214"/>
        <v>4443281.355563744</v>
      </c>
      <c r="AT713" s="144"/>
      <c r="AU713" s="146">
        <f t="shared" si="201"/>
        <v>4443281.355563744</v>
      </c>
      <c r="AV713" s="146">
        <f>IFERROR(VLOOKUP(J713,Maksājumu_pieprasījumu_iesn.!G:BL,57,0),0)</f>
        <v>0</v>
      </c>
      <c r="AW713" s="139">
        <f t="shared" si="194"/>
        <v>-4443281.355563744</v>
      </c>
      <c r="AX713" s="147"/>
      <c r="AY713" s="147" t="s">
        <v>1085</v>
      </c>
      <c r="AZ713" s="147"/>
      <c r="BA713" s="165" t="s">
        <v>1086</v>
      </c>
      <c r="BB713" s="144"/>
      <c r="BC713" s="144"/>
      <c r="BD713" s="144"/>
      <c r="BE713" s="144"/>
      <c r="BF713" s="144"/>
      <c r="BG713" s="144"/>
      <c r="BH713" s="149"/>
      <c r="BI713" s="149"/>
      <c r="BJ713" s="149"/>
      <c r="BK713" s="149"/>
      <c r="BL713" s="149"/>
      <c r="BM713" s="149"/>
      <c r="BN713" s="149"/>
    </row>
    <row r="714" spans="1:66" ht="114.75" hidden="1" customHeight="1" x14ac:dyDescent="0.2">
      <c r="A714" s="142" t="s">
        <v>1603</v>
      </c>
      <c r="B714" s="18" t="s">
        <v>138</v>
      </c>
      <c r="C714" s="18" t="s">
        <v>139</v>
      </c>
      <c r="D714" s="19" t="s">
        <v>576</v>
      </c>
      <c r="E714" s="18">
        <v>1</v>
      </c>
      <c r="F714" s="18" t="s">
        <v>35</v>
      </c>
      <c r="G714" s="18" t="s">
        <v>5</v>
      </c>
      <c r="H714" s="18" t="s">
        <v>960</v>
      </c>
      <c r="I714" s="18"/>
      <c r="J714" s="18"/>
      <c r="K714" s="19" t="s">
        <v>1212</v>
      </c>
      <c r="L714" s="275" t="s">
        <v>1605</v>
      </c>
      <c r="M714" s="275" t="s">
        <v>1606</v>
      </c>
      <c r="N714" s="19" t="s">
        <v>1835</v>
      </c>
      <c r="O714" s="143">
        <v>42855</v>
      </c>
      <c r="P714" s="143"/>
      <c r="Q714" s="143"/>
      <c r="R714" s="144"/>
      <c r="S714" s="144">
        <v>0</v>
      </c>
      <c r="T714" s="144">
        <v>0</v>
      </c>
      <c r="U714" s="145">
        <v>0</v>
      </c>
      <c r="V714" s="145">
        <v>0</v>
      </c>
      <c r="W714" s="145">
        <v>0</v>
      </c>
      <c r="X714" s="145">
        <f t="shared" si="215"/>
        <v>0</v>
      </c>
      <c r="Y714" s="145">
        <v>0</v>
      </c>
      <c r="Z714" s="145">
        <v>0</v>
      </c>
      <c r="AA714" s="145">
        <v>0</v>
      </c>
      <c r="AB714" s="145">
        <v>0</v>
      </c>
      <c r="AC714" s="145">
        <v>0</v>
      </c>
      <c r="AD714" s="145">
        <v>0</v>
      </c>
      <c r="AE714" s="145">
        <v>0</v>
      </c>
      <c r="AF714" s="145">
        <v>0</v>
      </c>
      <c r="AG714" s="145">
        <v>0</v>
      </c>
      <c r="AH714" s="145">
        <v>0</v>
      </c>
      <c r="AI714" s="145">
        <v>0</v>
      </c>
      <c r="AJ714" s="145">
        <v>0</v>
      </c>
      <c r="AK714" s="145">
        <f t="shared" si="216"/>
        <v>0</v>
      </c>
      <c r="AL714" s="145">
        <v>910759</v>
      </c>
      <c r="AM714" s="145">
        <v>0</v>
      </c>
      <c r="AN714" s="145">
        <v>0</v>
      </c>
      <c r="AO714" s="145">
        <v>0</v>
      </c>
      <c r="AP714" s="145">
        <v>0</v>
      </c>
      <c r="AQ714" s="145">
        <v>0</v>
      </c>
      <c r="AR714" s="145">
        <v>0</v>
      </c>
      <c r="AS714" s="144">
        <f t="shared" si="214"/>
        <v>910759</v>
      </c>
      <c r="AT714" s="144"/>
      <c r="AU714" s="146">
        <f t="shared" si="201"/>
        <v>910759</v>
      </c>
      <c r="AV714" s="146">
        <f>IFERROR(VLOOKUP(J714,Maksājumu_pieprasījumu_iesn.!G:BL,57,0),0)</f>
        <v>0</v>
      </c>
      <c r="AW714" s="139">
        <f t="shared" si="194"/>
        <v>-910759</v>
      </c>
      <c r="AX714" s="147"/>
      <c r="AY714" s="147"/>
      <c r="AZ714" s="147"/>
      <c r="BA714" s="165"/>
      <c r="BB714" s="144"/>
      <c r="BC714" s="144"/>
      <c r="BD714" s="144"/>
      <c r="BE714" s="144"/>
      <c r="BF714" s="144"/>
      <c r="BG714" s="144"/>
      <c r="BH714" s="149"/>
      <c r="BI714" s="149"/>
      <c r="BJ714" s="149"/>
      <c r="BK714" s="149"/>
      <c r="BL714" s="149"/>
      <c r="BM714" s="149"/>
      <c r="BN714" s="149"/>
    </row>
    <row r="715" spans="1:66" ht="25.5" hidden="1" customHeight="1" x14ac:dyDescent="0.2">
      <c r="A715" s="142" t="s">
        <v>1603</v>
      </c>
      <c r="B715" s="18" t="s">
        <v>138</v>
      </c>
      <c r="C715" s="18" t="s">
        <v>139</v>
      </c>
      <c r="D715" s="19" t="s">
        <v>576</v>
      </c>
      <c r="E715" s="18">
        <v>1</v>
      </c>
      <c r="F715" s="18" t="s">
        <v>35</v>
      </c>
      <c r="G715" s="18" t="s">
        <v>5</v>
      </c>
      <c r="H715" s="18" t="s">
        <v>960</v>
      </c>
      <c r="I715" s="18"/>
      <c r="J715" s="18"/>
      <c r="K715" s="19" t="s">
        <v>148</v>
      </c>
      <c r="L715" s="275" t="s">
        <v>1605</v>
      </c>
      <c r="M715" s="275" t="s">
        <v>1606</v>
      </c>
      <c r="N715" s="19" t="s">
        <v>1836</v>
      </c>
      <c r="O715" s="143">
        <v>43089</v>
      </c>
      <c r="P715" s="143"/>
      <c r="Q715" s="143"/>
      <c r="R715" s="144"/>
      <c r="S715" s="144">
        <v>10351949</v>
      </c>
      <c r="T715" s="144">
        <v>483858.586556344</v>
      </c>
      <c r="U715" s="145">
        <v>0</v>
      </c>
      <c r="V715" s="145">
        <v>0</v>
      </c>
      <c r="W715" s="145">
        <v>0</v>
      </c>
      <c r="X715" s="145">
        <f t="shared" si="215"/>
        <v>0</v>
      </c>
      <c r="Y715" s="145">
        <v>0</v>
      </c>
      <c r="Z715" s="145">
        <v>0</v>
      </c>
      <c r="AA715" s="145">
        <v>0</v>
      </c>
      <c r="AB715" s="145">
        <v>0</v>
      </c>
      <c r="AC715" s="145">
        <v>0</v>
      </c>
      <c r="AD715" s="145">
        <v>0</v>
      </c>
      <c r="AE715" s="145">
        <v>0</v>
      </c>
      <c r="AF715" s="145">
        <v>0</v>
      </c>
      <c r="AG715" s="145">
        <v>0</v>
      </c>
      <c r="AH715" s="145">
        <v>0</v>
      </c>
      <c r="AI715" s="145">
        <v>0</v>
      </c>
      <c r="AJ715" s="145">
        <v>0</v>
      </c>
      <c r="AK715" s="145">
        <f t="shared" si="216"/>
        <v>0</v>
      </c>
      <c r="AL715" s="145">
        <v>2000000</v>
      </c>
      <c r="AM715" s="145">
        <v>3175975</v>
      </c>
      <c r="AN715" s="145">
        <v>0</v>
      </c>
      <c r="AO715" s="145">
        <v>0</v>
      </c>
      <c r="AP715" s="145">
        <v>0</v>
      </c>
      <c r="AQ715" s="145">
        <v>0</v>
      </c>
      <c r="AR715" s="145">
        <v>0</v>
      </c>
      <c r="AS715" s="144">
        <f t="shared" si="214"/>
        <v>5175975</v>
      </c>
      <c r="AT715" s="144"/>
      <c r="AU715" s="146">
        <f t="shared" si="201"/>
        <v>5175975</v>
      </c>
      <c r="AV715" s="146">
        <f>IFERROR(VLOOKUP(J715,Maksājumu_pieprasījumu_iesn.!G:BL,57,0),0)</f>
        <v>0</v>
      </c>
      <c r="AW715" s="139">
        <f t="shared" si="194"/>
        <v>-5175975</v>
      </c>
      <c r="AX715" s="147"/>
      <c r="AY715" s="147"/>
      <c r="AZ715" s="147"/>
      <c r="BA715" s="165"/>
      <c r="BB715" s="144"/>
      <c r="BC715" s="144"/>
      <c r="BD715" s="144"/>
      <c r="BE715" s="144"/>
      <c r="BF715" s="144"/>
      <c r="BG715" s="144"/>
      <c r="BH715" s="149"/>
      <c r="BI715" s="149"/>
      <c r="BJ715" s="149"/>
      <c r="BK715" s="149"/>
      <c r="BL715" s="149"/>
      <c r="BM715" s="149"/>
      <c r="BN715" s="149"/>
    </row>
    <row r="716" spans="1:66" ht="25.5" hidden="1" customHeight="1" x14ac:dyDescent="0.2">
      <c r="A716" s="142" t="s">
        <v>1603</v>
      </c>
      <c r="B716" s="18" t="s">
        <v>138</v>
      </c>
      <c r="C716" s="18" t="s">
        <v>139</v>
      </c>
      <c r="D716" s="19" t="s">
        <v>576</v>
      </c>
      <c r="E716" s="18">
        <v>1</v>
      </c>
      <c r="F716" s="18" t="s">
        <v>35</v>
      </c>
      <c r="G716" s="18" t="s">
        <v>5</v>
      </c>
      <c r="H716" s="18" t="s">
        <v>960</v>
      </c>
      <c r="I716" s="18"/>
      <c r="J716" s="18"/>
      <c r="K716" s="19" t="s">
        <v>148</v>
      </c>
      <c r="L716" s="275" t="s">
        <v>1605</v>
      </c>
      <c r="M716" s="275" t="s">
        <v>1606</v>
      </c>
      <c r="N716" s="19" t="s">
        <v>1837</v>
      </c>
      <c r="O716" s="143">
        <v>43192</v>
      </c>
      <c r="P716" s="143"/>
      <c r="Q716" s="143"/>
      <c r="R716" s="144"/>
      <c r="S716" s="144">
        <v>0</v>
      </c>
      <c r="T716" s="144">
        <v>0</v>
      </c>
      <c r="U716" s="145">
        <v>0</v>
      </c>
      <c r="V716" s="145">
        <v>0</v>
      </c>
      <c r="W716" s="145">
        <v>0</v>
      </c>
      <c r="X716" s="145">
        <f t="shared" si="215"/>
        <v>0</v>
      </c>
      <c r="Y716" s="145">
        <v>0</v>
      </c>
      <c r="Z716" s="145">
        <v>0</v>
      </c>
      <c r="AA716" s="145">
        <v>0</v>
      </c>
      <c r="AB716" s="145">
        <v>0</v>
      </c>
      <c r="AC716" s="145">
        <v>0</v>
      </c>
      <c r="AD716" s="145">
        <v>0</v>
      </c>
      <c r="AE716" s="145">
        <v>0</v>
      </c>
      <c r="AF716" s="145">
        <v>0</v>
      </c>
      <c r="AG716" s="145">
        <v>0</v>
      </c>
      <c r="AH716" s="145">
        <v>0</v>
      </c>
      <c r="AI716" s="145">
        <v>0</v>
      </c>
      <c r="AJ716" s="145">
        <v>0</v>
      </c>
      <c r="AK716" s="145">
        <f t="shared" si="216"/>
        <v>0</v>
      </c>
      <c r="AL716" s="145">
        <v>1000000</v>
      </c>
      <c r="AM716" s="145">
        <v>3692115</v>
      </c>
      <c r="AN716" s="145">
        <v>0</v>
      </c>
      <c r="AO716" s="145">
        <v>0</v>
      </c>
      <c r="AP716" s="145">
        <v>0</v>
      </c>
      <c r="AQ716" s="145">
        <v>0</v>
      </c>
      <c r="AR716" s="145">
        <v>0</v>
      </c>
      <c r="AS716" s="144">
        <f t="shared" si="214"/>
        <v>4692115</v>
      </c>
      <c r="AT716" s="144"/>
      <c r="AU716" s="146">
        <f t="shared" si="201"/>
        <v>4692115</v>
      </c>
      <c r="AV716" s="146">
        <f>IFERROR(VLOOKUP(J716,Maksājumu_pieprasījumu_iesn.!G:BL,57,0),0)</f>
        <v>0</v>
      </c>
      <c r="AW716" s="139">
        <f t="shared" si="194"/>
        <v>-4692115</v>
      </c>
      <c r="AX716" s="147"/>
      <c r="AY716" s="147" t="s">
        <v>1085</v>
      </c>
      <c r="AZ716" s="147"/>
      <c r="BA716" s="165" t="s">
        <v>1086</v>
      </c>
      <c r="BB716" s="144"/>
      <c r="BC716" s="144"/>
      <c r="BD716" s="144"/>
      <c r="BE716" s="144"/>
      <c r="BF716" s="144"/>
      <c r="BG716" s="144"/>
      <c r="BH716" s="149"/>
      <c r="BI716" s="149"/>
      <c r="BJ716" s="149"/>
      <c r="BK716" s="149"/>
      <c r="BL716" s="149"/>
      <c r="BM716" s="149"/>
      <c r="BN716" s="149"/>
    </row>
    <row r="717" spans="1:66" ht="63.75" hidden="1" customHeight="1" x14ac:dyDescent="0.2">
      <c r="A717" s="142" t="s">
        <v>1603</v>
      </c>
      <c r="B717" s="18" t="s">
        <v>138</v>
      </c>
      <c r="C717" s="18" t="s">
        <v>139</v>
      </c>
      <c r="D717" s="19" t="s">
        <v>576</v>
      </c>
      <c r="E717" s="18">
        <v>1</v>
      </c>
      <c r="F717" s="18" t="s">
        <v>35</v>
      </c>
      <c r="G717" s="18" t="s">
        <v>5</v>
      </c>
      <c r="H717" s="18" t="s">
        <v>960</v>
      </c>
      <c r="I717" s="18"/>
      <c r="J717" s="18"/>
      <c r="K717" s="19" t="s">
        <v>524</v>
      </c>
      <c r="L717" s="275" t="s">
        <v>1605</v>
      </c>
      <c r="M717" s="275" t="s">
        <v>1606</v>
      </c>
      <c r="N717" s="19" t="s">
        <v>1838</v>
      </c>
      <c r="O717" s="143">
        <v>43100</v>
      </c>
      <c r="P717" s="143"/>
      <c r="Q717" s="143"/>
      <c r="R717" s="144"/>
      <c r="S717" s="144">
        <v>9379199</v>
      </c>
      <c r="T717" s="144">
        <v>438391.45374177198</v>
      </c>
      <c r="U717" s="145">
        <v>0</v>
      </c>
      <c r="V717" s="145">
        <v>0</v>
      </c>
      <c r="W717" s="145">
        <v>0</v>
      </c>
      <c r="X717" s="145">
        <f t="shared" si="215"/>
        <v>0</v>
      </c>
      <c r="Y717" s="145">
        <v>0</v>
      </c>
      <c r="Z717" s="145">
        <v>0</v>
      </c>
      <c r="AA717" s="145">
        <v>0</v>
      </c>
      <c r="AB717" s="145">
        <v>0</v>
      </c>
      <c r="AC717" s="145">
        <v>0</v>
      </c>
      <c r="AD717" s="145">
        <v>0</v>
      </c>
      <c r="AE717" s="145">
        <v>0</v>
      </c>
      <c r="AF717" s="145">
        <v>0</v>
      </c>
      <c r="AG717" s="145">
        <v>0</v>
      </c>
      <c r="AH717" s="145">
        <v>0</v>
      </c>
      <c r="AI717" s="145">
        <v>0</v>
      </c>
      <c r="AJ717" s="145">
        <v>0</v>
      </c>
      <c r="AK717" s="145">
        <f t="shared" si="216"/>
        <v>0</v>
      </c>
      <c r="AL717" s="145">
        <v>2406766</v>
      </c>
      <c r="AM717" s="145">
        <v>1031472</v>
      </c>
      <c r="AN717" s="145">
        <v>0</v>
      </c>
      <c r="AO717" s="145">
        <v>0</v>
      </c>
      <c r="AP717" s="145">
        <v>0</v>
      </c>
      <c r="AQ717" s="145">
        <v>0</v>
      </c>
      <c r="AR717" s="145">
        <v>0</v>
      </c>
      <c r="AS717" s="144">
        <f t="shared" si="214"/>
        <v>3438238</v>
      </c>
      <c r="AT717" s="144"/>
      <c r="AU717" s="146">
        <f t="shared" si="201"/>
        <v>3438238</v>
      </c>
      <c r="AV717" s="146">
        <f>IFERROR(VLOOKUP(J717,Maksājumu_pieprasījumu_iesn.!G:BL,57,0),0)</f>
        <v>0</v>
      </c>
      <c r="AW717" s="139">
        <f t="shared" si="194"/>
        <v>-3438238</v>
      </c>
      <c r="AX717" s="147"/>
      <c r="AY717" s="147"/>
      <c r="AZ717" s="147"/>
      <c r="BA717" s="165"/>
      <c r="BB717" s="144"/>
      <c r="BC717" s="144"/>
      <c r="BD717" s="144"/>
      <c r="BE717" s="144"/>
      <c r="BF717" s="144"/>
      <c r="BG717" s="144"/>
      <c r="BH717" s="149"/>
      <c r="BI717" s="149"/>
      <c r="BJ717" s="149"/>
      <c r="BK717" s="149"/>
      <c r="BL717" s="149"/>
      <c r="BM717" s="149"/>
      <c r="BN717" s="149"/>
    </row>
    <row r="718" spans="1:66" ht="25.5" hidden="1" customHeight="1" x14ac:dyDescent="0.2">
      <c r="A718" s="142" t="s">
        <v>1603</v>
      </c>
      <c r="B718" s="18" t="s">
        <v>138</v>
      </c>
      <c r="C718" s="18" t="s">
        <v>139</v>
      </c>
      <c r="D718" s="19" t="s">
        <v>576</v>
      </c>
      <c r="E718" s="18">
        <v>1</v>
      </c>
      <c r="F718" s="18" t="s">
        <v>35</v>
      </c>
      <c r="G718" s="18" t="s">
        <v>5</v>
      </c>
      <c r="H718" s="18" t="s">
        <v>960</v>
      </c>
      <c r="I718" s="18"/>
      <c r="J718" s="18"/>
      <c r="K718" s="19" t="s">
        <v>524</v>
      </c>
      <c r="L718" s="275" t="s">
        <v>1605</v>
      </c>
      <c r="M718" s="275" t="s">
        <v>1606</v>
      </c>
      <c r="N718" s="19" t="s">
        <v>1839</v>
      </c>
      <c r="O718" s="143">
        <v>43465</v>
      </c>
      <c r="P718" s="143"/>
      <c r="Q718" s="143"/>
      <c r="R718" s="144"/>
      <c r="S718" s="144">
        <v>0</v>
      </c>
      <c r="T718" s="144">
        <v>0</v>
      </c>
      <c r="U718" s="145">
        <v>0</v>
      </c>
      <c r="V718" s="145">
        <v>0</v>
      </c>
      <c r="W718" s="145">
        <v>0</v>
      </c>
      <c r="X718" s="145">
        <f t="shared" si="215"/>
        <v>0</v>
      </c>
      <c r="Y718" s="145">
        <v>0</v>
      </c>
      <c r="Z718" s="145">
        <v>0</v>
      </c>
      <c r="AA718" s="145">
        <v>0</v>
      </c>
      <c r="AB718" s="145">
        <v>0</v>
      </c>
      <c r="AC718" s="145">
        <v>0</v>
      </c>
      <c r="AD718" s="145">
        <v>0</v>
      </c>
      <c r="AE718" s="145">
        <v>0</v>
      </c>
      <c r="AF718" s="145">
        <v>0</v>
      </c>
      <c r="AG718" s="145">
        <v>0</v>
      </c>
      <c r="AH718" s="145">
        <v>0</v>
      </c>
      <c r="AI718" s="145">
        <v>0</v>
      </c>
      <c r="AJ718" s="145">
        <v>0</v>
      </c>
      <c r="AK718" s="145">
        <f t="shared" si="216"/>
        <v>0</v>
      </c>
      <c r="AL718" s="145">
        <v>0</v>
      </c>
      <c r="AM718" s="145">
        <v>2970480</v>
      </c>
      <c r="AN718" s="145">
        <v>2532089.5462582279</v>
      </c>
      <c r="AO718" s="145">
        <v>0</v>
      </c>
      <c r="AP718" s="145">
        <v>0</v>
      </c>
      <c r="AQ718" s="145">
        <v>0</v>
      </c>
      <c r="AR718" s="145">
        <v>0</v>
      </c>
      <c r="AS718" s="144">
        <f t="shared" si="214"/>
        <v>5502569.5462582279</v>
      </c>
      <c r="AT718" s="144"/>
      <c r="AU718" s="146">
        <f t="shared" si="201"/>
        <v>5502569.5462582279</v>
      </c>
      <c r="AV718" s="146">
        <f>IFERROR(VLOOKUP(J718,Maksājumu_pieprasījumu_iesn.!G:BL,57,0),0)</f>
        <v>0</v>
      </c>
      <c r="AW718" s="139">
        <f t="shared" si="194"/>
        <v>-5502569.5462582279</v>
      </c>
      <c r="AX718" s="147"/>
      <c r="AY718" s="147" t="s">
        <v>1085</v>
      </c>
      <c r="AZ718" s="147"/>
      <c r="BA718" s="165" t="s">
        <v>1086</v>
      </c>
      <c r="BB718" s="144"/>
      <c r="BC718" s="144"/>
      <c r="BD718" s="144"/>
      <c r="BE718" s="144"/>
      <c r="BF718" s="144"/>
      <c r="BG718" s="144"/>
      <c r="BH718" s="149"/>
      <c r="BI718" s="149"/>
      <c r="BJ718" s="149"/>
      <c r="BK718" s="149"/>
      <c r="BL718" s="149"/>
      <c r="BM718" s="149"/>
      <c r="BN718" s="149"/>
    </row>
    <row r="719" spans="1:66" ht="25.5" hidden="1" customHeight="1" x14ac:dyDescent="0.2">
      <c r="A719" s="142" t="s">
        <v>1603</v>
      </c>
      <c r="B719" s="18" t="s">
        <v>138</v>
      </c>
      <c r="C719" s="18" t="s">
        <v>139</v>
      </c>
      <c r="D719" s="19" t="s">
        <v>576</v>
      </c>
      <c r="E719" s="18">
        <v>1</v>
      </c>
      <c r="F719" s="18" t="s">
        <v>35</v>
      </c>
      <c r="G719" s="18" t="s">
        <v>5</v>
      </c>
      <c r="H719" s="18" t="s">
        <v>960</v>
      </c>
      <c r="I719" s="18"/>
      <c r="J719" s="18"/>
      <c r="K719" s="19" t="s">
        <v>1617</v>
      </c>
      <c r="L719" s="275" t="s">
        <v>1605</v>
      </c>
      <c r="M719" s="275" t="s">
        <v>1606</v>
      </c>
      <c r="N719" s="19"/>
      <c r="O719" s="143">
        <v>43100</v>
      </c>
      <c r="P719" s="143"/>
      <c r="Q719" s="143"/>
      <c r="R719" s="144"/>
      <c r="S719" s="144">
        <v>20774515</v>
      </c>
      <c r="T719" s="144">
        <v>971017.86961021286</v>
      </c>
      <c r="U719" s="145">
        <v>0</v>
      </c>
      <c r="V719" s="145">
        <v>0</v>
      </c>
      <c r="W719" s="145">
        <v>0</v>
      </c>
      <c r="X719" s="145">
        <f t="shared" si="215"/>
        <v>0</v>
      </c>
      <c r="Y719" s="145">
        <v>0</v>
      </c>
      <c r="Z719" s="145">
        <v>0</v>
      </c>
      <c r="AA719" s="145">
        <v>0</v>
      </c>
      <c r="AB719" s="145">
        <v>0</v>
      </c>
      <c r="AC719" s="145">
        <v>0</v>
      </c>
      <c r="AD719" s="145">
        <v>0</v>
      </c>
      <c r="AE719" s="145">
        <v>0</v>
      </c>
      <c r="AF719" s="145">
        <v>0</v>
      </c>
      <c r="AG719" s="145">
        <v>0</v>
      </c>
      <c r="AH719" s="145">
        <v>0</v>
      </c>
      <c r="AI719" s="145">
        <v>0</v>
      </c>
      <c r="AJ719" s="145">
        <v>0</v>
      </c>
      <c r="AK719" s="145">
        <f t="shared" si="216"/>
        <v>0</v>
      </c>
      <c r="AL719" s="145">
        <v>12559249.940602137</v>
      </c>
      <c r="AM719" s="145">
        <v>4107632.53</v>
      </c>
      <c r="AN719" s="145">
        <v>3136614.6603897871</v>
      </c>
      <c r="AO719" s="145">
        <v>0</v>
      </c>
      <c r="AP719" s="145">
        <v>0</v>
      </c>
      <c r="AQ719" s="145">
        <v>0</v>
      </c>
      <c r="AR719" s="145">
        <v>0</v>
      </c>
      <c r="AS719" s="144">
        <f t="shared" si="214"/>
        <v>19803497.130991925</v>
      </c>
      <c r="AT719" s="144"/>
      <c r="AU719" s="146">
        <f t="shared" si="201"/>
        <v>19803497.130991925</v>
      </c>
      <c r="AV719" s="146">
        <f>IFERROR(VLOOKUP(J719,Maksājumu_pieprasījumu_iesn.!G:BL,57,0),0)</f>
        <v>0</v>
      </c>
      <c r="AW719" s="139">
        <f t="shared" si="194"/>
        <v>-19803497.130991925</v>
      </c>
      <c r="AX719" s="147" t="s">
        <v>1085</v>
      </c>
      <c r="AY719" s="147"/>
      <c r="AZ719" s="147"/>
      <c r="BA719" s="165" t="s">
        <v>1086</v>
      </c>
      <c r="BB719" s="144"/>
      <c r="BC719" s="144"/>
      <c r="BD719" s="144"/>
      <c r="BE719" s="144"/>
      <c r="BF719" s="144"/>
      <c r="BG719" s="144"/>
      <c r="BH719" s="149"/>
      <c r="BI719" s="149"/>
      <c r="BJ719" s="149"/>
      <c r="BK719" s="149"/>
      <c r="BL719" s="149"/>
      <c r="BM719" s="149"/>
      <c r="BN719" s="149"/>
    </row>
    <row r="720" spans="1:66" ht="25.5" hidden="1" customHeight="1" x14ac:dyDescent="0.2">
      <c r="A720" s="173" t="s">
        <v>1603</v>
      </c>
      <c r="B720" s="132" t="s">
        <v>138</v>
      </c>
      <c r="C720" s="132" t="s">
        <v>139</v>
      </c>
      <c r="D720" s="133" t="s">
        <v>576</v>
      </c>
      <c r="E720" s="132">
        <v>2</v>
      </c>
      <c r="F720" s="132" t="s">
        <v>35</v>
      </c>
      <c r="G720" s="132" t="s">
        <v>5</v>
      </c>
      <c r="H720" s="132" t="s">
        <v>3</v>
      </c>
      <c r="I720" s="132" t="s">
        <v>1022</v>
      </c>
      <c r="J720" s="273" t="s">
        <v>1026</v>
      </c>
      <c r="K720" s="133"/>
      <c r="L720" s="274"/>
      <c r="M720" s="275" t="s">
        <v>1606</v>
      </c>
      <c r="N720" s="133"/>
      <c r="O720" s="230"/>
      <c r="P720" s="230"/>
      <c r="Q720" s="230"/>
      <c r="R720" s="230"/>
      <c r="S720" s="165">
        <v>92138673</v>
      </c>
      <c r="T720" s="165">
        <v>5620020.5380656477</v>
      </c>
      <c r="U720" s="137">
        <f>SUM(U721:U792)</f>
        <v>0</v>
      </c>
      <c r="V720" s="137">
        <f>SUM(V721:V792)</f>
        <v>0</v>
      </c>
      <c r="W720" s="137">
        <f>SUM(W721:W792)</f>
        <v>0</v>
      </c>
      <c r="X720" s="138">
        <f>U720+V720+W720</f>
        <v>0</v>
      </c>
      <c r="Y720" s="137">
        <f t="shared" ref="Y720:AR720" si="217">SUM(Y721:Y792)</f>
        <v>0</v>
      </c>
      <c r="Z720" s="137">
        <f t="shared" si="217"/>
        <v>0</v>
      </c>
      <c r="AA720" s="137">
        <f t="shared" si="217"/>
        <v>0</v>
      </c>
      <c r="AB720" s="137">
        <f t="shared" si="217"/>
        <v>0</v>
      </c>
      <c r="AC720" s="137">
        <f t="shared" si="217"/>
        <v>280506.70999999996</v>
      </c>
      <c r="AD720" s="137">
        <f t="shared" si="217"/>
        <v>0</v>
      </c>
      <c r="AE720" s="137">
        <f t="shared" si="217"/>
        <v>0</v>
      </c>
      <c r="AF720" s="137">
        <f t="shared" si="217"/>
        <v>0</v>
      </c>
      <c r="AG720" s="137">
        <f t="shared" si="217"/>
        <v>0</v>
      </c>
      <c r="AH720" s="137">
        <f t="shared" si="217"/>
        <v>0</v>
      </c>
      <c r="AI720" s="137">
        <f t="shared" si="217"/>
        <v>0</v>
      </c>
      <c r="AJ720" s="137">
        <f t="shared" si="217"/>
        <v>0</v>
      </c>
      <c r="AK720" s="137">
        <f t="shared" si="217"/>
        <v>280506.70999999996</v>
      </c>
      <c r="AL720" s="137">
        <f t="shared" si="217"/>
        <v>63070811.917832859</v>
      </c>
      <c r="AM720" s="137">
        <f t="shared" si="217"/>
        <v>17972095.009226043</v>
      </c>
      <c r="AN720" s="137">
        <f t="shared" si="217"/>
        <v>4126069.622544928</v>
      </c>
      <c r="AO720" s="137">
        <f t="shared" si="217"/>
        <v>0</v>
      </c>
      <c r="AP720" s="137">
        <f t="shared" si="217"/>
        <v>0</v>
      </c>
      <c r="AQ720" s="137">
        <f t="shared" si="217"/>
        <v>0</v>
      </c>
      <c r="AR720" s="137">
        <f t="shared" si="217"/>
        <v>0</v>
      </c>
      <c r="AS720" s="165">
        <f t="shared" si="214"/>
        <v>85449483.259603828</v>
      </c>
      <c r="AT720" s="165">
        <f>SUM(AT721:AT792)</f>
        <v>0</v>
      </c>
      <c r="AU720" s="146">
        <f t="shared" si="201"/>
        <v>85449483.259603828</v>
      </c>
      <c r="AV720" s="146">
        <f>IFERROR(VLOOKUP(J720,Maksājumu_pieprasījumu_iesn.!G:BL,57,0),0)</f>
        <v>0</v>
      </c>
      <c r="AW720" s="139">
        <f t="shared" ref="AW720:AW783" si="218">AV720-AU720</f>
        <v>-85449483.259603828</v>
      </c>
      <c r="AX720" s="231">
        <f>S720-T720-AU720</f>
        <v>1069169.2023305297</v>
      </c>
      <c r="AY720" s="165"/>
      <c r="AZ720" s="165"/>
      <c r="BA720" s="149" t="s">
        <v>1840</v>
      </c>
      <c r="BB720" s="231"/>
      <c r="BC720" s="231">
        <f>X720+AK720+AL720/2</f>
        <v>31815912.66891643</v>
      </c>
      <c r="BD720" s="231"/>
      <c r="BE720" s="231">
        <f>BC720/0.85</f>
        <v>37430485.492842861</v>
      </c>
      <c r="BF720" s="165"/>
      <c r="BG720" s="165"/>
      <c r="BH720" s="149">
        <v>0</v>
      </c>
      <c r="BI720" s="149">
        <v>12037628.140000001</v>
      </c>
      <c r="BJ720" s="149"/>
      <c r="BK720" s="149"/>
      <c r="BL720" s="149">
        <v>22032370.667534798</v>
      </c>
      <c r="BM720" s="149"/>
      <c r="BN720" s="149"/>
    </row>
    <row r="721" spans="1:66" ht="63.75" hidden="1" customHeight="1" x14ac:dyDescent="0.2">
      <c r="A721" s="142" t="s">
        <v>1603</v>
      </c>
      <c r="B721" s="18" t="s">
        <v>138</v>
      </c>
      <c r="C721" s="18" t="s">
        <v>139</v>
      </c>
      <c r="D721" s="19" t="s">
        <v>576</v>
      </c>
      <c r="E721" s="18">
        <v>2</v>
      </c>
      <c r="F721" s="18" t="s">
        <v>35</v>
      </c>
      <c r="G721" s="18" t="s">
        <v>5</v>
      </c>
      <c r="H721" s="18" t="s">
        <v>3</v>
      </c>
      <c r="I721" s="18"/>
      <c r="J721" s="18" t="s">
        <v>702</v>
      </c>
      <c r="K721" s="19" t="s">
        <v>703</v>
      </c>
      <c r="L721" s="275" t="s">
        <v>1605</v>
      </c>
      <c r="M721" s="275" t="s">
        <v>1606</v>
      </c>
      <c r="N721" s="19" t="s">
        <v>704</v>
      </c>
      <c r="O721" s="143"/>
      <c r="P721" s="143"/>
      <c r="Q721" s="143"/>
      <c r="R721" s="172" t="s">
        <v>1224</v>
      </c>
      <c r="S721" s="144">
        <v>3310851</v>
      </c>
      <c r="T721" s="144">
        <v>201946.15369026599</v>
      </c>
      <c r="U721" s="145">
        <v>0</v>
      </c>
      <c r="V721" s="145">
        <v>0</v>
      </c>
      <c r="W721" s="145">
        <v>0</v>
      </c>
      <c r="X721" s="145">
        <f>W721+V721+U721</f>
        <v>0</v>
      </c>
      <c r="Y721" s="145">
        <v>0</v>
      </c>
      <c r="Z721" s="145">
        <v>0</v>
      </c>
      <c r="AA721" s="145">
        <v>0</v>
      </c>
      <c r="AB721" s="145">
        <v>0</v>
      </c>
      <c r="AC721" s="145">
        <v>32109.77</v>
      </c>
      <c r="AD721" s="145">
        <v>0</v>
      </c>
      <c r="AE721" s="145">
        <v>0</v>
      </c>
      <c r="AF721" s="145">
        <v>0</v>
      </c>
      <c r="AG721" s="145">
        <v>0</v>
      </c>
      <c r="AH721" s="145">
        <v>0</v>
      </c>
      <c r="AI721" s="145">
        <v>0</v>
      </c>
      <c r="AJ721" s="145">
        <v>0</v>
      </c>
      <c r="AK721" s="145">
        <f>SUM(Y721:AJ721)</f>
        <v>32109.77</v>
      </c>
      <c r="AL721" s="145">
        <v>1755063.85</v>
      </c>
      <c r="AM721" s="145">
        <v>1321731.3</v>
      </c>
      <c r="AN721" s="145">
        <v>0</v>
      </c>
      <c r="AO721" s="145">
        <v>0</v>
      </c>
      <c r="AP721" s="145">
        <v>0</v>
      </c>
      <c r="AQ721" s="145">
        <v>0</v>
      </c>
      <c r="AR721" s="145">
        <v>0</v>
      </c>
      <c r="AS721" s="144">
        <f t="shared" si="214"/>
        <v>3108904.92</v>
      </c>
      <c r="AT721" s="144">
        <v>0</v>
      </c>
      <c r="AU721" s="146">
        <f t="shared" si="201"/>
        <v>3108904.92</v>
      </c>
      <c r="AV721" s="146">
        <f>IFERROR(VLOOKUP(J721,Maksājumu_pieprasījumu_iesn.!G:BL,57,0),0)</f>
        <v>0</v>
      </c>
      <c r="AW721" s="139">
        <f t="shared" si="218"/>
        <v>-3108904.92</v>
      </c>
      <c r="AX721" s="147">
        <f>S721-T721-(AS721-AT721)</f>
        <v>-7.3690265882760286E-2</v>
      </c>
      <c r="AY721" s="147"/>
      <c r="AZ721" s="147"/>
      <c r="BA721" s="165"/>
      <c r="BB721" s="144"/>
      <c r="BC721" s="144"/>
      <c r="BD721" s="144"/>
      <c r="BE721" s="144"/>
      <c r="BF721" s="144"/>
      <c r="BG721" s="144"/>
      <c r="BH721" s="149"/>
      <c r="BI721" s="149"/>
      <c r="BJ721" s="149"/>
      <c r="BK721" s="149"/>
      <c r="BL721" s="149"/>
      <c r="BM721" s="149"/>
      <c r="BN721" s="149"/>
    </row>
    <row r="722" spans="1:66" ht="38.25" hidden="1" customHeight="1" x14ac:dyDescent="0.2">
      <c r="A722" s="142" t="s">
        <v>1603</v>
      </c>
      <c r="B722" s="18" t="s">
        <v>138</v>
      </c>
      <c r="C722" s="18" t="s">
        <v>139</v>
      </c>
      <c r="D722" s="19" t="s">
        <v>576</v>
      </c>
      <c r="E722" s="18">
        <v>2</v>
      </c>
      <c r="F722" s="18" t="s">
        <v>35</v>
      </c>
      <c r="G722" s="18" t="s">
        <v>5</v>
      </c>
      <c r="H722" s="18" t="s">
        <v>3</v>
      </c>
      <c r="I722" s="18"/>
      <c r="J722" s="18"/>
      <c r="K722" s="19" t="s">
        <v>63</v>
      </c>
      <c r="L722" s="275" t="s">
        <v>1605</v>
      </c>
      <c r="M722" s="275" t="s">
        <v>1606</v>
      </c>
      <c r="N722" s="19" t="s">
        <v>1841</v>
      </c>
      <c r="O722" s="143">
        <v>43008</v>
      </c>
      <c r="P722" s="143"/>
      <c r="Q722" s="143"/>
      <c r="R722" s="144"/>
      <c r="S722" s="144">
        <v>4270324</v>
      </c>
      <c r="T722" s="144">
        <v>266568.96434791503</v>
      </c>
      <c r="U722" s="145">
        <v>0</v>
      </c>
      <c r="V722" s="145">
        <v>0</v>
      </c>
      <c r="W722" s="145">
        <v>0</v>
      </c>
      <c r="X722" s="145">
        <f>W722+V722+U722</f>
        <v>0</v>
      </c>
      <c r="Y722" s="145">
        <v>0</v>
      </c>
      <c r="Z722" s="145">
        <v>0</v>
      </c>
      <c r="AA722" s="145">
        <v>0</v>
      </c>
      <c r="AB722" s="145">
        <v>0</v>
      </c>
      <c r="AC722" s="145">
        <v>0</v>
      </c>
      <c r="AD722" s="145">
        <v>0</v>
      </c>
      <c r="AE722" s="145">
        <v>0</v>
      </c>
      <c r="AF722" s="145">
        <v>0</v>
      </c>
      <c r="AG722" s="145">
        <v>0</v>
      </c>
      <c r="AH722" s="145">
        <v>0</v>
      </c>
      <c r="AI722" s="145">
        <v>0</v>
      </c>
      <c r="AJ722" s="145">
        <v>0</v>
      </c>
      <c r="AK722" s="145">
        <f>SUM(Y722:AJ722)</f>
        <v>0</v>
      </c>
      <c r="AL722" s="145">
        <v>4003755.0356520852</v>
      </c>
      <c r="AM722" s="145">
        <v>0</v>
      </c>
      <c r="AN722" s="145">
        <v>0</v>
      </c>
      <c r="AO722" s="145">
        <v>0</v>
      </c>
      <c r="AP722" s="145">
        <v>0</v>
      </c>
      <c r="AQ722" s="145">
        <v>0</v>
      </c>
      <c r="AR722" s="145">
        <v>0</v>
      </c>
      <c r="AS722" s="144">
        <f t="shared" si="214"/>
        <v>4003755.0356520852</v>
      </c>
      <c r="AT722" s="144"/>
      <c r="AU722" s="146">
        <f t="shared" si="201"/>
        <v>4003755.0356520852</v>
      </c>
      <c r="AV722" s="146">
        <f>IFERROR(VLOOKUP(J722,Maksājumu_pieprasījumu_iesn.!G:BL,57,0),0)</f>
        <v>0</v>
      </c>
      <c r="AW722" s="139">
        <f t="shared" si="218"/>
        <v>-4003755.0356520852</v>
      </c>
      <c r="AX722" s="147"/>
      <c r="AY722" s="147"/>
      <c r="AZ722" s="147"/>
      <c r="BA722" s="165"/>
      <c r="BB722" s="144"/>
      <c r="BC722" s="144"/>
      <c r="BD722" s="144"/>
      <c r="BE722" s="144"/>
      <c r="BF722" s="144"/>
      <c r="BG722" s="144"/>
      <c r="BH722" s="149"/>
      <c r="BI722" s="149"/>
      <c r="BJ722" s="149"/>
      <c r="BK722" s="149"/>
      <c r="BL722" s="149"/>
      <c r="BM722" s="149"/>
      <c r="BN722" s="149"/>
    </row>
    <row r="723" spans="1:66" s="161" customFormat="1" ht="38.25" hidden="1" customHeight="1" x14ac:dyDescent="0.2">
      <c r="A723" s="158" t="s">
        <v>1603</v>
      </c>
      <c r="B723" s="20" t="s">
        <v>138</v>
      </c>
      <c r="C723" s="20" t="s">
        <v>139</v>
      </c>
      <c r="D723" s="21" t="s">
        <v>576</v>
      </c>
      <c r="E723" s="20">
        <v>2</v>
      </c>
      <c r="F723" s="20" t="s">
        <v>35</v>
      </c>
      <c r="G723" s="20" t="s">
        <v>5</v>
      </c>
      <c r="H723" s="20" t="s">
        <v>3</v>
      </c>
      <c r="I723" s="20"/>
      <c r="J723" s="20"/>
      <c r="K723" s="21" t="s">
        <v>63</v>
      </c>
      <c r="L723" s="277" t="s">
        <v>1605</v>
      </c>
      <c r="M723" s="277" t="s">
        <v>1606</v>
      </c>
      <c r="N723" s="21" t="s">
        <v>1842</v>
      </c>
      <c r="O723" s="159"/>
      <c r="P723" s="159"/>
      <c r="Q723" s="159"/>
      <c r="R723" s="159"/>
      <c r="S723" s="147">
        <v>100000</v>
      </c>
      <c r="T723" s="147"/>
      <c r="U723" s="153"/>
      <c r="V723" s="153"/>
      <c r="W723" s="153"/>
      <c r="X723" s="153">
        <f t="shared" ref="X723:X782" si="219">W723+V723+U723</f>
        <v>0</v>
      </c>
      <c r="Y723" s="153"/>
      <c r="Z723" s="153"/>
      <c r="AA723" s="153"/>
      <c r="AB723" s="153"/>
      <c r="AC723" s="153"/>
      <c r="AD723" s="153"/>
      <c r="AE723" s="153"/>
      <c r="AF723" s="153"/>
      <c r="AG723" s="153"/>
      <c r="AH723" s="153"/>
      <c r="AI723" s="153"/>
      <c r="AJ723" s="153"/>
      <c r="AK723" s="153"/>
      <c r="AL723" s="153"/>
      <c r="AM723" s="153">
        <v>100000</v>
      </c>
      <c r="AN723" s="153"/>
      <c r="AO723" s="153"/>
      <c r="AP723" s="153"/>
      <c r="AQ723" s="153"/>
      <c r="AR723" s="153"/>
      <c r="AS723" s="147">
        <f t="shared" si="214"/>
        <v>100000</v>
      </c>
      <c r="AT723" s="147"/>
      <c r="AU723" s="146">
        <f t="shared" si="201"/>
        <v>100000</v>
      </c>
      <c r="AV723" s="146">
        <f>IFERROR(VLOOKUP(J723,Maksājumu_pieprasījumu_iesn.!G:BL,57,0),0)</f>
        <v>0</v>
      </c>
      <c r="AW723" s="139">
        <f t="shared" si="218"/>
        <v>-100000</v>
      </c>
      <c r="AX723" s="147"/>
      <c r="AY723" s="147"/>
      <c r="AZ723" s="149"/>
      <c r="BA723" s="149" t="s">
        <v>1843</v>
      </c>
      <c r="BB723" s="147"/>
      <c r="BC723" s="147"/>
      <c r="BD723" s="147"/>
      <c r="BE723" s="147"/>
      <c r="BF723" s="147"/>
      <c r="BG723" s="147"/>
      <c r="BH723" s="149"/>
      <c r="BI723" s="149"/>
      <c r="BJ723" s="149"/>
      <c r="BK723" s="149"/>
      <c r="BL723" s="149"/>
      <c r="BM723" s="149"/>
      <c r="BN723" s="149"/>
    </row>
    <row r="724" spans="1:66" ht="25.5" hidden="1" customHeight="1" x14ac:dyDescent="0.2">
      <c r="A724" s="142" t="s">
        <v>1603</v>
      </c>
      <c r="B724" s="18" t="s">
        <v>138</v>
      </c>
      <c r="C724" s="18" t="s">
        <v>139</v>
      </c>
      <c r="D724" s="19" t="s">
        <v>576</v>
      </c>
      <c r="E724" s="18">
        <v>2</v>
      </c>
      <c r="F724" s="18" t="s">
        <v>35</v>
      </c>
      <c r="G724" s="18" t="s">
        <v>5</v>
      </c>
      <c r="H724" s="18" t="s">
        <v>3</v>
      </c>
      <c r="I724" s="18"/>
      <c r="J724" s="18"/>
      <c r="K724" s="19" t="s">
        <v>1218</v>
      </c>
      <c r="L724" s="275" t="s">
        <v>1605</v>
      </c>
      <c r="M724" s="275" t="s">
        <v>1606</v>
      </c>
      <c r="N724" s="19" t="s">
        <v>1844</v>
      </c>
      <c r="O724" s="143">
        <v>42978</v>
      </c>
      <c r="P724" s="143"/>
      <c r="Q724" s="143"/>
      <c r="R724" s="144"/>
      <c r="S724" s="144">
        <v>5244388</v>
      </c>
      <c r="T724" s="144">
        <v>319882.70842130599</v>
      </c>
      <c r="U724" s="145">
        <v>0</v>
      </c>
      <c r="V724" s="145">
        <v>0</v>
      </c>
      <c r="W724" s="145">
        <v>0</v>
      </c>
      <c r="X724" s="145">
        <f t="shared" si="219"/>
        <v>0</v>
      </c>
      <c r="Y724" s="145">
        <v>0</v>
      </c>
      <c r="Z724" s="145">
        <v>0</v>
      </c>
      <c r="AA724" s="145">
        <v>0</v>
      </c>
      <c r="AB724" s="145">
        <v>0</v>
      </c>
      <c r="AC724" s="145">
        <v>0</v>
      </c>
      <c r="AD724" s="145">
        <v>0</v>
      </c>
      <c r="AE724" s="145">
        <v>0</v>
      </c>
      <c r="AF724" s="145">
        <v>0</v>
      </c>
      <c r="AG724" s="145">
        <v>0</v>
      </c>
      <c r="AH724" s="145">
        <v>0</v>
      </c>
      <c r="AI724" s="145">
        <v>0</v>
      </c>
      <c r="AJ724" s="145">
        <v>0</v>
      </c>
      <c r="AK724" s="145">
        <f t="shared" ref="AK724:AK737" si="220">SUM(Y724:AJ724)</f>
        <v>0</v>
      </c>
      <c r="AL724" s="145">
        <v>4924480.3319999995</v>
      </c>
      <c r="AM724" s="145">
        <v>0</v>
      </c>
      <c r="AN724" s="145">
        <v>0</v>
      </c>
      <c r="AO724" s="145">
        <v>0</v>
      </c>
      <c r="AP724" s="145">
        <v>0</v>
      </c>
      <c r="AQ724" s="145">
        <v>0</v>
      </c>
      <c r="AR724" s="145">
        <v>0</v>
      </c>
      <c r="AS724" s="144">
        <f t="shared" si="214"/>
        <v>4924480.3319999995</v>
      </c>
      <c r="AT724" s="144"/>
      <c r="AU724" s="146">
        <f t="shared" si="201"/>
        <v>4924480.3319999995</v>
      </c>
      <c r="AV724" s="146">
        <f>IFERROR(VLOOKUP(J724,Maksājumu_pieprasījumu_iesn.!G:BL,57,0),0)</f>
        <v>0</v>
      </c>
      <c r="AW724" s="139">
        <f t="shared" si="218"/>
        <v>-4924480.3319999995</v>
      </c>
      <c r="AX724" s="147"/>
      <c r="AY724" s="147" t="s">
        <v>1085</v>
      </c>
      <c r="AZ724" s="147"/>
      <c r="BA724" s="165" t="s">
        <v>1086</v>
      </c>
      <c r="BB724" s="144"/>
      <c r="BC724" s="144"/>
      <c r="BD724" s="144"/>
      <c r="BE724" s="144"/>
      <c r="BF724" s="144"/>
      <c r="BG724" s="144"/>
      <c r="BH724" s="149"/>
      <c r="BI724" s="149"/>
      <c r="BJ724" s="149"/>
      <c r="BK724" s="149"/>
      <c r="BL724" s="149"/>
      <c r="BM724" s="149"/>
      <c r="BN724" s="149"/>
    </row>
    <row r="725" spans="1:66" ht="38.25" hidden="1" customHeight="1" x14ac:dyDescent="0.2">
      <c r="A725" s="142" t="s">
        <v>1603</v>
      </c>
      <c r="B725" s="18" t="s">
        <v>138</v>
      </c>
      <c r="C725" s="18" t="s">
        <v>139</v>
      </c>
      <c r="D725" s="19" t="s">
        <v>576</v>
      </c>
      <c r="E725" s="18">
        <v>2</v>
      </c>
      <c r="F725" s="18" t="s">
        <v>35</v>
      </c>
      <c r="G725" s="18" t="s">
        <v>5</v>
      </c>
      <c r="H725" s="18" t="s">
        <v>3</v>
      </c>
      <c r="I725" s="18"/>
      <c r="J725" s="18"/>
      <c r="K725" s="19" t="s">
        <v>894</v>
      </c>
      <c r="L725" s="275" t="s">
        <v>1605</v>
      </c>
      <c r="M725" s="275" t="s">
        <v>1606</v>
      </c>
      <c r="N725" s="19" t="s">
        <v>1845</v>
      </c>
      <c r="O725" s="143">
        <v>42979</v>
      </c>
      <c r="P725" s="143"/>
      <c r="Q725" s="143"/>
      <c r="R725" s="144"/>
      <c r="S725" s="144">
        <v>4106743</v>
      </c>
      <c r="T725" s="144">
        <v>268790.35001922603</v>
      </c>
      <c r="U725" s="145">
        <v>0</v>
      </c>
      <c r="V725" s="145">
        <v>0</v>
      </c>
      <c r="W725" s="145">
        <v>0</v>
      </c>
      <c r="X725" s="145">
        <f t="shared" si="219"/>
        <v>0</v>
      </c>
      <c r="Y725" s="145">
        <v>0</v>
      </c>
      <c r="Z725" s="145">
        <v>0</v>
      </c>
      <c r="AA725" s="145">
        <v>0</v>
      </c>
      <c r="AB725" s="145">
        <v>0</v>
      </c>
      <c r="AC725" s="145">
        <v>0</v>
      </c>
      <c r="AD725" s="145">
        <v>0</v>
      </c>
      <c r="AE725" s="145">
        <v>0</v>
      </c>
      <c r="AF725" s="145">
        <v>0</v>
      </c>
      <c r="AG725" s="145">
        <v>0</v>
      </c>
      <c r="AH725" s="145">
        <v>0</v>
      </c>
      <c r="AI725" s="145">
        <v>0</v>
      </c>
      <c r="AJ725" s="145">
        <v>0</v>
      </c>
      <c r="AK725" s="145">
        <f t="shared" si="220"/>
        <v>0</v>
      </c>
      <c r="AL725" s="145">
        <v>1100000</v>
      </c>
      <c r="AM725" s="145">
        <v>1100000</v>
      </c>
      <c r="AN725" s="145">
        <v>80000</v>
      </c>
      <c r="AO725" s="145">
        <v>0</v>
      </c>
      <c r="AP725" s="145">
        <v>0</v>
      </c>
      <c r="AQ725" s="145">
        <v>0</v>
      </c>
      <c r="AR725" s="145">
        <v>0</v>
      </c>
      <c r="AS725" s="144">
        <f t="shared" si="214"/>
        <v>2280000</v>
      </c>
      <c r="AT725" s="144"/>
      <c r="AU725" s="146">
        <f t="shared" si="201"/>
        <v>2280000</v>
      </c>
      <c r="AV725" s="146">
        <f>IFERROR(VLOOKUP(J725,Maksājumu_pieprasījumu_iesn.!G:BL,57,0),0)</f>
        <v>0</v>
      </c>
      <c r="AW725" s="139">
        <f t="shared" si="218"/>
        <v>-2280000</v>
      </c>
      <c r="AX725" s="147"/>
      <c r="AY725" s="147"/>
      <c r="AZ725" s="147"/>
      <c r="BA725" s="165"/>
      <c r="BB725" s="144"/>
      <c r="BC725" s="144"/>
      <c r="BD725" s="144"/>
      <c r="BE725" s="144"/>
      <c r="BF725" s="144"/>
      <c r="BG725" s="144"/>
      <c r="BH725" s="149"/>
      <c r="BI725" s="149"/>
      <c r="BJ725" s="149"/>
      <c r="BK725" s="149"/>
      <c r="BL725" s="149"/>
      <c r="BM725" s="149"/>
      <c r="BN725" s="149"/>
    </row>
    <row r="726" spans="1:66" ht="25.5" hidden="1" customHeight="1" x14ac:dyDescent="0.2">
      <c r="A726" s="142" t="s">
        <v>1603</v>
      </c>
      <c r="B726" s="18" t="s">
        <v>138</v>
      </c>
      <c r="C726" s="18" t="s">
        <v>139</v>
      </c>
      <c r="D726" s="19" t="s">
        <v>576</v>
      </c>
      <c r="E726" s="18">
        <v>2</v>
      </c>
      <c r="F726" s="18" t="s">
        <v>35</v>
      </c>
      <c r="G726" s="18" t="s">
        <v>5</v>
      </c>
      <c r="H726" s="18" t="s">
        <v>3</v>
      </c>
      <c r="I726" s="18"/>
      <c r="J726" s="18"/>
      <c r="K726" s="19" t="s">
        <v>894</v>
      </c>
      <c r="L726" s="275" t="s">
        <v>1605</v>
      </c>
      <c r="M726" s="275" t="s">
        <v>1606</v>
      </c>
      <c r="N726" s="19" t="s">
        <v>1846</v>
      </c>
      <c r="O726" s="143">
        <v>43008</v>
      </c>
      <c r="P726" s="143"/>
      <c r="Q726" s="143"/>
      <c r="R726" s="144"/>
      <c r="S726" s="144">
        <v>0</v>
      </c>
      <c r="T726" s="144">
        <v>0</v>
      </c>
      <c r="U726" s="145">
        <v>0</v>
      </c>
      <c r="V726" s="145">
        <v>0</v>
      </c>
      <c r="W726" s="145">
        <v>0</v>
      </c>
      <c r="X726" s="145">
        <f t="shared" si="219"/>
        <v>0</v>
      </c>
      <c r="Y726" s="145">
        <v>0</v>
      </c>
      <c r="Z726" s="145">
        <v>0</v>
      </c>
      <c r="AA726" s="145">
        <v>0</v>
      </c>
      <c r="AB726" s="145">
        <v>0</v>
      </c>
      <c r="AC726" s="145">
        <v>0</v>
      </c>
      <c r="AD726" s="145">
        <v>0</v>
      </c>
      <c r="AE726" s="145">
        <v>0</v>
      </c>
      <c r="AF726" s="145">
        <v>0</v>
      </c>
      <c r="AG726" s="145">
        <v>0</v>
      </c>
      <c r="AH726" s="145">
        <v>0</v>
      </c>
      <c r="AI726" s="145">
        <v>0</v>
      </c>
      <c r="AJ726" s="145">
        <v>0</v>
      </c>
      <c r="AK726" s="145">
        <f t="shared" si="220"/>
        <v>0</v>
      </c>
      <c r="AL726" s="145">
        <v>212500</v>
      </c>
      <c r="AM726" s="145">
        <v>0</v>
      </c>
      <c r="AN726" s="145">
        <v>0</v>
      </c>
      <c r="AO726" s="145">
        <v>0</v>
      </c>
      <c r="AP726" s="145">
        <v>0</v>
      </c>
      <c r="AQ726" s="145">
        <v>0</v>
      </c>
      <c r="AR726" s="145">
        <v>0</v>
      </c>
      <c r="AS726" s="144">
        <f t="shared" si="214"/>
        <v>212500</v>
      </c>
      <c r="AT726" s="144"/>
      <c r="AU726" s="146">
        <f t="shared" si="201"/>
        <v>212500</v>
      </c>
      <c r="AV726" s="146">
        <f>IFERROR(VLOOKUP(J726,Maksājumu_pieprasījumu_iesn.!G:BL,57,0),0)</f>
        <v>0</v>
      </c>
      <c r="AW726" s="139">
        <f t="shared" si="218"/>
        <v>-212500</v>
      </c>
      <c r="AX726" s="147"/>
      <c r="AY726" s="147"/>
      <c r="AZ726" s="147"/>
      <c r="BA726" s="165"/>
      <c r="BB726" s="144"/>
      <c r="BC726" s="144"/>
      <c r="BD726" s="144"/>
      <c r="BE726" s="144"/>
      <c r="BF726" s="144"/>
      <c r="BG726" s="144"/>
      <c r="BH726" s="149"/>
      <c r="BI726" s="149"/>
      <c r="BJ726" s="149"/>
      <c r="BK726" s="149"/>
      <c r="BL726" s="149"/>
      <c r="BM726" s="149"/>
      <c r="BN726" s="149"/>
    </row>
    <row r="727" spans="1:66" ht="25.5" hidden="1" customHeight="1" x14ac:dyDescent="0.2">
      <c r="A727" s="142" t="s">
        <v>1603</v>
      </c>
      <c r="B727" s="18" t="s">
        <v>138</v>
      </c>
      <c r="C727" s="18" t="s">
        <v>139</v>
      </c>
      <c r="D727" s="19" t="s">
        <v>576</v>
      </c>
      <c r="E727" s="18">
        <v>2</v>
      </c>
      <c r="F727" s="18" t="s">
        <v>35</v>
      </c>
      <c r="G727" s="18" t="s">
        <v>5</v>
      </c>
      <c r="H727" s="18" t="s">
        <v>3</v>
      </c>
      <c r="I727" s="18"/>
      <c r="J727" s="18"/>
      <c r="K727" s="19" t="s">
        <v>894</v>
      </c>
      <c r="L727" s="275" t="s">
        <v>1605</v>
      </c>
      <c r="M727" s="275" t="s">
        <v>1606</v>
      </c>
      <c r="N727" s="19" t="s">
        <v>1847</v>
      </c>
      <c r="O727" s="143">
        <v>42856</v>
      </c>
      <c r="P727" s="143"/>
      <c r="Q727" s="143"/>
      <c r="R727" s="144"/>
      <c r="S727" s="144">
        <v>300000</v>
      </c>
      <c r="T727" s="144">
        <v>0</v>
      </c>
      <c r="U727" s="145">
        <v>0</v>
      </c>
      <c r="V727" s="145">
        <v>0</v>
      </c>
      <c r="W727" s="145">
        <v>0</v>
      </c>
      <c r="X727" s="145">
        <f t="shared" si="219"/>
        <v>0</v>
      </c>
      <c r="Y727" s="145">
        <v>0</v>
      </c>
      <c r="Z727" s="145">
        <v>0</v>
      </c>
      <c r="AA727" s="145">
        <v>0</v>
      </c>
      <c r="AB727" s="145">
        <v>0</v>
      </c>
      <c r="AC727" s="145">
        <v>0</v>
      </c>
      <c r="AD727" s="145">
        <v>0</v>
      </c>
      <c r="AE727" s="145">
        <v>0</v>
      </c>
      <c r="AF727" s="145">
        <v>0</v>
      </c>
      <c r="AG727" s="145">
        <v>0</v>
      </c>
      <c r="AH727" s="145">
        <v>0</v>
      </c>
      <c r="AI727" s="145">
        <v>0</v>
      </c>
      <c r="AJ727" s="145">
        <v>0</v>
      </c>
      <c r="AK727" s="145">
        <f t="shared" si="220"/>
        <v>0</v>
      </c>
      <c r="AL727" s="145">
        <v>301743</v>
      </c>
      <c r="AM727" s="145">
        <v>0</v>
      </c>
      <c r="AN727" s="145">
        <v>0</v>
      </c>
      <c r="AO727" s="145">
        <v>0</v>
      </c>
      <c r="AP727" s="145">
        <v>0</v>
      </c>
      <c r="AQ727" s="145">
        <v>0</v>
      </c>
      <c r="AR727" s="145">
        <v>0</v>
      </c>
      <c r="AS727" s="144">
        <f t="shared" si="214"/>
        <v>301743</v>
      </c>
      <c r="AT727" s="144"/>
      <c r="AU727" s="146">
        <f t="shared" si="201"/>
        <v>301743</v>
      </c>
      <c r="AV727" s="146">
        <f>IFERROR(VLOOKUP(J727,Maksājumu_pieprasījumu_iesn.!G:BL,57,0),0)</f>
        <v>0</v>
      </c>
      <c r="AW727" s="139">
        <f t="shared" si="218"/>
        <v>-301743</v>
      </c>
      <c r="AX727" s="147"/>
      <c r="AY727" s="147"/>
      <c r="AZ727" s="147"/>
      <c r="BA727" s="165"/>
      <c r="BB727" s="144"/>
      <c r="BC727" s="144"/>
      <c r="BD727" s="144"/>
      <c r="BE727" s="144"/>
      <c r="BF727" s="144"/>
      <c r="BG727" s="144"/>
      <c r="BH727" s="149"/>
      <c r="BI727" s="149"/>
      <c r="BJ727" s="149"/>
      <c r="BK727" s="149"/>
      <c r="BL727" s="149"/>
      <c r="BM727" s="149"/>
      <c r="BN727" s="149"/>
    </row>
    <row r="728" spans="1:66" ht="25.5" hidden="1" customHeight="1" x14ac:dyDescent="0.2">
      <c r="A728" s="142" t="s">
        <v>1603</v>
      </c>
      <c r="B728" s="18" t="s">
        <v>138</v>
      </c>
      <c r="C728" s="18" t="s">
        <v>139</v>
      </c>
      <c r="D728" s="19" t="s">
        <v>576</v>
      </c>
      <c r="E728" s="18">
        <v>2</v>
      </c>
      <c r="F728" s="18" t="s">
        <v>35</v>
      </c>
      <c r="G728" s="18" t="s">
        <v>5</v>
      </c>
      <c r="H728" s="18" t="s">
        <v>3</v>
      </c>
      <c r="I728" s="18"/>
      <c r="J728" s="18"/>
      <c r="K728" s="19" t="s">
        <v>894</v>
      </c>
      <c r="L728" s="275" t="s">
        <v>1605</v>
      </c>
      <c r="M728" s="275" t="s">
        <v>1606</v>
      </c>
      <c r="N728" s="19" t="s">
        <v>1848</v>
      </c>
      <c r="O728" s="143">
        <v>42979</v>
      </c>
      <c r="P728" s="143"/>
      <c r="Q728" s="143"/>
      <c r="R728" s="144"/>
      <c r="S728" s="144">
        <v>0</v>
      </c>
      <c r="T728" s="144">
        <v>0</v>
      </c>
      <c r="U728" s="145">
        <v>0</v>
      </c>
      <c r="V728" s="145">
        <v>0</v>
      </c>
      <c r="W728" s="145">
        <v>0</v>
      </c>
      <c r="X728" s="145">
        <f t="shared" si="219"/>
        <v>0</v>
      </c>
      <c r="Y728" s="145">
        <v>0</v>
      </c>
      <c r="Z728" s="145">
        <v>0</v>
      </c>
      <c r="AA728" s="145">
        <v>0</v>
      </c>
      <c r="AB728" s="145">
        <v>0</v>
      </c>
      <c r="AC728" s="145">
        <v>0</v>
      </c>
      <c r="AD728" s="145">
        <v>0</v>
      </c>
      <c r="AE728" s="145">
        <v>0</v>
      </c>
      <c r="AF728" s="145">
        <v>0</v>
      </c>
      <c r="AG728" s="145">
        <v>0</v>
      </c>
      <c r="AH728" s="145">
        <v>0</v>
      </c>
      <c r="AI728" s="145">
        <v>0</v>
      </c>
      <c r="AJ728" s="145">
        <v>0</v>
      </c>
      <c r="AK728" s="145">
        <f t="shared" si="220"/>
        <v>0</v>
      </c>
      <c r="AL728" s="145">
        <v>382500</v>
      </c>
      <c r="AM728" s="145">
        <v>0</v>
      </c>
      <c r="AN728" s="145">
        <v>0</v>
      </c>
      <c r="AO728" s="145">
        <v>0</v>
      </c>
      <c r="AP728" s="145">
        <v>0</v>
      </c>
      <c r="AQ728" s="145">
        <v>0</v>
      </c>
      <c r="AR728" s="145">
        <v>0</v>
      </c>
      <c r="AS728" s="144">
        <f t="shared" si="214"/>
        <v>382500</v>
      </c>
      <c r="AT728" s="144"/>
      <c r="AU728" s="146">
        <f t="shared" si="201"/>
        <v>382500</v>
      </c>
      <c r="AV728" s="146">
        <f>IFERROR(VLOOKUP(J728,Maksājumu_pieprasījumu_iesn.!G:BL,57,0),0)</f>
        <v>0</v>
      </c>
      <c r="AW728" s="139">
        <f t="shared" si="218"/>
        <v>-382500</v>
      </c>
      <c r="AX728" s="147"/>
      <c r="AY728" s="147"/>
      <c r="AZ728" s="147"/>
      <c r="BA728" s="165"/>
      <c r="BB728" s="144"/>
      <c r="BC728" s="144"/>
      <c r="BD728" s="144"/>
      <c r="BE728" s="144"/>
      <c r="BF728" s="144"/>
      <c r="BG728" s="144"/>
      <c r="BH728" s="149"/>
      <c r="BI728" s="149"/>
      <c r="BJ728" s="149"/>
      <c r="BK728" s="149"/>
      <c r="BL728" s="149"/>
      <c r="BM728" s="149"/>
      <c r="BN728" s="149"/>
    </row>
    <row r="729" spans="1:66" ht="25.5" hidden="1" customHeight="1" x14ac:dyDescent="0.2">
      <c r="A729" s="142" t="s">
        <v>1603</v>
      </c>
      <c r="B729" s="18" t="s">
        <v>138</v>
      </c>
      <c r="C729" s="18" t="s">
        <v>139</v>
      </c>
      <c r="D729" s="19" t="s">
        <v>576</v>
      </c>
      <c r="E729" s="18">
        <v>2</v>
      </c>
      <c r="F729" s="18" t="s">
        <v>35</v>
      </c>
      <c r="G729" s="18" t="s">
        <v>5</v>
      </c>
      <c r="H729" s="18" t="s">
        <v>3</v>
      </c>
      <c r="I729" s="18"/>
      <c r="J729" s="18"/>
      <c r="K729" s="19" t="s">
        <v>894</v>
      </c>
      <c r="L729" s="275" t="s">
        <v>1605</v>
      </c>
      <c r="M729" s="275" t="s">
        <v>1606</v>
      </c>
      <c r="N729" s="19" t="s">
        <v>1849</v>
      </c>
      <c r="O729" s="143">
        <v>43008</v>
      </c>
      <c r="P729" s="143"/>
      <c r="Q729" s="143"/>
      <c r="R729" s="144"/>
      <c r="S729" s="144">
        <v>0</v>
      </c>
      <c r="T729" s="144">
        <v>0</v>
      </c>
      <c r="U729" s="145">
        <v>0</v>
      </c>
      <c r="V729" s="145">
        <v>0</v>
      </c>
      <c r="W729" s="145">
        <v>0</v>
      </c>
      <c r="X729" s="145">
        <f t="shared" si="219"/>
        <v>0</v>
      </c>
      <c r="Y729" s="145">
        <v>0</v>
      </c>
      <c r="Z729" s="145">
        <v>0</v>
      </c>
      <c r="AA729" s="145">
        <v>0</v>
      </c>
      <c r="AB729" s="145">
        <v>0</v>
      </c>
      <c r="AC729" s="145">
        <v>0</v>
      </c>
      <c r="AD729" s="145">
        <v>0</v>
      </c>
      <c r="AE729" s="145">
        <v>0</v>
      </c>
      <c r="AF729" s="145">
        <v>0</v>
      </c>
      <c r="AG729" s="145">
        <v>0</v>
      </c>
      <c r="AH729" s="145">
        <v>0</v>
      </c>
      <c r="AI729" s="145">
        <v>0</v>
      </c>
      <c r="AJ729" s="145">
        <v>0</v>
      </c>
      <c r="AK729" s="145">
        <f t="shared" si="220"/>
        <v>0</v>
      </c>
      <c r="AL729" s="145">
        <v>127500</v>
      </c>
      <c r="AM729" s="145">
        <v>0</v>
      </c>
      <c r="AN729" s="145">
        <v>0</v>
      </c>
      <c r="AO729" s="145">
        <v>0</v>
      </c>
      <c r="AP729" s="145">
        <v>0</v>
      </c>
      <c r="AQ729" s="145">
        <v>0</v>
      </c>
      <c r="AR729" s="145">
        <v>0</v>
      </c>
      <c r="AS729" s="144">
        <f t="shared" si="214"/>
        <v>127500</v>
      </c>
      <c r="AT729" s="144"/>
      <c r="AU729" s="146">
        <f t="shared" si="201"/>
        <v>127500</v>
      </c>
      <c r="AV729" s="146">
        <f>IFERROR(VLOOKUP(J729,Maksājumu_pieprasījumu_iesn.!G:BL,57,0),0)</f>
        <v>0</v>
      </c>
      <c r="AW729" s="139">
        <f t="shared" si="218"/>
        <v>-127500</v>
      </c>
      <c r="AX729" s="147"/>
      <c r="AY729" s="147"/>
      <c r="AZ729" s="147"/>
      <c r="BA729" s="165"/>
      <c r="BB729" s="144"/>
      <c r="BC729" s="144"/>
      <c r="BD729" s="144"/>
      <c r="BE729" s="144"/>
      <c r="BF729" s="144"/>
      <c r="BG729" s="144"/>
      <c r="BH729" s="149"/>
      <c r="BI729" s="149"/>
      <c r="BJ729" s="149"/>
      <c r="BK729" s="149"/>
      <c r="BL729" s="149"/>
      <c r="BM729" s="149"/>
      <c r="BN729" s="149"/>
    </row>
    <row r="730" spans="1:66" ht="25.5" hidden="1" customHeight="1" x14ac:dyDescent="0.2">
      <c r="A730" s="142" t="s">
        <v>1603</v>
      </c>
      <c r="B730" s="18" t="s">
        <v>138</v>
      </c>
      <c r="C730" s="18" t="s">
        <v>139</v>
      </c>
      <c r="D730" s="19" t="s">
        <v>576</v>
      </c>
      <c r="E730" s="18">
        <v>2</v>
      </c>
      <c r="F730" s="18" t="s">
        <v>35</v>
      </c>
      <c r="G730" s="18" t="s">
        <v>5</v>
      </c>
      <c r="H730" s="18" t="s">
        <v>3</v>
      </c>
      <c r="I730" s="18"/>
      <c r="J730" s="18"/>
      <c r="K730" s="19" t="s">
        <v>894</v>
      </c>
      <c r="L730" s="275" t="s">
        <v>1605</v>
      </c>
      <c r="M730" s="275" t="s">
        <v>1606</v>
      </c>
      <c r="N730" s="19" t="s">
        <v>1850</v>
      </c>
      <c r="O730" s="143">
        <v>43008</v>
      </c>
      <c r="P730" s="143"/>
      <c r="Q730" s="143"/>
      <c r="R730" s="144"/>
      <c r="S730" s="144">
        <v>0</v>
      </c>
      <c r="T730" s="144">
        <v>0</v>
      </c>
      <c r="U730" s="145">
        <v>0</v>
      </c>
      <c r="V730" s="145">
        <v>0</v>
      </c>
      <c r="W730" s="145">
        <v>0</v>
      </c>
      <c r="X730" s="145">
        <f t="shared" si="219"/>
        <v>0</v>
      </c>
      <c r="Y730" s="145">
        <v>0</v>
      </c>
      <c r="Z730" s="145">
        <v>0</v>
      </c>
      <c r="AA730" s="145">
        <v>0</v>
      </c>
      <c r="AB730" s="145">
        <v>0</v>
      </c>
      <c r="AC730" s="145">
        <v>0</v>
      </c>
      <c r="AD730" s="145">
        <v>0</v>
      </c>
      <c r="AE730" s="145">
        <v>0</v>
      </c>
      <c r="AF730" s="145">
        <v>0</v>
      </c>
      <c r="AG730" s="145">
        <v>0</v>
      </c>
      <c r="AH730" s="145">
        <v>0</v>
      </c>
      <c r="AI730" s="145">
        <v>0</v>
      </c>
      <c r="AJ730" s="145">
        <v>0</v>
      </c>
      <c r="AK730" s="145">
        <f t="shared" si="220"/>
        <v>0</v>
      </c>
      <c r="AL730" s="145">
        <v>280000</v>
      </c>
      <c r="AM730" s="145">
        <v>200000</v>
      </c>
      <c r="AN730" s="145">
        <v>353709.64998077397</v>
      </c>
      <c r="AO730" s="145">
        <v>0</v>
      </c>
      <c r="AP730" s="145">
        <v>0</v>
      </c>
      <c r="AQ730" s="145">
        <v>0</v>
      </c>
      <c r="AR730" s="145">
        <v>0</v>
      </c>
      <c r="AS730" s="144">
        <f t="shared" si="214"/>
        <v>833709.64998077392</v>
      </c>
      <c r="AT730" s="144"/>
      <c r="AU730" s="146">
        <f t="shared" si="201"/>
        <v>833709.64998077392</v>
      </c>
      <c r="AV730" s="146">
        <f>IFERROR(VLOOKUP(J730,Maksājumu_pieprasījumu_iesn.!G:BL,57,0),0)</f>
        <v>0</v>
      </c>
      <c r="AW730" s="139">
        <f t="shared" si="218"/>
        <v>-833709.64998077392</v>
      </c>
      <c r="AX730" s="147"/>
      <c r="AY730" s="147" t="s">
        <v>1085</v>
      </c>
      <c r="AZ730" s="147"/>
      <c r="BA730" s="165" t="s">
        <v>1086</v>
      </c>
      <c r="BB730" s="144"/>
      <c r="BC730" s="144"/>
      <c r="BD730" s="144"/>
      <c r="BE730" s="144"/>
      <c r="BF730" s="144"/>
      <c r="BG730" s="144"/>
      <c r="BH730" s="149"/>
      <c r="BI730" s="149"/>
      <c r="BJ730" s="149"/>
      <c r="BK730" s="149"/>
      <c r="BL730" s="149"/>
      <c r="BM730" s="149"/>
      <c r="BN730" s="149"/>
    </row>
    <row r="731" spans="1:66" ht="57.75" hidden="1" customHeight="1" x14ac:dyDescent="0.2">
      <c r="A731" s="142" t="s">
        <v>1603</v>
      </c>
      <c r="B731" s="18" t="s">
        <v>138</v>
      </c>
      <c r="C731" s="18" t="s">
        <v>139</v>
      </c>
      <c r="D731" s="19" t="s">
        <v>576</v>
      </c>
      <c r="E731" s="18">
        <v>2</v>
      </c>
      <c r="F731" s="18" t="s">
        <v>35</v>
      </c>
      <c r="G731" s="18" t="s">
        <v>5</v>
      </c>
      <c r="H731" s="18" t="s">
        <v>3</v>
      </c>
      <c r="I731" s="18"/>
      <c r="J731" s="18" t="s">
        <v>705</v>
      </c>
      <c r="K731" s="19" t="s">
        <v>662</v>
      </c>
      <c r="L731" s="275" t="s">
        <v>1605</v>
      </c>
      <c r="M731" s="275" t="s">
        <v>1606</v>
      </c>
      <c r="N731" s="19" t="s">
        <v>706</v>
      </c>
      <c r="O731" s="143"/>
      <c r="P731" s="143"/>
      <c r="Q731" s="143"/>
      <c r="R731" s="172" t="s">
        <v>1851</v>
      </c>
      <c r="S731" s="144">
        <v>539977.80000000005</v>
      </c>
      <c r="T731" s="144">
        <v>0</v>
      </c>
      <c r="U731" s="145">
        <v>0</v>
      </c>
      <c r="V731" s="145">
        <v>0</v>
      </c>
      <c r="W731" s="145">
        <v>0</v>
      </c>
      <c r="X731" s="145">
        <f t="shared" si="219"/>
        <v>0</v>
      </c>
      <c r="Y731" s="145">
        <v>0</v>
      </c>
      <c r="Z731" s="145">
        <v>0</v>
      </c>
      <c r="AA731" s="145">
        <v>0</v>
      </c>
      <c r="AB731" s="145">
        <v>0</v>
      </c>
      <c r="AC731" s="145">
        <v>121696</v>
      </c>
      <c r="AD731" s="145">
        <v>0</v>
      </c>
      <c r="AE731" s="145">
        <v>0</v>
      </c>
      <c r="AF731" s="145">
        <v>0</v>
      </c>
      <c r="AG731" s="145">
        <v>0</v>
      </c>
      <c r="AH731" s="145">
        <v>0</v>
      </c>
      <c r="AI731" s="145">
        <v>0</v>
      </c>
      <c r="AJ731" s="145">
        <v>0</v>
      </c>
      <c r="AK731" s="145">
        <f t="shared" si="220"/>
        <v>121696</v>
      </c>
      <c r="AL731" s="145">
        <v>477015</v>
      </c>
      <c r="AM731" s="145">
        <v>0</v>
      </c>
      <c r="AN731" s="145">
        <v>0</v>
      </c>
      <c r="AO731" s="145">
        <v>0</v>
      </c>
      <c r="AP731" s="145">
        <v>0</v>
      </c>
      <c r="AQ731" s="145">
        <v>0</v>
      </c>
      <c r="AR731" s="145">
        <v>0</v>
      </c>
      <c r="AS731" s="144">
        <f t="shared" si="214"/>
        <v>598711</v>
      </c>
      <c r="AT731" s="144">
        <v>0</v>
      </c>
      <c r="AU731" s="146">
        <f t="shared" si="201"/>
        <v>598711</v>
      </c>
      <c r="AV731" s="146">
        <f>IFERROR(VLOOKUP(J731,Maksājumu_pieprasījumu_iesn.!G:BL,57,0),0)</f>
        <v>0</v>
      </c>
      <c r="AW731" s="139">
        <f t="shared" si="218"/>
        <v>-598711</v>
      </c>
      <c r="AX731" s="147"/>
      <c r="AY731" s="147">
        <f>S731+S732-T732-AU731-AU732-AU733</f>
        <v>-280874.91295976867</v>
      </c>
      <c r="AZ731" s="149" t="s">
        <v>1424</v>
      </c>
      <c r="BA731" s="149" t="s">
        <v>1424</v>
      </c>
      <c r="BB731" s="144"/>
      <c r="BC731" s="144"/>
      <c r="BD731" s="144"/>
      <c r="BE731" s="144"/>
      <c r="BF731" s="144"/>
      <c r="BG731" s="144"/>
      <c r="BH731" s="149"/>
      <c r="BI731" s="149"/>
      <c r="BJ731" s="149"/>
      <c r="BK731" s="149"/>
      <c r="BL731" s="149"/>
      <c r="BM731" s="149"/>
      <c r="BN731" s="149"/>
    </row>
    <row r="732" spans="1:66" ht="25.5" hidden="1" customHeight="1" x14ac:dyDescent="0.2">
      <c r="A732" s="142" t="s">
        <v>1603</v>
      </c>
      <c r="B732" s="18" t="s">
        <v>138</v>
      </c>
      <c r="C732" s="18" t="s">
        <v>139</v>
      </c>
      <c r="D732" s="19" t="s">
        <v>576</v>
      </c>
      <c r="E732" s="18">
        <v>2</v>
      </c>
      <c r="F732" s="18" t="s">
        <v>35</v>
      </c>
      <c r="G732" s="18" t="s">
        <v>5</v>
      </c>
      <c r="H732" s="18" t="s">
        <v>3</v>
      </c>
      <c r="I732" s="18"/>
      <c r="J732" s="18"/>
      <c r="K732" s="19" t="s">
        <v>662</v>
      </c>
      <c r="L732" s="275" t="s">
        <v>1605</v>
      </c>
      <c r="M732" s="275" t="s">
        <v>1606</v>
      </c>
      <c r="N732" s="19" t="s">
        <v>1852</v>
      </c>
      <c r="O732" s="143">
        <v>42886</v>
      </c>
      <c r="P732" s="143"/>
      <c r="Q732" s="143"/>
      <c r="R732" s="144"/>
      <c r="S732" s="144">
        <v>3101958.2</v>
      </c>
      <c r="T732" s="144">
        <v>222140.762959769</v>
      </c>
      <c r="U732" s="145">
        <v>0</v>
      </c>
      <c r="V732" s="145">
        <v>0</v>
      </c>
      <c r="W732" s="145">
        <v>0</v>
      </c>
      <c r="X732" s="145">
        <f t="shared" si="219"/>
        <v>0</v>
      </c>
      <c r="Y732" s="145">
        <v>0</v>
      </c>
      <c r="Z732" s="145">
        <v>0</v>
      </c>
      <c r="AA732" s="145">
        <v>0</v>
      </c>
      <c r="AB732" s="145">
        <v>0</v>
      </c>
      <c r="AC732" s="145">
        <v>0</v>
      </c>
      <c r="AD732" s="145">
        <v>0</v>
      </c>
      <c r="AE732" s="145">
        <v>0</v>
      </c>
      <c r="AF732" s="145">
        <v>0</v>
      </c>
      <c r="AG732" s="145">
        <v>0</v>
      </c>
      <c r="AH732" s="145">
        <v>0</v>
      </c>
      <c r="AI732" s="145">
        <v>0</v>
      </c>
      <c r="AJ732" s="145">
        <v>0</v>
      </c>
      <c r="AK732" s="145">
        <f t="shared" si="220"/>
        <v>0</v>
      </c>
      <c r="AL732" s="145">
        <v>586223.6</v>
      </c>
      <c r="AM732" s="145">
        <v>176247.1</v>
      </c>
      <c r="AN732" s="145">
        <v>0</v>
      </c>
      <c r="AO732" s="145">
        <v>0</v>
      </c>
      <c r="AP732" s="145">
        <v>0</v>
      </c>
      <c r="AQ732" s="145">
        <v>0</v>
      </c>
      <c r="AR732" s="145">
        <v>0</v>
      </c>
      <c r="AS732" s="144">
        <f t="shared" si="214"/>
        <v>762470.7</v>
      </c>
      <c r="AT732" s="144"/>
      <c r="AU732" s="146">
        <f t="shared" ref="AU732:AU737" si="221">AS732-AT732</f>
        <v>762470.7</v>
      </c>
      <c r="AV732" s="146">
        <f>IFERROR(VLOOKUP(J732,Maksājumu_pieprasījumu_iesn.!G:BL,57,0),0)</f>
        <v>0</v>
      </c>
      <c r="AW732" s="139">
        <f t="shared" si="218"/>
        <v>-762470.7</v>
      </c>
      <c r="AX732" s="147"/>
      <c r="AY732" s="147"/>
      <c r="AZ732" s="147"/>
      <c r="BA732" s="165"/>
      <c r="BB732" s="144"/>
      <c r="BC732" s="144"/>
      <c r="BD732" s="144"/>
      <c r="BE732" s="144"/>
      <c r="BF732" s="144"/>
      <c r="BG732" s="144"/>
      <c r="BH732" s="149"/>
      <c r="BI732" s="149"/>
      <c r="BJ732" s="149"/>
      <c r="BK732" s="149"/>
      <c r="BL732" s="149"/>
      <c r="BM732" s="149"/>
      <c r="BN732" s="149"/>
    </row>
    <row r="733" spans="1:66" ht="25.5" hidden="1" customHeight="1" x14ac:dyDescent="0.2">
      <c r="A733" s="142" t="s">
        <v>1603</v>
      </c>
      <c r="B733" s="18" t="s">
        <v>138</v>
      </c>
      <c r="C733" s="18" t="s">
        <v>139</v>
      </c>
      <c r="D733" s="19" t="s">
        <v>576</v>
      </c>
      <c r="E733" s="18">
        <v>2</v>
      </c>
      <c r="F733" s="18" t="s">
        <v>35</v>
      </c>
      <c r="G733" s="18" t="s">
        <v>5</v>
      </c>
      <c r="H733" s="18" t="s">
        <v>3</v>
      </c>
      <c r="I733" s="18"/>
      <c r="J733" s="18"/>
      <c r="K733" s="19" t="s">
        <v>662</v>
      </c>
      <c r="L733" s="275" t="s">
        <v>1605</v>
      </c>
      <c r="M733" s="275" t="s">
        <v>1606</v>
      </c>
      <c r="N733" s="19" t="s">
        <v>1853</v>
      </c>
      <c r="O733" s="143">
        <v>43100</v>
      </c>
      <c r="P733" s="143"/>
      <c r="Q733" s="143"/>
      <c r="R733" s="144"/>
      <c r="S733" s="144"/>
      <c r="T733" s="144">
        <v>0</v>
      </c>
      <c r="U733" s="145">
        <v>0</v>
      </c>
      <c r="V733" s="145">
        <v>0</v>
      </c>
      <c r="W733" s="145">
        <v>0</v>
      </c>
      <c r="X733" s="145">
        <f t="shared" si="219"/>
        <v>0</v>
      </c>
      <c r="Y733" s="145">
        <v>0</v>
      </c>
      <c r="Z733" s="145">
        <v>0</v>
      </c>
      <c r="AA733" s="145">
        <v>0</v>
      </c>
      <c r="AB733" s="145">
        <v>0</v>
      </c>
      <c r="AC733" s="145">
        <v>0</v>
      </c>
      <c r="AD733" s="145">
        <v>0</v>
      </c>
      <c r="AE733" s="145">
        <v>0</v>
      </c>
      <c r="AF733" s="145">
        <v>0</v>
      </c>
      <c r="AG733" s="145">
        <v>0</v>
      </c>
      <c r="AH733" s="145">
        <v>0</v>
      </c>
      <c r="AI733" s="145">
        <v>0</v>
      </c>
      <c r="AJ733" s="145">
        <v>0</v>
      </c>
      <c r="AK733" s="145">
        <f t="shared" si="220"/>
        <v>0</v>
      </c>
      <c r="AL733" s="145">
        <v>1464000.65</v>
      </c>
      <c r="AM733" s="145">
        <v>621539</v>
      </c>
      <c r="AN733" s="145">
        <v>253948.79999999999</v>
      </c>
      <c r="AO733" s="145">
        <v>0</v>
      </c>
      <c r="AP733" s="145">
        <v>0</v>
      </c>
      <c r="AQ733" s="145">
        <v>0</v>
      </c>
      <c r="AR733" s="145">
        <v>0</v>
      </c>
      <c r="AS733" s="144">
        <f t="shared" si="214"/>
        <v>2339488.4499999997</v>
      </c>
      <c r="AT733" s="144"/>
      <c r="AU733" s="146">
        <f t="shared" si="221"/>
        <v>2339488.4499999997</v>
      </c>
      <c r="AV733" s="146">
        <f>IFERROR(VLOOKUP(J733,Maksājumu_pieprasījumu_iesn.!G:BL,57,0),0)</f>
        <v>0</v>
      </c>
      <c r="AW733" s="139">
        <f t="shared" si="218"/>
        <v>-2339488.4499999997</v>
      </c>
      <c r="AX733" s="147"/>
      <c r="AY733" s="147"/>
      <c r="AZ733" s="147"/>
      <c r="BA733" s="165"/>
      <c r="BB733" s="144"/>
      <c r="BC733" s="144"/>
      <c r="BD733" s="144"/>
      <c r="BE733" s="144"/>
      <c r="BF733" s="144"/>
      <c r="BG733" s="144"/>
      <c r="BH733" s="149"/>
      <c r="BI733" s="149"/>
      <c r="BJ733" s="149"/>
      <c r="BK733" s="149"/>
      <c r="BL733" s="149"/>
      <c r="BM733" s="149"/>
      <c r="BN733" s="149"/>
    </row>
    <row r="734" spans="1:66" ht="38.25" hidden="1" customHeight="1" x14ac:dyDescent="0.2">
      <c r="A734" s="142" t="s">
        <v>1603</v>
      </c>
      <c r="B734" s="18" t="s">
        <v>138</v>
      </c>
      <c r="C734" s="18" t="s">
        <v>139</v>
      </c>
      <c r="D734" s="19" t="s">
        <v>576</v>
      </c>
      <c r="E734" s="18">
        <v>2</v>
      </c>
      <c r="F734" s="18" t="s">
        <v>35</v>
      </c>
      <c r="G734" s="18" t="s">
        <v>5</v>
      </c>
      <c r="H734" s="18" t="s">
        <v>3</v>
      </c>
      <c r="I734" s="18"/>
      <c r="J734" s="18" t="s">
        <v>1854</v>
      </c>
      <c r="K734" s="19" t="s">
        <v>829</v>
      </c>
      <c r="L734" s="275" t="s">
        <v>1605</v>
      </c>
      <c r="M734" s="275" t="s">
        <v>1606</v>
      </c>
      <c r="N734" s="19" t="s">
        <v>1855</v>
      </c>
      <c r="O734" s="143"/>
      <c r="P734" s="143"/>
      <c r="Q734" s="143"/>
      <c r="R734" s="172" t="s">
        <v>1224</v>
      </c>
      <c r="S734" s="144">
        <v>3641935</v>
      </c>
      <c r="T734" s="144">
        <v>222140.70196452801</v>
      </c>
      <c r="U734" s="145">
        <v>0</v>
      </c>
      <c r="V734" s="145">
        <v>0</v>
      </c>
      <c r="W734" s="145">
        <v>0</v>
      </c>
      <c r="X734" s="145">
        <f t="shared" si="219"/>
        <v>0</v>
      </c>
      <c r="Y734" s="145">
        <v>0</v>
      </c>
      <c r="Z734" s="145">
        <v>0</v>
      </c>
      <c r="AA734" s="145">
        <v>0</v>
      </c>
      <c r="AB734" s="145">
        <v>0</v>
      </c>
      <c r="AC734" s="145">
        <v>0</v>
      </c>
      <c r="AD734" s="145">
        <v>0</v>
      </c>
      <c r="AE734" s="145">
        <v>0</v>
      </c>
      <c r="AF734" s="145">
        <v>0</v>
      </c>
      <c r="AG734" s="145">
        <v>0</v>
      </c>
      <c r="AH734" s="145">
        <v>0</v>
      </c>
      <c r="AI734" s="145">
        <v>0</v>
      </c>
      <c r="AJ734" s="145">
        <v>0</v>
      </c>
      <c r="AK734" s="145">
        <f t="shared" si="220"/>
        <v>0</v>
      </c>
      <c r="AL734" s="145">
        <v>1400000</v>
      </c>
      <c r="AM734" s="145">
        <v>0</v>
      </c>
      <c r="AN734" s="145">
        <v>0</v>
      </c>
      <c r="AO734" s="145">
        <v>0</v>
      </c>
      <c r="AP734" s="145">
        <v>0</v>
      </c>
      <c r="AQ734" s="145">
        <v>0</v>
      </c>
      <c r="AR734" s="145">
        <v>0</v>
      </c>
      <c r="AS734" s="144">
        <f t="shared" si="214"/>
        <v>1400000</v>
      </c>
      <c r="AT734" s="144">
        <v>0</v>
      </c>
      <c r="AU734" s="146">
        <f t="shared" si="221"/>
        <v>1400000</v>
      </c>
      <c r="AV734" s="146">
        <f>IFERROR(VLOOKUP(J734,Maksājumu_pieprasījumu_iesn.!G:BL,57,0),0)</f>
        <v>0</v>
      </c>
      <c r="AW734" s="139">
        <f t="shared" si="218"/>
        <v>-1400000</v>
      </c>
      <c r="AX734" s="147"/>
      <c r="AY734" s="147"/>
      <c r="AZ734" s="147"/>
      <c r="BA734" s="165"/>
      <c r="BB734" s="144"/>
      <c r="BC734" s="144"/>
      <c r="BD734" s="144"/>
      <c r="BE734" s="144"/>
      <c r="BF734" s="144"/>
      <c r="BG734" s="144"/>
      <c r="BH734" s="149"/>
      <c r="BI734" s="149"/>
      <c r="BJ734" s="149"/>
      <c r="BK734" s="149"/>
      <c r="BL734" s="149"/>
      <c r="BM734" s="149"/>
      <c r="BN734" s="149"/>
    </row>
    <row r="735" spans="1:66" ht="38.25" hidden="1" customHeight="1" x14ac:dyDescent="0.2">
      <c r="A735" s="142" t="s">
        <v>1603</v>
      </c>
      <c r="B735" s="18" t="s">
        <v>138</v>
      </c>
      <c r="C735" s="18" t="s">
        <v>139</v>
      </c>
      <c r="D735" s="19" t="s">
        <v>576</v>
      </c>
      <c r="E735" s="18">
        <v>2</v>
      </c>
      <c r="F735" s="18" t="s">
        <v>35</v>
      </c>
      <c r="G735" s="18" t="s">
        <v>5</v>
      </c>
      <c r="H735" s="18" t="s">
        <v>3</v>
      </c>
      <c r="I735" s="18"/>
      <c r="J735" s="18" t="s">
        <v>1856</v>
      </c>
      <c r="K735" s="19" t="s">
        <v>829</v>
      </c>
      <c r="L735" s="275" t="s">
        <v>1605</v>
      </c>
      <c r="M735" s="275" t="s">
        <v>1606</v>
      </c>
      <c r="N735" s="19" t="s">
        <v>1857</v>
      </c>
      <c r="O735" s="143"/>
      <c r="P735" s="143"/>
      <c r="Q735" s="143"/>
      <c r="R735" s="172" t="s">
        <v>1306</v>
      </c>
      <c r="S735" s="144">
        <v>0</v>
      </c>
      <c r="T735" s="144">
        <v>0</v>
      </c>
      <c r="U735" s="145">
        <v>0</v>
      </c>
      <c r="V735" s="145">
        <v>0</v>
      </c>
      <c r="W735" s="145">
        <v>0</v>
      </c>
      <c r="X735" s="145">
        <f t="shared" si="219"/>
        <v>0</v>
      </c>
      <c r="Y735" s="145">
        <v>0</v>
      </c>
      <c r="Z735" s="145">
        <v>0</v>
      </c>
      <c r="AA735" s="145">
        <v>0</v>
      </c>
      <c r="AB735" s="145">
        <v>0</v>
      </c>
      <c r="AC735" s="145">
        <v>0</v>
      </c>
      <c r="AD735" s="145">
        <v>0</v>
      </c>
      <c r="AE735" s="145">
        <v>0</v>
      </c>
      <c r="AF735" s="145">
        <v>0</v>
      </c>
      <c r="AG735" s="145">
        <v>0</v>
      </c>
      <c r="AH735" s="145">
        <v>0</v>
      </c>
      <c r="AI735" s="145">
        <v>0</v>
      </c>
      <c r="AJ735" s="145">
        <v>0</v>
      </c>
      <c r="AK735" s="145">
        <f t="shared" si="220"/>
        <v>0</v>
      </c>
      <c r="AL735" s="145">
        <v>747311.68</v>
      </c>
      <c r="AM735" s="145">
        <v>747311.66</v>
      </c>
      <c r="AN735" s="145">
        <v>525170.95803547208</v>
      </c>
      <c r="AO735" s="145">
        <v>0</v>
      </c>
      <c r="AP735" s="145">
        <v>0</v>
      </c>
      <c r="AQ735" s="145">
        <v>0</v>
      </c>
      <c r="AR735" s="145">
        <v>0</v>
      </c>
      <c r="AS735" s="144">
        <f t="shared" si="214"/>
        <v>2019794.2980354722</v>
      </c>
      <c r="AT735" s="144">
        <v>0</v>
      </c>
      <c r="AU735" s="146">
        <f t="shared" si="221"/>
        <v>2019794.2980354722</v>
      </c>
      <c r="AV735" s="146">
        <f>IFERROR(VLOOKUP(J735,Maksājumu_pieprasījumu_iesn.!G:BL,57,0),0)</f>
        <v>0</v>
      </c>
      <c r="AW735" s="139">
        <f t="shared" si="218"/>
        <v>-2019794.2980354722</v>
      </c>
      <c r="AX735" s="147"/>
      <c r="AY735" s="147" t="s">
        <v>1085</v>
      </c>
      <c r="AZ735" s="147"/>
      <c r="BA735" s="165" t="s">
        <v>1086</v>
      </c>
      <c r="BB735" s="144"/>
      <c r="BC735" s="144"/>
      <c r="BD735" s="144"/>
      <c r="BE735" s="144"/>
      <c r="BF735" s="144"/>
      <c r="BG735" s="144"/>
      <c r="BH735" s="149"/>
      <c r="BI735" s="149"/>
      <c r="BJ735" s="149"/>
      <c r="BK735" s="149"/>
      <c r="BL735" s="149"/>
      <c r="BM735" s="149"/>
      <c r="BN735" s="149"/>
    </row>
    <row r="736" spans="1:66" ht="38.25" hidden="1" customHeight="1" x14ac:dyDescent="0.2">
      <c r="A736" s="142" t="s">
        <v>1603</v>
      </c>
      <c r="B736" s="18" t="s">
        <v>138</v>
      </c>
      <c r="C736" s="18" t="s">
        <v>139</v>
      </c>
      <c r="D736" s="19" t="s">
        <v>576</v>
      </c>
      <c r="E736" s="18">
        <v>2</v>
      </c>
      <c r="F736" s="18" t="s">
        <v>35</v>
      </c>
      <c r="G736" s="18" t="s">
        <v>5</v>
      </c>
      <c r="H736" s="18" t="s">
        <v>3</v>
      </c>
      <c r="I736" s="18"/>
      <c r="J736" s="18" t="s">
        <v>781</v>
      </c>
      <c r="K736" s="19" t="s">
        <v>708</v>
      </c>
      <c r="L736" s="275" t="s">
        <v>1605</v>
      </c>
      <c r="M736" s="275" t="s">
        <v>1606</v>
      </c>
      <c r="N736" s="19" t="s">
        <v>813</v>
      </c>
      <c r="O736" s="143"/>
      <c r="P736" s="143"/>
      <c r="Q736" s="143"/>
      <c r="R736" s="172" t="s">
        <v>1858</v>
      </c>
      <c r="S736" s="144">
        <v>4406743</v>
      </c>
      <c r="T736" s="144">
        <v>268790.35001922603</v>
      </c>
      <c r="U736" s="145">
        <v>0</v>
      </c>
      <c r="V736" s="145">
        <v>0</v>
      </c>
      <c r="W736" s="145">
        <v>0</v>
      </c>
      <c r="X736" s="145">
        <f t="shared" si="219"/>
        <v>0</v>
      </c>
      <c r="Y736" s="145">
        <v>0</v>
      </c>
      <c r="Z736" s="145">
        <v>0</v>
      </c>
      <c r="AA736" s="145">
        <v>0</v>
      </c>
      <c r="AB736" s="145">
        <v>0</v>
      </c>
      <c r="AC736" s="145">
        <v>0</v>
      </c>
      <c r="AD736" s="145">
        <v>0</v>
      </c>
      <c r="AE736" s="145">
        <v>0</v>
      </c>
      <c r="AF736" s="145">
        <v>0</v>
      </c>
      <c r="AG736" s="145">
        <v>0</v>
      </c>
      <c r="AH736" s="145">
        <v>0</v>
      </c>
      <c r="AI736" s="145">
        <v>0</v>
      </c>
      <c r="AJ736" s="145">
        <v>0</v>
      </c>
      <c r="AK736" s="145">
        <f t="shared" si="220"/>
        <v>0</v>
      </c>
      <c r="AL736" s="145">
        <v>729825.54</v>
      </c>
      <c r="AM736" s="145">
        <v>0</v>
      </c>
      <c r="AN736" s="145">
        <v>0</v>
      </c>
      <c r="AO736" s="145">
        <v>0</v>
      </c>
      <c r="AP736" s="145">
        <v>0</v>
      </c>
      <c r="AQ736" s="145">
        <v>0</v>
      </c>
      <c r="AR736" s="145">
        <v>0</v>
      </c>
      <c r="AS736" s="144">
        <f t="shared" si="214"/>
        <v>729825.54</v>
      </c>
      <c r="AT736" s="144">
        <v>0</v>
      </c>
      <c r="AU736" s="146">
        <f t="shared" si="221"/>
        <v>729825.54</v>
      </c>
      <c r="AV736" s="146">
        <f>IFERROR(VLOOKUP(J736,Maksājumu_pieprasījumu_iesn.!G:BL,57,0),0)</f>
        <v>0</v>
      </c>
      <c r="AW736" s="139">
        <f t="shared" si="218"/>
        <v>-729825.54</v>
      </c>
      <c r="AX736" s="147"/>
      <c r="AY736" s="147"/>
      <c r="AZ736" s="147"/>
      <c r="BA736" s="165"/>
      <c r="BB736" s="144"/>
      <c r="BC736" s="144"/>
      <c r="BD736" s="144"/>
      <c r="BE736" s="144"/>
      <c r="BF736" s="144"/>
      <c r="BG736" s="144"/>
      <c r="BH736" s="149"/>
      <c r="BI736" s="149"/>
      <c r="BJ736" s="149"/>
      <c r="BK736" s="149"/>
      <c r="BL736" s="149"/>
      <c r="BM736" s="149"/>
      <c r="BN736" s="149"/>
    </row>
    <row r="737" spans="1:66" ht="38.25" hidden="1" customHeight="1" x14ac:dyDescent="0.2">
      <c r="A737" s="142" t="s">
        <v>1603</v>
      </c>
      <c r="B737" s="18" t="s">
        <v>138</v>
      </c>
      <c r="C737" s="18" t="s">
        <v>139</v>
      </c>
      <c r="D737" s="19" t="s">
        <v>576</v>
      </c>
      <c r="E737" s="18">
        <v>2</v>
      </c>
      <c r="F737" s="18" t="s">
        <v>35</v>
      </c>
      <c r="G737" s="18" t="s">
        <v>5</v>
      </c>
      <c r="H737" s="18" t="s">
        <v>3</v>
      </c>
      <c r="I737" s="18"/>
      <c r="J737" s="18" t="s">
        <v>707</v>
      </c>
      <c r="K737" s="19" t="s">
        <v>708</v>
      </c>
      <c r="L737" s="275" t="s">
        <v>1605</v>
      </c>
      <c r="M737" s="275" t="s">
        <v>1606</v>
      </c>
      <c r="N737" s="19" t="s">
        <v>709</v>
      </c>
      <c r="O737" s="143"/>
      <c r="P737" s="143"/>
      <c r="Q737" s="143"/>
      <c r="R737" s="172" t="s">
        <v>1289</v>
      </c>
      <c r="S737" s="144">
        <v>0</v>
      </c>
      <c r="T737" s="144">
        <v>0</v>
      </c>
      <c r="U737" s="145">
        <v>0</v>
      </c>
      <c r="V737" s="145">
        <v>0</v>
      </c>
      <c r="W737" s="145">
        <v>0</v>
      </c>
      <c r="X737" s="145">
        <f t="shared" si="219"/>
        <v>0</v>
      </c>
      <c r="Y737" s="145">
        <v>0</v>
      </c>
      <c r="Z737" s="145">
        <v>0</v>
      </c>
      <c r="AA737" s="145">
        <v>0</v>
      </c>
      <c r="AB737" s="145">
        <v>0</v>
      </c>
      <c r="AC737" s="145">
        <v>11627.5</v>
      </c>
      <c r="AD737" s="145">
        <v>0</v>
      </c>
      <c r="AE737" s="145">
        <v>0</v>
      </c>
      <c r="AF737" s="145">
        <v>0</v>
      </c>
      <c r="AG737" s="145">
        <v>0</v>
      </c>
      <c r="AH737" s="145">
        <v>0</v>
      </c>
      <c r="AI737" s="145">
        <v>0</v>
      </c>
      <c r="AJ737" s="145">
        <v>0</v>
      </c>
      <c r="AK737" s="145">
        <f t="shared" si="220"/>
        <v>11627.5</v>
      </c>
      <c r="AL737" s="145">
        <v>2329615.9</v>
      </c>
      <c r="AM737" s="145">
        <v>425000</v>
      </c>
      <c r="AN737" s="145">
        <v>0</v>
      </c>
      <c r="AO737" s="145">
        <v>0</v>
      </c>
      <c r="AP737" s="145">
        <v>0</v>
      </c>
      <c r="AQ737" s="145">
        <v>0</v>
      </c>
      <c r="AR737" s="145">
        <v>0</v>
      </c>
      <c r="AS737" s="144">
        <f t="shared" si="214"/>
        <v>2766243.4</v>
      </c>
      <c r="AT737" s="144">
        <v>0</v>
      </c>
      <c r="AU737" s="146">
        <f t="shared" si="221"/>
        <v>2766243.4</v>
      </c>
      <c r="AV737" s="146">
        <f>IFERROR(VLOOKUP(J737,Maksājumu_pieprasījumu_iesn.!G:BL,57,0),0)</f>
        <v>0</v>
      </c>
      <c r="AW737" s="139">
        <f t="shared" si="218"/>
        <v>-2766243.4</v>
      </c>
      <c r="AX737" s="147"/>
      <c r="AY737" s="147"/>
      <c r="AZ737" s="147"/>
      <c r="BA737" s="165"/>
      <c r="BB737" s="144"/>
      <c r="BC737" s="144"/>
      <c r="BD737" s="144"/>
      <c r="BE737" s="144"/>
      <c r="BF737" s="144"/>
      <c r="BG737" s="144"/>
      <c r="BH737" s="149"/>
      <c r="BI737" s="149"/>
      <c r="BJ737" s="149"/>
      <c r="BK737" s="149"/>
      <c r="BL737" s="149"/>
      <c r="BM737" s="149"/>
      <c r="BN737" s="149"/>
    </row>
    <row r="738" spans="1:66" ht="25.5" hidden="1" customHeight="1" x14ac:dyDescent="0.2">
      <c r="A738" s="142" t="s">
        <v>1603</v>
      </c>
      <c r="B738" s="18" t="s">
        <v>138</v>
      </c>
      <c r="C738" s="18" t="s">
        <v>139</v>
      </c>
      <c r="D738" s="19" t="s">
        <v>576</v>
      </c>
      <c r="E738" s="18">
        <v>2</v>
      </c>
      <c r="F738" s="18" t="s">
        <v>35</v>
      </c>
      <c r="G738" s="18" t="s">
        <v>5</v>
      </c>
      <c r="H738" s="18" t="s">
        <v>3</v>
      </c>
      <c r="I738" s="18"/>
      <c r="J738" s="18" t="s">
        <v>1593</v>
      </c>
      <c r="K738" s="19" t="s">
        <v>708</v>
      </c>
      <c r="L738" s="275" t="s">
        <v>1605</v>
      </c>
      <c r="M738" s="275" t="s">
        <v>1606</v>
      </c>
      <c r="N738" s="19"/>
      <c r="O738" s="143"/>
      <c r="P738" s="143"/>
      <c r="Q738" s="143"/>
      <c r="R738" s="172"/>
      <c r="S738" s="144">
        <v>641883.70998077421</v>
      </c>
      <c r="T738" s="144"/>
      <c r="U738" s="145"/>
      <c r="V738" s="145"/>
      <c r="W738" s="145"/>
      <c r="X738" s="145">
        <f t="shared" si="219"/>
        <v>0</v>
      </c>
      <c r="Y738" s="145"/>
      <c r="Z738" s="145"/>
      <c r="AA738" s="145"/>
      <c r="AB738" s="145"/>
      <c r="AC738" s="145"/>
      <c r="AD738" s="145"/>
      <c r="AE738" s="145"/>
      <c r="AF738" s="145"/>
      <c r="AG738" s="145"/>
      <c r="AH738" s="145"/>
      <c r="AI738" s="145"/>
      <c r="AJ738" s="145"/>
      <c r="AK738" s="145"/>
      <c r="AL738" s="145"/>
      <c r="AM738" s="145"/>
      <c r="AN738" s="145"/>
      <c r="AO738" s="145"/>
      <c r="AP738" s="145"/>
      <c r="AQ738" s="145"/>
      <c r="AR738" s="145"/>
      <c r="AS738" s="144"/>
      <c r="AT738" s="144"/>
      <c r="AU738" s="146"/>
      <c r="AV738" s="146">
        <f>IFERROR(VLOOKUP(J738,Maksājumu_pieprasījumu_iesn.!G:BL,57,0),0)</f>
        <v>0</v>
      </c>
      <c r="AW738" s="139">
        <f t="shared" si="218"/>
        <v>0</v>
      </c>
      <c r="AX738" s="147"/>
      <c r="AY738" s="147">
        <v>641884</v>
      </c>
      <c r="AZ738" s="172" t="s">
        <v>1859</v>
      </c>
      <c r="BA738" s="165" t="s">
        <v>1860</v>
      </c>
      <c r="BB738" s="144"/>
      <c r="BC738" s="144"/>
      <c r="BD738" s="144"/>
      <c r="BE738" s="144"/>
      <c r="BF738" s="144"/>
      <c r="BG738" s="144"/>
      <c r="BH738" s="149"/>
      <c r="BI738" s="149"/>
      <c r="BJ738" s="149"/>
      <c r="BK738" s="149"/>
      <c r="BL738" s="149"/>
      <c r="BM738" s="149"/>
      <c r="BN738" s="149"/>
    </row>
    <row r="739" spans="1:66" ht="63.75" hidden="1" customHeight="1" x14ac:dyDescent="0.2">
      <c r="A739" s="142" t="s">
        <v>1603</v>
      </c>
      <c r="B739" s="18" t="s">
        <v>138</v>
      </c>
      <c r="C739" s="18" t="s">
        <v>139</v>
      </c>
      <c r="D739" s="19" t="s">
        <v>576</v>
      </c>
      <c r="E739" s="18">
        <v>2</v>
      </c>
      <c r="F739" s="18" t="s">
        <v>35</v>
      </c>
      <c r="G739" s="18" t="s">
        <v>5</v>
      </c>
      <c r="H739" s="18" t="s">
        <v>3</v>
      </c>
      <c r="I739" s="18"/>
      <c r="J739" s="18"/>
      <c r="K739" s="19" t="s">
        <v>66</v>
      </c>
      <c r="L739" s="275" t="s">
        <v>1605</v>
      </c>
      <c r="M739" s="275" t="s">
        <v>1606</v>
      </c>
      <c r="N739" s="19" t="s">
        <v>1861</v>
      </c>
      <c r="O739" s="143">
        <v>43189</v>
      </c>
      <c r="P739" s="143"/>
      <c r="Q739" s="143"/>
      <c r="R739" s="144"/>
      <c r="S739" s="144">
        <v>4087626</v>
      </c>
      <c r="T739" s="144">
        <v>290802.49547131802</v>
      </c>
      <c r="U739" s="145">
        <v>0</v>
      </c>
      <c r="V739" s="145">
        <v>0</v>
      </c>
      <c r="W739" s="145">
        <v>0</v>
      </c>
      <c r="X739" s="145">
        <f t="shared" si="219"/>
        <v>0</v>
      </c>
      <c r="Y739" s="145">
        <v>0</v>
      </c>
      <c r="Z739" s="145">
        <v>0</v>
      </c>
      <c r="AA739" s="145">
        <v>0</v>
      </c>
      <c r="AB739" s="145">
        <v>0</v>
      </c>
      <c r="AC739" s="145">
        <v>0</v>
      </c>
      <c r="AD739" s="145">
        <v>0</v>
      </c>
      <c r="AE739" s="145">
        <v>0</v>
      </c>
      <c r="AF739" s="145">
        <v>0</v>
      </c>
      <c r="AG739" s="145">
        <v>0</v>
      </c>
      <c r="AH739" s="145">
        <v>0</v>
      </c>
      <c r="AI739" s="145">
        <v>0</v>
      </c>
      <c r="AJ739" s="145">
        <v>0</v>
      </c>
      <c r="AK739" s="145">
        <f t="shared" ref="AK739:AK746" si="222">SUM(Y739:AJ739)</f>
        <v>0</v>
      </c>
      <c r="AL739" s="145">
        <v>262626</v>
      </c>
      <c r="AM739" s="145">
        <v>0</v>
      </c>
      <c r="AN739" s="145">
        <v>0</v>
      </c>
      <c r="AO739" s="145">
        <v>0</v>
      </c>
      <c r="AP739" s="145">
        <v>0</v>
      </c>
      <c r="AQ739" s="145">
        <v>0</v>
      </c>
      <c r="AR739" s="145">
        <v>0</v>
      </c>
      <c r="AS739" s="144">
        <f t="shared" ref="AS739:AS746" si="223">U739+V739+W739+AK739+AL739+AM739+AN739+AO739+AP739+AQ739+AR739</f>
        <v>262626</v>
      </c>
      <c r="AT739" s="144"/>
      <c r="AU739" s="146">
        <f t="shared" ref="AU739:AU782" si="224">AS739-AT739</f>
        <v>262626</v>
      </c>
      <c r="AV739" s="146">
        <f>IFERROR(VLOOKUP(J739,Maksājumu_pieprasījumu_iesn.!G:BL,57,0),0)</f>
        <v>0</v>
      </c>
      <c r="AW739" s="139">
        <f t="shared" si="218"/>
        <v>-262626</v>
      </c>
      <c r="AX739" s="147"/>
      <c r="AY739" s="147"/>
      <c r="AZ739" s="149" t="s">
        <v>1862</v>
      </c>
      <c r="BA739" s="149" t="s">
        <v>1862</v>
      </c>
      <c r="BB739" s="144"/>
      <c r="BC739" s="144"/>
      <c r="BD739" s="144"/>
      <c r="BE739" s="144"/>
      <c r="BF739" s="144"/>
      <c r="BG739" s="144"/>
      <c r="BH739" s="149"/>
      <c r="BI739" s="149"/>
      <c r="BJ739" s="149"/>
      <c r="BK739" s="149"/>
      <c r="BL739" s="149"/>
      <c r="BM739" s="149"/>
      <c r="BN739" s="149"/>
    </row>
    <row r="740" spans="1:66" ht="51" hidden="1" customHeight="1" x14ac:dyDescent="0.2">
      <c r="A740" s="142" t="s">
        <v>1603</v>
      </c>
      <c r="B740" s="18" t="s">
        <v>138</v>
      </c>
      <c r="C740" s="18" t="s">
        <v>139</v>
      </c>
      <c r="D740" s="19" t="s">
        <v>576</v>
      </c>
      <c r="E740" s="18">
        <v>2</v>
      </c>
      <c r="F740" s="18" t="s">
        <v>35</v>
      </c>
      <c r="G740" s="18" t="s">
        <v>5</v>
      </c>
      <c r="H740" s="18" t="s">
        <v>3</v>
      </c>
      <c r="I740" s="18"/>
      <c r="J740" s="18"/>
      <c r="K740" s="19" t="s">
        <v>66</v>
      </c>
      <c r="L740" s="275" t="s">
        <v>1605</v>
      </c>
      <c r="M740" s="275" t="s">
        <v>1606</v>
      </c>
      <c r="N740" s="19" t="s">
        <v>1863</v>
      </c>
      <c r="O740" s="143">
        <v>43039</v>
      </c>
      <c r="P740" s="143"/>
      <c r="Q740" s="143"/>
      <c r="R740" s="144"/>
      <c r="S740" s="144">
        <v>0</v>
      </c>
      <c r="T740" s="144">
        <v>0</v>
      </c>
      <c r="U740" s="145">
        <v>0</v>
      </c>
      <c r="V740" s="145">
        <v>0</v>
      </c>
      <c r="W740" s="145">
        <v>0</v>
      </c>
      <c r="X740" s="145">
        <f t="shared" si="219"/>
        <v>0</v>
      </c>
      <c r="Y740" s="145">
        <v>0</v>
      </c>
      <c r="Z740" s="145">
        <v>0</v>
      </c>
      <c r="AA740" s="145">
        <v>0</v>
      </c>
      <c r="AB740" s="145">
        <v>0</v>
      </c>
      <c r="AC740" s="145">
        <v>0</v>
      </c>
      <c r="AD740" s="145">
        <v>0</v>
      </c>
      <c r="AE740" s="145">
        <v>0</v>
      </c>
      <c r="AF740" s="145">
        <v>0</v>
      </c>
      <c r="AG740" s="145">
        <v>0</v>
      </c>
      <c r="AH740" s="145">
        <v>0</v>
      </c>
      <c r="AI740" s="145">
        <v>0</v>
      </c>
      <c r="AJ740" s="145">
        <v>0</v>
      </c>
      <c r="AK740" s="145">
        <f t="shared" si="222"/>
        <v>0</v>
      </c>
      <c r="AL740" s="145">
        <v>425000</v>
      </c>
      <c r="AM740" s="145">
        <v>0</v>
      </c>
      <c r="AN740" s="145">
        <v>0</v>
      </c>
      <c r="AO740" s="145">
        <v>0</v>
      </c>
      <c r="AP740" s="145">
        <v>0</v>
      </c>
      <c r="AQ740" s="145">
        <v>0</v>
      </c>
      <c r="AR740" s="145">
        <v>0</v>
      </c>
      <c r="AS740" s="144">
        <f t="shared" si="223"/>
        <v>425000</v>
      </c>
      <c r="AT740" s="144"/>
      <c r="AU740" s="146">
        <f t="shared" si="224"/>
        <v>425000</v>
      </c>
      <c r="AV740" s="146">
        <f>IFERROR(VLOOKUP(J740,Maksājumu_pieprasījumu_iesn.!G:BL,57,0),0)</f>
        <v>0</v>
      </c>
      <c r="AW740" s="139">
        <f t="shared" si="218"/>
        <v>-425000</v>
      </c>
      <c r="AX740" s="147"/>
      <c r="AY740" s="147"/>
      <c r="AZ740" s="147"/>
      <c r="BA740" s="165"/>
      <c r="BB740" s="144"/>
      <c r="BC740" s="144"/>
      <c r="BD740" s="144"/>
      <c r="BE740" s="144"/>
      <c r="BF740" s="144"/>
      <c r="BG740" s="144"/>
      <c r="BH740" s="149"/>
      <c r="BI740" s="149"/>
      <c r="BJ740" s="149"/>
      <c r="BK740" s="149"/>
      <c r="BL740" s="149"/>
      <c r="BM740" s="149"/>
      <c r="BN740" s="149"/>
    </row>
    <row r="741" spans="1:66" ht="25.5" hidden="1" customHeight="1" x14ac:dyDescent="0.2">
      <c r="A741" s="142" t="s">
        <v>1603</v>
      </c>
      <c r="B741" s="18" t="s">
        <v>138</v>
      </c>
      <c r="C741" s="18" t="s">
        <v>139</v>
      </c>
      <c r="D741" s="19" t="s">
        <v>576</v>
      </c>
      <c r="E741" s="18">
        <v>2</v>
      </c>
      <c r="F741" s="18" t="s">
        <v>35</v>
      </c>
      <c r="G741" s="18" t="s">
        <v>5</v>
      </c>
      <c r="H741" s="18" t="s">
        <v>3</v>
      </c>
      <c r="I741" s="18"/>
      <c r="J741" s="18"/>
      <c r="K741" s="19" t="s">
        <v>66</v>
      </c>
      <c r="L741" s="275" t="s">
        <v>1605</v>
      </c>
      <c r="M741" s="275" t="s">
        <v>1606</v>
      </c>
      <c r="N741" s="19" t="s">
        <v>1864</v>
      </c>
      <c r="O741" s="143">
        <v>43189</v>
      </c>
      <c r="P741" s="143"/>
      <c r="Q741" s="143"/>
      <c r="R741" s="144"/>
      <c r="S741" s="144">
        <v>0</v>
      </c>
      <c r="T741" s="144">
        <v>0</v>
      </c>
      <c r="U741" s="145">
        <v>0</v>
      </c>
      <c r="V741" s="145">
        <v>0</v>
      </c>
      <c r="W741" s="145">
        <v>0</v>
      </c>
      <c r="X741" s="145">
        <f t="shared" si="219"/>
        <v>0</v>
      </c>
      <c r="Y741" s="145">
        <v>0</v>
      </c>
      <c r="Z741" s="145">
        <v>0</v>
      </c>
      <c r="AA741" s="145">
        <v>0</v>
      </c>
      <c r="AB741" s="145">
        <v>0</v>
      </c>
      <c r="AC741" s="145">
        <v>0</v>
      </c>
      <c r="AD741" s="145">
        <v>0</v>
      </c>
      <c r="AE741" s="145">
        <v>0</v>
      </c>
      <c r="AF741" s="145">
        <v>0</v>
      </c>
      <c r="AG741" s="145">
        <v>0</v>
      </c>
      <c r="AH741" s="145">
        <v>0</v>
      </c>
      <c r="AI741" s="145">
        <v>0</v>
      </c>
      <c r="AJ741" s="145">
        <v>0</v>
      </c>
      <c r="AK741" s="145">
        <f t="shared" si="222"/>
        <v>0</v>
      </c>
      <c r="AL741" s="145">
        <v>500000</v>
      </c>
      <c r="AM741" s="145">
        <v>500000</v>
      </c>
      <c r="AN741" s="145">
        <v>0</v>
      </c>
      <c r="AO741" s="145">
        <v>0</v>
      </c>
      <c r="AP741" s="145">
        <v>0</v>
      </c>
      <c r="AQ741" s="145">
        <v>0</v>
      </c>
      <c r="AR741" s="145">
        <v>0</v>
      </c>
      <c r="AS741" s="144">
        <f t="shared" si="223"/>
        <v>1000000</v>
      </c>
      <c r="AT741" s="144"/>
      <c r="AU741" s="146">
        <f t="shared" si="224"/>
        <v>1000000</v>
      </c>
      <c r="AV741" s="146">
        <f>IFERROR(VLOOKUP(J741,Maksājumu_pieprasījumu_iesn.!G:BL,57,0),0)</f>
        <v>0</v>
      </c>
      <c r="AW741" s="139">
        <f t="shared" si="218"/>
        <v>-1000000</v>
      </c>
      <c r="AX741" s="147"/>
      <c r="AY741" s="147"/>
      <c r="AZ741" s="147"/>
      <c r="BA741" s="165"/>
      <c r="BB741" s="144"/>
      <c r="BC741" s="144"/>
      <c r="BD741" s="144"/>
      <c r="BE741" s="144"/>
      <c r="BF741" s="144"/>
      <c r="BG741" s="144"/>
      <c r="BH741" s="149"/>
      <c r="BI741" s="149"/>
      <c r="BJ741" s="149"/>
      <c r="BK741" s="149"/>
      <c r="BL741" s="149"/>
      <c r="BM741" s="149"/>
      <c r="BN741" s="149"/>
    </row>
    <row r="742" spans="1:66" ht="25.5" hidden="1" customHeight="1" x14ac:dyDescent="0.2">
      <c r="A742" s="142" t="s">
        <v>1603</v>
      </c>
      <c r="B742" s="18" t="s">
        <v>138</v>
      </c>
      <c r="C742" s="18" t="s">
        <v>139</v>
      </c>
      <c r="D742" s="19" t="s">
        <v>576</v>
      </c>
      <c r="E742" s="18">
        <v>2</v>
      </c>
      <c r="F742" s="18" t="s">
        <v>35</v>
      </c>
      <c r="G742" s="18" t="s">
        <v>5</v>
      </c>
      <c r="H742" s="18" t="s">
        <v>3</v>
      </c>
      <c r="I742" s="18"/>
      <c r="J742" s="18"/>
      <c r="K742" s="19" t="s">
        <v>66</v>
      </c>
      <c r="L742" s="275" t="s">
        <v>1605</v>
      </c>
      <c r="M742" s="275" t="s">
        <v>1606</v>
      </c>
      <c r="N742" s="19" t="s">
        <v>1865</v>
      </c>
      <c r="O742" s="143">
        <v>43131</v>
      </c>
      <c r="P742" s="143"/>
      <c r="Q742" s="143"/>
      <c r="R742" s="144"/>
      <c r="S742" s="144">
        <v>0</v>
      </c>
      <c r="T742" s="144">
        <v>0</v>
      </c>
      <c r="U742" s="145">
        <v>0</v>
      </c>
      <c r="V742" s="145">
        <v>0</v>
      </c>
      <c r="W742" s="145">
        <v>0</v>
      </c>
      <c r="X742" s="145">
        <f t="shared" si="219"/>
        <v>0</v>
      </c>
      <c r="Y742" s="145">
        <v>0</v>
      </c>
      <c r="Z742" s="145">
        <v>0</v>
      </c>
      <c r="AA742" s="145">
        <v>0</v>
      </c>
      <c r="AB742" s="145">
        <v>0</v>
      </c>
      <c r="AC742" s="145">
        <v>0</v>
      </c>
      <c r="AD742" s="145">
        <v>0</v>
      </c>
      <c r="AE742" s="145">
        <v>0</v>
      </c>
      <c r="AF742" s="145">
        <v>0</v>
      </c>
      <c r="AG742" s="145">
        <v>0</v>
      </c>
      <c r="AH742" s="145">
        <v>0</v>
      </c>
      <c r="AI742" s="145">
        <v>0</v>
      </c>
      <c r="AJ742" s="145">
        <v>0</v>
      </c>
      <c r="AK742" s="145">
        <f t="shared" si="222"/>
        <v>0</v>
      </c>
      <c r="AL742" s="145">
        <v>1000000</v>
      </c>
      <c r="AM742" s="145">
        <v>1125000</v>
      </c>
      <c r="AN742" s="145">
        <v>0</v>
      </c>
      <c r="AO742" s="145">
        <v>0</v>
      </c>
      <c r="AP742" s="145">
        <v>0</v>
      </c>
      <c r="AQ742" s="145">
        <v>0</v>
      </c>
      <c r="AR742" s="145">
        <v>0</v>
      </c>
      <c r="AS742" s="144">
        <f t="shared" si="223"/>
        <v>2125000</v>
      </c>
      <c r="AT742" s="144"/>
      <c r="AU742" s="146">
        <f t="shared" si="224"/>
        <v>2125000</v>
      </c>
      <c r="AV742" s="146">
        <f>IFERROR(VLOOKUP(J742,Maksājumu_pieprasījumu_iesn.!G:BL,57,0),0)</f>
        <v>0</v>
      </c>
      <c r="AW742" s="139">
        <f t="shared" si="218"/>
        <v>-2125000</v>
      </c>
      <c r="AX742" s="147"/>
      <c r="AY742" s="147"/>
      <c r="AZ742" s="147"/>
      <c r="BA742" s="165"/>
      <c r="BB742" s="144"/>
      <c r="BC742" s="144"/>
      <c r="BD742" s="144"/>
      <c r="BE742" s="144"/>
      <c r="BF742" s="144"/>
      <c r="BG742" s="144"/>
      <c r="BH742" s="149"/>
      <c r="BI742" s="149"/>
      <c r="BJ742" s="149"/>
      <c r="BK742" s="149"/>
      <c r="BL742" s="149"/>
      <c r="BM742" s="149"/>
      <c r="BN742" s="149"/>
    </row>
    <row r="743" spans="1:66" ht="51" hidden="1" customHeight="1" x14ac:dyDescent="0.2">
      <c r="A743" s="142" t="s">
        <v>1603</v>
      </c>
      <c r="B743" s="18" t="s">
        <v>138</v>
      </c>
      <c r="C743" s="18" t="s">
        <v>139</v>
      </c>
      <c r="D743" s="19" t="s">
        <v>576</v>
      </c>
      <c r="E743" s="18">
        <v>2</v>
      </c>
      <c r="F743" s="18" t="s">
        <v>35</v>
      </c>
      <c r="G743" s="18" t="s">
        <v>5</v>
      </c>
      <c r="H743" s="18" t="s">
        <v>3</v>
      </c>
      <c r="I743" s="18"/>
      <c r="J743" s="18"/>
      <c r="K743" s="19" t="s">
        <v>66</v>
      </c>
      <c r="L743" s="275" t="s">
        <v>1605</v>
      </c>
      <c r="M743" s="275" t="s">
        <v>1606</v>
      </c>
      <c r="N743" s="19" t="s">
        <v>1866</v>
      </c>
      <c r="O743" s="143">
        <v>43281</v>
      </c>
      <c r="P743" s="143"/>
      <c r="Q743" s="143"/>
      <c r="R743" s="144"/>
      <c r="S743" s="144">
        <v>0</v>
      </c>
      <c r="T743" s="144">
        <v>0</v>
      </c>
      <c r="U743" s="145">
        <v>0</v>
      </c>
      <c r="V743" s="145">
        <v>0</v>
      </c>
      <c r="W743" s="145">
        <v>0</v>
      </c>
      <c r="X743" s="145">
        <f t="shared" si="219"/>
        <v>0</v>
      </c>
      <c r="Y743" s="145">
        <v>0</v>
      </c>
      <c r="Z743" s="145">
        <v>0</v>
      </c>
      <c r="AA743" s="145">
        <v>0</v>
      </c>
      <c r="AB743" s="145">
        <v>0</v>
      </c>
      <c r="AC743" s="145">
        <v>0</v>
      </c>
      <c r="AD743" s="145">
        <v>0</v>
      </c>
      <c r="AE743" s="145">
        <v>0</v>
      </c>
      <c r="AF743" s="145">
        <v>0</v>
      </c>
      <c r="AG743" s="145">
        <v>0</v>
      </c>
      <c r="AH743" s="145">
        <v>0</v>
      </c>
      <c r="AI743" s="145">
        <v>0</v>
      </c>
      <c r="AJ743" s="145">
        <v>0</v>
      </c>
      <c r="AK743" s="145">
        <f t="shared" si="222"/>
        <v>0</v>
      </c>
      <c r="AL743" s="145">
        <v>425000</v>
      </c>
      <c r="AM743" s="145">
        <v>0</v>
      </c>
      <c r="AN743" s="145">
        <v>0</v>
      </c>
      <c r="AO743" s="145">
        <v>0</v>
      </c>
      <c r="AP743" s="145">
        <v>0</v>
      </c>
      <c r="AQ743" s="145">
        <v>0</v>
      </c>
      <c r="AR743" s="145">
        <v>0</v>
      </c>
      <c r="AS743" s="144">
        <f t="shared" si="223"/>
        <v>425000</v>
      </c>
      <c r="AT743" s="144"/>
      <c r="AU743" s="146">
        <f t="shared" si="224"/>
        <v>425000</v>
      </c>
      <c r="AV743" s="146">
        <f>IFERROR(VLOOKUP(J743,Maksājumu_pieprasījumu_iesn.!G:BL,57,0),0)</f>
        <v>0</v>
      </c>
      <c r="AW743" s="139">
        <f t="shared" si="218"/>
        <v>-425000</v>
      </c>
      <c r="AX743" s="147"/>
      <c r="AY743" s="147"/>
      <c r="AZ743" s="147"/>
      <c r="BA743" s="165"/>
      <c r="BB743" s="144"/>
      <c r="BC743" s="144"/>
      <c r="BD743" s="144"/>
      <c r="BE743" s="144"/>
      <c r="BF743" s="144"/>
      <c r="BG743" s="144"/>
      <c r="BH743" s="149"/>
      <c r="BI743" s="149"/>
      <c r="BJ743" s="149"/>
      <c r="BK743" s="149"/>
      <c r="BL743" s="149"/>
      <c r="BM743" s="149"/>
      <c r="BN743" s="149"/>
    </row>
    <row r="744" spans="1:66" ht="63.75" hidden="1" customHeight="1" x14ac:dyDescent="0.2">
      <c r="A744" s="142" t="s">
        <v>1603</v>
      </c>
      <c r="B744" s="18" t="s">
        <v>138</v>
      </c>
      <c r="C744" s="18" t="s">
        <v>139</v>
      </c>
      <c r="D744" s="19" t="s">
        <v>576</v>
      </c>
      <c r="E744" s="18">
        <v>2</v>
      </c>
      <c r="F744" s="18" t="s">
        <v>35</v>
      </c>
      <c r="G744" s="18" t="s">
        <v>5</v>
      </c>
      <c r="H744" s="18" t="s">
        <v>3</v>
      </c>
      <c r="I744" s="18"/>
      <c r="J744" s="18"/>
      <c r="K744" s="19" t="s">
        <v>66</v>
      </c>
      <c r="L744" s="275" t="s">
        <v>1605</v>
      </c>
      <c r="M744" s="275" t="s">
        <v>1606</v>
      </c>
      <c r="N744" s="19" t="s">
        <v>1867</v>
      </c>
      <c r="O744" s="143">
        <v>43131</v>
      </c>
      <c r="P744" s="143"/>
      <c r="Q744" s="143"/>
      <c r="R744" s="144"/>
      <c r="S744" s="144">
        <v>680000</v>
      </c>
      <c r="T744" s="144"/>
      <c r="U744" s="145">
        <v>0</v>
      </c>
      <c r="V744" s="145">
        <v>0</v>
      </c>
      <c r="W744" s="145">
        <v>0</v>
      </c>
      <c r="X744" s="145">
        <f t="shared" si="219"/>
        <v>0</v>
      </c>
      <c r="Y744" s="145">
        <v>0</v>
      </c>
      <c r="Z744" s="145">
        <v>0</v>
      </c>
      <c r="AA744" s="145">
        <v>0</v>
      </c>
      <c r="AB744" s="145">
        <v>0</v>
      </c>
      <c r="AC744" s="145">
        <v>0</v>
      </c>
      <c r="AD744" s="145">
        <v>0</v>
      </c>
      <c r="AE744" s="145">
        <v>0</v>
      </c>
      <c r="AF744" s="145">
        <v>0</v>
      </c>
      <c r="AG744" s="145">
        <v>0</v>
      </c>
      <c r="AH744" s="145">
        <v>0</v>
      </c>
      <c r="AI744" s="145">
        <v>0</v>
      </c>
      <c r="AJ744" s="145">
        <v>0</v>
      </c>
      <c r="AK744" s="145">
        <f t="shared" si="222"/>
        <v>0</v>
      </c>
      <c r="AL744" s="145">
        <v>850000</v>
      </c>
      <c r="AM744" s="145">
        <v>0</v>
      </c>
      <c r="AN744" s="145">
        <v>0</v>
      </c>
      <c r="AO744" s="145">
        <v>0</v>
      </c>
      <c r="AP744" s="145">
        <v>0</v>
      </c>
      <c r="AQ744" s="145">
        <v>0</v>
      </c>
      <c r="AR744" s="145">
        <v>0</v>
      </c>
      <c r="AS744" s="144">
        <f t="shared" si="223"/>
        <v>850000</v>
      </c>
      <c r="AT744" s="144"/>
      <c r="AU744" s="146">
        <f t="shared" si="224"/>
        <v>850000</v>
      </c>
      <c r="AV744" s="146">
        <f>IFERROR(VLOOKUP(J744,Maksājumu_pieprasījumu_iesn.!G:BL,57,0),0)</f>
        <v>0</v>
      </c>
      <c r="AW744" s="139">
        <f t="shared" si="218"/>
        <v>-850000</v>
      </c>
      <c r="AX744" s="147"/>
      <c r="AY744" s="147"/>
      <c r="AZ744" s="147"/>
      <c r="BA744" s="165"/>
      <c r="BB744" s="144"/>
      <c r="BC744" s="144"/>
      <c r="BD744" s="144"/>
      <c r="BE744" s="144"/>
      <c r="BF744" s="144"/>
      <c r="BG744" s="144"/>
      <c r="BH744" s="149"/>
      <c r="BI744" s="149"/>
      <c r="BJ744" s="149"/>
      <c r="BK744" s="149"/>
      <c r="BL744" s="149"/>
      <c r="BM744" s="149"/>
      <c r="BN744" s="149"/>
    </row>
    <row r="745" spans="1:66" ht="38.25" hidden="1" customHeight="1" x14ac:dyDescent="0.2">
      <c r="A745" s="142" t="s">
        <v>1603</v>
      </c>
      <c r="B745" s="18" t="s">
        <v>138</v>
      </c>
      <c r="C745" s="18" t="s">
        <v>139</v>
      </c>
      <c r="D745" s="19" t="s">
        <v>576</v>
      </c>
      <c r="E745" s="18">
        <v>2</v>
      </c>
      <c r="F745" s="18" t="s">
        <v>35</v>
      </c>
      <c r="G745" s="18" t="s">
        <v>5</v>
      </c>
      <c r="H745" s="18" t="s">
        <v>3</v>
      </c>
      <c r="I745" s="18"/>
      <c r="J745" s="18" t="s">
        <v>710</v>
      </c>
      <c r="K745" s="19" t="s">
        <v>711</v>
      </c>
      <c r="L745" s="275" t="s">
        <v>1605</v>
      </c>
      <c r="M745" s="275" t="s">
        <v>1606</v>
      </c>
      <c r="N745" s="19" t="s">
        <v>712</v>
      </c>
      <c r="O745" s="143"/>
      <c r="P745" s="143"/>
      <c r="Q745" s="143"/>
      <c r="R745" s="172" t="s">
        <v>1224</v>
      </c>
      <c r="S745" s="144">
        <v>5838604</v>
      </c>
      <c r="T745" s="144">
        <v>356127.05637330201</v>
      </c>
      <c r="U745" s="145">
        <v>0</v>
      </c>
      <c r="V745" s="145">
        <v>0</v>
      </c>
      <c r="W745" s="145">
        <v>0</v>
      </c>
      <c r="X745" s="145">
        <f t="shared" si="219"/>
        <v>0</v>
      </c>
      <c r="Y745" s="145">
        <v>0</v>
      </c>
      <c r="Z745" s="145">
        <v>0</v>
      </c>
      <c r="AA745" s="145">
        <v>0</v>
      </c>
      <c r="AB745" s="145">
        <v>0</v>
      </c>
      <c r="AC745" s="145">
        <v>6685.25</v>
      </c>
      <c r="AD745" s="145">
        <v>0</v>
      </c>
      <c r="AE745" s="145">
        <v>0</v>
      </c>
      <c r="AF745" s="145">
        <v>0</v>
      </c>
      <c r="AG745" s="145">
        <v>0</v>
      </c>
      <c r="AH745" s="145">
        <v>0</v>
      </c>
      <c r="AI745" s="145">
        <v>0</v>
      </c>
      <c r="AJ745" s="145">
        <v>0</v>
      </c>
      <c r="AK745" s="145">
        <f t="shared" si="222"/>
        <v>6685.25</v>
      </c>
      <c r="AL745" s="145">
        <v>1632243.94</v>
      </c>
      <c r="AM745" s="145">
        <v>0</v>
      </c>
      <c r="AN745" s="145">
        <v>0</v>
      </c>
      <c r="AO745" s="145">
        <v>0</v>
      </c>
      <c r="AP745" s="145">
        <v>0</v>
      </c>
      <c r="AQ745" s="145">
        <v>0</v>
      </c>
      <c r="AR745" s="145">
        <v>0</v>
      </c>
      <c r="AS745" s="144">
        <f t="shared" si="223"/>
        <v>1638929.19</v>
      </c>
      <c r="AT745" s="144">
        <v>0</v>
      </c>
      <c r="AU745" s="146">
        <f t="shared" si="224"/>
        <v>1638929.19</v>
      </c>
      <c r="AV745" s="146">
        <f>IFERROR(VLOOKUP(J745,Maksājumu_pieprasījumu_iesn.!G:BL,57,0),0)</f>
        <v>0</v>
      </c>
      <c r="AW745" s="139">
        <f t="shared" si="218"/>
        <v>-1638929.19</v>
      </c>
      <c r="AX745" s="147"/>
      <c r="AY745" s="147"/>
      <c r="AZ745" s="147"/>
      <c r="BA745" s="165"/>
      <c r="BB745" s="144"/>
      <c r="BC745" s="144"/>
      <c r="BD745" s="144"/>
      <c r="BE745" s="144"/>
      <c r="BF745" s="144"/>
      <c r="BG745" s="144"/>
      <c r="BH745" s="149"/>
      <c r="BI745" s="149"/>
      <c r="BJ745" s="149"/>
      <c r="BK745" s="149"/>
      <c r="BL745" s="149"/>
      <c r="BM745" s="149"/>
      <c r="BN745" s="149"/>
    </row>
    <row r="746" spans="1:66" ht="38.25" hidden="1" customHeight="1" x14ac:dyDescent="0.2">
      <c r="A746" s="142" t="s">
        <v>1603</v>
      </c>
      <c r="B746" s="18" t="s">
        <v>138</v>
      </c>
      <c r="C746" s="18" t="s">
        <v>139</v>
      </c>
      <c r="D746" s="19" t="s">
        <v>576</v>
      </c>
      <c r="E746" s="18">
        <v>2</v>
      </c>
      <c r="F746" s="18" t="s">
        <v>35</v>
      </c>
      <c r="G746" s="18" t="s">
        <v>5</v>
      </c>
      <c r="H746" s="18" t="s">
        <v>3</v>
      </c>
      <c r="I746" s="18"/>
      <c r="J746" s="18"/>
      <c r="K746" s="19" t="s">
        <v>711</v>
      </c>
      <c r="L746" s="275" t="s">
        <v>1605</v>
      </c>
      <c r="M746" s="275" t="s">
        <v>1606</v>
      </c>
      <c r="N746" s="19" t="s">
        <v>1868</v>
      </c>
      <c r="O746" s="143">
        <v>43008</v>
      </c>
      <c r="P746" s="143"/>
      <c r="Q746" s="143"/>
      <c r="R746" s="144"/>
      <c r="S746" s="144">
        <v>0</v>
      </c>
      <c r="T746" s="144">
        <v>0</v>
      </c>
      <c r="U746" s="145">
        <v>0</v>
      </c>
      <c r="V746" s="145">
        <v>0</v>
      </c>
      <c r="W746" s="145">
        <v>0</v>
      </c>
      <c r="X746" s="145">
        <f t="shared" si="219"/>
        <v>0</v>
      </c>
      <c r="Y746" s="145">
        <v>0</v>
      </c>
      <c r="Z746" s="145">
        <v>0</v>
      </c>
      <c r="AA746" s="145">
        <v>0</v>
      </c>
      <c r="AB746" s="145">
        <v>0</v>
      </c>
      <c r="AC746" s="145">
        <v>0</v>
      </c>
      <c r="AD746" s="145">
        <v>0</v>
      </c>
      <c r="AE746" s="145">
        <v>0</v>
      </c>
      <c r="AF746" s="145">
        <v>0</v>
      </c>
      <c r="AG746" s="145">
        <v>0</v>
      </c>
      <c r="AH746" s="145">
        <v>0</v>
      </c>
      <c r="AI746" s="145">
        <v>0</v>
      </c>
      <c r="AJ746" s="145">
        <v>0</v>
      </c>
      <c r="AK746" s="145">
        <f t="shared" si="222"/>
        <v>0</v>
      </c>
      <c r="AL746" s="145">
        <v>2388604</v>
      </c>
      <c r="AM746" s="145">
        <v>900000</v>
      </c>
      <c r="AN746" s="145">
        <v>0</v>
      </c>
      <c r="AO746" s="145">
        <v>0</v>
      </c>
      <c r="AP746" s="145">
        <v>0</v>
      </c>
      <c r="AQ746" s="145">
        <v>0</v>
      </c>
      <c r="AR746" s="145">
        <v>0</v>
      </c>
      <c r="AS746" s="144">
        <f t="shared" si="223"/>
        <v>3288604</v>
      </c>
      <c r="AT746" s="144"/>
      <c r="AU746" s="146">
        <f t="shared" si="224"/>
        <v>3288604</v>
      </c>
      <c r="AV746" s="146">
        <f>IFERROR(VLOOKUP(J746,Maksājumu_pieprasījumu_iesn.!G:BL,57,0),0)</f>
        <v>0</v>
      </c>
      <c r="AW746" s="139">
        <f t="shared" si="218"/>
        <v>-3288604</v>
      </c>
      <c r="AX746" s="147"/>
      <c r="AY746" s="147"/>
      <c r="AZ746" s="147"/>
      <c r="BA746" s="165"/>
      <c r="BB746" s="144"/>
      <c r="BC746" s="144"/>
      <c r="BD746" s="144"/>
      <c r="BE746" s="144"/>
      <c r="BF746" s="144"/>
      <c r="BG746" s="144"/>
      <c r="BH746" s="149"/>
      <c r="BI746" s="149"/>
      <c r="BJ746" s="149"/>
      <c r="BK746" s="149"/>
      <c r="BL746" s="149"/>
      <c r="BM746" s="149"/>
      <c r="BN746" s="149"/>
    </row>
    <row r="747" spans="1:66" ht="38.25" hidden="1" customHeight="1" x14ac:dyDescent="0.2">
      <c r="A747" s="305" t="s">
        <v>1603</v>
      </c>
      <c r="B747" s="250" t="s">
        <v>138</v>
      </c>
      <c r="C747" s="250" t="s">
        <v>139</v>
      </c>
      <c r="D747" s="251" t="s">
        <v>576</v>
      </c>
      <c r="E747" s="250">
        <v>2</v>
      </c>
      <c r="F747" s="250" t="s">
        <v>35</v>
      </c>
      <c r="G747" s="250" t="s">
        <v>5</v>
      </c>
      <c r="H747" s="250" t="s">
        <v>3</v>
      </c>
      <c r="I747" s="250"/>
      <c r="J747" s="250"/>
      <c r="K747" s="251" t="s">
        <v>711</v>
      </c>
      <c r="L747" s="275" t="s">
        <v>1605</v>
      </c>
      <c r="M747" s="275" t="s">
        <v>1606</v>
      </c>
      <c r="N747" s="251" t="s">
        <v>1869</v>
      </c>
      <c r="O747" s="306"/>
      <c r="P747" s="306"/>
      <c r="Q747" s="306"/>
      <c r="R747" s="306"/>
      <c r="S747" s="307">
        <v>554943.75362669816</v>
      </c>
      <c r="T747" s="307"/>
      <c r="U747" s="258"/>
      <c r="V747" s="258"/>
      <c r="W747" s="258"/>
      <c r="X747" s="258">
        <f t="shared" si="219"/>
        <v>0</v>
      </c>
      <c r="Y747" s="258"/>
      <c r="Z747" s="258"/>
      <c r="AA747" s="258"/>
      <c r="AB747" s="258"/>
      <c r="AC747" s="258"/>
      <c r="AD747" s="258"/>
      <c r="AE747" s="258"/>
      <c r="AF747" s="258"/>
      <c r="AG747" s="258"/>
      <c r="AH747" s="258"/>
      <c r="AI747" s="258"/>
      <c r="AJ747" s="258"/>
      <c r="AK747" s="258"/>
      <c r="AL747" s="258"/>
      <c r="AM747" s="258"/>
      <c r="AN747" s="258"/>
      <c r="AO747" s="258"/>
      <c r="AP747" s="258"/>
      <c r="AQ747" s="258"/>
      <c r="AR747" s="258"/>
      <c r="AS747" s="307"/>
      <c r="AT747" s="307"/>
      <c r="AU747" s="146">
        <f t="shared" si="224"/>
        <v>0</v>
      </c>
      <c r="AV747" s="146">
        <f>IFERROR(VLOOKUP(J747,Maksājumu_pieprasījumu_iesn.!G:BL,57,0),0)</f>
        <v>0</v>
      </c>
      <c r="AW747" s="139">
        <f t="shared" si="218"/>
        <v>0</v>
      </c>
      <c r="AX747" s="307"/>
      <c r="AY747" s="307">
        <v>554943.75362669816</v>
      </c>
      <c r="AZ747" s="308" t="s">
        <v>1843</v>
      </c>
      <c r="BA747" s="309" t="s">
        <v>1870</v>
      </c>
      <c r="BB747" s="307"/>
      <c r="BC747" s="307"/>
      <c r="BD747" s="307"/>
      <c r="BE747" s="307"/>
      <c r="BF747" s="307"/>
      <c r="BG747" s="307"/>
      <c r="BH747" s="308"/>
      <c r="BI747" s="308"/>
      <c r="BJ747" s="308"/>
      <c r="BK747" s="308"/>
      <c r="BL747" s="308"/>
      <c r="BM747" s="308"/>
      <c r="BN747" s="308"/>
    </row>
    <row r="748" spans="1:66" ht="38.25" hidden="1" customHeight="1" x14ac:dyDescent="0.2">
      <c r="A748" s="142" t="s">
        <v>1603</v>
      </c>
      <c r="B748" s="18" t="s">
        <v>138</v>
      </c>
      <c r="C748" s="18" t="s">
        <v>139</v>
      </c>
      <c r="D748" s="19" t="s">
        <v>576</v>
      </c>
      <c r="E748" s="18">
        <v>2</v>
      </c>
      <c r="F748" s="18" t="s">
        <v>35</v>
      </c>
      <c r="G748" s="18" t="s">
        <v>5</v>
      </c>
      <c r="H748" s="18" t="s">
        <v>3</v>
      </c>
      <c r="I748" s="18"/>
      <c r="J748" s="18"/>
      <c r="K748" s="19" t="s">
        <v>1226</v>
      </c>
      <c r="L748" s="275" t="s">
        <v>1605</v>
      </c>
      <c r="M748" s="275" t="s">
        <v>1606</v>
      </c>
      <c r="N748" s="19" t="s">
        <v>1871</v>
      </c>
      <c r="O748" s="143">
        <v>42978</v>
      </c>
      <c r="P748" s="143"/>
      <c r="Q748" s="143"/>
      <c r="R748" s="144"/>
      <c r="S748" s="144">
        <v>4370324</v>
      </c>
      <c r="T748" s="144">
        <v>266568.96434791503</v>
      </c>
      <c r="U748" s="145">
        <v>0</v>
      </c>
      <c r="V748" s="145">
        <v>0</v>
      </c>
      <c r="W748" s="145">
        <v>0</v>
      </c>
      <c r="X748" s="145">
        <f t="shared" si="219"/>
        <v>0</v>
      </c>
      <c r="Y748" s="145">
        <v>0</v>
      </c>
      <c r="Z748" s="145">
        <v>0</v>
      </c>
      <c r="AA748" s="145">
        <v>0</v>
      </c>
      <c r="AB748" s="145">
        <v>0</v>
      </c>
      <c r="AC748" s="145">
        <v>0</v>
      </c>
      <c r="AD748" s="145">
        <v>0</v>
      </c>
      <c r="AE748" s="145">
        <v>0</v>
      </c>
      <c r="AF748" s="145">
        <v>0</v>
      </c>
      <c r="AG748" s="145">
        <v>0</v>
      </c>
      <c r="AH748" s="145">
        <v>0</v>
      </c>
      <c r="AI748" s="145">
        <v>0</v>
      </c>
      <c r="AJ748" s="145">
        <v>0</v>
      </c>
      <c r="AK748" s="145">
        <f t="shared" ref="AK748:AK759" si="225">SUM(Y748:AJ748)</f>
        <v>0</v>
      </c>
      <c r="AL748" s="145">
        <v>565340.14</v>
      </c>
      <c r="AM748" s="145">
        <v>0</v>
      </c>
      <c r="AN748" s="145">
        <v>0</v>
      </c>
      <c r="AO748" s="145">
        <v>0</v>
      </c>
      <c r="AP748" s="145">
        <v>0</v>
      </c>
      <c r="AQ748" s="145">
        <v>0</v>
      </c>
      <c r="AR748" s="145">
        <v>0</v>
      </c>
      <c r="AS748" s="144">
        <f t="shared" ref="AS748:AS759" si="226">U748+V748+W748+AK748+AL748+AM748+AN748+AO748+AP748+AQ748+AR748</f>
        <v>565340.14</v>
      </c>
      <c r="AT748" s="144"/>
      <c r="AU748" s="146">
        <f t="shared" si="224"/>
        <v>565340.14</v>
      </c>
      <c r="AV748" s="146">
        <f>IFERROR(VLOOKUP(J748,Maksājumu_pieprasījumu_iesn.!G:BL,57,0),0)</f>
        <v>0</v>
      </c>
      <c r="AW748" s="139">
        <f t="shared" si="218"/>
        <v>-565340.14</v>
      </c>
      <c r="AX748" s="147"/>
      <c r="AY748" s="147"/>
      <c r="AZ748" s="147"/>
      <c r="BA748" s="165"/>
      <c r="BB748" s="144"/>
      <c r="BC748" s="144"/>
      <c r="BD748" s="144"/>
      <c r="BE748" s="144"/>
      <c r="BF748" s="144"/>
      <c r="BG748" s="144"/>
      <c r="BH748" s="149"/>
      <c r="BI748" s="149"/>
      <c r="BJ748" s="149"/>
      <c r="BK748" s="149"/>
      <c r="BL748" s="149"/>
      <c r="BM748" s="149"/>
      <c r="BN748" s="149"/>
    </row>
    <row r="749" spans="1:66" ht="38.25" hidden="1" customHeight="1" x14ac:dyDescent="0.2">
      <c r="A749" s="142" t="s">
        <v>1603</v>
      </c>
      <c r="B749" s="18" t="s">
        <v>138</v>
      </c>
      <c r="C749" s="18" t="s">
        <v>139</v>
      </c>
      <c r="D749" s="19" t="s">
        <v>576</v>
      </c>
      <c r="E749" s="18">
        <v>2</v>
      </c>
      <c r="F749" s="18" t="s">
        <v>35</v>
      </c>
      <c r="G749" s="18" t="s">
        <v>5</v>
      </c>
      <c r="H749" s="18" t="s">
        <v>3</v>
      </c>
      <c r="I749" s="18"/>
      <c r="J749" s="18"/>
      <c r="K749" s="19" t="s">
        <v>1226</v>
      </c>
      <c r="L749" s="275" t="s">
        <v>1605</v>
      </c>
      <c r="M749" s="275" t="s">
        <v>1606</v>
      </c>
      <c r="N749" s="19" t="s">
        <v>1872</v>
      </c>
      <c r="O749" s="143">
        <v>43251</v>
      </c>
      <c r="P749" s="143"/>
      <c r="Q749" s="143"/>
      <c r="R749" s="144"/>
      <c r="S749" s="144">
        <v>0</v>
      </c>
      <c r="T749" s="144">
        <v>0</v>
      </c>
      <c r="U749" s="145">
        <v>0</v>
      </c>
      <c r="V749" s="145">
        <v>0</v>
      </c>
      <c r="W749" s="145">
        <v>0</v>
      </c>
      <c r="X749" s="145">
        <f t="shared" si="219"/>
        <v>0</v>
      </c>
      <c r="Y749" s="145">
        <v>0</v>
      </c>
      <c r="Z749" s="145">
        <v>0</v>
      </c>
      <c r="AA749" s="145">
        <v>0</v>
      </c>
      <c r="AB749" s="145">
        <v>0</v>
      </c>
      <c r="AC749" s="145">
        <v>0</v>
      </c>
      <c r="AD749" s="145">
        <v>0</v>
      </c>
      <c r="AE749" s="145">
        <v>0</v>
      </c>
      <c r="AF749" s="145">
        <v>0</v>
      </c>
      <c r="AG749" s="145">
        <v>0</v>
      </c>
      <c r="AH749" s="145">
        <v>0</v>
      </c>
      <c r="AI749" s="145">
        <v>0</v>
      </c>
      <c r="AJ749" s="145">
        <v>0</v>
      </c>
      <c r="AK749" s="145">
        <f t="shared" si="225"/>
        <v>0</v>
      </c>
      <c r="AL749" s="145">
        <v>650081.69999999995</v>
      </c>
      <c r="AM749" s="145">
        <v>0</v>
      </c>
      <c r="AN749" s="145">
        <v>0</v>
      </c>
      <c r="AO749" s="145">
        <v>0</v>
      </c>
      <c r="AP749" s="145">
        <v>0</v>
      </c>
      <c r="AQ749" s="145">
        <v>0</v>
      </c>
      <c r="AR749" s="145">
        <v>0</v>
      </c>
      <c r="AS749" s="144">
        <f t="shared" si="226"/>
        <v>650081.69999999995</v>
      </c>
      <c r="AT749" s="144"/>
      <c r="AU749" s="146">
        <f t="shared" si="224"/>
        <v>650081.69999999995</v>
      </c>
      <c r="AV749" s="146">
        <f>IFERROR(VLOOKUP(J749,Maksājumu_pieprasījumu_iesn.!G:BL,57,0),0)</f>
        <v>0</v>
      </c>
      <c r="AW749" s="139">
        <f t="shared" si="218"/>
        <v>-650081.69999999995</v>
      </c>
      <c r="AX749" s="147"/>
      <c r="AY749" s="147"/>
      <c r="AZ749" s="147"/>
      <c r="BA749" s="165"/>
      <c r="BB749" s="144"/>
      <c r="BC749" s="144"/>
      <c r="BD749" s="144"/>
      <c r="BE749" s="144"/>
      <c r="BF749" s="144"/>
      <c r="BG749" s="144"/>
      <c r="BH749" s="149"/>
      <c r="BI749" s="149"/>
      <c r="BJ749" s="149"/>
      <c r="BK749" s="149"/>
      <c r="BL749" s="149"/>
      <c r="BM749" s="149"/>
      <c r="BN749" s="149"/>
    </row>
    <row r="750" spans="1:66" ht="38.25" hidden="1" customHeight="1" x14ac:dyDescent="0.2">
      <c r="A750" s="142" t="s">
        <v>1603</v>
      </c>
      <c r="B750" s="18" t="s">
        <v>138</v>
      </c>
      <c r="C750" s="18" t="s">
        <v>139</v>
      </c>
      <c r="D750" s="19" t="s">
        <v>576</v>
      </c>
      <c r="E750" s="18">
        <v>2</v>
      </c>
      <c r="F750" s="18" t="s">
        <v>35</v>
      </c>
      <c r="G750" s="18" t="s">
        <v>5</v>
      </c>
      <c r="H750" s="18" t="s">
        <v>3</v>
      </c>
      <c r="I750" s="18"/>
      <c r="J750" s="18"/>
      <c r="K750" s="19" t="s">
        <v>1226</v>
      </c>
      <c r="L750" s="275" t="s">
        <v>1605</v>
      </c>
      <c r="M750" s="275" t="s">
        <v>1606</v>
      </c>
      <c r="N750" s="19" t="s">
        <v>1873</v>
      </c>
      <c r="O750" s="143">
        <v>43190</v>
      </c>
      <c r="P750" s="143"/>
      <c r="Q750" s="143"/>
      <c r="R750" s="144"/>
      <c r="S750" s="144">
        <v>0</v>
      </c>
      <c r="T750" s="144">
        <v>0</v>
      </c>
      <c r="U750" s="145">
        <v>0</v>
      </c>
      <c r="V750" s="145">
        <v>0</v>
      </c>
      <c r="W750" s="145">
        <v>0</v>
      </c>
      <c r="X750" s="145">
        <f t="shared" si="219"/>
        <v>0</v>
      </c>
      <c r="Y750" s="145">
        <v>0</v>
      </c>
      <c r="Z750" s="145">
        <v>0</v>
      </c>
      <c r="AA750" s="145">
        <v>0</v>
      </c>
      <c r="AB750" s="145">
        <v>0</v>
      </c>
      <c r="AC750" s="145">
        <v>0</v>
      </c>
      <c r="AD750" s="145">
        <v>0</v>
      </c>
      <c r="AE750" s="145">
        <v>0</v>
      </c>
      <c r="AF750" s="145">
        <v>0</v>
      </c>
      <c r="AG750" s="145">
        <v>0</v>
      </c>
      <c r="AH750" s="145">
        <v>0</v>
      </c>
      <c r="AI750" s="145">
        <v>0</v>
      </c>
      <c r="AJ750" s="145">
        <v>0</v>
      </c>
      <c r="AK750" s="145">
        <f t="shared" si="225"/>
        <v>0</v>
      </c>
      <c r="AL750" s="145">
        <v>67490</v>
      </c>
      <c r="AM750" s="145">
        <v>0</v>
      </c>
      <c r="AN750" s="145">
        <v>0</v>
      </c>
      <c r="AO750" s="145">
        <v>0</v>
      </c>
      <c r="AP750" s="145">
        <v>0</v>
      </c>
      <c r="AQ750" s="145">
        <v>0</v>
      </c>
      <c r="AR750" s="145">
        <v>0</v>
      </c>
      <c r="AS750" s="144">
        <f t="shared" si="226"/>
        <v>67490</v>
      </c>
      <c r="AT750" s="144"/>
      <c r="AU750" s="146">
        <f t="shared" si="224"/>
        <v>67490</v>
      </c>
      <c r="AV750" s="146">
        <f>IFERROR(VLOOKUP(J750,Maksājumu_pieprasījumu_iesn.!G:BL,57,0),0)</f>
        <v>0</v>
      </c>
      <c r="AW750" s="139">
        <f t="shared" si="218"/>
        <v>-67490</v>
      </c>
      <c r="AX750" s="147"/>
      <c r="AY750" s="147"/>
      <c r="AZ750" s="147"/>
      <c r="BA750" s="165"/>
      <c r="BB750" s="144"/>
      <c r="BC750" s="144"/>
      <c r="BD750" s="144"/>
      <c r="BE750" s="144"/>
      <c r="BF750" s="144"/>
      <c r="BG750" s="144"/>
      <c r="BH750" s="149"/>
      <c r="BI750" s="149"/>
      <c r="BJ750" s="149"/>
      <c r="BK750" s="149"/>
      <c r="BL750" s="149"/>
      <c r="BM750" s="149"/>
      <c r="BN750" s="149"/>
    </row>
    <row r="751" spans="1:66" ht="38.25" hidden="1" customHeight="1" x14ac:dyDescent="0.2">
      <c r="A751" s="142" t="s">
        <v>1603</v>
      </c>
      <c r="B751" s="18" t="s">
        <v>138</v>
      </c>
      <c r="C751" s="18" t="s">
        <v>139</v>
      </c>
      <c r="D751" s="19" t="s">
        <v>576</v>
      </c>
      <c r="E751" s="18">
        <v>2</v>
      </c>
      <c r="F751" s="18" t="s">
        <v>35</v>
      </c>
      <c r="G751" s="18" t="s">
        <v>5</v>
      </c>
      <c r="H751" s="18" t="s">
        <v>3</v>
      </c>
      <c r="I751" s="18"/>
      <c r="J751" s="18"/>
      <c r="K751" s="19" t="s">
        <v>1226</v>
      </c>
      <c r="L751" s="275" t="s">
        <v>1605</v>
      </c>
      <c r="M751" s="275" t="s">
        <v>1606</v>
      </c>
      <c r="N751" s="19" t="s">
        <v>1874</v>
      </c>
      <c r="O751" s="143">
        <v>43373</v>
      </c>
      <c r="P751" s="143"/>
      <c r="Q751" s="143"/>
      <c r="R751" s="144"/>
      <c r="S751" s="144">
        <v>0</v>
      </c>
      <c r="T751" s="144">
        <v>0</v>
      </c>
      <c r="U751" s="145">
        <v>0</v>
      </c>
      <c r="V751" s="145">
        <v>0</v>
      </c>
      <c r="W751" s="145">
        <v>0</v>
      </c>
      <c r="X751" s="145">
        <f t="shared" si="219"/>
        <v>0</v>
      </c>
      <c r="Y751" s="145">
        <v>0</v>
      </c>
      <c r="Z751" s="145">
        <v>0</v>
      </c>
      <c r="AA751" s="145">
        <v>0</v>
      </c>
      <c r="AB751" s="145">
        <v>0</v>
      </c>
      <c r="AC751" s="145">
        <v>0</v>
      </c>
      <c r="AD751" s="145">
        <v>0</v>
      </c>
      <c r="AE751" s="145">
        <v>0</v>
      </c>
      <c r="AF751" s="145">
        <v>0</v>
      </c>
      <c r="AG751" s="145">
        <v>0</v>
      </c>
      <c r="AH751" s="145">
        <v>0</v>
      </c>
      <c r="AI751" s="145">
        <v>0</v>
      </c>
      <c r="AJ751" s="145">
        <v>0</v>
      </c>
      <c r="AK751" s="145">
        <f t="shared" si="225"/>
        <v>0</v>
      </c>
      <c r="AL751" s="145">
        <v>0</v>
      </c>
      <c r="AM751" s="145">
        <v>272000</v>
      </c>
      <c r="AN751" s="145">
        <v>0</v>
      </c>
      <c r="AO751" s="145">
        <v>0</v>
      </c>
      <c r="AP751" s="145">
        <v>0</v>
      </c>
      <c r="AQ751" s="145">
        <v>0</v>
      </c>
      <c r="AR751" s="145">
        <v>0</v>
      </c>
      <c r="AS751" s="144">
        <f t="shared" si="226"/>
        <v>272000</v>
      </c>
      <c r="AT751" s="144"/>
      <c r="AU751" s="146">
        <f t="shared" si="224"/>
        <v>272000</v>
      </c>
      <c r="AV751" s="146">
        <f>IFERROR(VLOOKUP(J751,Maksājumu_pieprasījumu_iesn.!G:BL,57,0),0)</f>
        <v>0</v>
      </c>
      <c r="AW751" s="139">
        <f t="shared" si="218"/>
        <v>-272000</v>
      </c>
      <c r="AX751" s="147"/>
      <c r="AY751" s="147"/>
      <c r="AZ751" s="147"/>
      <c r="BA751" s="165"/>
      <c r="BB751" s="144"/>
      <c r="BC751" s="144"/>
      <c r="BD751" s="144"/>
      <c r="BE751" s="144"/>
      <c r="BF751" s="144"/>
      <c r="BG751" s="144"/>
      <c r="BH751" s="149"/>
      <c r="BI751" s="149"/>
      <c r="BJ751" s="149"/>
      <c r="BK751" s="149"/>
      <c r="BL751" s="149"/>
      <c r="BM751" s="149"/>
      <c r="BN751" s="149"/>
    </row>
    <row r="752" spans="1:66" ht="25.5" hidden="1" customHeight="1" x14ac:dyDescent="0.2">
      <c r="A752" s="142" t="s">
        <v>1603</v>
      </c>
      <c r="B752" s="18" t="s">
        <v>138</v>
      </c>
      <c r="C752" s="18" t="s">
        <v>139</v>
      </c>
      <c r="D752" s="19" t="s">
        <v>576</v>
      </c>
      <c r="E752" s="18">
        <v>2</v>
      </c>
      <c r="F752" s="18" t="s">
        <v>35</v>
      </c>
      <c r="G752" s="18" t="s">
        <v>5</v>
      </c>
      <c r="H752" s="18" t="s">
        <v>3</v>
      </c>
      <c r="I752" s="18"/>
      <c r="J752" s="18"/>
      <c r="K752" s="19" t="s">
        <v>1226</v>
      </c>
      <c r="L752" s="275" t="s">
        <v>1605</v>
      </c>
      <c r="M752" s="275" t="s">
        <v>1606</v>
      </c>
      <c r="N752" s="19" t="s">
        <v>1875</v>
      </c>
      <c r="O752" s="143">
        <v>42978</v>
      </c>
      <c r="P752" s="143"/>
      <c r="Q752" s="143"/>
      <c r="R752" s="144"/>
      <c r="S752" s="144">
        <v>0</v>
      </c>
      <c r="T752" s="144">
        <v>0</v>
      </c>
      <c r="U752" s="145">
        <v>0</v>
      </c>
      <c r="V752" s="145">
        <v>0</v>
      </c>
      <c r="W752" s="145">
        <v>0</v>
      </c>
      <c r="X752" s="145">
        <f t="shared" si="219"/>
        <v>0</v>
      </c>
      <c r="Y752" s="145">
        <v>0</v>
      </c>
      <c r="Z752" s="145">
        <v>0</v>
      </c>
      <c r="AA752" s="145">
        <v>0</v>
      </c>
      <c r="AB752" s="145">
        <v>0</v>
      </c>
      <c r="AC752" s="145">
        <v>0</v>
      </c>
      <c r="AD752" s="145">
        <v>0</v>
      </c>
      <c r="AE752" s="145">
        <v>0</v>
      </c>
      <c r="AF752" s="145">
        <v>0</v>
      </c>
      <c r="AG752" s="145">
        <v>0</v>
      </c>
      <c r="AH752" s="145">
        <v>0</v>
      </c>
      <c r="AI752" s="145">
        <v>0</v>
      </c>
      <c r="AJ752" s="145">
        <v>0</v>
      </c>
      <c r="AK752" s="145">
        <f t="shared" si="225"/>
        <v>0</v>
      </c>
      <c r="AL752" s="145">
        <v>85000</v>
      </c>
      <c r="AM752" s="145">
        <v>0</v>
      </c>
      <c r="AN752" s="145">
        <v>0</v>
      </c>
      <c r="AO752" s="145">
        <v>0</v>
      </c>
      <c r="AP752" s="145">
        <v>0</v>
      </c>
      <c r="AQ752" s="145">
        <v>0</v>
      </c>
      <c r="AR752" s="145">
        <v>0</v>
      </c>
      <c r="AS752" s="144">
        <f t="shared" si="226"/>
        <v>85000</v>
      </c>
      <c r="AT752" s="144"/>
      <c r="AU752" s="146">
        <f t="shared" si="224"/>
        <v>85000</v>
      </c>
      <c r="AV752" s="146">
        <f>IFERROR(VLOOKUP(J752,Maksājumu_pieprasījumu_iesn.!G:BL,57,0),0)</f>
        <v>0</v>
      </c>
      <c r="AW752" s="139">
        <f t="shared" si="218"/>
        <v>-85000</v>
      </c>
      <c r="AX752" s="147"/>
      <c r="AY752" s="147"/>
      <c r="AZ752" s="147"/>
      <c r="BA752" s="165"/>
      <c r="BB752" s="144"/>
      <c r="BC752" s="144"/>
      <c r="BD752" s="144"/>
      <c r="BE752" s="144"/>
      <c r="BF752" s="144"/>
      <c r="BG752" s="144"/>
      <c r="BH752" s="149"/>
      <c r="BI752" s="149"/>
      <c r="BJ752" s="149"/>
      <c r="BK752" s="149"/>
      <c r="BL752" s="149"/>
      <c r="BM752" s="149"/>
      <c r="BN752" s="149"/>
    </row>
    <row r="753" spans="1:66" ht="25.5" hidden="1" customHeight="1" x14ac:dyDescent="0.2">
      <c r="A753" s="142" t="s">
        <v>1603</v>
      </c>
      <c r="B753" s="18" t="s">
        <v>138</v>
      </c>
      <c r="C753" s="18" t="s">
        <v>139</v>
      </c>
      <c r="D753" s="19" t="s">
        <v>576</v>
      </c>
      <c r="E753" s="18">
        <v>2</v>
      </c>
      <c r="F753" s="18" t="s">
        <v>35</v>
      </c>
      <c r="G753" s="18" t="s">
        <v>5</v>
      </c>
      <c r="H753" s="18" t="s">
        <v>3</v>
      </c>
      <c r="I753" s="18"/>
      <c r="J753" s="18"/>
      <c r="K753" s="19" t="s">
        <v>1226</v>
      </c>
      <c r="L753" s="275" t="s">
        <v>1605</v>
      </c>
      <c r="M753" s="275" t="s">
        <v>1606</v>
      </c>
      <c r="N753" s="19" t="s">
        <v>1876</v>
      </c>
      <c r="O753" s="143">
        <v>43373</v>
      </c>
      <c r="P753" s="143"/>
      <c r="Q753" s="143"/>
      <c r="R753" s="144"/>
      <c r="S753" s="144">
        <v>0</v>
      </c>
      <c r="T753" s="144">
        <v>0</v>
      </c>
      <c r="U753" s="145">
        <v>0</v>
      </c>
      <c r="V753" s="145">
        <v>0</v>
      </c>
      <c r="W753" s="145">
        <v>0</v>
      </c>
      <c r="X753" s="145">
        <f t="shared" si="219"/>
        <v>0</v>
      </c>
      <c r="Y753" s="145">
        <v>0</v>
      </c>
      <c r="Z753" s="145">
        <v>0</v>
      </c>
      <c r="AA753" s="145">
        <v>0</v>
      </c>
      <c r="AB753" s="145">
        <v>0</v>
      </c>
      <c r="AC753" s="145">
        <v>0</v>
      </c>
      <c r="AD753" s="145">
        <v>0</v>
      </c>
      <c r="AE753" s="145">
        <v>0</v>
      </c>
      <c r="AF753" s="145">
        <v>0</v>
      </c>
      <c r="AG753" s="145">
        <v>0</v>
      </c>
      <c r="AH753" s="145">
        <v>0</v>
      </c>
      <c r="AI753" s="145">
        <v>0</v>
      </c>
      <c r="AJ753" s="145">
        <v>0</v>
      </c>
      <c r="AK753" s="145">
        <f t="shared" si="225"/>
        <v>0</v>
      </c>
      <c r="AL753" s="145">
        <v>0</v>
      </c>
      <c r="AM753" s="145">
        <v>753703.03565208497</v>
      </c>
      <c r="AN753" s="145">
        <v>0</v>
      </c>
      <c r="AO753" s="145">
        <v>0</v>
      </c>
      <c r="AP753" s="145">
        <v>0</v>
      </c>
      <c r="AQ753" s="145">
        <v>0</v>
      </c>
      <c r="AR753" s="145">
        <v>0</v>
      </c>
      <c r="AS753" s="144">
        <f t="shared" si="226"/>
        <v>753703.03565208497</v>
      </c>
      <c r="AT753" s="144"/>
      <c r="AU753" s="146">
        <f t="shared" si="224"/>
        <v>753703.03565208497</v>
      </c>
      <c r="AV753" s="146">
        <f>IFERROR(VLOOKUP(J753,Maksājumu_pieprasījumu_iesn.!G:BL,57,0),0)</f>
        <v>0</v>
      </c>
      <c r="AW753" s="139">
        <f t="shared" si="218"/>
        <v>-753703.03565208497</v>
      </c>
      <c r="AX753" s="147"/>
      <c r="AY753" s="147" t="s">
        <v>1085</v>
      </c>
      <c r="AZ753" s="147"/>
      <c r="BA753" s="165" t="s">
        <v>1086</v>
      </c>
      <c r="BB753" s="144"/>
      <c r="BC753" s="144"/>
      <c r="BD753" s="144"/>
      <c r="BE753" s="144"/>
      <c r="BF753" s="144"/>
      <c r="BG753" s="144"/>
      <c r="BH753" s="149"/>
      <c r="BI753" s="149"/>
      <c r="BJ753" s="149"/>
      <c r="BK753" s="149"/>
      <c r="BL753" s="149"/>
      <c r="BM753" s="149"/>
      <c r="BN753" s="149"/>
    </row>
    <row r="754" spans="1:66" ht="38.25" hidden="1" customHeight="1" x14ac:dyDescent="0.2">
      <c r="A754" s="142" t="s">
        <v>1603</v>
      </c>
      <c r="B754" s="18" t="s">
        <v>138</v>
      </c>
      <c r="C754" s="18" t="s">
        <v>139</v>
      </c>
      <c r="D754" s="19" t="s">
        <v>576</v>
      </c>
      <c r="E754" s="18">
        <v>2</v>
      </c>
      <c r="F754" s="18" t="s">
        <v>35</v>
      </c>
      <c r="G754" s="18" t="s">
        <v>5</v>
      </c>
      <c r="H754" s="18" t="s">
        <v>3</v>
      </c>
      <c r="I754" s="18"/>
      <c r="J754" s="18"/>
      <c r="K754" s="19" t="s">
        <v>1226</v>
      </c>
      <c r="L754" s="275" t="s">
        <v>1605</v>
      </c>
      <c r="M754" s="275" t="s">
        <v>1606</v>
      </c>
      <c r="N754" s="19" t="s">
        <v>1877</v>
      </c>
      <c r="O754" s="143">
        <v>43131</v>
      </c>
      <c r="P754" s="143"/>
      <c r="Q754" s="143"/>
      <c r="R754" s="144"/>
      <c r="S754" s="144">
        <v>0</v>
      </c>
      <c r="T754" s="144">
        <v>0</v>
      </c>
      <c r="U754" s="145">
        <v>0</v>
      </c>
      <c r="V754" s="145">
        <v>0</v>
      </c>
      <c r="W754" s="145">
        <v>0</v>
      </c>
      <c r="X754" s="145">
        <f t="shared" si="219"/>
        <v>0</v>
      </c>
      <c r="Y754" s="145">
        <v>0</v>
      </c>
      <c r="Z754" s="145">
        <v>0</v>
      </c>
      <c r="AA754" s="145">
        <v>0</v>
      </c>
      <c r="AB754" s="145">
        <v>0</v>
      </c>
      <c r="AC754" s="145">
        <v>0</v>
      </c>
      <c r="AD754" s="145">
        <v>0</v>
      </c>
      <c r="AE754" s="145">
        <v>0</v>
      </c>
      <c r="AF754" s="145">
        <v>0</v>
      </c>
      <c r="AG754" s="145">
        <v>0</v>
      </c>
      <c r="AH754" s="145">
        <v>0</v>
      </c>
      <c r="AI754" s="145">
        <v>0</v>
      </c>
      <c r="AJ754" s="145">
        <v>0</v>
      </c>
      <c r="AK754" s="145">
        <f t="shared" si="225"/>
        <v>0</v>
      </c>
      <c r="AL754" s="145">
        <v>735585.6</v>
      </c>
      <c r="AM754" s="145">
        <v>0</v>
      </c>
      <c r="AN754" s="145">
        <v>0</v>
      </c>
      <c r="AO754" s="145">
        <v>0</v>
      </c>
      <c r="AP754" s="145">
        <v>0</v>
      </c>
      <c r="AQ754" s="145">
        <v>0</v>
      </c>
      <c r="AR754" s="145">
        <v>0</v>
      </c>
      <c r="AS754" s="144">
        <f t="shared" si="226"/>
        <v>735585.6</v>
      </c>
      <c r="AT754" s="144"/>
      <c r="AU754" s="146">
        <f t="shared" si="224"/>
        <v>735585.6</v>
      </c>
      <c r="AV754" s="146">
        <f>IFERROR(VLOOKUP(J754,Maksājumu_pieprasījumu_iesn.!G:BL,57,0),0)</f>
        <v>0</v>
      </c>
      <c r="AW754" s="139">
        <f t="shared" si="218"/>
        <v>-735585.6</v>
      </c>
      <c r="AX754" s="147"/>
      <c r="AY754" s="147"/>
      <c r="AZ754" s="147"/>
      <c r="BA754" s="165"/>
      <c r="BB754" s="144"/>
      <c r="BC754" s="144"/>
      <c r="BD754" s="144"/>
      <c r="BE754" s="144"/>
      <c r="BF754" s="144"/>
      <c r="BG754" s="144"/>
      <c r="BH754" s="149"/>
      <c r="BI754" s="149"/>
      <c r="BJ754" s="149"/>
      <c r="BK754" s="149"/>
      <c r="BL754" s="149"/>
      <c r="BM754" s="149"/>
      <c r="BN754" s="149"/>
    </row>
    <row r="755" spans="1:66" ht="38.25" hidden="1" customHeight="1" x14ac:dyDescent="0.2">
      <c r="A755" s="142" t="s">
        <v>1603</v>
      </c>
      <c r="B755" s="18" t="s">
        <v>138</v>
      </c>
      <c r="C755" s="18" t="s">
        <v>139</v>
      </c>
      <c r="D755" s="19" t="s">
        <v>576</v>
      </c>
      <c r="E755" s="18">
        <v>2</v>
      </c>
      <c r="F755" s="18" t="s">
        <v>35</v>
      </c>
      <c r="G755" s="18" t="s">
        <v>5</v>
      </c>
      <c r="H755" s="18" t="s">
        <v>3</v>
      </c>
      <c r="I755" s="18"/>
      <c r="J755" s="18"/>
      <c r="K755" s="19" t="s">
        <v>1226</v>
      </c>
      <c r="L755" s="275" t="s">
        <v>1605</v>
      </c>
      <c r="M755" s="275" t="s">
        <v>1606</v>
      </c>
      <c r="N755" s="19" t="s">
        <v>1878</v>
      </c>
      <c r="O755" s="143">
        <v>43190</v>
      </c>
      <c r="P755" s="143"/>
      <c r="Q755" s="143"/>
      <c r="R755" s="144"/>
      <c r="S755" s="144">
        <v>0</v>
      </c>
      <c r="T755" s="144">
        <v>0</v>
      </c>
      <c r="U755" s="145">
        <v>0</v>
      </c>
      <c r="V755" s="145">
        <v>0</v>
      </c>
      <c r="W755" s="145">
        <v>0</v>
      </c>
      <c r="X755" s="145">
        <f t="shared" si="219"/>
        <v>0</v>
      </c>
      <c r="Y755" s="145">
        <v>0</v>
      </c>
      <c r="Z755" s="145">
        <v>0</v>
      </c>
      <c r="AA755" s="145">
        <v>0</v>
      </c>
      <c r="AB755" s="145">
        <v>0</v>
      </c>
      <c r="AC755" s="145">
        <v>0</v>
      </c>
      <c r="AD755" s="145">
        <v>0</v>
      </c>
      <c r="AE755" s="145">
        <v>0</v>
      </c>
      <c r="AF755" s="145">
        <v>0</v>
      </c>
      <c r="AG755" s="145">
        <v>0</v>
      </c>
      <c r="AH755" s="145">
        <v>0</v>
      </c>
      <c r="AI755" s="145">
        <v>0</v>
      </c>
      <c r="AJ755" s="145">
        <v>0</v>
      </c>
      <c r="AK755" s="145">
        <f t="shared" si="225"/>
        <v>0</v>
      </c>
      <c r="AL755" s="145">
        <v>439990.76</v>
      </c>
      <c r="AM755" s="145">
        <v>0</v>
      </c>
      <c r="AN755" s="145">
        <v>0</v>
      </c>
      <c r="AO755" s="145">
        <v>0</v>
      </c>
      <c r="AP755" s="145">
        <v>0</v>
      </c>
      <c r="AQ755" s="145">
        <v>0</v>
      </c>
      <c r="AR755" s="145">
        <v>0</v>
      </c>
      <c r="AS755" s="144">
        <f t="shared" si="226"/>
        <v>439990.76</v>
      </c>
      <c r="AT755" s="144"/>
      <c r="AU755" s="146">
        <f t="shared" si="224"/>
        <v>439990.76</v>
      </c>
      <c r="AV755" s="146">
        <f>IFERROR(VLOOKUP(J755,Maksājumu_pieprasījumu_iesn.!G:BL,57,0),0)</f>
        <v>0</v>
      </c>
      <c r="AW755" s="139">
        <f t="shared" si="218"/>
        <v>-439990.76</v>
      </c>
      <c r="AX755" s="147"/>
      <c r="AY755" s="147"/>
      <c r="AZ755" s="147"/>
      <c r="BA755" s="165"/>
      <c r="BB755" s="144"/>
      <c r="BC755" s="144"/>
      <c r="BD755" s="144"/>
      <c r="BE755" s="144"/>
      <c r="BF755" s="144"/>
      <c r="BG755" s="144"/>
      <c r="BH755" s="149"/>
      <c r="BI755" s="149"/>
      <c r="BJ755" s="149"/>
      <c r="BK755" s="149"/>
      <c r="BL755" s="149"/>
      <c r="BM755" s="149"/>
      <c r="BN755" s="149"/>
    </row>
    <row r="756" spans="1:66" ht="38.25" hidden="1" customHeight="1" x14ac:dyDescent="0.2">
      <c r="A756" s="142" t="s">
        <v>1603</v>
      </c>
      <c r="B756" s="18" t="s">
        <v>138</v>
      </c>
      <c r="C756" s="18" t="s">
        <v>139</v>
      </c>
      <c r="D756" s="19" t="s">
        <v>576</v>
      </c>
      <c r="E756" s="18">
        <v>2</v>
      </c>
      <c r="F756" s="18" t="s">
        <v>35</v>
      </c>
      <c r="G756" s="18" t="s">
        <v>5</v>
      </c>
      <c r="H756" s="18" t="s">
        <v>3</v>
      </c>
      <c r="I756" s="18"/>
      <c r="J756" s="18"/>
      <c r="K756" s="19" t="s">
        <v>1226</v>
      </c>
      <c r="L756" s="275" t="s">
        <v>1605</v>
      </c>
      <c r="M756" s="275" t="s">
        <v>1606</v>
      </c>
      <c r="N756" s="19" t="s">
        <v>1879</v>
      </c>
      <c r="O756" s="143">
        <v>43131</v>
      </c>
      <c r="P756" s="143"/>
      <c r="Q756" s="143"/>
      <c r="R756" s="144"/>
      <c r="S756" s="144">
        <v>0</v>
      </c>
      <c r="T756" s="144">
        <v>0</v>
      </c>
      <c r="U756" s="145">
        <v>0</v>
      </c>
      <c r="V756" s="145">
        <v>0</v>
      </c>
      <c r="W756" s="145">
        <v>0</v>
      </c>
      <c r="X756" s="145">
        <f t="shared" si="219"/>
        <v>0</v>
      </c>
      <c r="Y756" s="145">
        <v>0</v>
      </c>
      <c r="Z756" s="145">
        <v>0</v>
      </c>
      <c r="AA756" s="145">
        <v>0</v>
      </c>
      <c r="AB756" s="145">
        <v>0</v>
      </c>
      <c r="AC756" s="145">
        <v>0</v>
      </c>
      <c r="AD756" s="145">
        <v>0</v>
      </c>
      <c r="AE756" s="145">
        <v>0</v>
      </c>
      <c r="AF756" s="145">
        <v>0</v>
      </c>
      <c r="AG756" s="145">
        <v>0</v>
      </c>
      <c r="AH756" s="145">
        <v>0</v>
      </c>
      <c r="AI756" s="145">
        <v>0</v>
      </c>
      <c r="AJ756" s="145">
        <v>0</v>
      </c>
      <c r="AK756" s="145">
        <f t="shared" si="225"/>
        <v>0</v>
      </c>
      <c r="AL756" s="145">
        <v>449563.5</v>
      </c>
      <c r="AM756" s="145">
        <v>0</v>
      </c>
      <c r="AN756" s="145">
        <v>0</v>
      </c>
      <c r="AO756" s="145">
        <v>0</v>
      </c>
      <c r="AP756" s="145">
        <v>0</v>
      </c>
      <c r="AQ756" s="145">
        <v>0</v>
      </c>
      <c r="AR756" s="145">
        <v>0</v>
      </c>
      <c r="AS756" s="144">
        <f t="shared" si="226"/>
        <v>449563.5</v>
      </c>
      <c r="AT756" s="144"/>
      <c r="AU756" s="146">
        <f t="shared" si="224"/>
        <v>449563.5</v>
      </c>
      <c r="AV756" s="146">
        <f>IFERROR(VLOOKUP(J756,Maksājumu_pieprasījumu_iesn.!G:BL,57,0),0)</f>
        <v>0</v>
      </c>
      <c r="AW756" s="139">
        <f t="shared" si="218"/>
        <v>-449563.5</v>
      </c>
      <c r="AX756" s="147"/>
      <c r="AY756" s="147"/>
      <c r="AZ756" s="147"/>
      <c r="BA756" s="165"/>
      <c r="BB756" s="144"/>
      <c r="BC756" s="144"/>
      <c r="BD756" s="144"/>
      <c r="BE756" s="144"/>
      <c r="BF756" s="144"/>
      <c r="BG756" s="144"/>
      <c r="BH756" s="149"/>
      <c r="BI756" s="149"/>
      <c r="BJ756" s="149"/>
      <c r="BK756" s="149"/>
      <c r="BL756" s="149"/>
      <c r="BM756" s="149"/>
      <c r="BN756" s="149"/>
    </row>
    <row r="757" spans="1:66" ht="25.5" hidden="1" customHeight="1" x14ac:dyDescent="0.2">
      <c r="A757" s="142" t="s">
        <v>1603</v>
      </c>
      <c r="B757" s="18" t="s">
        <v>138</v>
      </c>
      <c r="C757" s="18" t="s">
        <v>139</v>
      </c>
      <c r="D757" s="19" t="s">
        <v>576</v>
      </c>
      <c r="E757" s="18">
        <v>2</v>
      </c>
      <c r="F757" s="18" t="s">
        <v>35</v>
      </c>
      <c r="G757" s="18" t="s">
        <v>5</v>
      </c>
      <c r="H757" s="18" t="s">
        <v>3</v>
      </c>
      <c r="I757" s="18"/>
      <c r="J757" s="18"/>
      <c r="K757" s="19" t="s">
        <v>1226</v>
      </c>
      <c r="L757" s="275" t="s">
        <v>1605</v>
      </c>
      <c r="M757" s="275" t="s">
        <v>1606</v>
      </c>
      <c r="N757" s="19" t="s">
        <v>1880</v>
      </c>
      <c r="O757" s="143">
        <v>42978</v>
      </c>
      <c r="P757" s="143"/>
      <c r="Q757" s="143"/>
      <c r="R757" s="144"/>
      <c r="S757" s="144">
        <v>0</v>
      </c>
      <c r="T757" s="144">
        <v>0</v>
      </c>
      <c r="U757" s="145">
        <v>0</v>
      </c>
      <c r="V757" s="145">
        <v>0</v>
      </c>
      <c r="W757" s="145">
        <v>0</v>
      </c>
      <c r="X757" s="145">
        <f t="shared" si="219"/>
        <v>0</v>
      </c>
      <c r="Y757" s="145">
        <v>0</v>
      </c>
      <c r="Z757" s="145">
        <v>0</v>
      </c>
      <c r="AA757" s="145">
        <v>0</v>
      </c>
      <c r="AB757" s="145">
        <v>0</v>
      </c>
      <c r="AC757" s="145">
        <v>0</v>
      </c>
      <c r="AD757" s="145">
        <v>0</v>
      </c>
      <c r="AE757" s="145">
        <v>0</v>
      </c>
      <c r="AF757" s="145">
        <v>0</v>
      </c>
      <c r="AG757" s="145">
        <v>0</v>
      </c>
      <c r="AH757" s="145">
        <v>0</v>
      </c>
      <c r="AI757" s="145">
        <v>0</v>
      </c>
      <c r="AJ757" s="145">
        <v>0</v>
      </c>
      <c r="AK757" s="145">
        <f t="shared" si="225"/>
        <v>0</v>
      </c>
      <c r="AL757" s="145">
        <v>85000</v>
      </c>
      <c r="AM757" s="145">
        <v>0</v>
      </c>
      <c r="AN757" s="145">
        <v>0</v>
      </c>
      <c r="AO757" s="145">
        <v>0</v>
      </c>
      <c r="AP757" s="145">
        <v>0</v>
      </c>
      <c r="AQ757" s="145">
        <v>0</v>
      </c>
      <c r="AR757" s="145">
        <v>0</v>
      </c>
      <c r="AS757" s="144">
        <f t="shared" si="226"/>
        <v>85000</v>
      </c>
      <c r="AT757" s="144"/>
      <c r="AU757" s="146">
        <f t="shared" si="224"/>
        <v>85000</v>
      </c>
      <c r="AV757" s="146">
        <f>IFERROR(VLOOKUP(J757,Maksājumu_pieprasījumu_iesn.!G:BL,57,0),0)</f>
        <v>0</v>
      </c>
      <c r="AW757" s="139">
        <f t="shared" si="218"/>
        <v>-85000</v>
      </c>
      <c r="AX757" s="147"/>
      <c r="AY757" s="147"/>
      <c r="AZ757" s="147"/>
      <c r="BA757" s="165"/>
      <c r="BB757" s="144"/>
      <c r="BC757" s="144"/>
      <c r="BD757" s="144"/>
      <c r="BE757" s="144"/>
      <c r="BF757" s="144"/>
      <c r="BG757" s="144"/>
      <c r="BH757" s="149"/>
      <c r="BI757" s="149"/>
      <c r="BJ757" s="149"/>
      <c r="BK757" s="149"/>
      <c r="BL757" s="149"/>
      <c r="BM757" s="149"/>
      <c r="BN757" s="149"/>
    </row>
    <row r="758" spans="1:66" ht="51" hidden="1" customHeight="1" x14ac:dyDescent="0.2">
      <c r="A758" s="142" t="s">
        <v>1603</v>
      </c>
      <c r="B758" s="18" t="s">
        <v>138</v>
      </c>
      <c r="C758" s="18" t="s">
        <v>139</v>
      </c>
      <c r="D758" s="19" t="s">
        <v>576</v>
      </c>
      <c r="E758" s="18">
        <v>2</v>
      </c>
      <c r="F758" s="18" t="s">
        <v>35</v>
      </c>
      <c r="G758" s="18" t="s">
        <v>5</v>
      </c>
      <c r="H758" s="18" t="s">
        <v>3</v>
      </c>
      <c r="I758" s="18"/>
      <c r="J758" s="18" t="s">
        <v>780</v>
      </c>
      <c r="K758" s="19" t="s">
        <v>665</v>
      </c>
      <c r="L758" s="275" t="s">
        <v>1605</v>
      </c>
      <c r="M758" s="275" t="s">
        <v>1606</v>
      </c>
      <c r="N758" s="19" t="s">
        <v>812</v>
      </c>
      <c r="O758" s="143"/>
      <c r="P758" s="143"/>
      <c r="Q758" s="143"/>
      <c r="R758" s="172" t="s">
        <v>1881</v>
      </c>
      <c r="S758" s="144">
        <v>3574859.11</v>
      </c>
      <c r="T758" s="144">
        <v>0</v>
      </c>
      <c r="U758" s="145">
        <v>0</v>
      </c>
      <c r="V758" s="145">
        <v>0</v>
      </c>
      <c r="W758" s="145">
        <v>0</v>
      </c>
      <c r="X758" s="145">
        <f t="shared" si="219"/>
        <v>0</v>
      </c>
      <c r="Y758" s="145">
        <v>0</v>
      </c>
      <c r="Z758" s="145">
        <v>0</v>
      </c>
      <c r="AA758" s="145">
        <v>0</v>
      </c>
      <c r="AB758" s="145">
        <v>0</v>
      </c>
      <c r="AC758" s="145">
        <v>0</v>
      </c>
      <c r="AD758" s="145">
        <v>0</v>
      </c>
      <c r="AE758" s="145">
        <v>0</v>
      </c>
      <c r="AF758" s="145">
        <v>0</v>
      </c>
      <c r="AG758" s="145">
        <v>0</v>
      </c>
      <c r="AH758" s="145">
        <v>0</v>
      </c>
      <c r="AI758" s="145">
        <v>0</v>
      </c>
      <c r="AJ758" s="145">
        <v>0</v>
      </c>
      <c r="AK758" s="145">
        <f t="shared" si="225"/>
        <v>0</v>
      </c>
      <c r="AL758" s="145">
        <v>2502401.37</v>
      </c>
      <c r="AM758" s="145">
        <v>714971.83</v>
      </c>
      <c r="AN758" s="145">
        <v>357485.91</v>
      </c>
      <c r="AO758" s="145">
        <v>0</v>
      </c>
      <c r="AP758" s="145">
        <v>0</v>
      </c>
      <c r="AQ758" s="145">
        <v>0</v>
      </c>
      <c r="AR758" s="145">
        <v>0</v>
      </c>
      <c r="AS758" s="144">
        <f t="shared" si="226"/>
        <v>3574859.1100000003</v>
      </c>
      <c r="AT758" s="144">
        <v>0</v>
      </c>
      <c r="AU758" s="146">
        <f t="shared" si="224"/>
        <v>3574859.1100000003</v>
      </c>
      <c r="AV758" s="146">
        <f>IFERROR(VLOOKUP(J758,Maksājumu_pieprasījumu_iesn.!G:BL,57,0),0)</f>
        <v>0</v>
      </c>
      <c r="AW758" s="139">
        <f t="shared" si="218"/>
        <v>-3574859.1100000003</v>
      </c>
      <c r="AX758" s="147"/>
      <c r="AY758" s="147"/>
      <c r="AZ758" s="147"/>
      <c r="BA758" s="165"/>
      <c r="BB758" s="144"/>
      <c r="BC758" s="144"/>
      <c r="BD758" s="144"/>
      <c r="BE758" s="144"/>
      <c r="BF758" s="144"/>
      <c r="BG758" s="144"/>
      <c r="BH758" s="149"/>
      <c r="BI758" s="149"/>
      <c r="BJ758" s="149"/>
      <c r="BK758" s="149"/>
      <c r="BL758" s="149"/>
      <c r="BM758" s="149"/>
      <c r="BN758" s="149"/>
    </row>
    <row r="759" spans="1:66" ht="76.5" hidden="1" customHeight="1" x14ac:dyDescent="0.2">
      <c r="A759" s="310" t="s">
        <v>1603</v>
      </c>
      <c r="B759" s="238" t="s">
        <v>138</v>
      </c>
      <c r="C759" s="238" t="s">
        <v>139</v>
      </c>
      <c r="D759" s="239" t="s">
        <v>576</v>
      </c>
      <c r="E759" s="238">
        <v>2</v>
      </c>
      <c r="F759" s="238" t="s">
        <v>35</v>
      </c>
      <c r="G759" s="238" t="s">
        <v>5</v>
      </c>
      <c r="H759" s="238" t="s">
        <v>3</v>
      </c>
      <c r="I759" s="238"/>
      <c r="J759" s="238"/>
      <c r="K759" s="239" t="s">
        <v>665</v>
      </c>
      <c r="L759" s="275" t="s">
        <v>1605</v>
      </c>
      <c r="M759" s="275" t="s">
        <v>1606</v>
      </c>
      <c r="N759" s="239" t="s">
        <v>1882</v>
      </c>
      <c r="O759" s="311">
        <v>43373</v>
      </c>
      <c r="P759" s="311"/>
      <c r="Q759" s="311"/>
      <c r="R759" s="311"/>
      <c r="S759" s="194">
        <v>0</v>
      </c>
      <c r="T759" s="194">
        <v>0</v>
      </c>
      <c r="U759" s="244">
        <v>0</v>
      </c>
      <c r="V759" s="244">
        <v>0</v>
      </c>
      <c r="W759" s="244">
        <v>0</v>
      </c>
      <c r="X759" s="244">
        <f t="shared" si="219"/>
        <v>0</v>
      </c>
      <c r="Y759" s="244">
        <v>0</v>
      </c>
      <c r="Z759" s="244">
        <v>0</v>
      </c>
      <c r="AA759" s="244">
        <v>0</v>
      </c>
      <c r="AB759" s="244">
        <v>0</v>
      </c>
      <c r="AC759" s="244">
        <v>0</v>
      </c>
      <c r="AD759" s="244">
        <v>0</v>
      </c>
      <c r="AE759" s="244">
        <v>0</v>
      </c>
      <c r="AF759" s="244">
        <v>0</v>
      </c>
      <c r="AG759" s="244">
        <v>0</v>
      </c>
      <c r="AH759" s="244">
        <v>0</v>
      </c>
      <c r="AI759" s="244">
        <v>0</v>
      </c>
      <c r="AJ759" s="244">
        <v>0</v>
      </c>
      <c r="AK759" s="244">
        <f t="shared" si="225"/>
        <v>0</v>
      </c>
      <c r="AL759" s="244">
        <v>0</v>
      </c>
      <c r="AM759" s="244">
        <v>618679</v>
      </c>
      <c r="AN759" s="244">
        <v>154669.79999999999</v>
      </c>
      <c r="AO759" s="244">
        <v>0</v>
      </c>
      <c r="AP759" s="244">
        <v>0</v>
      </c>
      <c r="AQ759" s="244">
        <v>0</v>
      </c>
      <c r="AR759" s="244">
        <v>0</v>
      </c>
      <c r="AS759" s="194">
        <f t="shared" si="226"/>
        <v>773348.8</v>
      </c>
      <c r="AT759" s="194"/>
      <c r="AU759" s="146">
        <f t="shared" si="224"/>
        <v>773348.8</v>
      </c>
      <c r="AV759" s="146">
        <f>IFERROR(VLOOKUP(J759,Maksājumu_pieprasījumu_iesn.!G:BL,57,0),0)</f>
        <v>0</v>
      </c>
      <c r="AW759" s="139">
        <f t="shared" si="218"/>
        <v>-773348.8</v>
      </c>
      <c r="AX759" s="194"/>
      <c r="AY759" s="194"/>
      <c r="AZ759" s="194"/>
      <c r="BA759" s="312"/>
      <c r="BB759" s="194"/>
      <c r="BC759" s="194"/>
      <c r="BD759" s="194"/>
      <c r="BE759" s="194"/>
      <c r="BF759" s="194"/>
      <c r="BG759" s="194"/>
      <c r="BH759" s="313"/>
      <c r="BI759" s="313"/>
      <c r="BJ759" s="313"/>
      <c r="BK759" s="313"/>
      <c r="BL759" s="313"/>
      <c r="BM759" s="313"/>
      <c r="BN759" s="313"/>
    </row>
    <row r="760" spans="1:66" ht="76.5" hidden="1" customHeight="1" x14ac:dyDescent="0.2">
      <c r="A760" s="305" t="s">
        <v>1603</v>
      </c>
      <c r="B760" s="250" t="s">
        <v>138</v>
      </c>
      <c r="C760" s="250" t="s">
        <v>139</v>
      </c>
      <c r="D760" s="251" t="s">
        <v>576</v>
      </c>
      <c r="E760" s="250">
        <v>2</v>
      </c>
      <c r="F760" s="250" t="s">
        <v>35</v>
      </c>
      <c r="G760" s="250" t="s">
        <v>5</v>
      </c>
      <c r="H760" s="250" t="s">
        <v>3</v>
      </c>
      <c r="I760" s="250"/>
      <c r="J760" s="250"/>
      <c r="K760" s="251" t="s">
        <v>665</v>
      </c>
      <c r="L760" s="275" t="s">
        <v>1605</v>
      </c>
      <c r="M760" s="275" t="s">
        <v>1606</v>
      </c>
      <c r="N760" s="251" t="s">
        <v>1883</v>
      </c>
      <c r="O760" s="306"/>
      <c r="P760" s="306"/>
      <c r="Q760" s="306"/>
      <c r="R760" s="306"/>
      <c r="S760" s="307">
        <v>872766.89000000013</v>
      </c>
      <c r="T760" s="307">
        <v>271284.0184450536</v>
      </c>
      <c r="U760" s="258">
        <v>0</v>
      </c>
      <c r="V760" s="258"/>
      <c r="W760" s="258"/>
      <c r="X760" s="258">
        <f t="shared" si="219"/>
        <v>0</v>
      </c>
      <c r="Y760" s="258"/>
      <c r="Z760" s="258"/>
      <c r="AA760" s="258"/>
      <c r="AB760" s="258"/>
      <c r="AC760" s="258"/>
      <c r="AD760" s="258"/>
      <c r="AE760" s="258"/>
      <c r="AF760" s="258"/>
      <c r="AG760" s="258"/>
      <c r="AH760" s="258"/>
      <c r="AI760" s="258"/>
      <c r="AJ760" s="258"/>
      <c r="AK760" s="258"/>
      <c r="AL760" s="258"/>
      <c r="AM760" s="258"/>
      <c r="AN760" s="258"/>
      <c r="AO760" s="258"/>
      <c r="AP760" s="258"/>
      <c r="AQ760" s="258"/>
      <c r="AR760" s="258"/>
      <c r="AS760" s="307"/>
      <c r="AT760" s="307"/>
      <c r="AU760" s="146">
        <f t="shared" si="224"/>
        <v>0</v>
      </c>
      <c r="AV760" s="146">
        <f>IFERROR(VLOOKUP(J760,Maksājumu_pieprasījumu_iesn.!G:BL,57,0),0)</f>
        <v>0</v>
      </c>
      <c r="AW760" s="139">
        <f t="shared" si="218"/>
        <v>0</v>
      </c>
      <c r="AX760" s="307"/>
      <c r="AY760" s="307"/>
      <c r="AZ760" s="308" t="s">
        <v>1843</v>
      </c>
      <c r="BA760" s="308" t="s">
        <v>1843</v>
      </c>
      <c r="BB760" s="307"/>
      <c r="BC760" s="307"/>
      <c r="BD760" s="307"/>
      <c r="BE760" s="307"/>
      <c r="BF760" s="307"/>
      <c r="BG760" s="307"/>
      <c r="BH760" s="308"/>
      <c r="BI760" s="308"/>
      <c r="BJ760" s="308"/>
      <c r="BK760" s="308"/>
      <c r="BL760" s="308"/>
      <c r="BM760" s="308"/>
      <c r="BN760" s="308"/>
    </row>
    <row r="761" spans="1:66" ht="38.25" hidden="1" customHeight="1" x14ac:dyDescent="0.2">
      <c r="A761" s="142" t="s">
        <v>1603</v>
      </c>
      <c r="B761" s="18" t="s">
        <v>138</v>
      </c>
      <c r="C761" s="18" t="s">
        <v>139</v>
      </c>
      <c r="D761" s="19" t="s">
        <v>576</v>
      </c>
      <c r="E761" s="18">
        <v>2</v>
      </c>
      <c r="F761" s="18" t="s">
        <v>35</v>
      </c>
      <c r="G761" s="18" t="s">
        <v>5</v>
      </c>
      <c r="H761" s="18" t="s">
        <v>3</v>
      </c>
      <c r="I761" s="18"/>
      <c r="J761" s="18"/>
      <c r="K761" s="19" t="s">
        <v>143</v>
      </c>
      <c r="L761" s="275" t="s">
        <v>1605</v>
      </c>
      <c r="M761" s="275" t="s">
        <v>1606</v>
      </c>
      <c r="N761" s="19" t="s">
        <v>1884</v>
      </c>
      <c r="O761" s="143">
        <v>43646</v>
      </c>
      <c r="P761" s="143"/>
      <c r="Q761" s="143"/>
      <c r="R761" s="144"/>
      <c r="S761" s="144">
        <v>4767626</v>
      </c>
      <c r="T761" s="144">
        <v>290802.49547131802</v>
      </c>
      <c r="U761" s="145">
        <v>0</v>
      </c>
      <c r="V761" s="145">
        <v>0</v>
      </c>
      <c r="W761" s="145">
        <v>0</v>
      </c>
      <c r="X761" s="145">
        <f t="shared" si="219"/>
        <v>0</v>
      </c>
      <c r="Y761" s="145">
        <v>0</v>
      </c>
      <c r="Z761" s="145">
        <v>0</v>
      </c>
      <c r="AA761" s="145">
        <v>0</v>
      </c>
      <c r="AB761" s="145">
        <v>0</v>
      </c>
      <c r="AC761" s="145">
        <v>0</v>
      </c>
      <c r="AD761" s="145">
        <v>0</v>
      </c>
      <c r="AE761" s="145">
        <v>0</v>
      </c>
      <c r="AF761" s="145">
        <v>0</v>
      </c>
      <c r="AG761" s="145">
        <v>0</v>
      </c>
      <c r="AH761" s="145">
        <v>0</v>
      </c>
      <c r="AI761" s="145">
        <v>0</v>
      </c>
      <c r="AJ761" s="145">
        <v>0</v>
      </c>
      <c r="AK761" s="145">
        <f t="shared" ref="AK761:AK782" si="227">SUM(Y761:AJ761)</f>
        <v>0</v>
      </c>
      <c r="AL761" s="145">
        <v>0</v>
      </c>
      <c r="AM761" s="145">
        <v>765000</v>
      </c>
      <c r="AN761" s="145">
        <v>0</v>
      </c>
      <c r="AO761" s="145">
        <v>0</v>
      </c>
      <c r="AP761" s="145">
        <v>0</v>
      </c>
      <c r="AQ761" s="145">
        <v>0</v>
      </c>
      <c r="AR761" s="145">
        <v>0</v>
      </c>
      <c r="AS761" s="144">
        <f t="shared" ref="AS761:AS782" si="228">U761+V761+W761+AK761+AL761+AM761+AN761+AO761+AP761+AQ761+AR761</f>
        <v>765000</v>
      </c>
      <c r="AT761" s="144"/>
      <c r="AU761" s="146">
        <f t="shared" si="224"/>
        <v>765000</v>
      </c>
      <c r="AV761" s="146">
        <f>IFERROR(VLOOKUP(J761,Maksājumu_pieprasījumu_iesn.!G:BL,57,0),0)</f>
        <v>0</v>
      </c>
      <c r="AW761" s="139">
        <f t="shared" si="218"/>
        <v>-765000</v>
      </c>
      <c r="AX761" s="147"/>
      <c r="AY761" s="147"/>
      <c r="AZ761" s="147"/>
      <c r="BA761" s="165"/>
      <c r="BB761" s="144"/>
      <c r="BC761" s="144"/>
      <c r="BD761" s="144"/>
      <c r="BE761" s="144"/>
      <c r="BF761" s="144"/>
      <c r="BG761" s="144"/>
      <c r="BH761" s="149"/>
      <c r="BI761" s="149"/>
      <c r="BJ761" s="149"/>
      <c r="BK761" s="149"/>
      <c r="BL761" s="149"/>
      <c r="BM761" s="149"/>
      <c r="BN761" s="149"/>
    </row>
    <row r="762" spans="1:66" ht="25.5" hidden="1" customHeight="1" x14ac:dyDescent="0.2">
      <c r="A762" s="142" t="s">
        <v>1603</v>
      </c>
      <c r="B762" s="18" t="s">
        <v>138</v>
      </c>
      <c r="C762" s="18" t="s">
        <v>139</v>
      </c>
      <c r="D762" s="19" t="s">
        <v>576</v>
      </c>
      <c r="E762" s="18">
        <v>2</v>
      </c>
      <c r="F762" s="18" t="s">
        <v>35</v>
      </c>
      <c r="G762" s="18" t="s">
        <v>5</v>
      </c>
      <c r="H762" s="18" t="s">
        <v>3</v>
      </c>
      <c r="I762" s="18"/>
      <c r="J762" s="18"/>
      <c r="K762" s="19" t="s">
        <v>143</v>
      </c>
      <c r="L762" s="275" t="s">
        <v>1605</v>
      </c>
      <c r="M762" s="275" t="s">
        <v>1606</v>
      </c>
      <c r="N762" s="19" t="s">
        <v>1885</v>
      </c>
      <c r="O762" s="143">
        <v>43465</v>
      </c>
      <c r="P762" s="143"/>
      <c r="Q762" s="143"/>
      <c r="R762" s="144"/>
      <c r="S762" s="144">
        <v>0</v>
      </c>
      <c r="T762" s="144">
        <v>0</v>
      </c>
      <c r="U762" s="145">
        <v>0</v>
      </c>
      <c r="V762" s="145">
        <v>0</v>
      </c>
      <c r="W762" s="145">
        <v>0</v>
      </c>
      <c r="X762" s="145">
        <f t="shared" si="219"/>
        <v>0</v>
      </c>
      <c r="Y762" s="145">
        <v>0</v>
      </c>
      <c r="Z762" s="145">
        <v>0</v>
      </c>
      <c r="AA762" s="145">
        <v>0</v>
      </c>
      <c r="AB762" s="145">
        <v>0</v>
      </c>
      <c r="AC762" s="145">
        <v>0</v>
      </c>
      <c r="AD762" s="145">
        <v>0</v>
      </c>
      <c r="AE762" s="145">
        <v>0</v>
      </c>
      <c r="AF762" s="145">
        <v>0</v>
      </c>
      <c r="AG762" s="145">
        <v>0</v>
      </c>
      <c r="AH762" s="145">
        <v>0</v>
      </c>
      <c r="AI762" s="145">
        <v>0</v>
      </c>
      <c r="AJ762" s="145">
        <v>0</v>
      </c>
      <c r="AK762" s="145">
        <f t="shared" si="227"/>
        <v>0</v>
      </c>
      <c r="AL762" s="145">
        <v>0</v>
      </c>
      <c r="AM762" s="145">
        <v>1800000</v>
      </c>
      <c r="AN762" s="145">
        <v>1911823.504528682</v>
      </c>
      <c r="AO762" s="145">
        <v>0</v>
      </c>
      <c r="AP762" s="145">
        <v>0</v>
      </c>
      <c r="AQ762" s="145">
        <v>0</v>
      </c>
      <c r="AR762" s="145">
        <v>0</v>
      </c>
      <c r="AS762" s="144">
        <f t="shared" si="228"/>
        <v>3711823.5045286817</v>
      </c>
      <c r="AT762" s="144"/>
      <c r="AU762" s="146">
        <f t="shared" si="224"/>
        <v>3711823.5045286817</v>
      </c>
      <c r="AV762" s="146">
        <f>IFERROR(VLOOKUP(J762,Maksājumu_pieprasījumu_iesn.!G:BL,57,0),0)</f>
        <v>0</v>
      </c>
      <c r="AW762" s="139">
        <f t="shared" si="218"/>
        <v>-3711823.5045286817</v>
      </c>
      <c r="AX762" s="147"/>
      <c r="AY762" s="147" t="s">
        <v>1085</v>
      </c>
      <c r="AZ762" s="147"/>
      <c r="BA762" s="165" t="s">
        <v>1086</v>
      </c>
      <c r="BB762" s="144"/>
      <c r="BC762" s="144"/>
      <c r="BD762" s="144"/>
      <c r="BE762" s="144"/>
      <c r="BF762" s="144"/>
      <c r="BG762" s="144"/>
      <c r="BH762" s="149"/>
      <c r="BI762" s="149"/>
      <c r="BJ762" s="149"/>
      <c r="BK762" s="149"/>
      <c r="BL762" s="149"/>
      <c r="BM762" s="149"/>
      <c r="BN762" s="149"/>
    </row>
    <row r="763" spans="1:66" ht="38.25" hidden="1" customHeight="1" x14ac:dyDescent="0.2">
      <c r="A763" s="142" t="s">
        <v>1603</v>
      </c>
      <c r="B763" s="18" t="s">
        <v>138</v>
      </c>
      <c r="C763" s="18" t="s">
        <v>139</v>
      </c>
      <c r="D763" s="19" t="s">
        <v>576</v>
      </c>
      <c r="E763" s="18">
        <v>2</v>
      </c>
      <c r="F763" s="18" t="s">
        <v>35</v>
      </c>
      <c r="G763" s="18" t="s">
        <v>5</v>
      </c>
      <c r="H763" s="18" t="s">
        <v>3</v>
      </c>
      <c r="I763" s="18"/>
      <c r="J763" s="18" t="s">
        <v>1886</v>
      </c>
      <c r="K763" s="19" t="s">
        <v>1232</v>
      </c>
      <c r="L763" s="275" t="s">
        <v>1605</v>
      </c>
      <c r="M763" s="275" t="s">
        <v>1606</v>
      </c>
      <c r="N763" s="19" t="s">
        <v>1887</v>
      </c>
      <c r="O763" s="143"/>
      <c r="P763" s="143"/>
      <c r="Q763" s="143"/>
      <c r="R763" s="172" t="s">
        <v>1224</v>
      </c>
      <c r="S763" s="144">
        <v>4847417</v>
      </c>
      <c r="T763" s="144">
        <v>295669.36672257702</v>
      </c>
      <c r="U763" s="145">
        <v>0</v>
      </c>
      <c r="V763" s="145">
        <v>0</v>
      </c>
      <c r="W763" s="145">
        <v>0</v>
      </c>
      <c r="X763" s="145">
        <f t="shared" si="219"/>
        <v>0</v>
      </c>
      <c r="Y763" s="145">
        <v>0</v>
      </c>
      <c r="Z763" s="145">
        <v>0</v>
      </c>
      <c r="AA763" s="145">
        <v>0</v>
      </c>
      <c r="AB763" s="145">
        <v>0</v>
      </c>
      <c r="AC763" s="145">
        <v>0</v>
      </c>
      <c r="AD763" s="145">
        <v>0</v>
      </c>
      <c r="AE763" s="145">
        <v>0</v>
      </c>
      <c r="AF763" s="145">
        <v>0</v>
      </c>
      <c r="AG763" s="145">
        <v>0</v>
      </c>
      <c r="AH763" s="145">
        <v>0</v>
      </c>
      <c r="AI763" s="145">
        <v>0</v>
      </c>
      <c r="AJ763" s="145">
        <v>0</v>
      </c>
      <c r="AK763" s="145">
        <f t="shared" si="227"/>
        <v>0</v>
      </c>
      <c r="AL763" s="145">
        <v>1058269.0900000001</v>
      </c>
      <c r="AM763" s="145">
        <v>0</v>
      </c>
      <c r="AN763" s="145">
        <v>0</v>
      </c>
      <c r="AO763" s="145">
        <v>0</v>
      </c>
      <c r="AP763" s="145">
        <v>0</v>
      </c>
      <c r="AQ763" s="145">
        <v>0</v>
      </c>
      <c r="AR763" s="145">
        <v>0</v>
      </c>
      <c r="AS763" s="144">
        <f t="shared" si="228"/>
        <v>1058269.0900000001</v>
      </c>
      <c r="AT763" s="144">
        <v>0</v>
      </c>
      <c r="AU763" s="146">
        <f t="shared" si="224"/>
        <v>1058269.0900000001</v>
      </c>
      <c r="AV763" s="146">
        <f>IFERROR(VLOOKUP(J763,Maksājumu_pieprasījumu_iesn.!G:BL,57,0),0)</f>
        <v>0</v>
      </c>
      <c r="AW763" s="139">
        <f t="shared" si="218"/>
        <v>-1058269.0900000001</v>
      </c>
      <c r="AX763" s="147"/>
      <c r="AY763" s="147"/>
      <c r="AZ763" s="147"/>
      <c r="BA763" s="165"/>
      <c r="BB763" s="144"/>
      <c r="BC763" s="144"/>
      <c r="BD763" s="144"/>
      <c r="BE763" s="144"/>
      <c r="BF763" s="144"/>
      <c r="BG763" s="144"/>
      <c r="BH763" s="149"/>
      <c r="BI763" s="149"/>
      <c r="BJ763" s="149"/>
      <c r="BK763" s="149"/>
      <c r="BL763" s="149"/>
      <c r="BM763" s="149"/>
      <c r="BN763" s="149"/>
    </row>
    <row r="764" spans="1:66" ht="38.25" hidden="1" customHeight="1" x14ac:dyDescent="0.2">
      <c r="A764" s="142" t="s">
        <v>1603</v>
      </c>
      <c r="B764" s="18" t="s">
        <v>138</v>
      </c>
      <c r="C764" s="18" t="s">
        <v>139</v>
      </c>
      <c r="D764" s="19" t="s">
        <v>576</v>
      </c>
      <c r="E764" s="18">
        <v>2</v>
      </c>
      <c r="F764" s="18" t="s">
        <v>35</v>
      </c>
      <c r="G764" s="18" t="s">
        <v>5</v>
      </c>
      <c r="H764" s="18" t="s">
        <v>3</v>
      </c>
      <c r="I764" s="18"/>
      <c r="J764" s="18" t="s">
        <v>1888</v>
      </c>
      <c r="K764" s="19" t="s">
        <v>1232</v>
      </c>
      <c r="L764" s="275" t="s">
        <v>1605</v>
      </c>
      <c r="M764" s="275" t="s">
        <v>1606</v>
      </c>
      <c r="N764" s="19" t="s">
        <v>1889</v>
      </c>
      <c r="O764" s="143"/>
      <c r="P764" s="143"/>
      <c r="Q764" s="143"/>
      <c r="R764" s="172" t="s">
        <v>1224</v>
      </c>
      <c r="S764" s="144">
        <v>0</v>
      </c>
      <c r="T764" s="144">
        <v>0</v>
      </c>
      <c r="U764" s="145">
        <v>0</v>
      </c>
      <c r="V764" s="145">
        <v>0</v>
      </c>
      <c r="W764" s="145">
        <v>0</v>
      </c>
      <c r="X764" s="145">
        <f t="shared" si="219"/>
        <v>0</v>
      </c>
      <c r="Y764" s="145">
        <v>0</v>
      </c>
      <c r="Z764" s="145">
        <v>0</v>
      </c>
      <c r="AA764" s="145">
        <v>0</v>
      </c>
      <c r="AB764" s="145">
        <v>0</v>
      </c>
      <c r="AC764" s="145">
        <v>0</v>
      </c>
      <c r="AD764" s="145">
        <v>0</v>
      </c>
      <c r="AE764" s="145">
        <v>0</v>
      </c>
      <c r="AF764" s="145">
        <v>0</v>
      </c>
      <c r="AG764" s="145">
        <v>0</v>
      </c>
      <c r="AH764" s="145">
        <v>0</v>
      </c>
      <c r="AI764" s="145">
        <v>0</v>
      </c>
      <c r="AJ764" s="145">
        <v>0</v>
      </c>
      <c r="AK764" s="145">
        <f t="shared" si="227"/>
        <v>0</v>
      </c>
      <c r="AL764" s="145">
        <v>377747.38</v>
      </c>
      <c r="AM764" s="145">
        <v>0</v>
      </c>
      <c r="AN764" s="145">
        <v>0</v>
      </c>
      <c r="AO764" s="145">
        <v>0</v>
      </c>
      <c r="AP764" s="145">
        <v>0</v>
      </c>
      <c r="AQ764" s="145">
        <v>0</v>
      </c>
      <c r="AR764" s="145">
        <v>0</v>
      </c>
      <c r="AS764" s="144">
        <f t="shared" si="228"/>
        <v>377747.38</v>
      </c>
      <c r="AT764" s="144">
        <v>0</v>
      </c>
      <c r="AU764" s="146">
        <f t="shared" si="224"/>
        <v>377747.38</v>
      </c>
      <c r="AV764" s="146">
        <f>IFERROR(VLOOKUP(J764,Maksājumu_pieprasījumu_iesn.!G:BL,57,0),0)</f>
        <v>0</v>
      </c>
      <c r="AW764" s="139">
        <f t="shared" si="218"/>
        <v>-377747.38</v>
      </c>
      <c r="AX764" s="147"/>
      <c r="AY764" s="147"/>
      <c r="AZ764" s="147"/>
      <c r="BA764" s="165"/>
      <c r="BB764" s="144"/>
      <c r="BC764" s="144"/>
      <c r="BD764" s="144"/>
      <c r="BE764" s="144"/>
      <c r="BF764" s="144"/>
      <c r="BG764" s="144"/>
      <c r="BH764" s="149"/>
      <c r="BI764" s="149"/>
      <c r="BJ764" s="149"/>
      <c r="BK764" s="149"/>
      <c r="BL764" s="149"/>
      <c r="BM764" s="149"/>
      <c r="BN764" s="149"/>
    </row>
    <row r="765" spans="1:66" ht="25.5" hidden="1" customHeight="1" x14ac:dyDescent="0.2">
      <c r="A765" s="142" t="s">
        <v>1603</v>
      </c>
      <c r="B765" s="18" t="s">
        <v>138</v>
      </c>
      <c r="C765" s="18" t="s">
        <v>139</v>
      </c>
      <c r="D765" s="19" t="s">
        <v>576</v>
      </c>
      <c r="E765" s="18">
        <v>2</v>
      </c>
      <c r="F765" s="18" t="s">
        <v>35</v>
      </c>
      <c r="G765" s="18" t="s">
        <v>5</v>
      </c>
      <c r="H765" s="18" t="s">
        <v>3</v>
      </c>
      <c r="I765" s="18"/>
      <c r="J765" s="18"/>
      <c r="K765" s="19" t="s">
        <v>1232</v>
      </c>
      <c r="L765" s="275" t="s">
        <v>1605</v>
      </c>
      <c r="M765" s="275" t="s">
        <v>1606</v>
      </c>
      <c r="N765" s="19" t="s">
        <v>1890</v>
      </c>
      <c r="O765" s="143">
        <v>43039</v>
      </c>
      <c r="P765" s="143"/>
      <c r="Q765" s="143"/>
      <c r="R765" s="144"/>
      <c r="S765" s="144">
        <v>0</v>
      </c>
      <c r="T765" s="144">
        <v>0</v>
      </c>
      <c r="U765" s="145">
        <v>0</v>
      </c>
      <c r="V765" s="145">
        <v>0</v>
      </c>
      <c r="W765" s="145">
        <v>0</v>
      </c>
      <c r="X765" s="145">
        <f t="shared" si="219"/>
        <v>0</v>
      </c>
      <c r="Y765" s="145">
        <v>0</v>
      </c>
      <c r="Z765" s="145">
        <v>0</v>
      </c>
      <c r="AA765" s="145">
        <v>0</v>
      </c>
      <c r="AB765" s="145">
        <v>0</v>
      </c>
      <c r="AC765" s="145">
        <v>0</v>
      </c>
      <c r="AD765" s="145">
        <v>0</v>
      </c>
      <c r="AE765" s="145">
        <v>0</v>
      </c>
      <c r="AF765" s="145">
        <v>0</v>
      </c>
      <c r="AG765" s="145">
        <v>0</v>
      </c>
      <c r="AH765" s="145">
        <v>0</v>
      </c>
      <c r="AI765" s="145">
        <v>0</v>
      </c>
      <c r="AJ765" s="145">
        <v>0</v>
      </c>
      <c r="AK765" s="145">
        <f t="shared" si="227"/>
        <v>0</v>
      </c>
      <c r="AL765" s="145">
        <v>674000</v>
      </c>
      <c r="AM765" s="145">
        <v>674000</v>
      </c>
      <c r="AN765" s="145">
        <v>0</v>
      </c>
      <c r="AO765" s="145">
        <v>0</v>
      </c>
      <c r="AP765" s="145">
        <v>0</v>
      </c>
      <c r="AQ765" s="145">
        <v>0</v>
      </c>
      <c r="AR765" s="145">
        <v>0</v>
      </c>
      <c r="AS765" s="144">
        <f t="shared" si="228"/>
        <v>1348000</v>
      </c>
      <c r="AT765" s="144"/>
      <c r="AU765" s="146">
        <f t="shared" si="224"/>
        <v>1348000</v>
      </c>
      <c r="AV765" s="146">
        <f>IFERROR(VLOOKUP(J765,Maksājumu_pieprasījumu_iesn.!G:BL,57,0),0)</f>
        <v>0</v>
      </c>
      <c r="AW765" s="139">
        <f t="shared" si="218"/>
        <v>-1348000</v>
      </c>
      <c r="AX765" s="147"/>
      <c r="AY765" s="147"/>
      <c r="AZ765" s="147"/>
      <c r="BA765" s="165"/>
      <c r="BB765" s="144"/>
      <c r="BC765" s="144"/>
      <c r="BD765" s="144"/>
      <c r="BE765" s="144"/>
      <c r="BF765" s="144"/>
      <c r="BG765" s="144"/>
      <c r="BH765" s="149"/>
      <c r="BI765" s="149"/>
      <c r="BJ765" s="149"/>
      <c r="BK765" s="149"/>
      <c r="BL765" s="149"/>
      <c r="BM765" s="149"/>
      <c r="BN765" s="149"/>
    </row>
    <row r="766" spans="1:66" ht="51" hidden="1" customHeight="1" x14ac:dyDescent="0.2">
      <c r="A766" s="142" t="s">
        <v>1603</v>
      </c>
      <c r="B766" s="18" t="s">
        <v>138</v>
      </c>
      <c r="C766" s="18" t="s">
        <v>139</v>
      </c>
      <c r="D766" s="19" t="s">
        <v>576</v>
      </c>
      <c r="E766" s="18">
        <v>2</v>
      </c>
      <c r="F766" s="18" t="s">
        <v>35</v>
      </c>
      <c r="G766" s="18" t="s">
        <v>5</v>
      </c>
      <c r="H766" s="18" t="s">
        <v>3</v>
      </c>
      <c r="I766" s="18"/>
      <c r="J766" s="18"/>
      <c r="K766" s="19" t="s">
        <v>1232</v>
      </c>
      <c r="L766" s="275" t="s">
        <v>1605</v>
      </c>
      <c r="M766" s="275" t="s">
        <v>1606</v>
      </c>
      <c r="N766" s="19" t="s">
        <v>1891</v>
      </c>
      <c r="O766" s="143">
        <v>43100</v>
      </c>
      <c r="P766" s="143"/>
      <c r="Q766" s="143"/>
      <c r="R766" s="144"/>
      <c r="S766" s="144">
        <v>0</v>
      </c>
      <c r="T766" s="144">
        <v>0</v>
      </c>
      <c r="U766" s="145">
        <v>0</v>
      </c>
      <c r="V766" s="145">
        <v>0</v>
      </c>
      <c r="W766" s="145">
        <v>0</v>
      </c>
      <c r="X766" s="145">
        <f t="shared" si="219"/>
        <v>0</v>
      </c>
      <c r="Y766" s="145">
        <v>0</v>
      </c>
      <c r="Z766" s="145">
        <v>0</v>
      </c>
      <c r="AA766" s="145">
        <v>0</v>
      </c>
      <c r="AB766" s="145">
        <v>0</v>
      </c>
      <c r="AC766" s="145">
        <v>0</v>
      </c>
      <c r="AD766" s="145">
        <v>0</v>
      </c>
      <c r="AE766" s="145">
        <v>0</v>
      </c>
      <c r="AF766" s="145">
        <v>0</v>
      </c>
      <c r="AG766" s="145">
        <v>0</v>
      </c>
      <c r="AH766" s="145">
        <v>0</v>
      </c>
      <c r="AI766" s="145">
        <v>0</v>
      </c>
      <c r="AJ766" s="145">
        <v>0</v>
      </c>
      <c r="AK766" s="145">
        <f t="shared" si="227"/>
        <v>0</v>
      </c>
      <c r="AL766" s="145">
        <v>861700</v>
      </c>
      <c r="AM766" s="145">
        <v>566030.63327742298</v>
      </c>
      <c r="AN766" s="145">
        <v>0</v>
      </c>
      <c r="AO766" s="145">
        <v>0</v>
      </c>
      <c r="AP766" s="145">
        <v>0</v>
      </c>
      <c r="AQ766" s="145">
        <v>0</v>
      </c>
      <c r="AR766" s="145">
        <v>0</v>
      </c>
      <c r="AS766" s="144">
        <f t="shared" si="228"/>
        <v>1427730.633277423</v>
      </c>
      <c r="AT766" s="144"/>
      <c r="AU766" s="146">
        <f t="shared" si="224"/>
        <v>1427730.633277423</v>
      </c>
      <c r="AV766" s="146">
        <f>IFERROR(VLOOKUP(J766,Maksājumu_pieprasījumu_iesn.!G:BL,57,0),0)</f>
        <v>0</v>
      </c>
      <c r="AW766" s="139">
        <f t="shared" si="218"/>
        <v>-1427730.633277423</v>
      </c>
      <c r="AX766" s="147"/>
      <c r="AY766" s="147" t="s">
        <v>1085</v>
      </c>
      <c r="AZ766" s="147"/>
      <c r="BA766" s="165" t="s">
        <v>1086</v>
      </c>
      <c r="BB766" s="144"/>
      <c r="BC766" s="144"/>
      <c r="BD766" s="144"/>
      <c r="BE766" s="144"/>
      <c r="BF766" s="144"/>
      <c r="BG766" s="144"/>
      <c r="BH766" s="149"/>
      <c r="BI766" s="149"/>
      <c r="BJ766" s="149"/>
      <c r="BK766" s="149"/>
      <c r="BL766" s="149"/>
      <c r="BM766" s="149"/>
      <c r="BN766" s="149"/>
    </row>
    <row r="767" spans="1:66" ht="25.5" hidden="1" customHeight="1" x14ac:dyDescent="0.2">
      <c r="A767" s="142" t="s">
        <v>1603</v>
      </c>
      <c r="B767" s="18" t="s">
        <v>138</v>
      </c>
      <c r="C767" s="18" t="s">
        <v>139</v>
      </c>
      <c r="D767" s="19" t="s">
        <v>576</v>
      </c>
      <c r="E767" s="18">
        <v>2</v>
      </c>
      <c r="F767" s="18" t="s">
        <v>35</v>
      </c>
      <c r="G767" s="18" t="s">
        <v>5</v>
      </c>
      <c r="H767" s="18" t="s">
        <v>3</v>
      </c>
      <c r="I767" s="18"/>
      <c r="J767" s="18"/>
      <c r="K767" s="19" t="s">
        <v>1232</v>
      </c>
      <c r="L767" s="275" t="s">
        <v>1605</v>
      </c>
      <c r="M767" s="275" t="s">
        <v>1606</v>
      </c>
      <c r="N767" s="19" t="s">
        <v>1892</v>
      </c>
      <c r="O767" s="143">
        <v>43281</v>
      </c>
      <c r="P767" s="143"/>
      <c r="Q767" s="143"/>
      <c r="R767" s="144"/>
      <c r="S767" s="144">
        <v>0</v>
      </c>
      <c r="T767" s="144">
        <v>0</v>
      </c>
      <c r="U767" s="145">
        <v>0</v>
      </c>
      <c r="V767" s="145">
        <v>0</v>
      </c>
      <c r="W767" s="145">
        <v>0</v>
      </c>
      <c r="X767" s="145">
        <f t="shared" si="219"/>
        <v>0</v>
      </c>
      <c r="Y767" s="145">
        <v>0</v>
      </c>
      <c r="Z767" s="145">
        <v>0</v>
      </c>
      <c r="AA767" s="145">
        <v>0</v>
      </c>
      <c r="AB767" s="145">
        <v>0</v>
      </c>
      <c r="AC767" s="145">
        <v>0</v>
      </c>
      <c r="AD767" s="145">
        <v>0</v>
      </c>
      <c r="AE767" s="145">
        <v>0</v>
      </c>
      <c r="AF767" s="145">
        <v>0</v>
      </c>
      <c r="AG767" s="145">
        <v>0</v>
      </c>
      <c r="AH767" s="145">
        <v>0</v>
      </c>
      <c r="AI767" s="145">
        <v>0</v>
      </c>
      <c r="AJ767" s="145">
        <v>0</v>
      </c>
      <c r="AK767" s="145">
        <f t="shared" si="227"/>
        <v>0</v>
      </c>
      <c r="AL767" s="145">
        <v>340000</v>
      </c>
      <c r="AM767" s="145">
        <v>0</v>
      </c>
      <c r="AN767" s="145">
        <v>0</v>
      </c>
      <c r="AO767" s="145">
        <v>0</v>
      </c>
      <c r="AP767" s="145">
        <v>0</v>
      </c>
      <c r="AQ767" s="145">
        <v>0</v>
      </c>
      <c r="AR767" s="145">
        <v>0</v>
      </c>
      <c r="AS767" s="144">
        <f t="shared" si="228"/>
        <v>340000</v>
      </c>
      <c r="AT767" s="144"/>
      <c r="AU767" s="146">
        <f t="shared" si="224"/>
        <v>340000</v>
      </c>
      <c r="AV767" s="146">
        <f>IFERROR(VLOOKUP(J767,Maksājumu_pieprasījumu_iesn.!G:BL,57,0),0)</f>
        <v>0</v>
      </c>
      <c r="AW767" s="139">
        <f t="shared" si="218"/>
        <v>-340000</v>
      </c>
      <c r="AX767" s="147"/>
      <c r="AY767" s="147"/>
      <c r="AZ767" s="147"/>
      <c r="BA767" s="165"/>
      <c r="BB767" s="144"/>
      <c r="BC767" s="144"/>
      <c r="BD767" s="144"/>
      <c r="BE767" s="144"/>
      <c r="BF767" s="144"/>
      <c r="BG767" s="144"/>
      <c r="BH767" s="149"/>
      <c r="BI767" s="149"/>
      <c r="BJ767" s="149"/>
      <c r="BK767" s="149"/>
      <c r="BL767" s="149"/>
      <c r="BM767" s="149"/>
      <c r="BN767" s="149"/>
    </row>
    <row r="768" spans="1:66" ht="38.25" hidden="1" customHeight="1" x14ac:dyDescent="0.2">
      <c r="A768" s="142" t="s">
        <v>1603</v>
      </c>
      <c r="B768" s="18" t="s">
        <v>138</v>
      </c>
      <c r="C768" s="18" t="s">
        <v>139</v>
      </c>
      <c r="D768" s="19" t="s">
        <v>576</v>
      </c>
      <c r="E768" s="18">
        <v>2</v>
      </c>
      <c r="F768" s="18" t="s">
        <v>35</v>
      </c>
      <c r="G768" s="18" t="s">
        <v>5</v>
      </c>
      <c r="H768" s="18" t="s">
        <v>3</v>
      </c>
      <c r="I768" s="18"/>
      <c r="J768" s="18"/>
      <c r="K768" s="19" t="s">
        <v>69</v>
      </c>
      <c r="L768" s="275" t="s">
        <v>1605</v>
      </c>
      <c r="M768" s="275" t="s">
        <v>1606</v>
      </c>
      <c r="N768" s="19" t="s">
        <v>1893</v>
      </c>
      <c r="O768" s="143">
        <v>42947</v>
      </c>
      <c r="P768" s="143"/>
      <c r="Q768" s="143"/>
      <c r="R768" s="144"/>
      <c r="S768" s="144">
        <v>4767626</v>
      </c>
      <c r="T768" s="144">
        <v>290802.49547131802</v>
      </c>
      <c r="U768" s="145">
        <v>0</v>
      </c>
      <c r="V768" s="145">
        <v>0</v>
      </c>
      <c r="W768" s="145">
        <v>0</v>
      </c>
      <c r="X768" s="145">
        <f t="shared" si="219"/>
        <v>0</v>
      </c>
      <c r="Y768" s="145">
        <v>0</v>
      </c>
      <c r="Z768" s="145">
        <v>0</v>
      </c>
      <c r="AA768" s="145">
        <v>0</v>
      </c>
      <c r="AB768" s="145">
        <v>0</v>
      </c>
      <c r="AC768" s="145">
        <v>0</v>
      </c>
      <c r="AD768" s="145">
        <v>0</v>
      </c>
      <c r="AE768" s="145">
        <v>0</v>
      </c>
      <c r="AF768" s="145">
        <v>0</v>
      </c>
      <c r="AG768" s="145">
        <v>0</v>
      </c>
      <c r="AH768" s="145">
        <v>0</v>
      </c>
      <c r="AI768" s="145">
        <v>0</v>
      </c>
      <c r="AJ768" s="145">
        <v>0</v>
      </c>
      <c r="AK768" s="145">
        <f t="shared" si="227"/>
        <v>0</v>
      </c>
      <c r="AL768" s="145">
        <v>4186021.5045286817</v>
      </c>
      <c r="AM768" s="145">
        <v>0</v>
      </c>
      <c r="AN768" s="145">
        <v>0</v>
      </c>
      <c r="AO768" s="145">
        <v>0</v>
      </c>
      <c r="AP768" s="145">
        <v>0</v>
      </c>
      <c r="AQ768" s="145">
        <v>0</v>
      </c>
      <c r="AR768" s="145">
        <v>0</v>
      </c>
      <c r="AS768" s="144">
        <f t="shared" si="228"/>
        <v>4186021.5045286817</v>
      </c>
      <c r="AT768" s="144"/>
      <c r="AU768" s="146">
        <f t="shared" si="224"/>
        <v>4186021.5045286817</v>
      </c>
      <c r="AV768" s="146">
        <f>IFERROR(VLOOKUP(J768,Maksājumu_pieprasījumu_iesn.!G:BL,57,0),0)</f>
        <v>0</v>
      </c>
      <c r="AW768" s="139">
        <f t="shared" si="218"/>
        <v>-4186021.5045286817</v>
      </c>
      <c r="AX768" s="147"/>
      <c r="AY768" s="147" t="s">
        <v>1085</v>
      </c>
      <c r="AZ768" s="147"/>
      <c r="BA768" s="165" t="s">
        <v>1086</v>
      </c>
      <c r="BB768" s="144"/>
      <c r="BC768" s="144"/>
      <c r="BD768" s="144"/>
      <c r="BE768" s="144"/>
      <c r="BF768" s="144"/>
      <c r="BG768" s="144"/>
      <c r="BH768" s="149"/>
      <c r="BI768" s="149"/>
      <c r="BJ768" s="149"/>
      <c r="BK768" s="149"/>
      <c r="BL768" s="149"/>
      <c r="BM768" s="149"/>
      <c r="BN768" s="149"/>
    </row>
    <row r="769" spans="1:66" ht="38.25" hidden="1" customHeight="1" x14ac:dyDescent="0.2">
      <c r="A769" s="142" t="s">
        <v>1603</v>
      </c>
      <c r="B769" s="18" t="s">
        <v>138</v>
      </c>
      <c r="C769" s="18" t="s">
        <v>139</v>
      </c>
      <c r="D769" s="19" t="s">
        <v>576</v>
      </c>
      <c r="E769" s="18">
        <v>2</v>
      </c>
      <c r="F769" s="18" t="s">
        <v>35</v>
      </c>
      <c r="G769" s="18" t="s">
        <v>5</v>
      </c>
      <c r="H769" s="18" t="s">
        <v>3</v>
      </c>
      <c r="I769" s="18"/>
      <c r="J769" s="18" t="s">
        <v>1894</v>
      </c>
      <c r="K769" s="19" t="s">
        <v>1234</v>
      </c>
      <c r="L769" s="275" t="s">
        <v>1605</v>
      </c>
      <c r="M769" s="275" t="s">
        <v>1606</v>
      </c>
      <c r="N769" s="19" t="s">
        <v>1895</v>
      </c>
      <c r="O769" s="143"/>
      <c r="P769" s="143"/>
      <c r="Q769" s="143"/>
      <c r="R769" s="172" t="s">
        <v>1224</v>
      </c>
      <c r="S769" s="144">
        <v>3455618</v>
      </c>
      <c r="T769" s="144">
        <v>210776.25170170801</v>
      </c>
      <c r="U769" s="145">
        <v>0</v>
      </c>
      <c r="V769" s="145">
        <v>0</v>
      </c>
      <c r="W769" s="145">
        <v>0</v>
      </c>
      <c r="X769" s="145">
        <f t="shared" si="219"/>
        <v>0</v>
      </c>
      <c r="Y769" s="145">
        <v>0</v>
      </c>
      <c r="Z769" s="145">
        <v>0</v>
      </c>
      <c r="AA769" s="145">
        <v>0</v>
      </c>
      <c r="AB769" s="145">
        <v>0</v>
      </c>
      <c r="AC769" s="145">
        <v>0</v>
      </c>
      <c r="AD769" s="145">
        <v>0</v>
      </c>
      <c r="AE769" s="145">
        <v>0</v>
      </c>
      <c r="AF769" s="145">
        <v>0</v>
      </c>
      <c r="AG769" s="145">
        <v>0</v>
      </c>
      <c r="AH769" s="145">
        <v>0</v>
      </c>
      <c r="AI769" s="145">
        <v>0</v>
      </c>
      <c r="AJ769" s="145">
        <v>0</v>
      </c>
      <c r="AK769" s="145">
        <f t="shared" si="227"/>
        <v>0</v>
      </c>
      <c r="AL769" s="145">
        <v>3197324.4699999997</v>
      </c>
      <c r="AM769" s="145">
        <v>47517.278298291989</v>
      </c>
      <c r="AN769" s="145">
        <v>0</v>
      </c>
      <c r="AO769" s="145">
        <v>0</v>
      </c>
      <c r="AP769" s="145">
        <v>0</v>
      </c>
      <c r="AQ769" s="145">
        <v>0</v>
      </c>
      <c r="AR769" s="145">
        <v>0</v>
      </c>
      <c r="AS769" s="144">
        <f t="shared" si="228"/>
        <v>3244841.7482982916</v>
      </c>
      <c r="AT769" s="144">
        <v>0</v>
      </c>
      <c r="AU769" s="146">
        <f t="shared" si="224"/>
        <v>3244841.7482982916</v>
      </c>
      <c r="AV769" s="146">
        <f>IFERROR(VLOOKUP(J769,Maksājumu_pieprasījumu_iesn.!G:BL,57,0),0)</f>
        <v>0</v>
      </c>
      <c r="AW769" s="139">
        <f t="shared" si="218"/>
        <v>-3244841.7482982916</v>
      </c>
      <c r="AX769" s="147"/>
      <c r="AY769" s="147" t="s">
        <v>1085</v>
      </c>
      <c r="AZ769" s="147"/>
      <c r="BA769" s="165" t="s">
        <v>1086</v>
      </c>
      <c r="BB769" s="144"/>
      <c r="BC769" s="144"/>
      <c r="BD769" s="144"/>
      <c r="BE769" s="144"/>
      <c r="BF769" s="144"/>
      <c r="BG769" s="144"/>
      <c r="BH769" s="149"/>
      <c r="BI769" s="149"/>
      <c r="BJ769" s="149"/>
      <c r="BK769" s="149"/>
      <c r="BL769" s="149"/>
      <c r="BM769" s="149"/>
      <c r="BN769" s="149"/>
    </row>
    <row r="770" spans="1:66" ht="38.25" hidden="1" customHeight="1" x14ac:dyDescent="0.2">
      <c r="A770" s="142" t="s">
        <v>1603</v>
      </c>
      <c r="B770" s="18" t="s">
        <v>138</v>
      </c>
      <c r="C770" s="18" t="s">
        <v>139</v>
      </c>
      <c r="D770" s="19" t="s">
        <v>576</v>
      </c>
      <c r="E770" s="18">
        <v>2</v>
      </c>
      <c r="F770" s="18" t="s">
        <v>35</v>
      </c>
      <c r="G770" s="18" t="s">
        <v>5</v>
      </c>
      <c r="H770" s="18" t="s">
        <v>3</v>
      </c>
      <c r="I770" s="18"/>
      <c r="J770" s="18" t="s">
        <v>1896</v>
      </c>
      <c r="K770" s="19" t="s">
        <v>724</v>
      </c>
      <c r="L770" s="275" t="s">
        <v>1605</v>
      </c>
      <c r="M770" s="275" t="s">
        <v>1606</v>
      </c>
      <c r="N770" s="19" t="s">
        <v>1897</v>
      </c>
      <c r="O770" s="143"/>
      <c r="P770" s="143"/>
      <c r="Q770" s="143"/>
      <c r="R770" s="172" t="s">
        <v>1898</v>
      </c>
      <c r="S770" s="144">
        <v>4006130</v>
      </c>
      <c r="T770" s="144">
        <v>244354.86365384201</v>
      </c>
      <c r="U770" s="145">
        <v>0</v>
      </c>
      <c r="V770" s="145">
        <v>0</v>
      </c>
      <c r="W770" s="145">
        <v>0</v>
      </c>
      <c r="X770" s="145">
        <f t="shared" si="219"/>
        <v>0</v>
      </c>
      <c r="Y770" s="145">
        <v>0</v>
      </c>
      <c r="Z770" s="145">
        <v>0</v>
      </c>
      <c r="AA770" s="145">
        <v>0</v>
      </c>
      <c r="AB770" s="145">
        <v>0</v>
      </c>
      <c r="AC770" s="145">
        <v>0</v>
      </c>
      <c r="AD770" s="145">
        <v>0</v>
      </c>
      <c r="AE770" s="145">
        <v>0</v>
      </c>
      <c r="AF770" s="145">
        <v>0</v>
      </c>
      <c r="AG770" s="145">
        <v>0</v>
      </c>
      <c r="AH770" s="145">
        <v>0</v>
      </c>
      <c r="AI770" s="145">
        <v>0</v>
      </c>
      <c r="AJ770" s="145">
        <v>0</v>
      </c>
      <c r="AK770" s="145">
        <f t="shared" si="227"/>
        <v>0</v>
      </c>
      <c r="AL770" s="145">
        <v>453826.1</v>
      </c>
      <c r="AM770" s="145">
        <v>0</v>
      </c>
      <c r="AN770" s="145">
        <v>0</v>
      </c>
      <c r="AO770" s="145">
        <v>0</v>
      </c>
      <c r="AP770" s="145">
        <v>0</v>
      </c>
      <c r="AQ770" s="145">
        <v>0</v>
      </c>
      <c r="AR770" s="145">
        <v>0</v>
      </c>
      <c r="AS770" s="144">
        <f t="shared" si="228"/>
        <v>453826.1</v>
      </c>
      <c r="AT770" s="144">
        <v>0</v>
      </c>
      <c r="AU770" s="146">
        <v>523413.21</v>
      </c>
      <c r="AV770" s="146">
        <f>IFERROR(VLOOKUP(J770,Maksājumu_pieprasījumu_iesn.!G:BL,57,0),0)</f>
        <v>0</v>
      </c>
      <c r="AW770" s="139">
        <f t="shared" si="218"/>
        <v>-523413.21</v>
      </c>
      <c r="AX770" s="147"/>
      <c r="AY770" s="147" t="s">
        <v>1085</v>
      </c>
      <c r="AZ770" s="147"/>
      <c r="BA770" s="165" t="s">
        <v>1086</v>
      </c>
      <c r="BB770" s="144"/>
      <c r="BC770" s="144"/>
      <c r="BD770" s="144"/>
      <c r="BE770" s="144"/>
      <c r="BF770" s="144"/>
      <c r="BG770" s="144"/>
      <c r="BH770" s="149"/>
      <c r="BI770" s="149"/>
      <c r="BJ770" s="149"/>
      <c r="BK770" s="149"/>
      <c r="BL770" s="149"/>
      <c r="BM770" s="149"/>
      <c r="BN770" s="149"/>
    </row>
    <row r="771" spans="1:66" ht="25.5" hidden="1" customHeight="1" x14ac:dyDescent="0.2">
      <c r="A771" s="142" t="s">
        <v>1603</v>
      </c>
      <c r="B771" s="18" t="s">
        <v>138</v>
      </c>
      <c r="C771" s="18" t="s">
        <v>139</v>
      </c>
      <c r="D771" s="19" t="s">
        <v>576</v>
      </c>
      <c r="E771" s="18">
        <v>2</v>
      </c>
      <c r="F771" s="18" t="s">
        <v>35</v>
      </c>
      <c r="G771" s="18" t="s">
        <v>5</v>
      </c>
      <c r="H771" s="18" t="s">
        <v>3</v>
      </c>
      <c r="I771" s="18"/>
      <c r="J771" s="18"/>
      <c r="K771" s="19" t="s">
        <v>724</v>
      </c>
      <c r="L771" s="275" t="s">
        <v>1605</v>
      </c>
      <c r="M771" s="275" t="s">
        <v>1606</v>
      </c>
      <c r="N771" s="19" t="s">
        <v>1899</v>
      </c>
      <c r="O771" s="143">
        <v>42978</v>
      </c>
      <c r="P771" s="143"/>
      <c r="Q771" s="143"/>
      <c r="R771" s="144"/>
      <c r="S771" s="144">
        <v>0</v>
      </c>
      <c r="T771" s="144">
        <v>0</v>
      </c>
      <c r="U771" s="145">
        <v>0</v>
      </c>
      <c r="V771" s="145">
        <v>0</v>
      </c>
      <c r="W771" s="145">
        <v>0</v>
      </c>
      <c r="X771" s="145">
        <f t="shared" si="219"/>
        <v>0</v>
      </c>
      <c r="Y771" s="145">
        <v>0</v>
      </c>
      <c r="Z771" s="145">
        <v>0</v>
      </c>
      <c r="AA771" s="145">
        <v>0</v>
      </c>
      <c r="AB771" s="145">
        <v>0</v>
      </c>
      <c r="AC771" s="145">
        <v>0</v>
      </c>
      <c r="AD771" s="145">
        <v>0</v>
      </c>
      <c r="AE771" s="145">
        <v>0</v>
      </c>
      <c r="AF771" s="145">
        <v>0</v>
      </c>
      <c r="AG771" s="145">
        <v>0</v>
      </c>
      <c r="AH771" s="145">
        <v>0</v>
      </c>
      <c r="AI771" s="145">
        <v>0</v>
      </c>
      <c r="AJ771" s="145">
        <v>0</v>
      </c>
      <c r="AK771" s="145">
        <f t="shared" si="227"/>
        <v>0</v>
      </c>
      <c r="AL771" s="145">
        <v>280000</v>
      </c>
      <c r="AM771" s="145">
        <v>206150</v>
      </c>
      <c r="AN771" s="145">
        <v>0</v>
      </c>
      <c r="AO771" s="145">
        <v>0</v>
      </c>
      <c r="AP771" s="145">
        <v>0</v>
      </c>
      <c r="AQ771" s="145">
        <v>0</v>
      </c>
      <c r="AR771" s="145">
        <v>0</v>
      </c>
      <c r="AS771" s="144">
        <f t="shared" si="228"/>
        <v>486150</v>
      </c>
      <c r="AT771" s="144"/>
      <c r="AU771" s="146">
        <f t="shared" si="224"/>
        <v>486150</v>
      </c>
      <c r="AV771" s="146">
        <f>IFERROR(VLOOKUP(J771,Maksājumu_pieprasījumu_iesn.!G:BL,57,0),0)</f>
        <v>0</v>
      </c>
      <c r="AW771" s="139">
        <f t="shared" si="218"/>
        <v>-486150</v>
      </c>
      <c r="AX771" s="147"/>
      <c r="AY771" s="147"/>
      <c r="AZ771" s="147"/>
      <c r="BA771" s="165"/>
      <c r="BB771" s="144"/>
      <c r="BC771" s="144"/>
      <c r="BD771" s="144"/>
      <c r="BE771" s="144"/>
      <c r="BF771" s="144"/>
      <c r="BG771" s="144"/>
      <c r="BH771" s="149"/>
      <c r="BI771" s="149"/>
      <c r="BJ771" s="149"/>
      <c r="BK771" s="149"/>
      <c r="BL771" s="149"/>
      <c r="BM771" s="149"/>
      <c r="BN771" s="149"/>
    </row>
    <row r="772" spans="1:66" ht="25.5" hidden="1" customHeight="1" x14ac:dyDescent="0.2">
      <c r="A772" s="142" t="s">
        <v>1603</v>
      </c>
      <c r="B772" s="18" t="s">
        <v>138</v>
      </c>
      <c r="C772" s="18" t="s">
        <v>139</v>
      </c>
      <c r="D772" s="19" t="s">
        <v>576</v>
      </c>
      <c r="E772" s="18">
        <v>2</v>
      </c>
      <c r="F772" s="18" t="s">
        <v>35</v>
      </c>
      <c r="G772" s="18" t="s">
        <v>5</v>
      </c>
      <c r="H772" s="18" t="s">
        <v>3</v>
      </c>
      <c r="I772" s="18"/>
      <c r="J772" s="18" t="s">
        <v>1900</v>
      </c>
      <c r="K772" s="19" t="s">
        <v>724</v>
      </c>
      <c r="L772" s="275" t="s">
        <v>1605</v>
      </c>
      <c r="M772" s="275" t="s">
        <v>1606</v>
      </c>
      <c r="N772" s="19" t="s">
        <v>1901</v>
      </c>
      <c r="O772" s="143"/>
      <c r="P772" s="143"/>
      <c r="Q772" s="143"/>
      <c r="R772" s="172" t="s">
        <v>1902</v>
      </c>
      <c r="S772" s="144">
        <v>0</v>
      </c>
      <c r="T772" s="144">
        <v>0</v>
      </c>
      <c r="U772" s="145">
        <v>0</v>
      </c>
      <c r="V772" s="145">
        <v>0</v>
      </c>
      <c r="W772" s="145">
        <v>0</v>
      </c>
      <c r="X772" s="145">
        <f t="shared" si="219"/>
        <v>0</v>
      </c>
      <c r="Y772" s="145">
        <v>0</v>
      </c>
      <c r="Z772" s="145">
        <v>0</v>
      </c>
      <c r="AA772" s="145">
        <v>0</v>
      </c>
      <c r="AB772" s="145">
        <v>0</v>
      </c>
      <c r="AC772" s="145">
        <v>0</v>
      </c>
      <c r="AD772" s="145">
        <v>0</v>
      </c>
      <c r="AE772" s="145">
        <v>0</v>
      </c>
      <c r="AF772" s="145">
        <v>0</v>
      </c>
      <c r="AG772" s="145">
        <v>0</v>
      </c>
      <c r="AH772" s="145">
        <v>0</v>
      </c>
      <c r="AI772" s="145">
        <v>0</v>
      </c>
      <c r="AJ772" s="145">
        <v>0</v>
      </c>
      <c r="AK772" s="145">
        <f t="shared" si="227"/>
        <v>0</v>
      </c>
      <c r="AL772" s="145">
        <v>274578.61</v>
      </c>
      <c r="AM772" s="145">
        <v>0</v>
      </c>
      <c r="AN772" s="145">
        <v>0</v>
      </c>
      <c r="AO772" s="145">
        <v>0</v>
      </c>
      <c r="AP772" s="145">
        <v>0</v>
      </c>
      <c r="AQ772" s="145">
        <v>0</v>
      </c>
      <c r="AR772" s="145">
        <v>0</v>
      </c>
      <c r="AS772" s="144">
        <f t="shared" si="228"/>
        <v>274578.61</v>
      </c>
      <c r="AT772" s="144">
        <v>0</v>
      </c>
      <c r="AU772" s="146">
        <f t="shared" si="224"/>
        <v>274578.61</v>
      </c>
      <c r="AV772" s="146">
        <f>IFERROR(VLOOKUP(J772,Maksājumu_pieprasījumu_iesn.!G:BL,57,0),0)</f>
        <v>0</v>
      </c>
      <c r="AW772" s="139">
        <f t="shared" si="218"/>
        <v>-274578.61</v>
      </c>
      <c r="AX772" s="147"/>
      <c r="AY772" s="147"/>
      <c r="AZ772" s="147"/>
      <c r="BA772" s="165"/>
      <c r="BB772" s="144"/>
      <c r="BC772" s="144"/>
      <c r="BD772" s="144"/>
      <c r="BE772" s="144"/>
      <c r="BF772" s="144"/>
      <c r="BG772" s="144"/>
      <c r="BH772" s="149"/>
      <c r="BI772" s="149"/>
      <c r="BJ772" s="149"/>
      <c r="BK772" s="149"/>
      <c r="BL772" s="149"/>
      <c r="BM772" s="149"/>
      <c r="BN772" s="149"/>
    </row>
    <row r="773" spans="1:66" ht="38.25" hidden="1" customHeight="1" x14ac:dyDescent="0.2">
      <c r="A773" s="142" t="s">
        <v>1603</v>
      </c>
      <c r="B773" s="18" t="s">
        <v>138</v>
      </c>
      <c r="C773" s="18" t="s">
        <v>139</v>
      </c>
      <c r="D773" s="19" t="s">
        <v>576</v>
      </c>
      <c r="E773" s="18">
        <v>2</v>
      </c>
      <c r="F773" s="18" t="s">
        <v>35</v>
      </c>
      <c r="G773" s="18" t="s">
        <v>5</v>
      </c>
      <c r="H773" s="18" t="s">
        <v>3</v>
      </c>
      <c r="I773" s="18"/>
      <c r="J773" s="18"/>
      <c r="K773" s="19" t="s">
        <v>724</v>
      </c>
      <c r="L773" s="275" t="s">
        <v>1605</v>
      </c>
      <c r="M773" s="275" t="s">
        <v>1606</v>
      </c>
      <c r="N773" s="19" t="s">
        <v>1903</v>
      </c>
      <c r="O773" s="143">
        <v>42978</v>
      </c>
      <c r="P773" s="143"/>
      <c r="Q773" s="143"/>
      <c r="R773" s="144"/>
      <c r="S773" s="144">
        <v>0</v>
      </c>
      <c r="T773" s="144">
        <v>0</v>
      </c>
      <c r="U773" s="145">
        <v>0</v>
      </c>
      <c r="V773" s="145">
        <v>0</v>
      </c>
      <c r="W773" s="145">
        <v>0</v>
      </c>
      <c r="X773" s="145">
        <f t="shared" si="219"/>
        <v>0</v>
      </c>
      <c r="Y773" s="145">
        <v>0</v>
      </c>
      <c r="Z773" s="145">
        <v>0</v>
      </c>
      <c r="AA773" s="145">
        <v>0</v>
      </c>
      <c r="AB773" s="145">
        <v>0</v>
      </c>
      <c r="AC773" s="145">
        <v>0</v>
      </c>
      <c r="AD773" s="145">
        <v>0</v>
      </c>
      <c r="AE773" s="145">
        <v>0</v>
      </c>
      <c r="AF773" s="145">
        <v>0</v>
      </c>
      <c r="AG773" s="145">
        <v>0</v>
      </c>
      <c r="AH773" s="145">
        <v>0</v>
      </c>
      <c r="AI773" s="145">
        <v>0</v>
      </c>
      <c r="AJ773" s="145">
        <v>0</v>
      </c>
      <c r="AK773" s="145">
        <f t="shared" si="227"/>
        <v>0</v>
      </c>
      <c r="AL773" s="145">
        <v>900000</v>
      </c>
      <c r="AM773" s="145">
        <v>100000</v>
      </c>
      <c r="AN773" s="145">
        <v>0</v>
      </c>
      <c r="AO773" s="145">
        <v>0</v>
      </c>
      <c r="AP773" s="145">
        <v>0</v>
      </c>
      <c r="AQ773" s="145">
        <v>0</v>
      </c>
      <c r="AR773" s="145">
        <v>0</v>
      </c>
      <c r="AS773" s="144">
        <f t="shared" si="228"/>
        <v>1000000</v>
      </c>
      <c r="AT773" s="144"/>
      <c r="AU773" s="146">
        <f t="shared" si="224"/>
        <v>1000000</v>
      </c>
      <c r="AV773" s="146">
        <f>IFERROR(VLOOKUP(J773,Maksājumu_pieprasījumu_iesn.!G:BL,57,0),0)</f>
        <v>0</v>
      </c>
      <c r="AW773" s="139">
        <f t="shared" si="218"/>
        <v>-1000000</v>
      </c>
      <c r="AX773" s="147"/>
      <c r="AY773" s="147"/>
      <c r="AZ773" s="147"/>
      <c r="BA773" s="165"/>
      <c r="BB773" s="144"/>
      <c r="BC773" s="144"/>
      <c r="BD773" s="144"/>
      <c r="BE773" s="144"/>
      <c r="BF773" s="144"/>
      <c r="BG773" s="144"/>
      <c r="BH773" s="149"/>
      <c r="BI773" s="149"/>
      <c r="BJ773" s="149"/>
      <c r="BK773" s="149"/>
      <c r="BL773" s="149"/>
      <c r="BM773" s="149"/>
      <c r="BN773" s="149"/>
    </row>
    <row r="774" spans="1:66" ht="38.25" hidden="1" customHeight="1" x14ac:dyDescent="0.2">
      <c r="A774" s="142" t="s">
        <v>1603</v>
      </c>
      <c r="B774" s="18" t="s">
        <v>138</v>
      </c>
      <c r="C774" s="18" t="s">
        <v>139</v>
      </c>
      <c r="D774" s="19" t="s">
        <v>576</v>
      </c>
      <c r="E774" s="18">
        <v>2</v>
      </c>
      <c r="F774" s="18" t="s">
        <v>35</v>
      </c>
      <c r="G774" s="18" t="s">
        <v>5</v>
      </c>
      <c r="H774" s="18" t="s">
        <v>3</v>
      </c>
      <c r="I774" s="18"/>
      <c r="J774" s="18"/>
      <c r="K774" s="19" t="s">
        <v>724</v>
      </c>
      <c r="L774" s="275" t="s">
        <v>1605</v>
      </c>
      <c r="M774" s="275" t="s">
        <v>1606</v>
      </c>
      <c r="N774" s="19" t="s">
        <v>1904</v>
      </c>
      <c r="O774" s="143">
        <v>42978</v>
      </c>
      <c r="P774" s="143"/>
      <c r="Q774" s="143"/>
      <c r="R774" s="144"/>
      <c r="S774" s="144">
        <v>0</v>
      </c>
      <c r="T774" s="144">
        <v>0</v>
      </c>
      <c r="U774" s="145">
        <v>0</v>
      </c>
      <c r="V774" s="145">
        <v>0</v>
      </c>
      <c r="W774" s="145">
        <v>0</v>
      </c>
      <c r="X774" s="145">
        <f t="shared" si="219"/>
        <v>0</v>
      </c>
      <c r="Y774" s="145">
        <v>0</v>
      </c>
      <c r="Z774" s="145">
        <v>0</v>
      </c>
      <c r="AA774" s="145">
        <v>0</v>
      </c>
      <c r="AB774" s="145">
        <v>0</v>
      </c>
      <c r="AC774" s="145">
        <v>0</v>
      </c>
      <c r="AD774" s="145">
        <v>0</v>
      </c>
      <c r="AE774" s="145">
        <v>0</v>
      </c>
      <c r="AF774" s="145">
        <v>0</v>
      </c>
      <c r="AG774" s="145">
        <v>0</v>
      </c>
      <c r="AH774" s="145">
        <v>0</v>
      </c>
      <c r="AI774" s="145">
        <v>0</v>
      </c>
      <c r="AJ774" s="145">
        <v>0</v>
      </c>
      <c r="AK774" s="145">
        <f t="shared" si="227"/>
        <v>0</v>
      </c>
      <c r="AL774" s="145">
        <v>436695</v>
      </c>
      <c r="AM774" s="145">
        <v>155645.13634615799</v>
      </c>
      <c r="AN774" s="145">
        <v>0</v>
      </c>
      <c r="AO774" s="145">
        <v>0</v>
      </c>
      <c r="AP774" s="145">
        <v>0</v>
      </c>
      <c r="AQ774" s="145">
        <v>0</v>
      </c>
      <c r="AR774" s="145">
        <v>0</v>
      </c>
      <c r="AS774" s="144">
        <f t="shared" si="228"/>
        <v>592340.13634615799</v>
      </c>
      <c r="AT774" s="144"/>
      <c r="AU774" s="146">
        <f t="shared" si="224"/>
        <v>592340.13634615799</v>
      </c>
      <c r="AV774" s="146">
        <f>IFERROR(VLOOKUP(J774,Maksājumu_pieprasījumu_iesn.!G:BL,57,0),0)</f>
        <v>0</v>
      </c>
      <c r="AW774" s="139">
        <f t="shared" si="218"/>
        <v>-592340.13634615799</v>
      </c>
      <c r="AX774" s="147"/>
      <c r="AY774" s="147" t="s">
        <v>1085</v>
      </c>
      <c r="AZ774" s="147"/>
      <c r="BA774" s="165" t="s">
        <v>1086</v>
      </c>
      <c r="BB774" s="144"/>
      <c r="BC774" s="144"/>
      <c r="BD774" s="144"/>
      <c r="BE774" s="144"/>
      <c r="BF774" s="144"/>
      <c r="BG774" s="144"/>
      <c r="BH774" s="149"/>
      <c r="BI774" s="149"/>
      <c r="BJ774" s="149"/>
      <c r="BK774" s="149"/>
      <c r="BL774" s="149"/>
      <c r="BM774" s="149"/>
      <c r="BN774" s="149"/>
    </row>
    <row r="775" spans="1:66" ht="25.5" hidden="1" customHeight="1" x14ac:dyDescent="0.2">
      <c r="A775" s="142" t="s">
        <v>1603</v>
      </c>
      <c r="B775" s="18" t="s">
        <v>138</v>
      </c>
      <c r="C775" s="18" t="s">
        <v>139</v>
      </c>
      <c r="D775" s="19" t="s">
        <v>576</v>
      </c>
      <c r="E775" s="18">
        <v>2</v>
      </c>
      <c r="F775" s="18" t="s">
        <v>35</v>
      </c>
      <c r="G775" s="18" t="s">
        <v>5</v>
      </c>
      <c r="H775" s="18" t="s">
        <v>3</v>
      </c>
      <c r="I775" s="18"/>
      <c r="J775" s="18"/>
      <c r="K775" s="19" t="s">
        <v>724</v>
      </c>
      <c r="L775" s="275" t="s">
        <v>1605</v>
      </c>
      <c r="M775" s="275" t="s">
        <v>1606</v>
      </c>
      <c r="N775" s="19" t="s">
        <v>1905</v>
      </c>
      <c r="O775" s="143">
        <v>43373</v>
      </c>
      <c r="P775" s="143"/>
      <c r="Q775" s="143"/>
      <c r="R775" s="144"/>
      <c r="S775" s="144">
        <v>0</v>
      </c>
      <c r="T775" s="144">
        <v>0</v>
      </c>
      <c r="U775" s="145">
        <v>0</v>
      </c>
      <c r="V775" s="145">
        <v>0</v>
      </c>
      <c r="W775" s="145">
        <v>0</v>
      </c>
      <c r="X775" s="145">
        <f t="shared" si="219"/>
        <v>0</v>
      </c>
      <c r="Y775" s="145">
        <v>0</v>
      </c>
      <c r="Z775" s="145">
        <v>0</v>
      </c>
      <c r="AA775" s="145">
        <v>0</v>
      </c>
      <c r="AB775" s="145">
        <v>0</v>
      </c>
      <c r="AC775" s="145">
        <v>0</v>
      </c>
      <c r="AD775" s="145">
        <v>0</v>
      </c>
      <c r="AE775" s="145">
        <v>0</v>
      </c>
      <c r="AF775" s="145">
        <v>0</v>
      </c>
      <c r="AG775" s="145">
        <v>0</v>
      </c>
      <c r="AH775" s="145">
        <v>0</v>
      </c>
      <c r="AI775" s="145">
        <v>0</v>
      </c>
      <c r="AJ775" s="145">
        <v>0</v>
      </c>
      <c r="AK775" s="145">
        <f t="shared" si="227"/>
        <v>0</v>
      </c>
      <c r="AL775" s="145">
        <v>0</v>
      </c>
      <c r="AM775" s="145">
        <v>710525</v>
      </c>
      <c r="AN775" s="145">
        <v>244355</v>
      </c>
      <c r="AO775" s="145">
        <v>0</v>
      </c>
      <c r="AP775" s="145">
        <v>0</v>
      </c>
      <c r="AQ775" s="145">
        <v>0</v>
      </c>
      <c r="AR775" s="145">
        <v>0</v>
      </c>
      <c r="AS775" s="144">
        <f t="shared" si="228"/>
        <v>954880</v>
      </c>
      <c r="AT775" s="144"/>
      <c r="AU775" s="146">
        <f t="shared" si="224"/>
        <v>954880</v>
      </c>
      <c r="AV775" s="146">
        <f>IFERROR(VLOOKUP(J775,Maksājumu_pieprasījumu_iesn.!G:BL,57,0),0)</f>
        <v>0</v>
      </c>
      <c r="AW775" s="139">
        <f t="shared" si="218"/>
        <v>-954880</v>
      </c>
      <c r="AX775" s="147"/>
      <c r="AY775" s="147"/>
      <c r="AZ775" s="147"/>
      <c r="BA775" s="165"/>
      <c r="BB775" s="144"/>
      <c r="BC775" s="144"/>
      <c r="BD775" s="144"/>
      <c r="BE775" s="144"/>
      <c r="BF775" s="144"/>
      <c r="BG775" s="144"/>
      <c r="BH775" s="149"/>
      <c r="BI775" s="149"/>
      <c r="BJ775" s="149"/>
      <c r="BK775" s="149"/>
      <c r="BL775" s="149"/>
      <c r="BM775" s="149"/>
      <c r="BN775" s="149"/>
    </row>
    <row r="776" spans="1:66" ht="38.25" hidden="1" customHeight="1" x14ac:dyDescent="0.2">
      <c r="A776" s="142" t="s">
        <v>1603</v>
      </c>
      <c r="B776" s="18" t="s">
        <v>138</v>
      </c>
      <c r="C776" s="18" t="s">
        <v>139</v>
      </c>
      <c r="D776" s="19" t="s">
        <v>576</v>
      </c>
      <c r="E776" s="18">
        <v>2</v>
      </c>
      <c r="F776" s="18" t="s">
        <v>35</v>
      </c>
      <c r="G776" s="18" t="s">
        <v>5</v>
      </c>
      <c r="H776" s="18" t="s">
        <v>3</v>
      </c>
      <c r="I776" s="18"/>
      <c r="J776" s="18" t="s">
        <v>921</v>
      </c>
      <c r="K776" s="19" t="s">
        <v>896</v>
      </c>
      <c r="L776" s="275" t="s">
        <v>1605</v>
      </c>
      <c r="M776" s="275" t="s">
        <v>1606</v>
      </c>
      <c r="N776" s="19" t="s">
        <v>922</v>
      </c>
      <c r="O776" s="143"/>
      <c r="P776" s="143"/>
      <c r="Q776" s="143"/>
      <c r="R776" s="172" t="s">
        <v>1906</v>
      </c>
      <c r="S776" s="144">
        <v>3973022</v>
      </c>
      <c r="T776" s="144">
        <v>242335.433224512</v>
      </c>
      <c r="U776" s="145">
        <v>0</v>
      </c>
      <c r="V776" s="145">
        <v>0</v>
      </c>
      <c r="W776" s="145">
        <v>0</v>
      </c>
      <c r="X776" s="145">
        <f t="shared" si="219"/>
        <v>0</v>
      </c>
      <c r="Y776" s="145">
        <v>0</v>
      </c>
      <c r="Z776" s="145">
        <v>0</v>
      </c>
      <c r="AA776" s="145">
        <v>0</v>
      </c>
      <c r="AB776" s="145">
        <v>0</v>
      </c>
      <c r="AC776" s="145">
        <v>0</v>
      </c>
      <c r="AD776" s="145">
        <v>0</v>
      </c>
      <c r="AE776" s="145">
        <v>0</v>
      </c>
      <c r="AF776" s="145">
        <v>0</v>
      </c>
      <c r="AG776" s="145">
        <v>0</v>
      </c>
      <c r="AH776" s="145">
        <v>0</v>
      </c>
      <c r="AI776" s="145">
        <v>0</v>
      </c>
      <c r="AJ776" s="145">
        <v>0</v>
      </c>
      <c r="AK776" s="145">
        <f t="shared" si="227"/>
        <v>0</v>
      </c>
      <c r="AL776" s="145">
        <v>3726593.1</v>
      </c>
      <c r="AM776" s="145">
        <v>0</v>
      </c>
      <c r="AN776" s="145">
        <v>0</v>
      </c>
      <c r="AO776" s="145">
        <v>0</v>
      </c>
      <c r="AP776" s="145">
        <v>0</v>
      </c>
      <c r="AQ776" s="145">
        <v>0</v>
      </c>
      <c r="AR776" s="145">
        <v>0</v>
      </c>
      <c r="AS776" s="144">
        <f t="shared" si="228"/>
        <v>3726593.1</v>
      </c>
      <c r="AT776" s="144">
        <v>0</v>
      </c>
      <c r="AU776" s="146">
        <f t="shared" si="224"/>
        <v>3726593.1</v>
      </c>
      <c r="AV776" s="146">
        <f>IFERROR(VLOOKUP(J776,Maksājumu_pieprasījumu_iesn.!G:BL,57,0),0)</f>
        <v>0</v>
      </c>
      <c r="AW776" s="139">
        <f t="shared" si="218"/>
        <v>-3726593.1</v>
      </c>
      <c r="AX776" s="147"/>
      <c r="AY776" s="147"/>
      <c r="AZ776" s="147"/>
      <c r="BA776" s="165"/>
      <c r="BB776" s="144"/>
      <c r="BC776" s="144"/>
      <c r="BD776" s="144"/>
      <c r="BE776" s="144"/>
      <c r="BF776" s="144"/>
      <c r="BG776" s="144"/>
      <c r="BH776" s="149"/>
      <c r="BI776" s="149"/>
      <c r="BJ776" s="149"/>
      <c r="BK776" s="149"/>
      <c r="BL776" s="149"/>
      <c r="BM776" s="149"/>
      <c r="BN776" s="149"/>
    </row>
    <row r="777" spans="1:66" ht="38.25" hidden="1" customHeight="1" x14ac:dyDescent="0.2">
      <c r="A777" s="142" t="s">
        <v>1603</v>
      </c>
      <c r="B777" s="18" t="s">
        <v>138</v>
      </c>
      <c r="C777" s="18" t="s">
        <v>139</v>
      </c>
      <c r="D777" s="19" t="s">
        <v>576</v>
      </c>
      <c r="E777" s="18">
        <v>2</v>
      </c>
      <c r="F777" s="18" t="s">
        <v>35</v>
      </c>
      <c r="G777" s="18" t="s">
        <v>5</v>
      </c>
      <c r="H777" s="18" t="s">
        <v>3</v>
      </c>
      <c r="I777" s="18"/>
      <c r="J777" s="18" t="s">
        <v>923</v>
      </c>
      <c r="K777" s="19" t="s">
        <v>897</v>
      </c>
      <c r="L777" s="275" t="s">
        <v>1605</v>
      </c>
      <c r="M777" s="275" t="s">
        <v>1606</v>
      </c>
      <c r="N777" s="19" t="s">
        <v>924</v>
      </c>
      <c r="O777" s="143"/>
      <c r="P777" s="143"/>
      <c r="Q777" s="143"/>
      <c r="R777" s="172" t="s">
        <v>1209</v>
      </c>
      <c r="S777" s="144">
        <v>4006130</v>
      </c>
      <c r="T777" s="144">
        <v>244354.86365384201</v>
      </c>
      <c r="U777" s="145">
        <v>0</v>
      </c>
      <c r="V777" s="145">
        <v>0</v>
      </c>
      <c r="W777" s="145">
        <v>0</v>
      </c>
      <c r="X777" s="145">
        <f t="shared" si="219"/>
        <v>0</v>
      </c>
      <c r="Y777" s="145">
        <v>0</v>
      </c>
      <c r="Z777" s="145">
        <v>0</v>
      </c>
      <c r="AA777" s="145">
        <v>0</v>
      </c>
      <c r="AB777" s="145">
        <v>0</v>
      </c>
      <c r="AC777" s="145">
        <v>0</v>
      </c>
      <c r="AD777" s="145">
        <v>0</v>
      </c>
      <c r="AE777" s="145">
        <v>0</v>
      </c>
      <c r="AF777" s="145">
        <v>0</v>
      </c>
      <c r="AG777" s="145">
        <v>0</v>
      </c>
      <c r="AH777" s="145">
        <v>0</v>
      </c>
      <c r="AI777" s="145">
        <v>0</v>
      </c>
      <c r="AJ777" s="145">
        <v>0</v>
      </c>
      <c r="AK777" s="145">
        <f t="shared" si="227"/>
        <v>0</v>
      </c>
      <c r="AL777" s="145">
        <v>495503.21</v>
      </c>
      <c r="AM777" s="145">
        <v>0</v>
      </c>
      <c r="AN777" s="145">
        <v>0</v>
      </c>
      <c r="AO777" s="145">
        <v>0</v>
      </c>
      <c r="AP777" s="145">
        <v>0</v>
      </c>
      <c r="AQ777" s="145">
        <v>0</v>
      </c>
      <c r="AR777" s="145">
        <v>0</v>
      </c>
      <c r="AS777" s="144">
        <f t="shared" si="228"/>
        <v>495503.21</v>
      </c>
      <c r="AT777" s="144">
        <v>0</v>
      </c>
      <c r="AU777" s="146">
        <f t="shared" si="224"/>
        <v>495503.21</v>
      </c>
      <c r="AV777" s="146">
        <f>IFERROR(VLOOKUP(J777,Maksājumu_pieprasījumu_iesn.!G:BL,57,0),0)</f>
        <v>0</v>
      </c>
      <c r="AW777" s="139">
        <f t="shared" si="218"/>
        <v>-495503.21</v>
      </c>
      <c r="AX777" s="147"/>
      <c r="AY777" s="147"/>
      <c r="AZ777" s="147"/>
      <c r="BA777" s="165"/>
      <c r="BB777" s="144"/>
      <c r="BC777" s="144"/>
      <c r="BD777" s="144"/>
      <c r="BE777" s="144"/>
      <c r="BF777" s="144"/>
      <c r="BG777" s="144"/>
      <c r="BH777" s="149"/>
      <c r="BI777" s="149"/>
      <c r="BJ777" s="149"/>
      <c r="BK777" s="149"/>
      <c r="BL777" s="149"/>
      <c r="BM777" s="149"/>
      <c r="BN777" s="149"/>
    </row>
    <row r="778" spans="1:66" ht="25.5" hidden="1" customHeight="1" x14ac:dyDescent="0.2">
      <c r="A778" s="142" t="s">
        <v>1603</v>
      </c>
      <c r="B778" s="18" t="s">
        <v>138</v>
      </c>
      <c r="C778" s="18" t="s">
        <v>139</v>
      </c>
      <c r="D778" s="19" t="s">
        <v>576</v>
      </c>
      <c r="E778" s="18">
        <v>2</v>
      </c>
      <c r="F778" s="18" t="s">
        <v>35</v>
      </c>
      <c r="G778" s="18" t="s">
        <v>5</v>
      </c>
      <c r="H778" s="18" t="s">
        <v>3</v>
      </c>
      <c r="I778" s="18"/>
      <c r="J778" s="18"/>
      <c r="K778" s="19" t="s">
        <v>897</v>
      </c>
      <c r="L778" s="275" t="s">
        <v>1605</v>
      </c>
      <c r="M778" s="275" t="s">
        <v>1606</v>
      </c>
      <c r="N778" s="19" t="s">
        <v>1907</v>
      </c>
      <c r="O778" s="143">
        <v>43003</v>
      </c>
      <c r="P778" s="143"/>
      <c r="Q778" s="143"/>
      <c r="R778" s="144"/>
      <c r="S778" s="144">
        <v>0</v>
      </c>
      <c r="T778" s="144">
        <v>0</v>
      </c>
      <c r="U778" s="145">
        <v>0</v>
      </c>
      <c r="V778" s="145">
        <v>0</v>
      </c>
      <c r="W778" s="145">
        <v>0</v>
      </c>
      <c r="X778" s="145">
        <f t="shared" si="219"/>
        <v>0</v>
      </c>
      <c r="Y778" s="145">
        <v>0</v>
      </c>
      <c r="Z778" s="145">
        <v>0</v>
      </c>
      <c r="AA778" s="145">
        <v>0</v>
      </c>
      <c r="AB778" s="145">
        <v>0</v>
      </c>
      <c r="AC778" s="145">
        <v>0</v>
      </c>
      <c r="AD778" s="145">
        <v>0</v>
      </c>
      <c r="AE778" s="145">
        <v>0</v>
      </c>
      <c r="AF778" s="145">
        <v>0</v>
      </c>
      <c r="AG778" s="145">
        <v>0</v>
      </c>
      <c r="AH778" s="145">
        <v>0</v>
      </c>
      <c r="AI778" s="145">
        <v>0</v>
      </c>
      <c r="AJ778" s="145">
        <v>0</v>
      </c>
      <c r="AK778" s="145">
        <f t="shared" si="227"/>
        <v>0</v>
      </c>
      <c r="AL778" s="145">
        <v>648507</v>
      </c>
      <c r="AM778" s="145">
        <v>432338</v>
      </c>
      <c r="AN778" s="145">
        <v>0</v>
      </c>
      <c r="AO778" s="145">
        <v>0</v>
      </c>
      <c r="AP778" s="145">
        <v>0</v>
      </c>
      <c r="AQ778" s="145">
        <v>0</v>
      </c>
      <c r="AR778" s="145">
        <v>0</v>
      </c>
      <c r="AS778" s="144">
        <f t="shared" si="228"/>
        <v>1080845</v>
      </c>
      <c r="AT778" s="144"/>
      <c r="AU778" s="146">
        <f t="shared" si="224"/>
        <v>1080845</v>
      </c>
      <c r="AV778" s="146">
        <f>IFERROR(VLOOKUP(J778,Maksājumu_pieprasījumu_iesn.!G:BL,57,0),0)</f>
        <v>0</v>
      </c>
      <c r="AW778" s="139">
        <f t="shared" si="218"/>
        <v>-1080845</v>
      </c>
      <c r="AX778" s="147"/>
      <c r="AY778" s="147"/>
      <c r="AZ778" s="147"/>
      <c r="BA778" s="165"/>
      <c r="BB778" s="144"/>
      <c r="BC778" s="144"/>
      <c r="BD778" s="144"/>
      <c r="BE778" s="144"/>
      <c r="BF778" s="144"/>
      <c r="BG778" s="144"/>
      <c r="BH778" s="149"/>
      <c r="BI778" s="149"/>
      <c r="BJ778" s="149"/>
      <c r="BK778" s="149"/>
      <c r="BL778" s="149"/>
      <c r="BM778" s="149"/>
      <c r="BN778" s="149"/>
    </row>
    <row r="779" spans="1:66" ht="25.5" hidden="1" customHeight="1" x14ac:dyDescent="0.2">
      <c r="A779" s="142" t="s">
        <v>1603</v>
      </c>
      <c r="B779" s="18" t="s">
        <v>138</v>
      </c>
      <c r="C779" s="18" t="s">
        <v>139</v>
      </c>
      <c r="D779" s="19" t="s">
        <v>576</v>
      </c>
      <c r="E779" s="18">
        <v>2</v>
      </c>
      <c r="F779" s="18" t="s">
        <v>35</v>
      </c>
      <c r="G779" s="18" t="s">
        <v>5</v>
      </c>
      <c r="H779" s="18" t="s">
        <v>3</v>
      </c>
      <c r="I779" s="18"/>
      <c r="J779" s="18"/>
      <c r="K779" s="19" t="s">
        <v>897</v>
      </c>
      <c r="L779" s="275" t="s">
        <v>1605</v>
      </c>
      <c r="M779" s="275" t="s">
        <v>1606</v>
      </c>
      <c r="N779" s="19" t="s">
        <v>1908</v>
      </c>
      <c r="O779" s="143">
        <v>43003</v>
      </c>
      <c r="P779" s="143"/>
      <c r="Q779" s="143"/>
      <c r="R779" s="144"/>
      <c r="S779" s="144">
        <v>0</v>
      </c>
      <c r="T779" s="144">
        <v>0</v>
      </c>
      <c r="U779" s="145">
        <v>0</v>
      </c>
      <c r="V779" s="145">
        <v>0</v>
      </c>
      <c r="W779" s="145">
        <v>0</v>
      </c>
      <c r="X779" s="145">
        <f t="shared" si="219"/>
        <v>0</v>
      </c>
      <c r="Y779" s="145">
        <v>0</v>
      </c>
      <c r="Z779" s="145">
        <v>0</v>
      </c>
      <c r="AA779" s="145">
        <v>0</v>
      </c>
      <c r="AB779" s="145">
        <v>0</v>
      </c>
      <c r="AC779" s="145">
        <v>0</v>
      </c>
      <c r="AD779" s="145">
        <v>0</v>
      </c>
      <c r="AE779" s="145">
        <v>0</v>
      </c>
      <c r="AF779" s="145">
        <v>0</v>
      </c>
      <c r="AG779" s="145">
        <v>0</v>
      </c>
      <c r="AH779" s="145">
        <v>0</v>
      </c>
      <c r="AI779" s="145">
        <v>0</v>
      </c>
      <c r="AJ779" s="145">
        <v>0</v>
      </c>
      <c r="AK779" s="145">
        <f t="shared" si="227"/>
        <v>0</v>
      </c>
      <c r="AL779" s="145">
        <v>0</v>
      </c>
      <c r="AM779" s="145">
        <v>367358</v>
      </c>
      <c r="AN779" s="145">
        <v>244906</v>
      </c>
      <c r="AO779" s="145">
        <v>0</v>
      </c>
      <c r="AP779" s="145">
        <v>0</v>
      </c>
      <c r="AQ779" s="145">
        <v>0</v>
      </c>
      <c r="AR779" s="145">
        <v>0</v>
      </c>
      <c r="AS779" s="144">
        <f t="shared" si="228"/>
        <v>612264</v>
      </c>
      <c r="AT779" s="144"/>
      <c r="AU779" s="146">
        <f t="shared" si="224"/>
        <v>612264</v>
      </c>
      <c r="AV779" s="146">
        <f>IFERROR(VLOOKUP(J779,Maksājumu_pieprasījumu_iesn.!G:BL,57,0),0)</f>
        <v>0</v>
      </c>
      <c r="AW779" s="139">
        <f t="shared" si="218"/>
        <v>-612264</v>
      </c>
      <c r="AX779" s="147"/>
      <c r="AY779" s="147"/>
      <c r="AZ779" s="147"/>
      <c r="BA779" s="165"/>
      <c r="BB779" s="144"/>
      <c r="BC779" s="144"/>
      <c r="BD779" s="144"/>
      <c r="BE779" s="144"/>
      <c r="BF779" s="144"/>
      <c r="BG779" s="144"/>
      <c r="BH779" s="149"/>
      <c r="BI779" s="149"/>
      <c r="BJ779" s="149"/>
      <c r="BK779" s="149"/>
      <c r="BL779" s="149"/>
      <c r="BM779" s="149"/>
      <c r="BN779" s="149"/>
    </row>
    <row r="780" spans="1:66" ht="51" hidden="1" customHeight="1" x14ac:dyDescent="0.2">
      <c r="A780" s="142" t="s">
        <v>1603</v>
      </c>
      <c r="B780" s="18" t="s">
        <v>138</v>
      </c>
      <c r="C780" s="18" t="s">
        <v>139</v>
      </c>
      <c r="D780" s="19" t="s">
        <v>576</v>
      </c>
      <c r="E780" s="18">
        <v>2</v>
      </c>
      <c r="F780" s="18" t="s">
        <v>35</v>
      </c>
      <c r="G780" s="18" t="s">
        <v>5</v>
      </c>
      <c r="H780" s="18" t="s">
        <v>3</v>
      </c>
      <c r="I780" s="18"/>
      <c r="J780" s="18"/>
      <c r="K780" s="19" t="s">
        <v>897</v>
      </c>
      <c r="L780" s="275" t="s">
        <v>1605</v>
      </c>
      <c r="M780" s="275" t="s">
        <v>1606</v>
      </c>
      <c r="N780" s="19" t="s">
        <v>1909</v>
      </c>
      <c r="O780" s="143">
        <v>43003</v>
      </c>
      <c r="P780" s="143"/>
      <c r="Q780" s="143"/>
      <c r="R780" s="144"/>
      <c r="S780" s="144">
        <v>0</v>
      </c>
      <c r="T780" s="144">
        <v>0</v>
      </c>
      <c r="U780" s="145">
        <v>0</v>
      </c>
      <c r="V780" s="145">
        <v>0</v>
      </c>
      <c r="W780" s="145">
        <v>0</v>
      </c>
      <c r="X780" s="145">
        <f t="shared" si="219"/>
        <v>0</v>
      </c>
      <c r="Y780" s="145">
        <v>0</v>
      </c>
      <c r="Z780" s="145">
        <v>0</v>
      </c>
      <c r="AA780" s="145">
        <v>0</v>
      </c>
      <c r="AB780" s="145">
        <v>0</v>
      </c>
      <c r="AC780" s="145">
        <v>0</v>
      </c>
      <c r="AD780" s="145">
        <v>0</v>
      </c>
      <c r="AE780" s="145">
        <v>0</v>
      </c>
      <c r="AF780" s="145">
        <v>0</v>
      </c>
      <c r="AG780" s="145">
        <v>0</v>
      </c>
      <c r="AH780" s="145">
        <v>0</v>
      </c>
      <c r="AI780" s="145">
        <v>0</v>
      </c>
      <c r="AJ780" s="145">
        <v>0</v>
      </c>
      <c r="AK780" s="145">
        <f t="shared" si="227"/>
        <v>0</v>
      </c>
      <c r="AL780" s="145">
        <v>669562</v>
      </c>
      <c r="AM780" s="145">
        <v>0</v>
      </c>
      <c r="AN780" s="145">
        <v>0</v>
      </c>
      <c r="AO780" s="145">
        <v>0</v>
      </c>
      <c r="AP780" s="145">
        <v>0</v>
      </c>
      <c r="AQ780" s="145">
        <v>0</v>
      </c>
      <c r="AR780" s="145">
        <v>0</v>
      </c>
      <c r="AS780" s="144">
        <f t="shared" si="228"/>
        <v>669562</v>
      </c>
      <c r="AT780" s="144"/>
      <c r="AU780" s="146">
        <f t="shared" si="224"/>
        <v>669562</v>
      </c>
      <c r="AV780" s="146">
        <f>IFERROR(VLOOKUP(J780,Maksājumu_pieprasījumu_iesn.!G:BL,57,0),0)</f>
        <v>0</v>
      </c>
      <c r="AW780" s="139">
        <f t="shared" si="218"/>
        <v>-669562</v>
      </c>
      <c r="AX780" s="147"/>
      <c r="AY780" s="147"/>
      <c r="AZ780" s="147"/>
      <c r="BA780" s="165"/>
      <c r="BB780" s="144"/>
      <c r="BC780" s="144"/>
      <c r="BD780" s="144"/>
      <c r="BE780" s="144"/>
      <c r="BF780" s="144"/>
      <c r="BG780" s="144"/>
      <c r="BH780" s="149"/>
      <c r="BI780" s="149"/>
      <c r="BJ780" s="149"/>
      <c r="BK780" s="149"/>
      <c r="BL780" s="149"/>
      <c r="BM780" s="149"/>
      <c r="BN780" s="149"/>
    </row>
    <row r="781" spans="1:66" ht="51" hidden="1" customHeight="1" x14ac:dyDescent="0.2">
      <c r="A781" s="142" t="s">
        <v>1603</v>
      </c>
      <c r="B781" s="18" t="s">
        <v>138</v>
      </c>
      <c r="C781" s="18" t="s">
        <v>139</v>
      </c>
      <c r="D781" s="19" t="s">
        <v>576</v>
      </c>
      <c r="E781" s="18">
        <v>2</v>
      </c>
      <c r="F781" s="18" t="s">
        <v>35</v>
      </c>
      <c r="G781" s="18" t="s">
        <v>5</v>
      </c>
      <c r="H781" s="18" t="s">
        <v>3</v>
      </c>
      <c r="I781" s="18"/>
      <c r="J781" s="18"/>
      <c r="K781" s="19" t="s">
        <v>897</v>
      </c>
      <c r="L781" s="275" t="s">
        <v>1605</v>
      </c>
      <c r="M781" s="275" t="s">
        <v>1606</v>
      </c>
      <c r="N781" s="19" t="s">
        <v>1910</v>
      </c>
      <c r="O781" s="143">
        <v>43003</v>
      </c>
      <c r="P781" s="143"/>
      <c r="Q781" s="143"/>
      <c r="R781" s="144"/>
      <c r="S781" s="144">
        <v>0</v>
      </c>
      <c r="T781" s="144">
        <v>0</v>
      </c>
      <c r="U781" s="145">
        <v>0</v>
      </c>
      <c r="V781" s="145">
        <v>0</v>
      </c>
      <c r="W781" s="145">
        <v>0</v>
      </c>
      <c r="X781" s="145">
        <f t="shared" si="219"/>
        <v>0</v>
      </c>
      <c r="Y781" s="145">
        <v>0</v>
      </c>
      <c r="Z781" s="145">
        <v>0</v>
      </c>
      <c r="AA781" s="145">
        <v>0</v>
      </c>
      <c r="AB781" s="145">
        <v>0</v>
      </c>
      <c r="AC781" s="145">
        <v>0</v>
      </c>
      <c r="AD781" s="145">
        <v>0</v>
      </c>
      <c r="AE781" s="145">
        <v>0</v>
      </c>
      <c r="AF781" s="145">
        <v>0</v>
      </c>
      <c r="AG781" s="145">
        <v>0</v>
      </c>
      <c r="AH781" s="145">
        <v>0</v>
      </c>
      <c r="AI781" s="145">
        <v>0</v>
      </c>
      <c r="AJ781" s="145">
        <v>0</v>
      </c>
      <c r="AK781" s="145">
        <f t="shared" si="227"/>
        <v>0</v>
      </c>
      <c r="AL781" s="145">
        <v>0</v>
      </c>
      <c r="AM781" s="145">
        <v>633658</v>
      </c>
      <c r="AN781" s="145">
        <v>0</v>
      </c>
      <c r="AO781" s="145">
        <v>0</v>
      </c>
      <c r="AP781" s="145">
        <v>0</v>
      </c>
      <c r="AQ781" s="145">
        <v>0</v>
      </c>
      <c r="AR781" s="145">
        <v>0</v>
      </c>
      <c r="AS781" s="144">
        <f t="shared" si="228"/>
        <v>633658</v>
      </c>
      <c r="AT781" s="144"/>
      <c r="AU781" s="146">
        <f t="shared" si="224"/>
        <v>633658</v>
      </c>
      <c r="AV781" s="146">
        <f>IFERROR(VLOOKUP(J781,Maksājumu_pieprasījumu_iesn.!G:BL,57,0),0)</f>
        <v>0</v>
      </c>
      <c r="AW781" s="139">
        <f t="shared" si="218"/>
        <v>-633658</v>
      </c>
      <c r="AX781" s="147"/>
      <c r="AY781" s="147"/>
      <c r="AZ781" s="147"/>
      <c r="BA781" s="165"/>
      <c r="BB781" s="144"/>
      <c r="BC781" s="144"/>
      <c r="BD781" s="144"/>
      <c r="BE781" s="144"/>
      <c r="BF781" s="144"/>
      <c r="BG781" s="144"/>
      <c r="BH781" s="149"/>
      <c r="BI781" s="149"/>
      <c r="BJ781" s="149"/>
      <c r="BK781" s="149"/>
      <c r="BL781" s="149"/>
      <c r="BM781" s="149"/>
      <c r="BN781" s="149"/>
    </row>
    <row r="782" spans="1:66" ht="38.25" hidden="1" customHeight="1" x14ac:dyDescent="0.2">
      <c r="A782" s="142" t="s">
        <v>1603</v>
      </c>
      <c r="B782" s="18" t="s">
        <v>138</v>
      </c>
      <c r="C782" s="18" t="s">
        <v>139</v>
      </c>
      <c r="D782" s="19" t="s">
        <v>576</v>
      </c>
      <c r="E782" s="18">
        <v>2</v>
      </c>
      <c r="F782" s="18" t="s">
        <v>35</v>
      </c>
      <c r="G782" s="18" t="s">
        <v>5</v>
      </c>
      <c r="H782" s="18" t="s">
        <v>3</v>
      </c>
      <c r="I782" s="18"/>
      <c r="J782" s="18"/>
      <c r="K782" s="19" t="s">
        <v>897</v>
      </c>
      <c r="L782" s="275" t="s">
        <v>1605</v>
      </c>
      <c r="M782" s="275" t="s">
        <v>1606</v>
      </c>
      <c r="N782" s="19" t="s">
        <v>1911</v>
      </c>
      <c r="O782" s="143">
        <v>42977</v>
      </c>
      <c r="P782" s="143"/>
      <c r="Q782" s="143"/>
      <c r="R782" s="144"/>
      <c r="S782" s="144">
        <v>0</v>
      </c>
      <c r="T782" s="144">
        <v>0</v>
      </c>
      <c r="U782" s="145">
        <v>0</v>
      </c>
      <c r="V782" s="145">
        <v>0</v>
      </c>
      <c r="W782" s="145">
        <v>0</v>
      </c>
      <c r="X782" s="145">
        <f t="shared" si="219"/>
        <v>0</v>
      </c>
      <c r="Y782" s="145">
        <v>0</v>
      </c>
      <c r="Z782" s="145">
        <v>0</v>
      </c>
      <c r="AA782" s="145">
        <v>0</v>
      </c>
      <c r="AB782" s="145">
        <v>0</v>
      </c>
      <c r="AC782" s="145">
        <v>0</v>
      </c>
      <c r="AD782" s="145">
        <v>0</v>
      </c>
      <c r="AE782" s="145">
        <v>0</v>
      </c>
      <c r="AF782" s="145">
        <v>0</v>
      </c>
      <c r="AG782" s="145">
        <v>0</v>
      </c>
      <c r="AH782" s="145">
        <v>0</v>
      </c>
      <c r="AI782" s="145">
        <v>0</v>
      </c>
      <c r="AJ782" s="145">
        <v>0</v>
      </c>
      <c r="AK782" s="145">
        <f t="shared" si="227"/>
        <v>0</v>
      </c>
      <c r="AL782" s="145">
        <v>261460</v>
      </c>
      <c r="AM782" s="145">
        <v>0</v>
      </c>
      <c r="AN782" s="145">
        <v>0</v>
      </c>
      <c r="AO782" s="145">
        <v>0</v>
      </c>
      <c r="AP782" s="145">
        <v>0</v>
      </c>
      <c r="AQ782" s="145">
        <v>0</v>
      </c>
      <c r="AR782" s="145">
        <v>0</v>
      </c>
      <c r="AS782" s="144">
        <f t="shared" si="228"/>
        <v>261460</v>
      </c>
      <c r="AT782" s="144"/>
      <c r="AU782" s="146">
        <f t="shared" si="224"/>
        <v>261460</v>
      </c>
      <c r="AV782" s="146">
        <f>IFERROR(VLOOKUP(J782,Maksājumu_pieprasījumu_iesn.!G:BL,57,0),0)</f>
        <v>0</v>
      </c>
      <c r="AW782" s="139">
        <f t="shared" si="218"/>
        <v>-261460</v>
      </c>
      <c r="AX782" s="147"/>
      <c r="AY782" s="147"/>
      <c r="AZ782" s="147"/>
      <c r="BA782" s="165"/>
      <c r="BB782" s="144"/>
      <c r="BC782" s="144"/>
      <c r="BD782" s="144"/>
      <c r="BE782" s="144"/>
      <c r="BF782" s="144"/>
      <c r="BG782" s="144"/>
      <c r="BH782" s="149"/>
      <c r="BI782" s="149"/>
      <c r="BJ782" s="149"/>
      <c r="BK782" s="149"/>
      <c r="BL782" s="149"/>
      <c r="BM782" s="149"/>
      <c r="BN782" s="149"/>
    </row>
    <row r="783" spans="1:66" ht="25.5" hidden="1" customHeight="1" x14ac:dyDescent="0.2">
      <c r="A783" s="142" t="s">
        <v>1603</v>
      </c>
      <c r="B783" s="18" t="s">
        <v>138</v>
      </c>
      <c r="C783" s="18" t="s">
        <v>139</v>
      </c>
      <c r="D783" s="19" t="s">
        <v>576</v>
      </c>
      <c r="E783" s="18">
        <v>2</v>
      </c>
      <c r="F783" s="18" t="s">
        <v>35</v>
      </c>
      <c r="G783" s="18" t="s">
        <v>5</v>
      </c>
      <c r="H783" s="18" t="s">
        <v>3</v>
      </c>
      <c r="I783" s="18"/>
      <c r="J783" s="18" t="s">
        <v>1593</v>
      </c>
      <c r="K783" s="19" t="s">
        <v>897</v>
      </c>
      <c r="L783" s="275" t="s">
        <v>1605</v>
      </c>
      <c r="M783" s="275" t="s">
        <v>1606</v>
      </c>
      <c r="N783" s="19"/>
      <c r="O783" s="143"/>
      <c r="P783" s="143"/>
      <c r="Q783" s="143"/>
      <c r="R783" s="144"/>
      <c r="S783" s="144">
        <v>8482.9263461581431</v>
      </c>
      <c r="T783" s="144"/>
      <c r="U783" s="145"/>
      <c r="V783" s="145"/>
      <c r="W783" s="145"/>
      <c r="X783" s="145"/>
      <c r="Y783" s="145"/>
      <c r="Z783" s="145"/>
      <c r="AA783" s="145"/>
      <c r="AB783" s="145"/>
      <c r="AC783" s="145"/>
      <c r="AD783" s="145"/>
      <c r="AE783" s="145"/>
      <c r="AF783" s="145"/>
      <c r="AG783" s="145"/>
      <c r="AH783" s="145"/>
      <c r="AI783" s="145"/>
      <c r="AJ783" s="145"/>
      <c r="AK783" s="145"/>
      <c r="AL783" s="145"/>
      <c r="AM783" s="145"/>
      <c r="AN783" s="145"/>
      <c r="AO783" s="145"/>
      <c r="AP783" s="145"/>
      <c r="AQ783" s="145"/>
      <c r="AR783" s="145"/>
      <c r="AS783" s="144"/>
      <c r="AT783" s="144"/>
      <c r="AU783" s="146"/>
      <c r="AV783" s="146">
        <f>IFERROR(VLOOKUP(J783,Maksājumu_pieprasījumu_iesn.!G:BL,57,0),0)</f>
        <v>0</v>
      </c>
      <c r="AW783" s="139">
        <f t="shared" si="218"/>
        <v>0</v>
      </c>
      <c r="AX783" s="147"/>
      <c r="AY783" s="144">
        <v>8482.9263461581431</v>
      </c>
      <c r="AZ783" s="172" t="s">
        <v>1859</v>
      </c>
      <c r="BA783" s="165" t="s">
        <v>1912</v>
      </c>
      <c r="BB783" s="144"/>
      <c r="BC783" s="144"/>
      <c r="BD783" s="144"/>
      <c r="BE783" s="144"/>
      <c r="BF783" s="144"/>
      <c r="BG783" s="144"/>
      <c r="BH783" s="149"/>
      <c r="BI783" s="149"/>
      <c r="BJ783" s="149"/>
      <c r="BK783" s="149"/>
      <c r="BL783" s="149"/>
      <c r="BM783" s="149"/>
      <c r="BN783" s="149"/>
    </row>
    <row r="784" spans="1:66" ht="25.5" hidden="1" customHeight="1" x14ac:dyDescent="0.2">
      <c r="A784" s="142" t="s">
        <v>1603</v>
      </c>
      <c r="B784" s="18" t="s">
        <v>138</v>
      </c>
      <c r="C784" s="18" t="s">
        <v>139</v>
      </c>
      <c r="D784" s="19" t="s">
        <v>576</v>
      </c>
      <c r="E784" s="18">
        <v>2</v>
      </c>
      <c r="F784" s="18" t="s">
        <v>35</v>
      </c>
      <c r="G784" s="18" t="s">
        <v>5</v>
      </c>
      <c r="H784" s="18" t="s">
        <v>3</v>
      </c>
      <c r="I784" s="18"/>
      <c r="J784" s="18"/>
      <c r="K784" s="19" t="s">
        <v>856</v>
      </c>
      <c r="L784" s="275" t="s">
        <v>1605</v>
      </c>
      <c r="M784" s="275" t="s">
        <v>1606</v>
      </c>
      <c r="N784" s="19" t="s">
        <v>1913</v>
      </c>
      <c r="O784" s="143">
        <v>42916</v>
      </c>
      <c r="P784" s="143"/>
      <c r="Q784" s="143"/>
      <c r="R784" s="144"/>
      <c r="S784" s="144">
        <v>4370324</v>
      </c>
      <c r="T784" s="144">
        <v>266568.96434791503</v>
      </c>
      <c r="U784" s="145">
        <v>0</v>
      </c>
      <c r="V784" s="145">
        <v>0</v>
      </c>
      <c r="W784" s="145">
        <v>0</v>
      </c>
      <c r="X784" s="145">
        <f t="shared" ref="X784:X792" si="229">W784+V784+U784</f>
        <v>0</v>
      </c>
      <c r="Y784" s="145">
        <v>0</v>
      </c>
      <c r="Z784" s="145">
        <v>0</v>
      </c>
      <c r="AA784" s="145">
        <v>0</v>
      </c>
      <c r="AB784" s="145">
        <v>0</v>
      </c>
      <c r="AC784" s="145">
        <v>0</v>
      </c>
      <c r="AD784" s="145">
        <v>0</v>
      </c>
      <c r="AE784" s="145">
        <v>0</v>
      </c>
      <c r="AF784" s="145">
        <v>0</v>
      </c>
      <c r="AG784" s="145">
        <v>0</v>
      </c>
      <c r="AH784" s="145">
        <v>0</v>
      </c>
      <c r="AI784" s="145">
        <v>0</v>
      </c>
      <c r="AJ784" s="145">
        <v>0</v>
      </c>
      <c r="AK784" s="145">
        <f>SUM(Y784:AJ784)</f>
        <v>0</v>
      </c>
      <c r="AL784" s="145">
        <v>1615000</v>
      </c>
      <c r="AM784" s="145">
        <v>0</v>
      </c>
      <c r="AN784" s="145">
        <v>0</v>
      </c>
      <c r="AO784" s="145">
        <v>0</v>
      </c>
      <c r="AP784" s="145">
        <v>0</v>
      </c>
      <c r="AQ784" s="145">
        <v>0</v>
      </c>
      <c r="AR784" s="145">
        <v>0</v>
      </c>
      <c r="AS784" s="144">
        <f>U784+V784+W784+AK784+AL784+AM784+AN784+AO784+AP784+AQ784+AR784</f>
        <v>1615000</v>
      </c>
      <c r="AT784" s="144"/>
      <c r="AU784" s="146">
        <f>AS784-AT784</f>
        <v>1615000</v>
      </c>
      <c r="AV784" s="146">
        <f>IFERROR(VLOOKUP(J784,Maksājumu_pieprasījumu_iesn.!G:BL,57,0),0)</f>
        <v>0</v>
      </c>
      <c r="AW784" s="139">
        <f t="shared" ref="AW784:AW847" si="230">AV784-AU784</f>
        <v>-1615000</v>
      </c>
      <c r="AX784" s="147"/>
      <c r="AY784" s="147"/>
      <c r="AZ784" s="147"/>
      <c r="BA784" s="165"/>
      <c r="BB784" s="144"/>
      <c r="BC784" s="144"/>
      <c r="BD784" s="144"/>
      <c r="BE784" s="144"/>
      <c r="BF784" s="144"/>
      <c r="BG784" s="144"/>
      <c r="BH784" s="149"/>
      <c r="BI784" s="149"/>
      <c r="BJ784" s="149"/>
      <c r="BK784" s="149"/>
      <c r="BL784" s="149"/>
      <c r="BM784" s="149"/>
      <c r="BN784" s="149"/>
    </row>
    <row r="785" spans="1:66" ht="25.5" hidden="1" customHeight="1" x14ac:dyDescent="0.2">
      <c r="A785" s="142" t="s">
        <v>1603</v>
      </c>
      <c r="B785" s="18" t="s">
        <v>138</v>
      </c>
      <c r="C785" s="18" t="s">
        <v>139</v>
      </c>
      <c r="D785" s="19" t="s">
        <v>576</v>
      </c>
      <c r="E785" s="18">
        <v>2</v>
      </c>
      <c r="F785" s="18" t="s">
        <v>35</v>
      </c>
      <c r="G785" s="18" t="s">
        <v>5</v>
      </c>
      <c r="H785" s="18" t="s">
        <v>3</v>
      </c>
      <c r="I785" s="18"/>
      <c r="J785" s="18"/>
      <c r="K785" s="19" t="s">
        <v>856</v>
      </c>
      <c r="L785" s="275" t="s">
        <v>1605</v>
      </c>
      <c r="M785" s="275" t="s">
        <v>1606</v>
      </c>
      <c r="N785" s="19" t="s">
        <v>1914</v>
      </c>
      <c r="O785" s="143">
        <v>43008</v>
      </c>
      <c r="P785" s="143"/>
      <c r="Q785" s="143"/>
      <c r="R785" s="144"/>
      <c r="S785" s="144">
        <v>0</v>
      </c>
      <c r="T785" s="144">
        <v>0</v>
      </c>
      <c r="U785" s="145">
        <v>0</v>
      </c>
      <c r="V785" s="145">
        <v>0</v>
      </c>
      <c r="W785" s="145">
        <v>0</v>
      </c>
      <c r="X785" s="145">
        <f t="shared" si="229"/>
        <v>0</v>
      </c>
      <c r="Y785" s="145">
        <v>0</v>
      </c>
      <c r="Z785" s="145">
        <v>0</v>
      </c>
      <c r="AA785" s="145">
        <v>0</v>
      </c>
      <c r="AB785" s="145">
        <v>0</v>
      </c>
      <c r="AC785" s="145">
        <v>0</v>
      </c>
      <c r="AD785" s="145">
        <v>0</v>
      </c>
      <c r="AE785" s="145">
        <v>0</v>
      </c>
      <c r="AF785" s="145">
        <v>0</v>
      </c>
      <c r="AG785" s="145">
        <v>0</v>
      </c>
      <c r="AH785" s="145">
        <v>0</v>
      </c>
      <c r="AI785" s="145">
        <v>0</v>
      </c>
      <c r="AJ785" s="145">
        <v>0</v>
      </c>
      <c r="AK785" s="145">
        <f>SUM(Y785:AJ785)</f>
        <v>0</v>
      </c>
      <c r="AL785" s="145">
        <v>551065</v>
      </c>
      <c r="AM785" s="145">
        <v>1937690.035652085</v>
      </c>
      <c r="AN785" s="145">
        <v>0</v>
      </c>
      <c r="AO785" s="145">
        <v>0</v>
      </c>
      <c r="AP785" s="145">
        <v>0</v>
      </c>
      <c r="AQ785" s="145">
        <v>0</v>
      </c>
      <c r="AR785" s="145">
        <v>0</v>
      </c>
      <c r="AS785" s="144">
        <f>U785+V785+W785+AK785+AL785+AM785+AN785+AO785+AP785+AQ785+AR785</f>
        <v>2488755.0356520852</v>
      </c>
      <c r="AT785" s="144"/>
      <c r="AU785" s="146">
        <f>AS785-AT785</f>
        <v>2488755.0356520852</v>
      </c>
      <c r="AV785" s="146">
        <f>IFERROR(VLOOKUP(J785,Maksājumu_pieprasījumu_iesn.!G:BL,57,0),0)</f>
        <v>0</v>
      </c>
      <c r="AW785" s="139">
        <f t="shared" si="230"/>
        <v>-2488755.0356520852</v>
      </c>
      <c r="AX785" s="147"/>
      <c r="AY785" s="147" t="s">
        <v>1085</v>
      </c>
      <c r="AZ785" s="147"/>
      <c r="BA785" s="165" t="s">
        <v>1086</v>
      </c>
      <c r="BB785" s="144"/>
      <c r="BC785" s="144"/>
      <c r="BD785" s="144"/>
      <c r="BE785" s="144"/>
      <c r="BF785" s="144"/>
      <c r="BG785" s="144"/>
      <c r="BH785" s="149"/>
      <c r="BI785" s="149"/>
      <c r="BJ785" s="149"/>
      <c r="BK785" s="149"/>
      <c r="BL785" s="149"/>
      <c r="BM785" s="149"/>
      <c r="BN785" s="149"/>
    </row>
    <row r="786" spans="1:66" ht="51" hidden="1" customHeight="1" x14ac:dyDescent="0.2">
      <c r="A786" s="142" t="s">
        <v>1603</v>
      </c>
      <c r="B786" s="18" t="s">
        <v>138</v>
      </c>
      <c r="C786" s="18" t="s">
        <v>139</v>
      </c>
      <c r="D786" s="19" t="s">
        <v>576</v>
      </c>
      <c r="E786" s="18">
        <v>2</v>
      </c>
      <c r="F786" s="18" t="s">
        <v>35</v>
      </c>
      <c r="G786" s="18" t="s">
        <v>5</v>
      </c>
      <c r="H786" s="18" t="s">
        <v>3</v>
      </c>
      <c r="I786" s="18"/>
      <c r="J786" s="18"/>
      <c r="K786" s="19" t="s">
        <v>810</v>
      </c>
      <c r="L786" s="275" t="s">
        <v>1605</v>
      </c>
      <c r="M786" s="275" t="s">
        <v>1606</v>
      </c>
      <c r="N786" s="19" t="s">
        <v>1915</v>
      </c>
      <c r="O786" s="143">
        <v>42886</v>
      </c>
      <c r="P786" s="143"/>
      <c r="Q786" s="143"/>
      <c r="R786" s="144"/>
      <c r="S786" s="144">
        <v>3551428.5</v>
      </c>
      <c r="T786" s="144">
        <v>293225.83638460998</v>
      </c>
      <c r="U786" s="145">
        <v>0</v>
      </c>
      <c r="V786" s="145">
        <v>0</v>
      </c>
      <c r="W786" s="145">
        <v>0</v>
      </c>
      <c r="X786" s="145">
        <f t="shared" si="229"/>
        <v>0</v>
      </c>
      <c r="Y786" s="145">
        <v>0</v>
      </c>
      <c r="Z786" s="145">
        <v>0</v>
      </c>
      <c r="AA786" s="145">
        <v>0</v>
      </c>
      <c r="AB786" s="145">
        <v>0</v>
      </c>
      <c r="AC786" s="145">
        <v>0</v>
      </c>
      <c r="AD786" s="145">
        <v>0</v>
      </c>
      <c r="AE786" s="145">
        <v>0</v>
      </c>
      <c r="AF786" s="145">
        <v>0</v>
      </c>
      <c r="AG786" s="145">
        <v>0</v>
      </c>
      <c r="AH786" s="145">
        <v>0</v>
      </c>
      <c r="AI786" s="145">
        <v>0</v>
      </c>
      <c r="AJ786" s="145">
        <v>0</v>
      </c>
      <c r="AK786" s="145">
        <f>SUM(Y786:AJ786)</f>
        <v>0</v>
      </c>
      <c r="AL786" s="145">
        <v>3241558</v>
      </c>
      <c r="AM786" s="145">
        <v>0</v>
      </c>
      <c r="AN786" s="145">
        <v>0</v>
      </c>
      <c r="AO786" s="145">
        <v>0</v>
      </c>
      <c r="AP786" s="145">
        <v>0</v>
      </c>
      <c r="AQ786" s="145">
        <v>0</v>
      </c>
      <c r="AR786" s="145">
        <v>0</v>
      </c>
      <c r="AS786" s="144">
        <f>U786+V786+W786+AK786+AL786+AM786+AN786+AO786+AP786+AQ786+AR786</f>
        <v>3241558</v>
      </c>
      <c r="AT786" s="144"/>
      <c r="AU786" s="146">
        <f>AS786-AT786</f>
        <v>3241558</v>
      </c>
      <c r="AV786" s="146">
        <f>IFERROR(VLOOKUP(J786,Maksājumu_pieprasījumu_iesn.!G:BL,57,0),0)</f>
        <v>0</v>
      </c>
      <c r="AW786" s="139">
        <f t="shared" si="230"/>
        <v>-3241558</v>
      </c>
      <c r="AX786" s="147">
        <v>331995</v>
      </c>
      <c r="AY786" s="147"/>
      <c r="AZ786" s="147"/>
      <c r="BA786" s="165"/>
      <c r="BB786" s="144"/>
      <c r="BC786" s="144"/>
      <c r="BD786" s="144"/>
      <c r="BE786" s="144"/>
      <c r="BF786" s="144"/>
      <c r="BG786" s="144"/>
      <c r="BH786" s="149"/>
      <c r="BI786" s="149"/>
      <c r="BJ786" s="149"/>
      <c r="BK786" s="149"/>
      <c r="BL786" s="149"/>
      <c r="BM786" s="149"/>
      <c r="BN786" s="149"/>
    </row>
    <row r="787" spans="1:66" ht="38.25" hidden="1" customHeight="1" x14ac:dyDescent="0.2">
      <c r="A787" s="142" t="s">
        <v>1603</v>
      </c>
      <c r="B787" s="18" t="s">
        <v>138</v>
      </c>
      <c r="C787" s="18" t="s">
        <v>139</v>
      </c>
      <c r="D787" s="19" t="s">
        <v>576</v>
      </c>
      <c r="E787" s="18">
        <v>2</v>
      </c>
      <c r="F787" s="18" t="s">
        <v>35</v>
      </c>
      <c r="G787" s="18" t="s">
        <v>5</v>
      </c>
      <c r="H787" s="18" t="s">
        <v>3</v>
      </c>
      <c r="I787" s="18"/>
      <c r="J787" s="18" t="s">
        <v>779</v>
      </c>
      <c r="K787" s="19" t="s">
        <v>810</v>
      </c>
      <c r="L787" s="275" t="s">
        <v>1605</v>
      </c>
      <c r="M787" s="275" t="s">
        <v>1606</v>
      </c>
      <c r="N787" s="19" t="s">
        <v>811</v>
      </c>
      <c r="O787" s="143"/>
      <c r="P787" s="143"/>
      <c r="Q787" s="143"/>
      <c r="R787" s="172" t="s">
        <v>1916</v>
      </c>
      <c r="S787" s="144">
        <v>362701.66</v>
      </c>
      <c r="T787" s="144">
        <v>0</v>
      </c>
      <c r="U787" s="145">
        <v>0</v>
      </c>
      <c r="V787" s="145">
        <v>0</v>
      </c>
      <c r="W787" s="145">
        <v>0</v>
      </c>
      <c r="X787" s="145">
        <f t="shared" si="229"/>
        <v>0</v>
      </c>
      <c r="Y787" s="145">
        <v>0</v>
      </c>
      <c r="Z787" s="145">
        <v>0</v>
      </c>
      <c r="AA787" s="145">
        <v>0</v>
      </c>
      <c r="AB787" s="145">
        <v>0</v>
      </c>
      <c r="AC787" s="145">
        <v>0</v>
      </c>
      <c r="AD787" s="145">
        <v>0</v>
      </c>
      <c r="AE787" s="145">
        <v>0</v>
      </c>
      <c r="AF787" s="145">
        <v>0</v>
      </c>
      <c r="AG787" s="145">
        <v>0</v>
      </c>
      <c r="AH787" s="145">
        <v>0</v>
      </c>
      <c r="AI787" s="145">
        <v>0</v>
      </c>
      <c r="AJ787" s="145">
        <v>0</v>
      </c>
      <c r="AK787" s="145">
        <f>SUM(Y787:AJ787)</f>
        <v>0</v>
      </c>
      <c r="AL787" s="145">
        <v>340576.86</v>
      </c>
      <c r="AM787" s="145">
        <v>0</v>
      </c>
      <c r="AN787" s="145">
        <v>0</v>
      </c>
      <c r="AO787" s="145">
        <v>0</v>
      </c>
      <c r="AP787" s="145">
        <v>0</v>
      </c>
      <c r="AQ787" s="145">
        <v>0</v>
      </c>
      <c r="AR787" s="145">
        <v>0</v>
      </c>
      <c r="AS787" s="144">
        <f>U787+V787+W787+AK787+AL787+AM787+AN787+AO787+AP787+AQ787+AR787</f>
        <v>340576.86</v>
      </c>
      <c r="AT787" s="144"/>
      <c r="AU787" s="146">
        <f>AS787-AT787</f>
        <v>340576.86</v>
      </c>
      <c r="AV787" s="146">
        <f>IFERROR(VLOOKUP(J787,Maksājumu_pieprasījumu_iesn.!G:BL,57,0),0)</f>
        <v>0</v>
      </c>
      <c r="AW787" s="139">
        <f t="shared" si="230"/>
        <v>-340576.86</v>
      </c>
      <c r="AX787" s="147"/>
      <c r="AY787" s="147"/>
      <c r="AZ787" s="147"/>
      <c r="BA787" s="165"/>
      <c r="BB787" s="144"/>
      <c r="BC787" s="144"/>
      <c r="BD787" s="144"/>
      <c r="BE787" s="144"/>
      <c r="BF787" s="144"/>
      <c r="BG787" s="144"/>
      <c r="BH787" s="149"/>
      <c r="BI787" s="149"/>
      <c r="BJ787" s="149"/>
      <c r="BK787" s="149"/>
      <c r="BL787" s="149"/>
      <c r="BM787" s="149"/>
      <c r="BN787" s="149"/>
    </row>
    <row r="788" spans="1:66" ht="25.5" hidden="1" customHeight="1" x14ac:dyDescent="0.2">
      <c r="A788" s="142" t="s">
        <v>1603</v>
      </c>
      <c r="B788" s="18" t="s">
        <v>138</v>
      </c>
      <c r="C788" s="18" t="s">
        <v>139</v>
      </c>
      <c r="D788" s="19" t="s">
        <v>576</v>
      </c>
      <c r="E788" s="18">
        <v>2</v>
      </c>
      <c r="F788" s="18" t="s">
        <v>35</v>
      </c>
      <c r="G788" s="18" t="s">
        <v>5</v>
      </c>
      <c r="H788" s="18" t="s">
        <v>3</v>
      </c>
      <c r="I788" s="18"/>
      <c r="J788" s="18"/>
      <c r="K788" s="19" t="s">
        <v>810</v>
      </c>
      <c r="L788" s="275" t="s">
        <v>1605</v>
      </c>
      <c r="M788" s="275" t="s">
        <v>1606</v>
      </c>
      <c r="N788" s="19" t="s">
        <v>1917</v>
      </c>
      <c r="O788" s="143">
        <v>42947</v>
      </c>
      <c r="P788" s="143"/>
      <c r="Q788" s="143"/>
      <c r="R788" s="144"/>
      <c r="S788" s="144">
        <v>893225.83999999985</v>
      </c>
      <c r="T788" s="144"/>
      <c r="U788" s="145">
        <v>0</v>
      </c>
      <c r="V788" s="145">
        <v>0</v>
      </c>
      <c r="W788" s="145">
        <v>0</v>
      </c>
      <c r="X788" s="145">
        <f t="shared" si="229"/>
        <v>0</v>
      </c>
      <c r="Y788" s="145">
        <v>0</v>
      </c>
      <c r="Z788" s="145">
        <v>0</v>
      </c>
      <c r="AA788" s="145">
        <v>0</v>
      </c>
      <c r="AB788" s="145">
        <v>0</v>
      </c>
      <c r="AC788" s="145">
        <v>0</v>
      </c>
      <c r="AD788" s="145">
        <v>0</v>
      </c>
      <c r="AE788" s="145">
        <v>0</v>
      </c>
      <c r="AF788" s="145">
        <v>0</v>
      </c>
      <c r="AG788" s="145">
        <v>0</v>
      </c>
      <c r="AH788" s="145">
        <v>0</v>
      </c>
      <c r="AI788" s="145">
        <v>0</v>
      </c>
      <c r="AJ788" s="145">
        <v>0</v>
      </c>
      <c r="AK788" s="145">
        <f>SUM(Y788:AJ788)</f>
        <v>0</v>
      </c>
      <c r="AL788" s="145">
        <v>600000</v>
      </c>
      <c r="AM788" s="145">
        <v>0</v>
      </c>
      <c r="AN788" s="145">
        <v>0</v>
      </c>
      <c r="AO788" s="145">
        <v>0</v>
      </c>
      <c r="AP788" s="145">
        <v>0</v>
      </c>
      <c r="AQ788" s="145">
        <v>0</v>
      </c>
      <c r="AR788" s="145">
        <v>0</v>
      </c>
      <c r="AS788" s="144">
        <f>U788+V788+W788+AK788+AL788+AM788+AN788+AO788+AP788+AQ788+AR788</f>
        <v>600000</v>
      </c>
      <c r="AT788" s="144"/>
      <c r="AU788" s="146">
        <f>AS788-AT788</f>
        <v>600000</v>
      </c>
      <c r="AV788" s="146">
        <f>IFERROR(VLOOKUP(J788,Maksājumu_pieprasījumu_iesn.!G:BL,57,0),0)</f>
        <v>0</v>
      </c>
      <c r="AW788" s="139">
        <f t="shared" si="230"/>
        <v>-600000</v>
      </c>
      <c r="AX788" s="147"/>
      <c r="AY788" s="147"/>
      <c r="AZ788" s="147"/>
      <c r="BA788" s="165"/>
      <c r="BB788" s="144"/>
      <c r="BC788" s="144"/>
      <c r="BD788" s="144"/>
      <c r="BE788" s="144"/>
      <c r="BF788" s="144"/>
      <c r="BG788" s="144"/>
      <c r="BH788" s="149"/>
      <c r="BI788" s="149"/>
      <c r="BJ788" s="149"/>
      <c r="BK788" s="149"/>
      <c r="BL788" s="149"/>
      <c r="BM788" s="149"/>
      <c r="BN788" s="149"/>
    </row>
    <row r="789" spans="1:66" ht="25.5" hidden="1" customHeight="1" x14ac:dyDescent="0.2">
      <c r="A789" s="142" t="s">
        <v>1603</v>
      </c>
      <c r="B789" s="18" t="s">
        <v>138</v>
      </c>
      <c r="C789" s="18" t="s">
        <v>139</v>
      </c>
      <c r="D789" s="19" t="s">
        <v>576</v>
      </c>
      <c r="E789" s="18">
        <v>2</v>
      </c>
      <c r="F789" s="18" t="s">
        <v>35</v>
      </c>
      <c r="G789" s="18" t="s">
        <v>5</v>
      </c>
      <c r="H789" s="18" t="s">
        <v>3</v>
      </c>
      <c r="I789" s="18"/>
      <c r="J789" s="18" t="s">
        <v>1593</v>
      </c>
      <c r="K789" s="19" t="s">
        <v>810</v>
      </c>
      <c r="L789" s="275" t="s">
        <v>1605</v>
      </c>
      <c r="M789" s="275" t="s">
        <v>1606</v>
      </c>
      <c r="N789" s="19"/>
      <c r="O789" s="143"/>
      <c r="P789" s="143"/>
      <c r="Q789" s="143"/>
      <c r="R789" s="144"/>
      <c r="S789" s="144">
        <v>331995.30361538974</v>
      </c>
      <c r="T789" s="144"/>
      <c r="U789" s="145"/>
      <c r="V789" s="145"/>
      <c r="W789" s="145"/>
      <c r="X789" s="145">
        <f t="shared" si="229"/>
        <v>0</v>
      </c>
      <c r="Y789" s="145"/>
      <c r="Z789" s="145"/>
      <c r="AA789" s="145"/>
      <c r="AB789" s="145"/>
      <c r="AC789" s="145"/>
      <c r="AD789" s="145"/>
      <c r="AE789" s="145"/>
      <c r="AF789" s="145"/>
      <c r="AG789" s="145"/>
      <c r="AH789" s="145"/>
      <c r="AI789" s="145"/>
      <c r="AJ789" s="145"/>
      <c r="AK789" s="145"/>
      <c r="AL789" s="145"/>
      <c r="AM789" s="145"/>
      <c r="AN789" s="145"/>
      <c r="AO789" s="145"/>
      <c r="AP789" s="145"/>
      <c r="AQ789" s="145"/>
      <c r="AR789" s="145"/>
      <c r="AS789" s="144"/>
      <c r="AT789" s="144"/>
      <c r="AU789" s="146"/>
      <c r="AV789" s="146">
        <f>IFERROR(VLOOKUP(J789,Maksājumu_pieprasījumu_iesn.!G:BL,57,0),0)</f>
        <v>0</v>
      </c>
      <c r="AW789" s="139">
        <f t="shared" si="230"/>
        <v>0</v>
      </c>
      <c r="AX789" s="147"/>
      <c r="AY789" s="144">
        <v>331995.30361538974</v>
      </c>
      <c r="AZ789" s="172" t="s">
        <v>1859</v>
      </c>
      <c r="BA789" s="165" t="s">
        <v>1918</v>
      </c>
      <c r="BB789" s="144"/>
      <c r="BC789" s="144"/>
      <c r="BD789" s="144"/>
      <c r="BE789" s="144"/>
      <c r="BF789" s="144"/>
      <c r="BG789" s="144"/>
      <c r="BH789" s="149"/>
      <c r="BI789" s="149"/>
      <c r="BJ789" s="149"/>
      <c r="BK789" s="149"/>
      <c r="BL789" s="149"/>
      <c r="BM789" s="149"/>
      <c r="BN789" s="149"/>
    </row>
    <row r="790" spans="1:66" ht="38.25" hidden="1" customHeight="1" x14ac:dyDescent="0.2">
      <c r="A790" s="142" t="s">
        <v>1603</v>
      </c>
      <c r="B790" s="18" t="s">
        <v>138</v>
      </c>
      <c r="C790" s="18" t="s">
        <v>139</v>
      </c>
      <c r="D790" s="19" t="s">
        <v>576</v>
      </c>
      <c r="E790" s="18">
        <v>2</v>
      </c>
      <c r="F790" s="18" t="s">
        <v>35</v>
      </c>
      <c r="G790" s="18" t="s">
        <v>5</v>
      </c>
      <c r="H790" s="18" t="s">
        <v>3</v>
      </c>
      <c r="I790" s="18"/>
      <c r="J790" s="18" t="s">
        <v>713</v>
      </c>
      <c r="K790" s="19" t="s">
        <v>72</v>
      </c>
      <c r="L790" s="275" t="s">
        <v>1605</v>
      </c>
      <c r="M790" s="275" t="s">
        <v>1606</v>
      </c>
      <c r="N790" s="19" t="s">
        <v>714</v>
      </c>
      <c r="O790" s="143"/>
      <c r="P790" s="143"/>
      <c r="Q790" s="143"/>
      <c r="R790" s="172" t="s">
        <v>1919</v>
      </c>
      <c r="S790" s="144">
        <v>4370324</v>
      </c>
      <c r="T790" s="144">
        <v>266568.96434791503</v>
      </c>
      <c r="U790" s="145">
        <v>0</v>
      </c>
      <c r="V790" s="145">
        <v>0</v>
      </c>
      <c r="W790" s="145">
        <v>0</v>
      </c>
      <c r="X790" s="145">
        <f t="shared" si="229"/>
        <v>0</v>
      </c>
      <c r="Y790" s="145">
        <v>0</v>
      </c>
      <c r="Z790" s="145">
        <v>0</v>
      </c>
      <c r="AA790" s="145">
        <v>0</v>
      </c>
      <c r="AB790" s="145">
        <v>0</v>
      </c>
      <c r="AC790" s="145">
        <v>108388.19</v>
      </c>
      <c r="AD790" s="145">
        <v>0</v>
      </c>
      <c r="AE790" s="145">
        <v>0</v>
      </c>
      <c r="AF790" s="145">
        <v>0</v>
      </c>
      <c r="AG790" s="145">
        <v>0</v>
      </c>
      <c r="AH790" s="145">
        <v>0</v>
      </c>
      <c r="AI790" s="145">
        <v>0</v>
      </c>
      <c r="AJ790" s="145">
        <v>0</v>
      </c>
      <c r="AK790" s="145">
        <f>SUM(Y790:AJ790)</f>
        <v>108388.19</v>
      </c>
      <c r="AL790" s="145">
        <v>2491607.96</v>
      </c>
      <c r="AM790" s="145">
        <v>0</v>
      </c>
      <c r="AN790" s="145">
        <v>0</v>
      </c>
      <c r="AO790" s="145">
        <v>0</v>
      </c>
      <c r="AP790" s="145">
        <v>0</v>
      </c>
      <c r="AQ790" s="145">
        <v>0</v>
      </c>
      <c r="AR790" s="145">
        <v>0</v>
      </c>
      <c r="AS790" s="144">
        <f>U790+V790+W790+AK790+AL790+AM790+AN790+AO790+AP790+AQ790+AR790</f>
        <v>2599996.15</v>
      </c>
      <c r="AT790" s="144">
        <v>0</v>
      </c>
      <c r="AU790" s="146">
        <f t="shared" ref="AU790:AU862" si="231">AS790-AT790</f>
        <v>2599996.15</v>
      </c>
      <c r="AV790" s="146">
        <f>IFERROR(VLOOKUP(J790,Maksājumu_pieprasījumu_iesn.!G:BL,57,0),0)</f>
        <v>0</v>
      </c>
      <c r="AW790" s="139">
        <f t="shared" si="230"/>
        <v>-2599996.15</v>
      </c>
      <c r="AX790" s="147"/>
      <c r="AY790" s="147"/>
      <c r="AZ790" s="147"/>
      <c r="BA790" s="165"/>
      <c r="BB790" s="144"/>
      <c r="BC790" s="144"/>
      <c r="BD790" s="144"/>
      <c r="BE790" s="144"/>
      <c r="BF790" s="144"/>
      <c r="BG790" s="144"/>
      <c r="BH790" s="149"/>
      <c r="BI790" s="149"/>
      <c r="BJ790" s="149"/>
      <c r="BK790" s="149"/>
      <c r="BL790" s="149"/>
      <c r="BM790" s="149"/>
      <c r="BN790" s="149"/>
    </row>
    <row r="791" spans="1:66" ht="25.5" hidden="1" customHeight="1" x14ac:dyDescent="0.2">
      <c r="A791" s="142" t="s">
        <v>1603</v>
      </c>
      <c r="B791" s="18" t="s">
        <v>138</v>
      </c>
      <c r="C791" s="18" t="s">
        <v>139</v>
      </c>
      <c r="D791" s="19" t="s">
        <v>576</v>
      </c>
      <c r="E791" s="18">
        <v>2</v>
      </c>
      <c r="F791" s="18" t="s">
        <v>35</v>
      </c>
      <c r="G791" s="18" t="s">
        <v>5</v>
      </c>
      <c r="H791" s="18" t="s">
        <v>3</v>
      </c>
      <c r="I791" s="18"/>
      <c r="J791" s="18"/>
      <c r="K791" s="19" t="s">
        <v>72</v>
      </c>
      <c r="L791" s="275" t="s">
        <v>1605</v>
      </c>
      <c r="M791" s="275" t="s">
        <v>1606</v>
      </c>
      <c r="N791" s="19" t="s">
        <v>1920</v>
      </c>
      <c r="O791" s="143">
        <v>42998</v>
      </c>
      <c r="P791" s="143"/>
      <c r="Q791" s="143"/>
      <c r="R791" s="144"/>
      <c r="S791" s="144">
        <v>0</v>
      </c>
      <c r="T791" s="144">
        <v>0</v>
      </c>
      <c r="U791" s="145">
        <v>0</v>
      </c>
      <c r="V791" s="145">
        <v>0</v>
      </c>
      <c r="W791" s="145">
        <v>0</v>
      </c>
      <c r="X791" s="145">
        <f t="shared" si="229"/>
        <v>0</v>
      </c>
      <c r="Y791" s="145">
        <v>0</v>
      </c>
      <c r="Z791" s="145">
        <v>0</v>
      </c>
      <c r="AA791" s="145">
        <v>0</v>
      </c>
      <c r="AB791" s="145">
        <v>0</v>
      </c>
      <c r="AC791" s="145">
        <v>0</v>
      </c>
      <c r="AD791" s="145">
        <v>0</v>
      </c>
      <c r="AE791" s="145">
        <v>0</v>
      </c>
      <c r="AF791" s="145">
        <v>0</v>
      </c>
      <c r="AG791" s="145">
        <v>0</v>
      </c>
      <c r="AH791" s="145">
        <v>0</v>
      </c>
      <c r="AI791" s="145">
        <v>0</v>
      </c>
      <c r="AJ791" s="145">
        <v>0</v>
      </c>
      <c r="AK791" s="145">
        <f>SUM(Y791:AJ791)</f>
        <v>0</v>
      </c>
      <c r="AL791" s="145">
        <v>1300000</v>
      </c>
      <c r="AM791" s="145">
        <v>0</v>
      </c>
      <c r="AN791" s="145">
        <v>0</v>
      </c>
      <c r="AO791" s="145">
        <v>0</v>
      </c>
      <c r="AP791" s="145">
        <v>0</v>
      </c>
      <c r="AQ791" s="145">
        <v>0</v>
      </c>
      <c r="AR791" s="145">
        <v>0</v>
      </c>
      <c r="AS791" s="144">
        <f>U791+V791+W791+AK791+AL791+AM791+AN791+AO791+AP791+AQ791+AR791</f>
        <v>1300000</v>
      </c>
      <c r="AT791" s="144"/>
      <c r="AU791" s="146">
        <f t="shared" si="231"/>
        <v>1300000</v>
      </c>
      <c r="AV791" s="146">
        <f>IFERROR(VLOOKUP(J791,Maksājumu_pieprasījumu_iesn.!G:BL,57,0),0)</f>
        <v>0</v>
      </c>
      <c r="AW791" s="139">
        <f t="shared" si="230"/>
        <v>-1300000</v>
      </c>
      <c r="AX791" s="147"/>
      <c r="AY791" s="147"/>
      <c r="AZ791" s="147"/>
      <c r="BA791" s="165"/>
      <c r="BB791" s="144"/>
      <c r="BC791" s="144"/>
      <c r="BD791" s="144"/>
      <c r="BE791" s="144"/>
      <c r="BF791" s="144"/>
      <c r="BG791" s="144"/>
      <c r="BH791" s="149"/>
      <c r="BI791" s="149"/>
      <c r="BJ791" s="149"/>
      <c r="BK791" s="149"/>
      <c r="BL791" s="149"/>
      <c r="BM791" s="149"/>
      <c r="BN791" s="149"/>
    </row>
    <row r="792" spans="1:66" ht="38.25" hidden="1" customHeight="1" x14ac:dyDescent="0.2">
      <c r="A792" s="142" t="s">
        <v>1603</v>
      </c>
      <c r="B792" s="18" t="s">
        <v>138</v>
      </c>
      <c r="C792" s="18" t="s">
        <v>139</v>
      </c>
      <c r="D792" s="19" t="s">
        <v>576</v>
      </c>
      <c r="E792" s="18">
        <v>2</v>
      </c>
      <c r="F792" s="18" t="s">
        <v>35</v>
      </c>
      <c r="G792" s="18" t="s">
        <v>5</v>
      </c>
      <c r="H792" s="18" t="s">
        <v>3</v>
      </c>
      <c r="I792" s="18"/>
      <c r="J792" s="18"/>
      <c r="K792" s="19" t="s">
        <v>72</v>
      </c>
      <c r="L792" s="275" t="s">
        <v>1605</v>
      </c>
      <c r="M792" s="275" t="s">
        <v>1606</v>
      </c>
      <c r="N792" s="19" t="s">
        <v>1921</v>
      </c>
      <c r="O792" s="143">
        <v>42998</v>
      </c>
      <c r="P792" s="143"/>
      <c r="Q792" s="143"/>
      <c r="R792" s="144"/>
      <c r="S792" s="144">
        <v>0</v>
      </c>
      <c r="T792" s="144">
        <v>0</v>
      </c>
      <c r="U792" s="145">
        <v>0</v>
      </c>
      <c r="V792" s="145">
        <v>0</v>
      </c>
      <c r="W792" s="145">
        <v>0</v>
      </c>
      <c r="X792" s="145">
        <f t="shared" si="229"/>
        <v>0</v>
      </c>
      <c r="Y792" s="145">
        <v>0</v>
      </c>
      <c r="Z792" s="145">
        <v>0</v>
      </c>
      <c r="AA792" s="145">
        <v>0</v>
      </c>
      <c r="AB792" s="145">
        <v>0</v>
      </c>
      <c r="AC792" s="145">
        <v>0</v>
      </c>
      <c r="AD792" s="145">
        <v>0</v>
      </c>
      <c r="AE792" s="145">
        <v>0</v>
      </c>
      <c r="AF792" s="145">
        <v>0</v>
      </c>
      <c r="AG792" s="145">
        <v>0</v>
      </c>
      <c r="AH792" s="145">
        <v>0</v>
      </c>
      <c r="AI792" s="145">
        <v>0</v>
      </c>
      <c r="AJ792" s="145">
        <v>0</v>
      </c>
      <c r="AK792" s="145">
        <f>SUM(Y792:AJ792)</f>
        <v>0</v>
      </c>
      <c r="AL792" s="145">
        <v>203755.03565208497</v>
      </c>
      <c r="AM792" s="145">
        <v>0</v>
      </c>
      <c r="AN792" s="145">
        <v>0</v>
      </c>
      <c r="AO792" s="145">
        <v>0</v>
      </c>
      <c r="AP792" s="145">
        <v>0</v>
      </c>
      <c r="AQ792" s="145">
        <v>0</v>
      </c>
      <c r="AR792" s="145">
        <v>0</v>
      </c>
      <c r="AS792" s="144">
        <f>U792+V792+W792+AK792+AL792+AM792+AN792+AO792+AP792+AQ792+AR792</f>
        <v>203755.03565208497</v>
      </c>
      <c r="AT792" s="144"/>
      <c r="AU792" s="146">
        <f t="shared" si="231"/>
        <v>203755.03565208497</v>
      </c>
      <c r="AV792" s="146">
        <f>IFERROR(VLOOKUP(J792,Maksājumu_pieprasījumu_iesn.!G:BL,57,0),0)</f>
        <v>0</v>
      </c>
      <c r="AW792" s="139">
        <f t="shared" si="230"/>
        <v>-203755.03565208497</v>
      </c>
      <c r="AX792" s="147"/>
      <c r="AY792" s="147" t="s">
        <v>1085</v>
      </c>
      <c r="AZ792" s="147"/>
      <c r="BA792" s="165"/>
      <c r="BB792" s="144"/>
      <c r="BC792" s="144"/>
      <c r="BD792" s="144"/>
      <c r="BE792" s="144"/>
      <c r="BF792" s="144"/>
      <c r="BG792" s="144"/>
      <c r="BH792" s="149"/>
      <c r="BI792" s="149"/>
      <c r="BJ792" s="149"/>
      <c r="BK792" s="149"/>
      <c r="BL792" s="149"/>
      <c r="BM792" s="149"/>
      <c r="BN792" s="149"/>
    </row>
    <row r="793" spans="1:66" s="85" customFormat="1" ht="25.5" hidden="1" customHeight="1" x14ac:dyDescent="0.2">
      <c r="A793" s="173" t="s">
        <v>1603</v>
      </c>
      <c r="B793" s="132" t="s">
        <v>138</v>
      </c>
      <c r="C793" s="132" t="s">
        <v>139</v>
      </c>
      <c r="D793" s="133" t="s">
        <v>576</v>
      </c>
      <c r="E793" s="132">
        <v>3</v>
      </c>
      <c r="F793" s="132" t="s">
        <v>35</v>
      </c>
      <c r="G793" s="132" t="s">
        <v>5</v>
      </c>
      <c r="H793" s="132" t="s">
        <v>3</v>
      </c>
      <c r="I793" s="132" t="s">
        <v>1022</v>
      </c>
      <c r="J793" s="132" t="s">
        <v>1026</v>
      </c>
      <c r="K793" s="133"/>
      <c r="L793" s="274"/>
      <c r="M793" s="314" t="s">
        <v>1606</v>
      </c>
      <c r="N793" s="133"/>
      <c r="O793" s="230"/>
      <c r="P793" s="230"/>
      <c r="Q793" s="230"/>
      <c r="R793" s="230"/>
      <c r="S793" s="165">
        <v>52247026</v>
      </c>
      <c r="T793" s="165">
        <v>3186819</v>
      </c>
      <c r="U793" s="137">
        <f t="shared" ref="U793:AQ793" si="232">U794+U796+U797+U798+U799+U800++U801+U802+U803+U804+U805+U806+U808+U809+U810+U811</f>
        <v>0</v>
      </c>
      <c r="V793" s="137">
        <f t="shared" si="232"/>
        <v>0</v>
      </c>
      <c r="W793" s="137">
        <f t="shared" si="232"/>
        <v>0</v>
      </c>
      <c r="X793" s="137">
        <f t="shared" si="232"/>
        <v>0</v>
      </c>
      <c r="Y793" s="137">
        <f t="shared" si="232"/>
        <v>0</v>
      </c>
      <c r="Z793" s="137">
        <f t="shared" si="232"/>
        <v>0</v>
      </c>
      <c r="AA793" s="137">
        <f t="shared" si="232"/>
        <v>89197.56</v>
      </c>
      <c r="AB793" s="137">
        <f t="shared" si="232"/>
        <v>0</v>
      </c>
      <c r="AC793" s="137">
        <f t="shared" si="232"/>
        <v>292293.62</v>
      </c>
      <c r="AD793" s="137">
        <f t="shared" si="232"/>
        <v>176068.42</v>
      </c>
      <c r="AE793" s="137">
        <f t="shared" si="232"/>
        <v>440252.14</v>
      </c>
      <c r="AF793" s="137">
        <f t="shared" si="232"/>
        <v>0</v>
      </c>
      <c r="AG793" s="137">
        <f t="shared" si="232"/>
        <v>2770004.66</v>
      </c>
      <c r="AH793" s="137">
        <f t="shared" si="232"/>
        <v>772642.01</v>
      </c>
      <c r="AI793" s="137">
        <f t="shared" si="232"/>
        <v>0</v>
      </c>
      <c r="AJ793" s="137">
        <f t="shared" si="232"/>
        <v>183628.51</v>
      </c>
      <c r="AK793" s="137">
        <f t="shared" si="232"/>
        <v>4724086.92</v>
      </c>
      <c r="AL793" s="137">
        <f t="shared" si="232"/>
        <v>41744415.089221381</v>
      </c>
      <c r="AM793" s="137">
        <f t="shared" si="232"/>
        <v>5700566.0430581123</v>
      </c>
      <c r="AN793" s="137">
        <f t="shared" si="232"/>
        <v>1008551.07</v>
      </c>
      <c r="AO793" s="137">
        <f t="shared" si="232"/>
        <v>0</v>
      </c>
      <c r="AP793" s="137">
        <f t="shared" si="232"/>
        <v>0</v>
      </c>
      <c r="AQ793" s="137">
        <f t="shared" si="232"/>
        <v>0</v>
      </c>
      <c r="AR793" s="137">
        <f>AR794+AR796+AR797+AR798+AR799+AR800++AR801+AR802+AR803+AR804+AR805+AR806+AR808+AR809+AR810+AR811</f>
        <v>0</v>
      </c>
      <c r="AS793" s="165">
        <f>U793+V793+W793+AK793+AL793+AM793+AN793+AO793+AP793+AQ793+AR793</f>
        <v>53177619.122279495</v>
      </c>
      <c r="AT793" s="165">
        <f>SUM(AT794:AT811)</f>
        <v>2963990.76</v>
      </c>
      <c r="AU793" s="149">
        <f>AS793-AT793</f>
        <v>50213628.362279497</v>
      </c>
      <c r="AV793" s="146">
        <f>IFERROR(VLOOKUP(J793,Maksājumu_pieprasījumu_iesn.!G:BL,57,0),0)</f>
        <v>0</v>
      </c>
      <c r="AW793" s="139">
        <f t="shared" si="230"/>
        <v>-50213628.362279497</v>
      </c>
      <c r="AX793" s="149">
        <f>S793-T793-AU793</f>
        <v>-1153421.3622794971</v>
      </c>
      <c r="AY793" s="165"/>
      <c r="AZ793" s="165"/>
      <c r="BA793" s="149"/>
      <c r="BB793" s="149"/>
      <c r="BC793" s="149">
        <f>X793+AK793+AL793/2</f>
        <v>25596294.464610688</v>
      </c>
      <c r="BD793" s="149"/>
      <c r="BE793" s="149">
        <f>BC793/0.85</f>
        <v>30113287.605424341</v>
      </c>
      <c r="BF793" s="165"/>
      <c r="BG793" s="165"/>
      <c r="BH793" s="149">
        <v>0</v>
      </c>
      <c r="BI793" s="149">
        <v>11511446.25</v>
      </c>
      <c r="BJ793" s="149"/>
      <c r="BK793" s="149"/>
      <c r="BL793" s="149">
        <v>14796264</v>
      </c>
      <c r="BM793" s="149"/>
      <c r="BN793" s="149"/>
    </row>
    <row r="794" spans="1:66" ht="25.5" hidden="1" customHeight="1" x14ac:dyDescent="0.2">
      <c r="A794" s="142" t="s">
        <v>1603</v>
      </c>
      <c r="B794" s="18" t="s">
        <v>138</v>
      </c>
      <c r="C794" s="18" t="s">
        <v>139</v>
      </c>
      <c r="D794" s="19" t="s">
        <v>576</v>
      </c>
      <c r="E794" s="18">
        <v>3</v>
      </c>
      <c r="F794" s="18" t="s">
        <v>35</v>
      </c>
      <c r="G794" s="18" t="s">
        <v>5</v>
      </c>
      <c r="H794" s="18" t="s">
        <v>3</v>
      </c>
      <c r="I794" s="18"/>
      <c r="J794" s="18" t="s">
        <v>140</v>
      </c>
      <c r="K794" s="19" t="s">
        <v>63</v>
      </c>
      <c r="L794" s="275" t="s">
        <v>1605</v>
      </c>
      <c r="M794" s="275" t="s">
        <v>1606</v>
      </c>
      <c r="N794" s="19" t="s">
        <v>141</v>
      </c>
      <c r="O794" s="143"/>
      <c r="P794" s="143"/>
      <c r="Q794" s="143"/>
      <c r="R794" s="143">
        <v>42828</v>
      </c>
      <c r="S794" s="144">
        <v>1836774.8</v>
      </c>
      <c r="T794" s="144">
        <v>0</v>
      </c>
      <c r="U794" s="145">
        <v>0</v>
      </c>
      <c r="V794" s="145">
        <v>0</v>
      </c>
      <c r="W794" s="145">
        <v>0</v>
      </c>
      <c r="X794" s="145">
        <f>W794+V794+U794</f>
        <v>0</v>
      </c>
      <c r="Y794" s="145">
        <v>0</v>
      </c>
      <c r="Z794" s="145">
        <v>0</v>
      </c>
      <c r="AA794" s="145">
        <v>0</v>
      </c>
      <c r="AB794" s="145">
        <v>0</v>
      </c>
      <c r="AC794" s="145">
        <v>0</v>
      </c>
      <c r="AD794" s="145">
        <v>0</v>
      </c>
      <c r="AE794" s="166">
        <v>440252.14</v>
      </c>
      <c r="AF794" s="145">
        <v>0</v>
      </c>
      <c r="AG794" s="145">
        <v>440252.14</v>
      </c>
      <c r="AH794" s="145">
        <v>772642.01</v>
      </c>
      <c r="AI794" s="145">
        <v>0</v>
      </c>
      <c r="AJ794" s="145">
        <v>183628.51</v>
      </c>
      <c r="AK794" s="145">
        <f>SUM(Y794:AJ794)</f>
        <v>1836774.8</v>
      </c>
      <c r="AL794" s="145">
        <v>0</v>
      </c>
      <c r="AM794" s="145">
        <v>0</v>
      </c>
      <c r="AN794" s="145">
        <v>0</v>
      </c>
      <c r="AO794" s="145">
        <v>0</v>
      </c>
      <c r="AP794" s="145">
        <v>0</v>
      </c>
      <c r="AQ794" s="145">
        <v>0</v>
      </c>
      <c r="AR794" s="145">
        <v>0</v>
      </c>
      <c r="AS794" s="144">
        <f>U794+V794+W794+AK794+AL794+AM794+AN794+AO794+AP794+AQ794+AR794</f>
        <v>1836774.8</v>
      </c>
      <c r="AT794" s="315"/>
      <c r="AU794" s="146">
        <f t="shared" si="231"/>
        <v>1836774.8</v>
      </c>
      <c r="AV794" s="146">
        <f>IFERROR(VLOOKUP(J794,Maksājumu_pieprasījumu_iesn.!G:BL,57,0),0)</f>
        <v>0</v>
      </c>
      <c r="AW794" s="139">
        <f t="shared" si="230"/>
        <v>-1836774.8</v>
      </c>
      <c r="AX794" s="276">
        <f>S794-T794-(AS794-AT794)</f>
        <v>0</v>
      </c>
      <c r="AY794" s="316"/>
      <c r="AZ794" s="316"/>
      <c r="BA794" s="165" t="s">
        <v>1086</v>
      </c>
      <c r="BB794" s="144"/>
      <c r="BC794" s="144"/>
      <c r="BD794" s="144"/>
      <c r="BE794" s="144"/>
      <c r="BF794" s="144"/>
      <c r="BG794" s="144"/>
      <c r="BH794" s="149"/>
      <c r="BI794" s="149"/>
      <c r="BJ794" s="149"/>
      <c r="BK794" s="149"/>
      <c r="BL794" s="149"/>
      <c r="BM794" s="149"/>
      <c r="BN794" s="149"/>
    </row>
    <row r="795" spans="1:66" ht="25.5" hidden="1" customHeight="1" x14ac:dyDescent="0.2">
      <c r="A795" s="142" t="s">
        <v>1603</v>
      </c>
      <c r="B795" s="18" t="s">
        <v>138</v>
      </c>
      <c r="C795" s="18" t="s">
        <v>139</v>
      </c>
      <c r="D795" s="19" t="s">
        <v>576</v>
      </c>
      <c r="E795" s="18">
        <v>3</v>
      </c>
      <c r="F795" s="18" t="s">
        <v>35</v>
      </c>
      <c r="G795" s="18" t="s">
        <v>5</v>
      </c>
      <c r="H795" s="18" t="s">
        <v>3</v>
      </c>
      <c r="I795" s="18"/>
      <c r="J795" s="18" t="s">
        <v>140</v>
      </c>
      <c r="K795" s="19" t="s">
        <v>63</v>
      </c>
      <c r="L795" s="275" t="s">
        <v>1605</v>
      </c>
      <c r="M795" s="275" t="s">
        <v>1606</v>
      </c>
      <c r="N795" s="19" t="s">
        <v>141</v>
      </c>
      <c r="O795" s="143" t="s">
        <v>880</v>
      </c>
      <c r="P795" s="143"/>
      <c r="Q795" s="143"/>
      <c r="R795" s="144"/>
      <c r="S795" s="144"/>
      <c r="T795" s="144"/>
      <c r="U795" s="145"/>
      <c r="V795" s="145"/>
      <c r="W795" s="145"/>
      <c r="X795" s="145">
        <f>W795+V795+U795</f>
        <v>0</v>
      </c>
      <c r="Y795" s="145"/>
      <c r="Z795" s="145"/>
      <c r="AA795" s="145"/>
      <c r="AB795" s="145">
        <v>918387.4</v>
      </c>
      <c r="AC795" s="145">
        <v>0</v>
      </c>
      <c r="AD795" s="145">
        <v>0</v>
      </c>
      <c r="AE795" s="145"/>
      <c r="AF795" s="145"/>
      <c r="AG795" s="145"/>
      <c r="AH795" s="145"/>
      <c r="AI795" s="145"/>
      <c r="AJ795" s="145"/>
      <c r="AK795" s="145">
        <f>SUM(Y795:AJ795)</f>
        <v>918387.4</v>
      </c>
      <c r="AL795" s="145"/>
      <c r="AM795" s="145"/>
      <c r="AN795" s="145"/>
      <c r="AO795" s="145"/>
      <c r="AP795" s="145"/>
      <c r="AQ795" s="145"/>
      <c r="AR795" s="145"/>
      <c r="AS795" s="86"/>
      <c r="AT795" s="144">
        <f>U795+V795+W795+AK795+AL795+AM795+AN795+AO795+AP795+AQ795+AR795</f>
        <v>918387.4</v>
      </c>
      <c r="AU795" s="146"/>
      <c r="AV795" s="146">
        <f>IFERROR(VLOOKUP(J795,Maksājumu_pieprasījumu_iesn.!G:BL,57,0),0)</f>
        <v>0</v>
      </c>
      <c r="AW795" s="139">
        <f t="shared" si="230"/>
        <v>0</v>
      </c>
      <c r="AX795" s="276"/>
      <c r="AY795" s="316"/>
      <c r="AZ795" s="316"/>
      <c r="BA795" s="165"/>
      <c r="BB795" s="144"/>
      <c r="BC795" s="144"/>
      <c r="BD795" s="144"/>
      <c r="BE795" s="144"/>
      <c r="BF795" s="144"/>
      <c r="BG795" s="144"/>
      <c r="BH795" s="149"/>
      <c r="BI795" s="149"/>
      <c r="BJ795" s="149"/>
      <c r="BK795" s="149"/>
      <c r="BL795" s="149"/>
      <c r="BM795" s="149"/>
      <c r="BN795" s="149"/>
    </row>
    <row r="796" spans="1:66" ht="38.25" hidden="1" customHeight="1" x14ac:dyDescent="0.2">
      <c r="A796" s="158" t="s">
        <v>1603</v>
      </c>
      <c r="B796" s="20" t="s">
        <v>138</v>
      </c>
      <c r="C796" s="20" t="s">
        <v>139</v>
      </c>
      <c r="D796" s="21" t="s">
        <v>576</v>
      </c>
      <c r="E796" s="20">
        <v>3</v>
      </c>
      <c r="F796" s="20" t="s">
        <v>35</v>
      </c>
      <c r="G796" s="20" t="s">
        <v>5</v>
      </c>
      <c r="H796" s="20" t="s">
        <v>3</v>
      </c>
      <c r="I796" s="20"/>
      <c r="J796" s="20"/>
      <c r="K796" s="21" t="s">
        <v>63</v>
      </c>
      <c r="L796" s="277" t="s">
        <v>1605</v>
      </c>
      <c r="M796" s="277" t="s">
        <v>1606</v>
      </c>
      <c r="N796" s="21" t="s">
        <v>1922</v>
      </c>
      <c r="O796" s="159"/>
      <c r="P796" s="159"/>
      <c r="Q796" s="159"/>
      <c r="R796" s="159"/>
      <c r="S796" s="147">
        <v>394451.19999999995</v>
      </c>
      <c r="T796" s="147">
        <v>136094.16694188799</v>
      </c>
      <c r="U796" s="153"/>
      <c r="V796" s="153"/>
      <c r="W796" s="153"/>
      <c r="X796" s="153">
        <f>W796+V796+U796</f>
        <v>0</v>
      </c>
      <c r="Y796" s="153"/>
      <c r="Z796" s="153"/>
      <c r="AA796" s="153"/>
      <c r="AB796" s="153"/>
      <c r="AC796" s="153"/>
      <c r="AD796" s="153"/>
      <c r="AE796" s="153"/>
      <c r="AF796" s="153"/>
      <c r="AG796" s="153"/>
      <c r="AH796" s="153"/>
      <c r="AI796" s="153"/>
      <c r="AJ796" s="153"/>
      <c r="AK796" s="153"/>
      <c r="AL796" s="153"/>
      <c r="AM796" s="153">
        <v>258357.03305811196</v>
      </c>
      <c r="AN796" s="153"/>
      <c r="AO796" s="153"/>
      <c r="AP796" s="153"/>
      <c r="AQ796" s="153"/>
      <c r="AR796" s="153"/>
      <c r="AS796" s="147"/>
      <c r="AT796" s="276"/>
      <c r="AU796" s="146">
        <f t="shared" si="231"/>
        <v>0</v>
      </c>
      <c r="AV796" s="146">
        <f>IFERROR(VLOOKUP(J796,Maksājumu_pieprasījumu_iesn.!G:BL,57,0),0)</f>
        <v>0</v>
      </c>
      <c r="AW796" s="139">
        <f t="shared" si="230"/>
        <v>0</v>
      </c>
      <c r="AX796" s="276"/>
      <c r="AY796" s="316"/>
      <c r="AZ796" s="149"/>
      <c r="BA796" s="308" t="s">
        <v>1843</v>
      </c>
      <c r="BB796" s="307"/>
      <c r="BC796" s="307"/>
      <c r="BD796" s="307"/>
      <c r="BE796" s="307"/>
      <c r="BF796" s="307"/>
      <c r="BG796" s="307"/>
      <c r="BH796" s="308"/>
      <c r="BI796" s="308"/>
      <c r="BJ796" s="308"/>
      <c r="BK796" s="308"/>
      <c r="BL796" s="308"/>
      <c r="BM796" s="308"/>
      <c r="BN796" s="308"/>
    </row>
    <row r="797" spans="1:66" ht="25.5" hidden="1" customHeight="1" x14ac:dyDescent="0.2">
      <c r="A797" s="142" t="s">
        <v>1603</v>
      </c>
      <c r="B797" s="18" t="s">
        <v>138</v>
      </c>
      <c r="C797" s="18" t="s">
        <v>139</v>
      </c>
      <c r="D797" s="19" t="s">
        <v>576</v>
      </c>
      <c r="E797" s="18">
        <v>3</v>
      </c>
      <c r="F797" s="18" t="s">
        <v>35</v>
      </c>
      <c r="G797" s="18" t="s">
        <v>5</v>
      </c>
      <c r="H797" s="18" t="s">
        <v>3</v>
      </c>
      <c r="I797" s="18"/>
      <c r="J797" s="18"/>
      <c r="K797" s="19" t="s">
        <v>1218</v>
      </c>
      <c r="L797" s="275" t="s">
        <v>1605</v>
      </c>
      <c r="M797" s="275" t="s">
        <v>1606</v>
      </c>
      <c r="N797" s="19" t="s">
        <v>1923</v>
      </c>
      <c r="O797" s="143">
        <v>42947</v>
      </c>
      <c r="P797" s="143"/>
      <c r="Q797" s="143"/>
      <c r="R797" s="144"/>
      <c r="S797" s="144">
        <v>4572592.0999999996</v>
      </c>
      <c r="T797" s="144">
        <v>278906.35579477798</v>
      </c>
      <c r="U797" s="145">
        <v>0</v>
      </c>
      <c r="V797" s="145">
        <v>0</v>
      </c>
      <c r="W797" s="145">
        <v>0</v>
      </c>
      <c r="X797" s="145">
        <f t="shared" ref="X797:X811" si="233">W797+V797+U797</f>
        <v>0</v>
      </c>
      <c r="Y797" s="145">
        <v>0</v>
      </c>
      <c r="Z797" s="145">
        <v>0</v>
      </c>
      <c r="AA797" s="145">
        <v>0</v>
      </c>
      <c r="AB797" s="145">
        <v>0</v>
      </c>
      <c r="AC797" s="145">
        <v>0</v>
      </c>
      <c r="AD797" s="145">
        <v>0</v>
      </c>
      <c r="AE797" s="145">
        <v>0</v>
      </c>
      <c r="AF797" s="145">
        <v>0</v>
      </c>
      <c r="AG797" s="145">
        <v>0</v>
      </c>
      <c r="AH797" s="145">
        <v>0</v>
      </c>
      <c r="AI797" s="145">
        <v>0</v>
      </c>
      <c r="AJ797" s="145">
        <v>0</v>
      </c>
      <c r="AK797" s="145">
        <f t="shared" ref="AK797:AK811" si="234">SUM(Y797:AJ797)</f>
        <v>0</v>
      </c>
      <c r="AL797" s="145">
        <v>4293663.9818999991</v>
      </c>
      <c r="AM797" s="145">
        <v>0</v>
      </c>
      <c r="AN797" s="145">
        <v>0</v>
      </c>
      <c r="AO797" s="145">
        <v>0</v>
      </c>
      <c r="AP797" s="145">
        <v>0</v>
      </c>
      <c r="AQ797" s="145">
        <v>0</v>
      </c>
      <c r="AR797" s="145">
        <v>0</v>
      </c>
      <c r="AS797" s="144">
        <f t="shared" ref="AS797:AS806" si="235">U797+V797+W797+AK797+AL797+AM797+AN797+AO797+AP797+AQ797+AR797</f>
        <v>4293663.9818999991</v>
      </c>
      <c r="AT797" s="144"/>
      <c r="AU797" s="146">
        <f t="shared" si="231"/>
        <v>4293663.9818999991</v>
      </c>
      <c r="AV797" s="146">
        <f>IFERROR(VLOOKUP(J797,Maksājumu_pieprasījumu_iesn.!G:BL,57,0),0)</f>
        <v>0</v>
      </c>
      <c r="AW797" s="139">
        <f t="shared" si="230"/>
        <v>-4293663.9818999991</v>
      </c>
      <c r="AX797" s="147"/>
      <c r="AY797" s="147" t="s">
        <v>1085</v>
      </c>
      <c r="AZ797" s="147"/>
      <c r="BA797" s="165" t="s">
        <v>1086</v>
      </c>
      <c r="BB797" s="144"/>
      <c r="BC797" s="144"/>
      <c r="BD797" s="144"/>
      <c r="BE797" s="144"/>
      <c r="BF797" s="144"/>
      <c r="BG797" s="144"/>
      <c r="BH797" s="149"/>
      <c r="BI797" s="149"/>
      <c r="BJ797" s="149"/>
      <c r="BK797" s="149"/>
      <c r="BL797" s="149"/>
      <c r="BM797" s="149"/>
      <c r="BN797" s="149"/>
    </row>
    <row r="798" spans="1:66" ht="38.25" hidden="1" customHeight="1" x14ac:dyDescent="0.2">
      <c r="A798" s="142" t="s">
        <v>1603</v>
      </c>
      <c r="B798" s="18" t="s">
        <v>138</v>
      </c>
      <c r="C798" s="18" t="s">
        <v>139</v>
      </c>
      <c r="D798" s="19" t="s">
        <v>576</v>
      </c>
      <c r="E798" s="18">
        <v>3</v>
      </c>
      <c r="F798" s="18" t="s">
        <v>35</v>
      </c>
      <c r="G798" s="18" t="s">
        <v>5</v>
      </c>
      <c r="H798" s="18" t="s">
        <v>3</v>
      </c>
      <c r="I798" s="18"/>
      <c r="J798" s="18" t="s">
        <v>1924</v>
      </c>
      <c r="K798" s="19" t="s">
        <v>893</v>
      </c>
      <c r="L798" s="275" t="s">
        <v>1605</v>
      </c>
      <c r="M798" s="275" t="s">
        <v>1606</v>
      </c>
      <c r="N798" s="19" t="s">
        <v>1925</v>
      </c>
      <c r="O798" s="143"/>
      <c r="P798" s="143"/>
      <c r="Q798" s="143"/>
      <c r="R798" s="172" t="s">
        <v>1926</v>
      </c>
      <c r="S798" s="144">
        <v>3366697.29</v>
      </c>
      <c r="T798" s="144">
        <v>0</v>
      </c>
      <c r="U798" s="145">
        <v>0</v>
      </c>
      <c r="V798" s="145">
        <v>0</v>
      </c>
      <c r="W798" s="145">
        <v>0</v>
      </c>
      <c r="X798" s="145">
        <f t="shared" si="233"/>
        <v>0</v>
      </c>
      <c r="Y798" s="145">
        <v>0</v>
      </c>
      <c r="Z798" s="145">
        <v>0</v>
      </c>
      <c r="AA798" s="145">
        <v>0</v>
      </c>
      <c r="AB798" s="145">
        <v>0</v>
      </c>
      <c r="AC798" s="145">
        <v>0</v>
      </c>
      <c r="AD798" s="145">
        <v>0</v>
      </c>
      <c r="AE798" s="145">
        <v>0</v>
      </c>
      <c r="AF798" s="145">
        <v>0</v>
      </c>
      <c r="AG798" s="145">
        <v>261393.11</v>
      </c>
      <c r="AH798" s="145">
        <v>0</v>
      </c>
      <c r="AI798" s="145">
        <v>0</v>
      </c>
      <c r="AJ798" s="145">
        <v>0</v>
      </c>
      <c r="AK798" s="145">
        <f t="shared" si="234"/>
        <v>261393.11</v>
      </c>
      <c r="AL798" s="145">
        <v>3825135.33</v>
      </c>
      <c r="AM798" s="145">
        <v>0</v>
      </c>
      <c r="AN798" s="145">
        <v>0</v>
      </c>
      <c r="AO798" s="145">
        <v>0</v>
      </c>
      <c r="AP798" s="145">
        <v>0</v>
      </c>
      <c r="AQ798" s="145">
        <v>0</v>
      </c>
      <c r="AR798" s="145">
        <v>0</v>
      </c>
      <c r="AS798" s="144">
        <f t="shared" si="235"/>
        <v>4086528.44</v>
      </c>
      <c r="AT798" s="144">
        <v>0</v>
      </c>
      <c r="AU798" s="146">
        <v>3366697.29</v>
      </c>
      <c r="AV798" s="146">
        <f>IFERROR(VLOOKUP(J798,Maksājumu_pieprasījumu_iesn.!G:BL,57,0),0)</f>
        <v>0</v>
      </c>
      <c r="AW798" s="139">
        <f t="shared" si="230"/>
        <v>-3366697.29</v>
      </c>
      <c r="AX798" s="147"/>
      <c r="AY798" s="147"/>
      <c r="AZ798" s="149" t="s">
        <v>1927</v>
      </c>
      <c r="BA798" s="149" t="s">
        <v>1928</v>
      </c>
      <c r="BB798" s="144"/>
      <c r="BC798" s="144"/>
      <c r="BD798" s="144"/>
      <c r="BE798" s="144"/>
      <c r="BF798" s="144"/>
      <c r="BG798" s="144"/>
      <c r="BH798" s="149"/>
      <c r="BI798" s="149"/>
      <c r="BJ798" s="149"/>
      <c r="BK798" s="149"/>
      <c r="BL798" s="149"/>
      <c r="BM798" s="149"/>
      <c r="BN798" s="149"/>
    </row>
    <row r="799" spans="1:66" ht="38.25" hidden="1" customHeight="1" x14ac:dyDescent="0.2">
      <c r="A799" s="142" t="s">
        <v>1603</v>
      </c>
      <c r="B799" s="18" t="s">
        <v>138</v>
      </c>
      <c r="C799" s="18" t="s">
        <v>139</v>
      </c>
      <c r="D799" s="19" t="s">
        <v>576</v>
      </c>
      <c r="E799" s="18">
        <v>3</v>
      </c>
      <c r="F799" s="18" t="s">
        <v>35</v>
      </c>
      <c r="G799" s="18" t="s">
        <v>5</v>
      </c>
      <c r="H799" s="18" t="s">
        <v>3</v>
      </c>
      <c r="I799" s="18"/>
      <c r="J799" s="18"/>
      <c r="K799" s="19" t="s">
        <v>893</v>
      </c>
      <c r="L799" s="275" t="s">
        <v>1605</v>
      </c>
      <c r="M799" s="275" t="s">
        <v>1606</v>
      </c>
      <c r="N799" s="19" t="s">
        <v>1929</v>
      </c>
      <c r="O799" s="143">
        <v>42916</v>
      </c>
      <c r="P799" s="143"/>
      <c r="Q799" s="143"/>
      <c r="R799" s="144"/>
      <c r="S799" s="144">
        <v>7323133.79</v>
      </c>
      <c r="T799" s="144">
        <v>907681.30493372597</v>
      </c>
      <c r="U799" s="145">
        <v>0</v>
      </c>
      <c r="V799" s="145">
        <v>0</v>
      </c>
      <c r="W799" s="145">
        <v>0</v>
      </c>
      <c r="X799" s="145">
        <f t="shared" si="233"/>
        <v>0</v>
      </c>
      <c r="Y799" s="145">
        <v>0</v>
      </c>
      <c r="Z799" s="145">
        <v>0</v>
      </c>
      <c r="AA799" s="145">
        <v>0</v>
      </c>
      <c r="AB799" s="145">
        <v>0</v>
      </c>
      <c r="AC799" s="145">
        <v>0</v>
      </c>
      <c r="AD799" s="145">
        <v>0</v>
      </c>
      <c r="AE799" s="145">
        <v>0</v>
      </c>
      <c r="AF799" s="145">
        <v>0</v>
      </c>
      <c r="AG799" s="145">
        <v>0</v>
      </c>
      <c r="AH799" s="145">
        <v>0</v>
      </c>
      <c r="AI799" s="145">
        <v>0</v>
      </c>
      <c r="AJ799" s="145">
        <v>0</v>
      </c>
      <c r="AK799" s="145">
        <f t="shared" si="234"/>
        <v>0</v>
      </c>
      <c r="AL799" s="145">
        <v>6964314.9700000007</v>
      </c>
      <c r="AM799" s="145">
        <v>2148401.59</v>
      </c>
      <c r="AN799" s="145">
        <v>0</v>
      </c>
      <c r="AO799" s="145">
        <v>0</v>
      </c>
      <c r="AP799" s="145">
        <v>0</v>
      </c>
      <c r="AQ799" s="145">
        <v>0</v>
      </c>
      <c r="AR799" s="145">
        <v>0</v>
      </c>
      <c r="AS799" s="144">
        <f t="shared" si="235"/>
        <v>9112716.5600000005</v>
      </c>
      <c r="AT799" s="144"/>
      <c r="AU799" s="146">
        <f t="shared" si="231"/>
        <v>9112716.5600000005</v>
      </c>
      <c r="AV799" s="146">
        <f>IFERROR(VLOOKUP(J799,Maksājumu_pieprasījumu_iesn.!G:BL,57,0),0)</f>
        <v>0</v>
      </c>
      <c r="AW799" s="139">
        <f t="shared" si="230"/>
        <v>-9112716.5600000005</v>
      </c>
      <c r="AX799" s="147"/>
      <c r="AY799" s="147"/>
      <c r="AZ799" s="149" t="s">
        <v>1424</v>
      </c>
      <c r="BA799" s="149" t="s">
        <v>1424</v>
      </c>
      <c r="BB799" s="144"/>
      <c r="BC799" s="144"/>
      <c r="BD799" s="144"/>
      <c r="BE799" s="144"/>
      <c r="BF799" s="144"/>
      <c r="BG799" s="144"/>
      <c r="BH799" s="149"/>
      <c r="BI799" s="149"/>
      <c r="BJ799" s="149"/>
      <c r="BK799" s="149"/>
      <c r="BL799" s="149"/>
      <c r="BM799" s="149"/>
      <c r="BN799" s="149"/>
    </row>
    <row r="800" spans="1:66" ht="38.25" hidden="1" customHeight="1" x14ac:dyDescent="0.2">
      <c r="A800" s="142" t="s">
        <v>1603</v>
      </c>
      <c r="B800" s="18" t="s">
        <v>138</v>
      </c>
      <c r="C800" s="18" t="s">
        <v>139</v>
      </c>
      <c r="D800" s="19" t="s">
        <v>576</v>
      </c>
      <c r="E800" s="18">
        <v>3</v>
      </c>
      <c r="F800" s="18" t="s">
        <v>35</v>
      </c>
      <c r="G800" s="18" t="s">
        <v>5</v>
      </c>
      <c r="H800" s="18" t="s">
        <v>3</v>
      </c>
      <c r="I800" s="18"/>
      <c r="J800" s="18"/>
      <c r="K800" s="19" t="s">
        <v>893</v>
      </c>
      <c r="L800" s="275" t="s">
        <v>1605</v>
      </c>
      <c r="M800" s="275" t="s">
        <v>1606</v>
      </c>
      <c r="N800" s="19" t="s">
        <v>1930</v>
      </c>
      <c r="O800" s="143">
        <v>42886</v>
      </c>
      <c r="P800" s="143"/>
      <c r="Q800" s="143"/>
      <c r="R800" s="144"/>
      <c r="S800" s="144">
        <v>1702975.4799999995</v>
      </c>
      <c r="T800" s="144">
        <v>0</v>
      </c>
      <c r="U800" s="145">
        <v>0</v>
      </c>
      <c r="V800" s="145">
        <v>0</v>
      </c>
      <c r="W800" s="145">
        <v>0</v>
      </c>
      <c r="X800" s="145">
        <f t="shared" si="233"/>
        <v>0</v>
      </c>
      <c r="Y800" s="145">
        <v>0</v>
      </c>
      <c r="Z800" s="145">
        <v>0</v>
      </c>
      <c r="AA800" s="145">
        <v>0</v>
      </c>
      <c r="AB800" s="145">
        <v>0</v>
      </c>
      <c r="AC800" s="145">
        <v>0</v>
      </c>
      <c r="AD800" s="145">
        <v>0</v>
      </c>
      <c r="AE800" s="145">
        <v>0</v>
      </c>
      <c r="AF800" s="145">
        <v>0</v>
      </c>
      <c r="AG800" s="145">
        <v>0</v>
      </c>
      <c r="AH800" s="145">
        <v>0</v>
      </c>
      <c r="AI800" s="145">
        <v>0</v>
      </c>
      <c r="AJ800" s="145">
        <v>0</v>
      </c>
      <c r="AK800" s="145">
        <f t="shared" si="234"/>
        <v>0</v>
      </c>
      <c r="AL800" s="145">
        <v>3295642.25</v>
      </c>
      <c r="AM800" s="145">
        <v>366183</v>
      </c>
      <c r="AN800" s="145">
        <v>0</v>
      </c>
      <c r="AO800" s="145">
        <v>0</v>
      </c>
      <c r="AP800" s="145">
        <v>0</v>
      </c>
      <c r="AQ800" s="145">
        <v>0</v>
      </c>
      <c r="AR800" s="145">
        <v>0</v>
      </c>
      <c r="AS800" s="144">
        <f t="shared" si="235"/>
        <v>3661825.25</v>
      </c>
      <c r="AT800" s="144"/>
      <c r="AU800" s="146">
        <f t="shared" si="231"/>
        <v>3661825.25</v>
      </c>
      <c r="AV800" s="146">
        <f>IFERROR(VLOOKUP(J800,Maksājumu_pieprasījumu_iesn.!G:BL,57,0),0)</f>
        <v>0</v>
      </c>
      <c r="AW800" s="139">
        <f t="shared" si="230"/>
        <v>-3661825.25</v>
      </c>
      <c r="AX800" s="147"/>
      <c r="AY800" s="153"/>
      <c r="AZ800" s="149" t="s">
        <v>1424</v>
      </c>
      <c r="BA800" s="149" t="s">
        <v>1424</v>
      </c>
      <c r="BB800" s="144"/>
      <c r="BC800" s="144"/>
      <c r="BD800" s="144"/>
      <c r="BE800" s="144"/>
      <c r="BF800" s="144"/>
      <c r="BG800" s="144"/>
      <c r="BH800" s="149"/>
      <c r="BI800" s="149"/>
      <c r="BJ800" s="149"/>
      <c r="BK800" s="149"/>
      <c r="BL800" s="149"/>
      <c r="BM800" s="149"/>
      <c r="BN800" s="149"/>
    </row>
    <row r="801" spans="1:66" ht="38.25" hidden="1" customHeight="1" x14ac:dyDescent="0.2">
      <c r="A801" s="158" t="s">
        <v>1603</v>
      </c>
      <c r="B801" s="20" t="s">
        <v>138</v>
      </c>
      <c r="C801" s="20" t="s">
        <v>139</v>
      </c>
      <c r="D801" s="21" t="s">
        <v>576</v>
      </c>
      <c r="E801" s="20">
        <v>3</v>
      </c>
      <c r="F801" s="20" t="s">
        <v>35</v>
      </c>
      <c r="G801" s="20" t="s">
        <v>5</v>
      </c>
      <c r="H801" s="20" t="s">
        <v>3</v>
      </c>
      <c r="I801" s="20"/>
      <c r="J801" s="20"/>
      <c r="K801" s="21" t="s">
        <v>893</v>
      </c>
      <c r="L801" s="277" t="s">
        <v>1605</v>
      </c>
      <c r="M801" s="277" t="s">
        <v>1606</v>
      </c>
      <c r="N801" s="21" t="s">
        <v>1931</v>
      </c>
      <c r="O801" s="159">
        <v>42978</v>
      </c>
      <c r="P801" s="159"/>
      <c r="Q801" s="159"/>
      <c r="R801" s="147"/>
      <c r="S801" s="147">
        <v>2488375.88</v>
      </c>
      <c r="T801" s="147">
        <v>151779.085770284</v>
      </c>
      <c r="U801" s="145">
        <v>0</v>
      </c>
      <c r="V801" s="145">
        <v>0</v>
      </c>
      <c r="W801" s="145">
        <v>0</v>
      </c>
      <c r="X801" s="145">
        <f t="shared" si="233"/>
        <v>0</v>
      </c>
      <c r="Y801" s="145">
        <v>0</v>
      </c>
      <c r="Z801" s="145">
        <v>0</v>
      </c>
      <c r="AA801" s="145">
        <v>0</v>
      </c>
      <c r="AB801" s="145">
        <v>0</v>
      </c>
      <c r="AC801" s="145">
        <v>0</v>
      </c>
      <c r="AD801" s="145">
        <v>0</v>
      </c>
      <c r="AE801" s="145">
        <v>0</v>
      </c>
      <c r="AF801" s="145">
        <v>0</v>
      </c>
      <c r="AG801" s="145">
        <v>0</v>
      </c>
      <c r="AH801" s="145">
        <v>0</v>
      </c>
      <c r="AI801" s="145">
        <v>0</v>
      </c>
      <c r="AJ801" s="145">
        <v>0</v>
      </c>
      <c r="AK801" s="145">
        <f t="shared" si="234"/>
        <v>0</v>
      </c>
      <c r="AL801" s="145">
        <v>2239538.0756000001</v>
      </c>
      <c r="AM801" s="145">
        <v>248838</v>
      </c>
      <c r="AN801" s="145">
        <v>0</v>
      </c>
      <c r="AO801" s="145">
        <v>0</v>
      </c>
      <c r="AP801" s="145">
        <v>0</v>
      </c>
      <c r="AQ801" s="145">
        <v>0</v>
      </c>
      <c r="AR801" s="145">
        <v>0</v>
      </c>
      <c r="AS801" s="144">
        <f t="shared" si="235"/>
        <v>2488376.0756000001</v>
      </c>
      <c r="AT801" s="144"/>
      <c r="AU801" s="146">
        <f t="shared" si="231"/>
        <v>2488376.0756000001</v>
      </c>
      <c r="AV801" s="146">
        <f>IFERROR(VLOOKUP(J801,Maksājumu_pieprasījumu_iesn.!G:BL,57,0),0)</f>
        <v>0</v>
      </c>
      <c r="AW801" s="139">
        <f t="shared" si="230"/>
        <v>-2488376.0756000001</v>
      </c>
      <c r="AX801" s="147"/>
      <c r="AY801" s="147"/>
      <c r="AZ801" s="149" t="s">
        <v>1424</v>
      </c>
      <c r="BA801" s="149" t="s">
        <v>1424</v>
      </c>
      <c r="BB801" s="144"/>
      <c r="BC801" s="144"/>
      <c r="BD801" s="144"/>
      <c r="BE801" s="144"/>
      <c r="BF801" s="144"/>
      <c r="BG801" s="144"/>
      <c r="BH801" s="149"/>
      <c r="BI801" s="149"/>
      <c r="BJ801" s="149"/>
      <c r="BK801" s="149"/>
      <c r="BL801" s="149"/>
      <c r="BM801" s="149"/>
      <c r="BN801" s="149"/>
    </row>
    <row r="802" spans="1:66" ht="38.25" hidden="1" customHeight="1" x14ac:dyDescent="0.2">
      <c r="A802" s="142" t="s">
        <v>1603</v>
      </c>
      <c r="B802" s="18" t="s">
        <v>138</v>
      </c>
      <c r="C802" s="18" t="s">
        <v>139</v>
      </c>
      <c r="D802" s="19" t="s">
        <v>576</v>
      </c>
      <c r="E802" s="18">
        <v>3</v>
      </c>
      <c r="F802" s="18" t="s">
        <v>35</v>
      </c>
      <c r="G802" s="18" t="s">
        <v>5</v>
      </c>
      <c r="H802" s="18" t="s">
        <v>3</v>
      </c>
      <c r="I802" s="18"/>
      <c r="J802" s="18"/>
      <c r="K802" s="19" t="s">
        <v>66</v>
      </c>
      <c r="L802" s="275" t="s">
        <v>1605</v>
      </c>
      <c r="M802" s="275" t="s">
        <v>1606</v>
      </c>
      <c r="N802" s="19" t="s">
        <v>1932</v>
      </c>
      <c r="O802" s="143">
        <v>43007</v>
      </c>
      <c r="P802" s="143"/>
      <c r="Q802" s="143"/>
      <c r="R802" s="144"/>
      <c r="S802" s="144">
        <v>5482596.9199999999</v>
      </c>
      <c r="T802" s="144">
        <v>334412.31883527798</v>
      </c>
      <c r="U802" s="145">
        <v>0</v>
      </c>
      <c r="V802" s="145">
        <v>0</v>
      </c>
      <c r="W802" s="145">
        <v>0</v>
      </c>
      <c r="X802" s="145">
        <f t="shared" si="233"/>
        <v>0</v>
      </c>
      <c r="Y802" s="145">
        <v>0</v>
      </c>
      <c r="Z802" s="145">
        <v>0</v>
      </c>
      <c r="AA802" s="145">
        <v>0</v>
      </c>
      <c r="AB802" s="145">
        <v>0</v>
      </c>
      <c r="AC802" s="145">
        <v>0</v>
      </c>
      <c r="AD802" s="145">
        <v>0</v>
      </c>
      <c r="AE802" s="145">
        <v>0</v>
      </c>
      <c r="AF802" s="145">
        <v>0</v>
      </c>
      <c r="AG802" s="145">
        <v>0</v>
      </c>
      <c r="AH802" s="145">
        <v>0</v>
      </c>
      <c r="AI802" s="145">
        <v>0</v>
      </c>
      <c r="AJ802" s="145">
        <v>0</v>
      </c>
      <c r="AK802" s="145">
        <f t="shared" si="234"/>
        <v>0</v>
      </c>
      <c r="AL802" s="145">
        <v>2507596.92</v>
      </c>
      <c r="AM802" s="145">
        <v>0</v>
      </c>
      <c r="AN802" s="145">
        <v>0</v>
      </c>
      <c r="AO802" s="145">
        <v>0</v>
      </c>
      <c r="AP802" s="145">
        <v>0</v>
      </c>
      <c r="AQ802" s="145">
        <v>0</v>
      </c>
      <c r="AR802" s="145">
        <v>0</v>
      </c>
      <c r="AS802" s="144">
        <f t="shared" si="235"/>
        <v>2507596.92</v>
      </c>
      <c r="AT802" s="144"/>
      <c r="AU802" s="146">
        <f t="shared" si="231"/>
        <v>2507596.92</v>
      </c>
      <c r="AV802" s="146">
        <f>IFERROR(VLOOKUP(J802,Maksājumu_pieprasījumu_iesn.!G:BL,57,0),0)</f>
        <v>0</v>
      </c>
      <c r="AW802" s="139">
        <f t="shared" si="230"/>
        <v>-2507596.92</v>
      </c>
      <c r="AX802" s="147"/>
      <c r="AY802" s="147"/>
      <c r="AZ802" s="147"/>
      <c r="BA802" s="165"/>
      <c r="BB802" s="144"/>
      <c r="BC802" s="144"/>
      <c r="BD802" s="144"/>
      <c r="BE802" s="144"/>
      <c r="BF802" s="144"/>
      <c r="BG802" s="144"/>
      <c r="BH802" s="149"/>
      <c r="BI802" s="149"/>
      <c r="BJ802" s="149"/>
      <c r="BK802" s="149"/>
      <c r="BL802" s="149"/>
      <c r="BM802" s="149"/>
      <c r="BN802" s="149"/>
    </row>
    <row r="803" spans="1:66" ht="51" hidden="1" customHeight="1" x14ac:dyDescent="0.2">
      <c r="A803" s="142" t="s">
        <v>1603</v>
      </c>
      <c r="B803" s="18" t="s">
        <v>138</v>
      </c>
      <c r="C803" s="18" t="s">
        <v>139</v>
      </c>
      <c r="D803" s="19" t="s">
        <v>576</v>
      </c>
      <c r="E803" s="18">
        <v>3</v>
      </c>
      <c r="F803" s="18" t="s">
        <v>35</v>
      </c>
      <c r="G803" s="18" t="s">
        <v>5</v>
      </c>
      <c r="H803" s="18" t="s">
        <v>3</v>
      </c>
      <c r="I803" s="18"/>
      <c r="J803" s="18"/>
      <c r="K803" s="19" t="s">
        <v>66</v>
      </c>
      <c r="L803" s="275" t="s">
        <v>1605</v>
      </c>
      <c r="M803" s="275" t="s">
        <v>1606</v>
      </c>
      <c r="N803" s="19" t="s">
        <v>1933</v>
      </c>
      <c r="O803" s="143">
        <v>43008</v>
      </c>
      <c r="P803" s="143"/>
      <c r="Q803" s="143"/>
      <c r="R803" s="144"/>
      <c r="S803" s="144">
        <v>0</v>
      </c>
      <c r="T803" s="144">
        <v>0</v>
      </c>
      <c r="U803" s="145">
        <v>0</v>
      </c>
      <c r="V803" s="145">
        <v>0</v>
      </c>
      <c r="W803" s="145">
        <v>0</v>
      </c>
      <c r="X803" s="145">
        <f t="shared" si="233"/>
        <v>0</v>
      </c>
      <c r="Y803" s="145">
        <v>0</v>
      </c>
      <c r="Z803" s="145">
        <v>0</v>
      </c>
      <c r="AA803" s="145">
        <v>0</v>
      </c>
      <c r="AB803" s="145">
        <v>0</v>
      </c>
      <c r="AC803" s="145">
        <v>0</v>
      </c>
      <c r="AD803" s="145">
        <v>0</v>
      </c>
      <c r="AE803" s="145">
        <v>0</v>
      </c>
      <c r="AF803" s="145">
        <v>0</v>
      </c>
      <c r="AG803" s="145">
        <v>0</v>
      </c>
      <c r="AH803" s="145">
        <v>0</v>
      </c>
      <c r="AI803" s="145">
        <v>0</v>
      </c>
      <c r="AJ803" s="145">
        <v>0</v>
      </c>
      <c r="AK803" s="145">
        <f t="shared" si="234"/>
        <v>0</v>
      </c>
      <c r="AL803" s="145">
        <v>2640587.681164722</v>
      </c>
      <c r="AM803" s="145">
        <v>0</v>
      </c>
      <c r="AN803" s="145">
        <v>0</v>
      </c>
      <c r="AO803" s="145">
        <v>0</v>
      </c>
      <c r="AP803" s="145">
        <v>0</v>
      </c>
      <c r="AQ803" s="145">
        <v>0</v>
      </c>
      <c r="AR803" s="145">
        <v>0</v>
      </c>
      <c r="AS803" s="144">
        <f t="shared" si="235"/>
        <v>2640587.681164722</v>
      </c>
      <c r="AT803" s="144"/>
      <c r="AU803" s="146">
        <f t="shared" si="231"/>
        <v>2640587.681164722</v>
      </c>
      <c r="AV803" s="146">
        <f>IFERROR(VLOOKUP(J803,Maksājumu_pieprasījumu_iesn.!G:BL,57,0),0)</f>
        <v>0</v>
      </c>
      <c r="AW803" s="139">
        <f t="shared" si="230"/>
        <v>-2640587.681164722</v>
      </c>
      <c r="AX803" s="147"/>
      <c r="AY803" s="147" t="s">
        <v>1085</v>
      </c>
      <c r="AZ803" s="147"/>
      <c r="BA803" s="165" t="s">
        <v>1086</v>
      </c>
      <c r="BB803" s="144"/>
      <c r="BC803" s="144"/>
      <c r="BD803" s="144"/>
      <c r="BE803" s="144"/>
      <c r="BF803" s="144"/>
      <c r="BG803" s="144"/>
      <c r="BH803" s="149"/>
      <c r="BI803" s="149"/>
      <c r="BJ803" s="149"/>
      <c r="BK803" s="149"/>
      <c r="BL803" s="149"/>
      <c r="BM803" s="149"/>
      <c r="BN803" s="149"/>
    </row>
    <row r="804" spans="1:66" ht="51" hidden="1" customHeight="1" x14ac:dyDescent="0.2">
      <c r="A804" s="142" t="s">
        <v>1603</v>
      </c>
      <c r="B804" s="18" t="s">
        <v>138</v>
      </c>
      <c r="C804" s="18" t="s">
        <v>139</v>
      </c>
      <c r="D804" s="19" t="s">
        <v>576</v>
      </c>
      <c r="E804" s="18">
        <v>3</v>
      </c>
      <c r="F804" s="18" t="s">
        <v>35</v>
      </c>
      <c r="G804" s="18" t="s">
        <v>5</v>
      </c>
      <c r="H804" s="18" t="s">
        <v>3</v>
      </c>
      <c r="I804" s="18"/>
      <c r="J804" s="18" t="s">
        <v>715</v>
      </c>
      <c r="K804" s="19" t="s">
        <v>665</v>
      </c>
      <c r="L804" s="275" t="s">
        <v>1605</v>
      </c>
      <c r="M804" s="275" t="s">
        <v>1606</v>
      </c>
      <c r="N804" s="19" t="s">
        <v>716</v>
      </c>
      <c r="O804" s="143"/>
      <c r="P804" s="143"/>
      <c r="Q804" s="143"/>
      <c r="R804" s="172" t="s">
        <v>1934</v>
      </c>
      <c r="S804" s="144">
        <v>2114640.37</v>
      </c>
      <c r="T804" s="144">
        <v>128982.998377052</v>
      </c>
      <c r="U804" s="145">
        <v>0</v>
      </c>
      <c r="V804" s="145">
        <v>0</v>
      </c>
      <c r="W804" s="145">
        <v>0</v>
      </c>
      <c r="X804" s="145">
        <f t="shared" si="233"/>
        <v>0</v>
      </c>
      <c r="Y804" s="145">
        <v>0</v>
      </c>
      <c r="Z804" s="145">
        <v>0</v>
      </c>
      <c r="AA804" s="145">
        <v>0</v>
      </c>
      <c r="AB804" s="145">
        <v>0</v>
      </c>
      <c r="AC804" s="145">
        <v>292293.62</v>
      </c>
      <c r="AD804" s="145">
        <v>0</v>
      </c>
      <c r="AE804" s="145">
        <v>0</v>
      </c>
      <c r="AF804" s="145">
        <v>0</v>
      </c>
      <c r="AG804" s="145">
        <v>0</v>
      </c>
      <c r="AH804" s="145">
        <v>0</v>
      </c>
      <c r="AI804" s="145">
        <v>0</v>
      </c>
      <c r="AJ804" s="145">
        <v>0</v>
      </c>
      <c r="AK804" s="145">
        <f t="shared" si="234"/>
        <v>292293.62</v>
      </c>
      <c r="AL804" s="145">
        <v>949954.28</v>
      </c>
      <c r="AM804" s="145">
        <v>0</v>
      </c>
      <c r="AN804" s="145">
        <v>0</v>
      </c>
      <c r="AO804" s="145">
        <v>0</v>
      </c>
      <c r="AP804" s="145">
        <v>0</v>
      </c>
      <c r="AQ804" s="145">
        <v>0</v>
      </c>
      <c r="AR804" s="145">
        <v>0</v>
      </c>
      <c r="AS804" s="144">
        <f t="shared" si="235"/>
        <v>1242247.8999999999</v>
      </c>
      <c r="AT804" s="144">
        <v>0</v>
      </c>
      <c r="AU804" s="146">
        <f t="shared" si="231"/>
        <v>1242247.8999999999</v>
      </c>
      <c r="AV804" s="146">
        <f>IFERROR(VLOOKUP(J804,Maksājumu_pieprasījumu_iesn.!G:BL,57,0),0)</f>
        <v>0</v>
      </c>
      <c r="AW804" s="139">
        <f t="shared" si="230"/>
        <v>-1242247.8999999999</v>
      </c>
      <c r="AX804" s="147"/>
      <c r="AY804" s="147"/>
      <c r="AZ804" s="147"/>
      <c r="BA804" s="165" t="s">
        <v>1935</v>
      </c>
      <c r="BB804" s="144"/>
      <c r="BC804" s="144"/>
      <c r="BD804" s="144"/>
      <c r="BE804" s="144"/>
      <c r="BF804" s="144"/>
      <c r="BG804" s="144"/>
      <c r="BH804" s="149"/>
      <c r="BI804" s="149"/>
      <c r="BJ804" s="149"/>
      <c r="BK804" s="149"/>
      <c r="BL804" s="149"/>
      <c r="BM804" s="149"/>
      <c r="BN804" s="149"/>
    </row>
    <row r="805" spans="1:66" ht="51" hidden="1" customHeight="1" x14ac:dyDescent="0.2">
      <c r="A805" s="310" t="s">
        <v>1603</v>
      </c>
      <c r="B805" s="238" t="s">
        <v>138</v>
      </c>
      <c r="C805" s="238" t="s">
        <v>139</v>
      </c>
      <c r="D805" s="239" t="s">
        <v>576</v>
      </c>
      <c r="E805" s="238">
        <v>3</v>
      </c>
      <c r="F805" s="238" t="s">
        <v>35</v>
      </c>
      <c r="G805" s="238" t="s">
        <v>5</v>
      </c>
      <c r="H805" s="238" t="s">
        <v>3</v>
      </c>
      <c r="I805" s="238"/>
      <c r="J805" s="238"/>
      <c r="K805" s="239" t="s">
        <v>665</v>
      </c>
      <c r="L805" s="275" t="s">
        <v>1605</v>
      </c>
      <c r="M805" s="275" t="s">
        <v>1606</v>
      </c>
      <c r="N805" s="239" t="s">
        <v>1936</v>
      </c>
      <c r="O805" s="311">
        <v>43373</v>
      </c>
      <c r="P805" s="311"/>
      <c r="Q805" s="311"/>
      <c r="R805" s="311"/>
      <c r="S805" s="194">
        <v>0</v>
      </c>
      <c r="T805" s="194">
        <v>0</v>
      </c>
      <c r="U805" s="244">
        <v>0</v>
      </c>
      <c r="V805" s="244">
        <v>0</v>
      </c>
      <c r="W805" s="244">
        <v>0</v>
      </c>
      <c r="X805" s="244">
        <f t="shared" si="233"/>
        <v>0</v>
      </c>
      <c r="Y805" s="244">
        <v>0</v>
      </c>
      <c r="Z805" s="244">
        <v>0</v>
      </c>
      <c r="AA805" s="244">
        <v>0</v>
      </c>
      <c r="AB805" s="244">
        <v>0</v>
      </c>
      <c r="AC805" s="244">
        <v>0</v>
      </c>
      <c r="AD805" s="244">
        <v>0</v>
      </c>
      <c r="AE805" s="244">
        <v>0</v>
      </c>
      <c r="AF805" s="244">
        <v>0</v>
      </c>
      <c r="AG805" s="244">
        <v>0</v>
      </c>
      <c r="AH805" s="244">
        <v>0</v>
      </c>
      <c r="AI805" s="244">
        <v>0</v>
      </c>
      <c r="AJ805" s="244">
        <v>0</v>
      </c>
      <c r="AK805" s="244">
        <f t="shared" si="234"/>
        <v>0</v>
      </c>
      <c r="AL805" s="244">
        <v>0</v>
      </c>
      <c r="AM805" s="244">
        <v>841953.09</v>
      </c>
      <c r="AN805" s="244">
        <v>561302.06999999995</v>
      </c>
      <c r="AO805" s="244">
        <v>0</v>
      </c>
      <c r="AP805" s="244">
        <v>0</v>
      </c>
      <c r="AQ805" s="244">
        <v>0</v>
      </c>
      <c r="AR805" s="244">
        <v>0</v>
      </c>
      <c r="AS805" s="194">
        <f t="shared" si="235"/>
        <v>1403255.16</v>
      </c>
      <c r="AT805" s="194"/>
      <c r="AU805" s="146">
        <f t="shared" si="231"/>
        <v>1403255.16</v>
      </c>
      <c r="AV805" s="146">
        <f>IFERROR(VLOOKUP(J805,Maksājumu_pieprasījumu_iesn.!G:BL,57,0),0)</f>
        <v>0</v>
      </c>
      <c r="AW805" s="139">
        <f t="shared" si="230"/>
        <v>-1403255.16</v>
      </c>
      <c r="AX805" s="194"/>
      <c r="AY805" s="194"/>
      <c r="AZ805" s="194"/>
      <c r="BA805" s="312"/>
      <c r="BB805" s="194"/>
      <c r="BC805" s="194"/>
      <c r="BD805" s="194"/>
      <c r="BE805" s="194"/>
      <c r="BF805" s="194"/>
      <c r="BG805" s="194"/>
      <c r="BH805" s="313"/>
      <c r="BI805" s="313"/>
      <c r="BJ805" s="313"/>
      <c r="BK805" s="313"/>
      <c r="BL805" s="313"/>
      <c r="BM805" s="313"/>
      <c r="BN805" s="313"/>
    </row>
    <row r="806" spans="1:66" ht="68.25" hidden="1" customHeight="1" x14ac:dyDescent="0.2">
      <c r="A806" s="142" t="s">
        <v>1603</v>
      </c>
      <c r="B806" s="18" t="s">
        <v>138</v>
      </c>
      <c r="C806" s="18" t="s">
        <v>139</v>
      </c>
      <c r="D806" s="19" t="s">
        <v>576</v>
      </c>
      <c r="E806" s="18">
        <v>3</v>
      </c>
      <c r="F806" s="18" t="s">
        <v>35</v>
      </c>
      <c r="G806" s="18" t="s">
        <v>5</v>
      </c>
      <c r="H806" s="18" t="s">
        <v>3</v>
      </c>
      <c r="I806" s="18"/>
      <c r="J806" s="18" t="s">
        <v>142</v>
      </c>
      <c r="K806" s="19" t="s">
        <v>143</v>
      </c>
      <c r="L806" s="275" t="s">
        <v>1605</v>
      </c>
      <c r="M806" s="275" t="s">
        <v>1606</v>
      </c>
      <c r="N806" s="19" t="s">
        <v>144</v>
      </c>
      <c r="O806" s="143"/>
      <c r="P806" s="143"/>
      <c r="Q806" s="143"/>
      <c r="R806" s="143">
        <v>42783</v>
      </c>
      <c r="S806" s="144">
        <v>2616528.19</v>
      </c>
      <c r="T806" s="86"/>
      <c r="U806" s="145"/>
      <c r="V806" s="145">
        <v>0</v>
      </c>
      <c r="W806" s="145">
        <v>0</v>
      </c>
      <c r="X806" s="145">
        <f t="shared" si="233"/>
        <v>0</v>
      </c>
      <c r="Y806" s="145">
        <v>0</v>
      </c>
      <c r="Z806" s="145">
        <v>0</v>
      </c>
      <c r="AA806" s="145">
        <v>89197.56</v>
      </c>
      <c r="AB806" s="145">
        <v>0</v>
      </c>
      <c r="AC806" s="145">
        <v>0</v>
      </c>
      <c r="AD806" s="145">
        <v>176068.42</v>
      </c>
      <c r="AE806" s="145">
        <v>0</v>
      </c>
      <c r="AF806" s="145">
        <v>0</v>
      </c>
      <c r="AG806" s="145">
        <v>2068359.41</v>
      </c>
      <c r="AH806" s="145">
        <v>0</v>
      </c>
      <c r="AI806" s="145">
        <v>0</v>
      </c>
      <c r="AJ806" s="145">
        <v>0</v>
      </c>
      <c r="AK806" s="145">
        <f t="shared" si="234"/>
        <v>2333625.3899999997</v>
      </c>
      <c r="AL806" s="145">
        <v>282902.8</v>
      </c>
      <c r="AM806" s="145">
        <v>0</v>
      </c>
      <c r="AN806" s="145">
        <v>0</v>
      </c>
      <c r="AO806" s="145">
        <v>0</v>
      </c>
      <c r="AP806" s="145">
        <v>0</v>
      </c>
      <c r="AQ806" s="145">
        <v>0</v>
      </c>
      <c r="AR806" s="145">
        <v>0</v>
      </c>
      <c r="AS806" s="147">
        <f t="shared" si="235"/>
        <v>2616528.1899999995</v>
      </c>
      <c r="AT806" s="284">
        <v>0</v>
      </c>
      <c r="AU806" s="146">
        <f t="shared" si="231"/>
        <v>2616528.1899999995</v>
      </c>
      <c r="AV806" s="146" t="str">
        <f>IFERROR(VLOOKUP(J806,Maksājumu_pieprasījumu_iesn.!G:BL,57,0),0)</f>
        <v>Būvdarbu izpilde notiek lēnāk, nekā sākotnēji plānots, būvdarbiem nelabvēlīgu laikapstākļu dēļ, un pārbūves procesā atklātu projektā  nenorādītu komunikāciju demontāžu, kas prasīja papildus laiku. Projekta darbības tiks pabeigtas šī gada rudenī.  Iepirkumu rezultātā noslēgtajā līgumā veidojas ietaupījums, jo iepirkumos tika iesniegti lētāki piedāvājumi, nekā plānots.</v>
      </c>
      <c r="AW806" s="139" t="e">
        <f t="shared" si="230"/>
        <v>#VALUE!</v>
      </c>
      <c r="AX806" s="283">
        <f>S806+S808-(AS806-AT806)-AS808-AS809</f>
        <v>-77864.769999999553</v>
      </c>
      <c r="AY806" s="317"/>
      <c r="AZ806" s="138" t="s">
        <v>1937</v>
      </c>
      <c r="BA806" s="138" t="s">
        <v>1937</v>
      </c>
      <c r="BB806" s="144"/>
      <c r="BC806" s="144"/>
      <c r="BD806" s="144"/>
      <c r="BE806" s="144"/>
      <c r="BF806" s="144"/>
      <c r="BG806" s="144"/>
      <c r="BH806" s="149"/>
      <c r="BI806" s="149"/>
      <c r="BJ806" s="149"/>
      <c r="BK806" s="149"/>
      <c r="BL806" s="149"/>
      <c r="BM806" s="149"/>
      <c r="BN806" s="149"/>
    </row>
    <row r="807" spans="1:66" ht="38.25" hidden="1" customHeight="1" x14ac:dyDescent="0.2">
      <c r="A807" s="142" t="s">
        <v>1603</v>
      </c>
      <c r="B807" s="18" t="s">
        <v>138</v>
      </c>
      <c r="C807" s="18" t="s">
        <v>139</v>
      </c>
      <c r="D807" s="19" t="s">
        <v>576</v>
      </c>
      <c r="E807" s="18">
        <v>3</v>
      </c>
      <c r="F807" s="18" t="s">
        <v>35</v>
      </c>
      <c r="G807" s="18" t="s">
        <v>5</v>
      </c>
      <c r="H807" s="18" t="s">
        <v>3</v>
      </c>
      <c r="I807" s="18"/>
      <c r="J807" s="18" t="s">
        <v>142</v>
      </c>
      <c r="K807" s="19" t="s">
        <v>143</v>
      </c>
      <c r="L807" s="275" t="s">
        <v>1605</v>
      </c>
      <c r="M807" s="275" t="s">
        <v>1606</v>
      </c>
      <c r="N807" s="19" t="s">
        <v>144</v>
      </c>
      <c r="O807" s="143" t="s">
        <v>880</v>
      </c>
      <c r="P807" s="143"/>
      <c r="Q807" s="143"/>
      <c r="R807" s="144"/>
      <c r="S807" s="144"/>
      <c r="T807" s="144"/>
      <c r="U807" s="145"/>
      <c r="V807" s="145"/>
      <c r="W807" s="145"/>
      <c r="X807" s="145">
        <f t="shared" si="233"/>
        <v>0</v>
      </c>
      <c r="Y807" s="145"/>
      <c r="Z807" s="145">
        <v>160000</v>
      </c>
      <c r="AA807" s="145"/>
      <c r="AB807" s="145">
        <v>750000</v>
      </c>
      <c r="AC807" s="145"/>
      <c r="AD807" s="145"/>
      <c r="AE807" s="145"/>
      <c r="AF807" s="420">
        <v>849583.74</v>
      </c>
      <c r="AG807" s="145"/>
      <c r="AH807" s="145"/>
      <c r="AI807" s="145"/>
      <c r="AJ807" s="145"/>
      <c r="AK807" s="145">
        <f t="shared" si="234"/>
        <v>1759583.74</v>
      </c>
      <c r="AL807" s="145">
        <v>286019.62</v>
      </c>
      <c r="AM807" s="145"/>
      <c r="AN807" s="145"/>
      <c r="AO807" s="145"/>
      <c r="AP807" s="145"/>
      <c r="AQ807" s="145"/>
      <c r="AR807" s="145"/>
      <c r="AS807" s="86"/>
      <c r="AT807" s="144">
        <f>U807+V807+W807+AK807+AL807+AM807+AN807+AO807+AP807+AQ807+AR807</f>
        <v>2045603.3599999999</v>
      </c>
      <c r="AU807" s="146"/>
      <c r="AV807" s="146" t="str">
        <f>IFERROR(VLOOKUP(J807,Maksājumu_pieprasījumu_iesn.!G:BL,57,0),0)</f>
        <v>Būvdarbu izpilde notiek lēnāk, nekā sākotnēji plānots, būvdarbiem nelabvēlīgu laikapstākļu dēļ, un pārbūves procesā atklātu projektā  nenorādītu komunikāciju demontāžu, kas prasīja papildus laiku. Projekta darbības tiks pabeigtas šī gada rudenī.  Iepirkumu rezultātā noslēgtajā līgumā veidojas ietaupījums, jo iepirkumos tika iesniegti lētāki piedāvājumi, nekā plānots.</v>
      </c>
      <c r="AW807" s="139" t="e">
        <f t="shared" si="230"/>
        <v>#VALUE!</v>
      </c>
      <c r="AX807" s="283"/>
      <c r="AY807" s="317"/>
      <c r="AZ807" s="317"/>
      <c r="BA807" s="138"/>
      <c r="BB807" s="144"/>
      <c r="BC807" s="144"/>
      <c r="BD807" s="144"/>
      <c r="BE807" s="144"/>
      <c r="BF807" s="144"/>
      <c r="BG807" s="144"/>
      <c r="BH807" s="149"/>
      <c r="BI807" s="149"/>
      <c r="BJ807" s="149"/>
      <c r="BK807" s="149"/>
      <c r="BL807" s="149"/>
      <c r="BM807" s="149"/>
      <c r="BN807" s="149"/>
    </row>
    <row r="808" spans="1:66" ht="38.25" hidden="1" customHeight="1" x14ac:dyDescent="0.2">
      <c r="A808" s="142" t="s">
        <v>1603</v>
      </c>
      <c r="B808" s="18" t="s">
        <v>138</v>
      </c>
      <c r="C808" s="18" t="s">
        <v>139</v>
      </c>
      <c r="D808" s="19" t="s">
        <v>576</v>
      </c>
      <c r="E808" s="18">
        <v>3</v>
      </c>
      <c r="F808" s="18" t="s">
        <v>35</v>
      </c>
      <c r="G808" s="18" t="s">
        <v>5</v>
      </c>
      <c r="H808" s="18" t="s">
        <v>3</v>
      </c>
      <c r="I808" s="18"/>
      <c r="J808" s="18"/>
      <c r="K808" s="19" t="s">
        <v>143</v>
      </c>
      <c r="L808" s="275" t="s">
        <v>1605</v>
      </c>
      <c r="M808" s="275" t="s">
        <v>1606</v>
      </c>
      <c r="N808" s="19" t="s">
        <v>1938</v>
      </c>
      <c r="O808" s="143">
        <v>43251</v>
      </c>
      <c r="P808" s="143"/>
      <c r="Q808" s="143"/>
      <c r="R808" s="144"/>
      <c r="S808" s="144">
        <v>2963842.23</v>
      </c>
      <c r="T808" s="144">
        <v>340376.03700255201</v>
      </c>
      <c r="U808" s="145">
        <v>0</v>
      </c>
      <c r="V808" s="145">
        <v>0</v>
      </c>
      <c r="W808" s="145">
        <v>0</v>
      </c>
      <c r="X808" s="145">
        <f t="shared" si="233"/>
        <v>0</v>
      </c>
      <c r="Y808" s="145">
        <v>0</v>
      </c>
      <c r="Z808" s="145">
        <v>0</v>
      </c>
      <c r="AA808" s="145">
        <v>0</v>
      </c>
      <c r="AB808" s="145">
        <v>0</v>
      </c>
      <c r="AC808" s="145">
        <v>0</v>
      </c>
      <c r="AD808" s="145">
        <v>0</v>
      </c>
      <c r="AE808" s="145">
        <v>0</v>
      </c>
      <c r="AF808" s="145">
        <v>0</v>
      </c>
      <c r="AG808" s="145">
        <v>0</v>
      </c>
      <c r="AH808" s="145">
        <v>0</v>
      </c>
      <c r="AI808" s="145">
        <v>0</v>
      </c>
      <c r="AJ808" s="145">
        <v>0</v>
      </c>
      <c r="AK808" s="145">
        <f t="shared" si="234"/>
        <v>0</v>
      </c>
      <c r="AL808" s="145">
        <v>350000</v>
      </c>
      <c r="AM808" s="145">
        <v>1800000</v>
      </c>
      <c r="AN808" s="145">
        <v>447249</v>
      </c>
      <c r="AO808" s="145">
        <v>0</v>
      </c>
      <c r="AP808" s="145">
        <v>0</v>
      </c>
      <c r="AQ808" s="145">
        <v>0</v>
      </c>
      <c r="AR808" s="145">
        <v>0</v>
      </c>
      <c r="AS808" s="144">
        <f>U808+V808+W808+AK808+AL808+AM808+AN808+AO808+AP808+AQ808+AR808</f>
        <v>2597249</v>
      </c>
      <c r="AT808" s="144"/>
      <c r="AU808" s="146">
        <f t="shared" si="231"/>
        <v>2597249</v>
      </c>
      <c r="AV808" s="146">
        <f>IFERROR(VLOOKUP(J808,Maksājumu_pieprasījumu_iesn.!G:BL,57,0),0)</f>
        <v>0</v>
      </c>
      <c r="AW808" s="139">
        <f t="shared" si="230"/>
        <v>-2597249</v>
      </c>
      <c r="AX808" s="147"/>
      <c r="AY808" s="147"/>
      <c r="AZ808" s="147"/>
      <c r="BA808" s="165"/>
      <c r="BB808" s="144"/>
      <c r="BC808" s="144"/>
      <c r="BD808" s="144"/>
      <c r="BE808" s="144"/>
      <c r="BF808" s="144"/>
      <c r="BG808" s="144"/>
      <c r="BH808" s="149"/>
      <c r="BI808" s="149"/>
      <c r="BJ808" s="149"/>
      <c r="BK808" s="149"/>
      <c r="BL808" s="149"/>
      <c r="BM808" s="149"/>
      <c r="BN808" s="149"/>
    </row>
    <row r="809" spans="1:66" ht="25.5" hidden="1" customHeight="1" x14ac:dyDescent="0.2">
      <c r="A809" s="142" t="s">
        <v>1603</v>
      </c>
      <c r="B809" s="18" t="s">
        <v>138</v>
      </c>
      <c r="C809" s="18" t="s">
        <v>139</v>
      </c>
      <c r="D809" s="19" t="s">
        <v>576</v>
      </c>
      <c r="E809" s="18">
        <v>3</v>
      </c>
      <c r="F809" s="18" t="s">
        <v>35</v>
      </c>
      <c r="G809" s="18" t="s">
        <v>5</v>
      </c>
      <c r="H809" s="18" t="s">
        <v>3</v>
      </c>
      <c r="I809" s="18"/>
      <c r="J809" s="18"/>
      <c r="K809" s="19" t="s">
        <v>143</v>
      </c>
      <c r="L809" s="275" t="s">
        <v>1605</v>
      </c>
      <c r="M809" s="275" t="s">
        <v>1606</v>
      </c>
      <c r="N809" s="19" t="s">
        <v>1939</v>
      </c>
      <c r="O809" s="143">
        <v>43465</v>
      </c>
      <c r="P809" s="143"/>
      <c r="Q809" s="143"/>
      <c r="R809" s="144"/>
      <c r="S809" s="144">
        <v>0</v>
      </c>
      <c r="T809" s="144">
        <v>0</v>
      </c>
      <c r="U809" s="145">
        <v>0</v>
      </c>
      <c r="V809" s="145">
        <v>0</v>
      </c>
      <c r="W809" s="145">
        <v>0</v>
      </c>
      <c r="X809" s="145">
        <f t="shared" si="233"/>
        <v>0</v>
      </c>
      <c r="Y809" s="145">
        <v>0</v>
      </c>
      <c r="Z809" s="145">
        <v>0</v>
      </c>
      <c r="AA809" s="145">
        <v>0</v>
      </c>
      <c r="AB809" s="145">
        <v>0</v>
      </c>
      <c r="AC809" s="145">
        <v>0</v>
      </c>
      <c r="AD809" s="145">
        <v>0</v>
      </c>
      <c r="AE809" s="145">
        <v>0</v>
      </c>
      <c r="AF809" s="145">
        <v>0</v>
      </c>
      <c r="AG809" s="145">
        <v>0</v>
      </c>
      <c r="AH809" s="145">
        <v>0</v>
      </c>
      <c r="AI809" s="145">
        <v>0</v>
      </c>
      <c r="AJ809" s="145">
        <v>0</v>
      </c>
      <c r="AK809" s="145">
        <f t="shared" si="234"/>
        <v>0</v>
      </c>
      <c r="AL809" s="145">
        <v>444458</v>
      </c>
      <c r="AM809" s="145">
        <v>0</v>
      </c>
      <c r="AN809" s="145">
        <v>0</v>
      </c>
      <c r="AO809" s="145">
        <v>0</v>
      </c>
      <c r="AP809" s="145">
        <v>0</v>
      </c>
      <c r="AQ809" s="145">
        <v>0</v>
      </c>
      <c r="AR809" s="145">
        <v>0</v>
      </c>
      <c r="AS809" s="144">
        <f>U809+V809+W809+AK809+AL809+AM809+AN809+AO809+AP809+AQ809+AR809</f>
        <v>444458</v>
      </c>
      <c r="AT809" s="144"/>
      <c r="AU809" s="146">
        <f t="shared" si="231"/>
        <v>444458</v>
      </c>
      <c r="AV809" s="146">
        <f>IFERROR(VLOOKUP(J809,Maksājumu_pieprasījumu_iesn.!G:BL,57,0),0)</f>
        <v>0</v>
      </c>
      <c r="AW809" s="139">
        <f t="shared" si="230"/>
        <v>-444458</v>
      </c>
      <c r="AX809" s="147"/>
      <c r="AY809" s="147"/>
      <c r="AZ809" s="147"/>
      <c r="BA809" s="165"/>
      <c r="BB809" s="144"/>
      <c r="BC809" s="144"/>
      <c r="BD809" s="144"/>
      <c r="BE809" s="144"/>
      <c r="BF809" s="144"/>
      <c r="BG809" s="144"/>
      <c r="BH809" s="149"/>
      <c r="BI809" s="149"/>
      <c r="BJ809" s="149"/>
      <c r="BK809" s="149"/>
      <c r="BL809" s="149"/>
      <c r="BM809" s="149"/>
      <c r="BN809" s="149"/>
    </row>
    <row r="810" spans="1:66" ht="38.25" hidden="1" customHeight="1" x14ac:dyDescent="0.2">
      <c r="A810" s="142" t="s">
        <v>1603</v>
      </c>
      <c r="B810" s="18" t="s">
        <v>138</v>
      </c>
      <c r="C810" s="18" t="s">
        <v>139</v>
      </c>
      <c r="D810" s="19" t="s">
        <v>576</v>
      </c>
      <c r="E810" s="18">
        <v>3</v>
      </c>
      <c r="F810" s="18" t="s">
        <v>35</v>
      </c>
      <c r="G810" s="18" t="s">
        <v>5</v>
      </c>
      <c r="H810" s="18" t="s">
        <v>3</v>
      </c>
      <c r="I810" s="18"/>
      <c r="J810" s="18" t="s">
        <v>1940</v>
      </c>
      <c r="K810" s="19" t="s">
        <v>1234</v>
      </c>
      <c r="L810" s="275" t="s">
        <v>1605</v>
      </c>
      <c r="M810" s="275" t="s">
        <v>1606</v>
      </c>
      <c r="N810" s="19" t="s">
        <v>1941</v>
      </c>
      <c r="O810" s="143"/>
      <c r="P810" s="143"/>
      <c r="Q810" s="143"/>
      <c r="R810" s="172" t="s">
        <v>1942</v>
      </c>
      <c r="S810" s="144">
        <v>4869628.8099999996</v>
      </c>
      <c r="T810" s="144">
        <v>297024.18142006599</v>
      </c>
      <c r="U810" s="145">
        <v>0</v>
      </c>
      <c r="V810" s="145">
        <v>0</v>
      </c>
      <c r="W810" s="145">
        <v>0</v>
      </c>
      <c r="X810" s="145">
        <f t="shared" si="233"/>
        <v>0</v>
      </c>
      <c r="Y810" s="145">
        <v>0</v>
      </c>
      <c r="Z810" s="145">
        <v>0</v>
      </c>
      <c r="AA810" s="145">
        <v>0</v>
      </c>
      <c r="AB810" s="145">
        <v>0</v>
      </c>
      <c r="AC810" s="145">
        <v>0</v>
      </c>
      <c r="AD810" s="145">
        <v>0</v>
      </c>
      <c r="AE810" s="145">
        <v>0</v>
      </c>
      <c r="AF810" s="145">
        <v>0</v>
      </c>
      <c r="AG810" s="145">
        <v>0</v>
      </c>
      <c r="AH810" s="145">
        <v>0</v>
      </c>
      <c r="AI810" s="145">
        <v>0</v>
      </c>
      <c r="AJ810" s="145">
        <v>0</v>
      </c>
      <c r="AK810" s="145">
        <f t="shared" si="234"/>
        <v>0</v>
      </c>
      <c r="AL810" s="145">
        <v>4535771.218579934</v>
      </c>
      <c r="AM810" s="145">
        <v>36833.33</v>
      </c>
      <c r="AN810" s="145">
        <v>0</v>
      </c>
      <c r="AO810" s="145">
        <v>0</v>
      </c>
      <c r="AP810" s="145">
        <v>0</v>
      </c>
      <c r="AQ810" s="145">
        <v>0</v>
      </c>
      <c r="AR810" s="145">
        <v>0</v>
      </c>
      <c r="AS810" s="144">
        <f>U810+V810+W810+AK810+AL810+AM810+AN810+AO810+AP810+AQ810+AR810</f>
        <v>4572604.5485799341</v>
      </c>
      <c r="AT810" s="144">
        <v>0</v>
      </c>
      <c r="AU810" s="146">
        <f t="shared" si="231"/>
        <v>4572604.5485799341</v>
      </c>
      <c r="AV810" s="146">
        <f>IFERROR(VLOOKUP(J810,Maksājumu_pieprasījumu_iesn.!G:BL,57,0),0)</f>
        <v>0</v>
      </c>
      <c r="AW810" s="139">
        <f t="shared" si="230"/>
        <v>-4572604.5485799341</v>
      </c>
      <c r="AX810" s="147"/>
      <c r="AY810" s="147" t="s">
        <v>1085</v>
      </c>
      <c r="AZ810" s="147"/>
      <c r="BA810" s="165" t="s">
        <v>1086</v>
      </c>
      <c r="BB810" s="144"/>
      <c r="BC810" s="144"/>
      <c r="BD810" s="144"/>
      <c r="BE810" s="144"/>
      <c r="BF810" s="144"/>
      <c r="BG810" s="144"/>
      <c r="BH810" s="149"/>
      <c r="BI810" s="149"/>
      <c r="BJ810" s="149"/>
      <c r="BK810" s="149"/>
      <c r="BL810" s="149"/>
      <c r="BM810" s="149"/>
      <c r="BN810" s="149"/>
    </row>
    <row r="811" spans="1:66" ht="51" hidden="1" customHeight="1" x14ac:dyDescent="0.2">
      <c r="A811" s="142" t="s">
        <v>1603</v>
      </c>
      <c r="B811" s="18" t="s">
        <v>138</v>
      </c>
      <c r="C811" s="18" t="s">
        <v>139</v>
      </c>
      <c r="D811" s="19" t="s">
        <v>576</v>
      </c>
      <c r="E811" s="18">
        <v>3</v>
      </c>
      <c r="F811" s="18" t="s">
        <v>35</v>
      </c>
      <c r="G811" s="18" t="s">
        <v>5</v>
      </c>
      <c r="H811" s="18" t="s">
        <v>3</v>
      </c>
      <c r="I811" s="18"/>
      <c r="J811" s="18" t="s">
        <v>1943</v>
      </c>
      <c r="K811" s="19" t="s">
        <v>1944</v>
      </c>
      <c r="L811" s="275" t="s">
        <v>1605</v>
      </c>
      <c r="M811" s="275" t="s">
        <v>1606</v>
      </c>
      <c r="N811" s="19" t="s">
        <v>1945</v>
      </c>
      <c r="O811" s="143"/>
      <c r="P811" s="143"/>
      <c r="Q811" s="143"/>
      <c r="R811" s="172" t="s">
        <v>1946</v>
      </c>
      <c r="S811" s="144">
        <v>10026413.060000001</v>
      </c>
      <c r="T811" s="144">
        <v>611563.47802328004</v>
      </c>
      <c r="U811" s="145">
        <v>0</v>
      </c>
      <c r="V811" s="145">
        <v>0</v>
      </c>
      <c r="W811" s="145">
        <v>0</v>
      </c>
      <c r="X811" s="145">
        <f t="shared" si="233"/>
        <v>0</v>
      </c>
      <c r="Y811" s="145">
        <v>0</v>
      </c>
      <c r="Z811" s="145">
        <v>0</v>
      </c>
      <c r="AA811" s="145">
        <v>0</v>
      </c>
      <c r="AB811" s="145">
        <v>0</v>
      </c>
      <c r="AC811" s="145">
        <v>0</v>
      </c>
      <c r="AD811" s="145">
        <v>0</v>
      </c>
      <c r="AE811" s="145">
        <v>0</v>
      </c>
      <c r="AF811" s="145">
        <v>0</v>
      </c>
      <c r="AG811" s="145">
        <v>0</v>
      </c>
      <c r="AH811" s="145">
        <v>0</v>
      </c>
      <c r="AI811" s="145">
        <v>0</v>
      </c>
      <c r="AJ811" s="145">
        <v>0</v>
      </c>
      <c r="AK811" s="145">
        <f t="shared" si="234"/>
        <v>0</v>
      </c>
      <c r="AL811" s="145">
        <v>9414849.5819767211</v>
      </c>
      <c r="AM811" s="145">
        <v>0</v>
      </c>
      <c r="AN811" s="145">
        <v>0</v>
      </c>
      <c r="AO811" s="145">
        <v>0</v>
      </c>
      <c r="AP811" s="145">
        <v>0</v>
      </c>
      <c r="AQ811" s="145">
        <v>0</v>
      </c>
      <c r="AR811" s="145">
        <v>0</v>
      </c>
      <c r="AS811" s="144">
        <f>U811+V811+W811+AK811+AL811+AM811+AN811+AO811+AP811+AQ811+AR811</f>
        <v>9414849.5819767211</v>
      </c>
      <c r="AT811" s="144">
        <v>0</v>
      </c>
      <c r="AU811" s="146">
        <f t="shared" si="231"/>
        <v>9414849.5819767211</v>
      </c>
      <c r="AV811" s="146">
        <f>IFERROR(VLOOKUP(J811,Maksājumu_pieprasījumu_iesn.!G:BL,57,0),0)</f>
        <v>0</v>
      </c>
      <c r="AW811" s="139">
        <f t="shared" si="230"/>
        <v>-9414849.5819767211</v>
      </c>
      <c r="AX811" s="147"/>
      <c r="AY811" s="147"/>
      <c r="AZ811" s="147"/>
      <c r="BA811" s="165" t="s">
        <v>1086</v>
      </c>
      <c r="BB811" s="144"/>
      <c r="BC811" s="144"/>
      <c r="BD811" s="144"/>
      <c r="BE811" s="144"/>
      <c r="BF811" s="144"/>
      <c r="BG811" s="144"/>
      <c r="BH811" s="149"/>
      <c r="BI811" s="149"/>
      <c r="BJ811" s="149"/>
      <c r="BK811" s="149"/>
      <c r="BL811" s="149"/>
      <c r="BM811" s="149"/>
      <c r="BN811" s="149"/>
    </row>
    <row r="812" spans="1:66" hidden="1" x14ac:dyDescent="0.2">
      <c r="A812" s="266" t="s">
        <v>1603</v>
      </c>
      <c r="B812" s="266" t="s">
        <v>1947</v>
      </c>
      <c r="C812" s="266" t="s">
        <v>1023</v>
      </c>
      <c r="D812" s="267" t="s">
        <v>1948</v>
      </c>
      <c r="E812" s="266"/>
      <c r="F812" s="266"/>
      <c r="G812" s="266" t="s">
        <v>5</v>
      </c>
      <c r="H812" s="266"/>
      <c r="I812" s="266"/>
      <c r="J812" s="266"/>
      <c r="K812" s="267"/>
      <c r="L812" s="268"/>
      <c r="M812" s="268"/>
      <c r="N812" s="267"/>
      <c r="O812" s="269"/>
      <c r="P812" s="269"/>
      <c r="Q812" s="269"/>
      <c r="R812" s="318"/>
      <c r="S812" s="272">
        <f>S813</f>
        <v>24869088</v>
      </c>
      <c r="T812" s="272">
        <f>T813</f>
        <v>0</v>
      </c>
      <c r="U812" s="129">
        <f>U813</f>
        <v>0</v>
      </c>
      <c r="V812" s="129">
        <f>V813</f>
        <v>0</v>
      </c>
      <c r="W812" s="129">
        <f>W813</f>
        <v>0</v>
      </c>
      <c r="X812" s="129">
        <f>U812+V812+W812</f>
        <v>0</v>
      </c>
      <c r="Y812" s="129">
        <f t="shared" ref="Y812:AT812" si="236">Y813</f>
        <v>0</v>
      </c>
      <c r="Z812" s="129">
        <f t="shared" si="236"/>
        <v>0</v>
      </c>
      <c r="AA812" s="129">
        <f t="shared" si="236"/>
        <v>0</v>
      </c>
      <c r="AB812" s="129">
        <f t="shared" si="236"/>
        <v>0</v>
      </c>
      <c r="AC812" s="129">
        <f t="shared" si="236"/>
        <v>0</v>
      </c>
      <c r="AD812" s="129">
        <f t="shared" si="236"/>
        <v>0</v>
      </c>
      <c r="AE812" s="129">
        <f t="shared" si="236"/>
        <v>0</v>
      </c>
      <c r="AF812" s="129">
        <f t="shared" si="236"/>
        <v>0</v>
      </c>
      <c r="AG812" s="129">
        <f t="shared" si="236"/>
        <v>0</v>
      </c>
      <c r="AH812" s="129">
        <f t="shared" si="236"/>
        <v>542638.03650000005</v>
      </c>
      <c r="AI812" s="129">
        <f t="shared" si="236"/>
        <v>7911.2219999999998</v>
      </c>
      <c r="AJ812" s="129">
        <f t="shared" si="236"/>
        <v>7911.2219999999998</v>
      </c>
      <c r="AK812" s="129">
        <f t="shared" si="236"/>
        <v>558460.48049999995</v>
      </c>
      <c r="AL812" s="129">
        <f t="shared" si="236"/>
        <v>7778423.9084999999</v>
      </c>
      <c r="AM812" s="129">
        <f t="shared" si="236"/>
        <v>7518650</v>
      </c>
      <c r="AN812" s="129">
        <f t="shared" si="236"/>
        <v>9013554</v>
      </c>
      <c r="AO812" s="129">
        <f t="shared" si="236"/>
        <v>0</v>
      </c>
      <c r="AP812" s="129">
        <f t="shared" si="236"/>
        <v>0</v>
      </c>
      <c r="AQ812" s="129">
        <f t="shared" si="236"/>
        <v>0</v>
      </c>
      <c r="AR812" s="129">
        <f t="shared" si="236"/>
        <v>0</v>
      </c>
      <c r="AS812" s="272">
        <f t="shared" si="236"/>
        <v>24869088.388999999</v>
      </c>
      <c r="AT812" s="272">
        <f t="shared" si="236"/>
        <v>0</v>
      </c>
      <c r="AU812" s="271">
        <f t="shared" si="231"/>
        <v>24869088.388999999</v>
      </c>
      <c r="AV812" s="146">
        <f>IFERROR(VLOOKUP(J812,Maksājumu_pieprasījumu_iesn.!G:BL,57,0),0)</f>
        <v>0</v>
      </c>
      <c r="AW812" s="139">
        <f t="shared" si="230"/>
        <v>-24869088.388999999</v>
      </c>
      <c r="AX812" s="272">
        <f>AX813</f>
        <v>-0.38899999856948853</v>
      </c>
      <c r="AY812" s="272">
        <f>AY813</f>
        <v>0</v>
      </c>
      <c r="AZ812" s="272"/>
      <c r="BA812" s="270"/>
      <c r="BB812" s="272">
        <f>BB813</f>
        <v>0</v>
      </c>
      <c r="BC812" s="272">
        <f>BC813</f>
        <v>4447672.43475</v>
      </c>
      <c r="BD812" s="270">
        <f>BC812*0.86</f>
        <v>3824998.2938850001</v>
      </c>
      <c r="BE812" s="272">
        <f>BD812/0.85</f>
        <v>4499997.9928058824</v>
      </c>
      <c r="BF812" s="272">
        <f>BF813</f>
        <v>0</v>
      </c>
      <c r="BG812" s="272">
        <f>BG813</f>
        <v>0</v>
      </c>
      <c r="BH812" s="272">
        <f>BH813</f>
        <v>0</v>
      </c>
      <c r="BI812" s="272">
        <f>BI813</f>
        <v>3437818</v>
      </c>
      <c r="BJ812" s="272">
        <f>AK812*0.86</f>
        <v>480276.01322999992</v>
      </c>
      <c r="BK812" s="272">
        <f>BJ812-BI812</f>
        <v>-2957541.9867700003</v>
      </c>
      <c r="BL812" s="272">
        <f>BL813</f>
        <v>3060220</v>
      </c>
      <c r="BM812" s="272">
        <f>AL812*0.86</f>
        <v>6689444.5613099998</v>
      </c>
      <c r="BN812" s="272">
        <f>BM812-BL812</f>
        <v>3629224.5613099998</v>
      </c>
    </row>
    <row r="813" spans="1:66" ht="12.75" hidden="1" customHeight="1" x14ac:dyDescent="0.2">
      <c r="A813" s="173" t="s">
        <v>1603</v>
      </c>
      <c r="B813" s="132" t="s">
        <v>1947</v>
      </c>
      <c r="C813" s="132" t="s">
        <v>1949</v>
      </c>
      <c r="D813" s="133" t="s">
        <v>1948</v>
      </c>
      <c r="E813" s="132" t="s">
        <v>3</v>
      </c>
      <c r="F813" s="132" t="s">
        <v>35</v>
      </c>
      <c r="G813" s="132" t="s">
        <v>5</v>
      </c>
      <c r="H813" s="132" t="s">
        <v>3</v>
      </c>
      <c r="I813" s="132" t="s">
        <v>1022</v>
      </c>
      <c r="J813" s="273" t="s">
        <v>1026</v>
      </c>
      <c r="K813" s="133"/>
      <c r="L813" s="274"/>
      <c r="M813" s="274"/>
      <c r="N813" s="133"/>
      <c r="O813" s="230"/>
      <c r="P813" s="230"/>
      <c r="Q813" s="230"/>
      <c r="R813" s="230"/>
      <c r="S813" s="165">
        <v>24869088</v>
      </c>
      <c r="T813" s="165">
        <v>0</v>
      </c>
      <c r="U813" s="137">
        <f>SUM(U814)</f>
        <v>0</v>
      </c>
      <c r="V813" s="137">
        <f>SUM(V814)</f>
        <v>0</v>
      </c>
      <c r="W813" s="137">
        <f>SUM(W814)</f>
        <v>0</v>
      </c>
      <c r="X813" s="138">
        <f>U813+V813+W813</f>
        <v>0</v>
      </c>
      <c r="Y813" s="137">
        <f t="shared" ref="Y813:AR813" si="237">SUM(Y814)</f>
        <v>0</v>
      </c>
      <c r="Z813" s="137">
        <f t="shared" si="237"/>
        <v>0</v>
      </c>
      <c r="AA813" s="137">
        <f t="shared" si="237"/>
        <v>0</v>
      </c>
      <c r="AB813" s="137">
        <f t="shared" si="237"/>
        <v>0</v>
      </c>
      <c r="AC813" s="137">
        <f t="shared" si="237"/>
        <v>0</v>
      </c>
      <c r="AD813" s="137">
        <f t="shared" si="237"/>
        <v>0</v>
      </c>
      <c r="AE813" s="137">
        <f t="shared" si="237"/>
        <v>0</v>
      </c>
      <c r="AF813" s="137">
        <f t="shared" si="237"/>
        <v>0</v>
      </c>
      <c r="AG813" s="137">
        <f t="shared" si="237"/>
        <v>0</v>
      </c>
      <c r="AH813" s="137">
        <f t="shared" si="237"/>
        <v>542638.03650000005</v>
      </c>
      <c r="AI813" s="137">
        <f t="shared" si="237"/>
        <v>7911.2219999999998</v>
      </c>
      <c r="AJ813" s="137">
        <f t="shared" si="237"/>
        <v>7911.2219999999998</v>
      </c>
      <c r="AK813" s="137">
        <f t="shared" si="237"/>
        <v>558460.48049999995</v>
      </c>
      <c r="AL813" s="137">
        <f t="shared" si="237"/>
        <v>7778423.9084999999</v>
      </c>
      <c r="AM813" s="137">
        <f t="shared" si="237"/>
        <v>7518650</v>
      </c>
      <c r="AN813" s="137">
        <f t="shared" si="237"/>
        <v>9013554</v>
      </c>
      <c r="AO813" s="137">
        <f t="shared" si="237"/>
        <v>0</v>
      </c>
      <c r="AP813" s="137">
        <f t="shared" si="237"/>
        <v>0</v>
      </c>
      <c r="AQ813" s="137">
        <f t="shared" si="237"/>
        <v>0</v>
      </c>
      <c r="AR813" s="137">
        <f t="shared" si="237"/>
        <v>0</v>
      </c>
      <c r="AS813" s="165">
        <f>U813+V813+W813+AK813+AL813+AM813+AN813+AO813+AP813+AQ813+AR813</f>
        <v>24869088.388999999</v>
      </c>
      <c r="AT813" s="165">
        <f>AT814</f>
        <v>0</v>
      </c>
      <c r="AU813" s="146">
        <f t="shared" si="231"/>
        <v>24869088.388999999</v>
      </c>
      <c r="AV813" s="146">
        <f>IFERROR(VLOOKUP(J813,Maksājumu_pieprasījumu_iesn.!G:BL,57,0),0)</f>
        <v>0</v>
      </c>
      <c r="AW813" s="139">
        <f t="shared" si="230"/>
        <v>-24869088.388999999</v>
      </c>
      <c r="AX813" s="231">
        <f>S813-T813-AU813</f>
        <v>-0.38899999856948853</v>
      </c>
      <c r="AY813" s="231"/>
      <c r="AZ813" s="231"/>
      <c r="BA813" s="149"/>
      <c r="BB813" s="231"/>
      <c r="BC813" s="231">
        <f>X813+AK813+AL813/2</f>
        <v>4447672.43475</v>
      </c>
      <c r="BD813" s="231"/>
      <c r="BE813" s="231">
        <f>BC813/0.85</f>
        <v>5232555.8055882351</v>
      </c>
      <c r="BF813" s="165"/>
      <c r="BG813" s="165"/>
      <c r="BH813" s="149">
        <v>0</v>
      </c>
      <c r="BI813" s="149">
        <v>3437818</v>
      </c>
      <c r="BJ813" s="149"/>
      <c r="BK813" s="149"/>
      <c r="BL813" s="149">
        <v>3060220</v>
      </c>
      <c r="BM813" s="149"/>
      <c r="BN813" s="149"/>
    </row>
    <row r="814" spans="1:66" ht="38.25" hidden="1" customHeight="1" x14ac:dyDescent="0.2">
      <c r="A814" s="142" t="s">
        <v>1603</v>
      </c>
      <c r="B814" s="18" t="s">
        <v>1947</v>
      </c>
      <c r="C814" s="18" t="s">
        <v>1949</v>
      </c>
      <c r="D814" s="19" t="s">
        <v>1948</v>
      </c>
      <c r="E814" s="18" t="s">
        <v>3</v>
      </c>
      <c r="F814" s="18" t="s">
        <v>35</v>
      </c>
      <c r="G814" s="18" t="s">
        <v>5</v>
      </c>
      <c r="H814" s="18" t="s">
        <v>3</v>
      </c>
      <c r="I814" s="18"/>
      <c r="J814" s="18"/>
      <c r="K814" s="19" t="s">
        <v>1950</v>
      </c>
      <c r="L814" s="275" t="s">
        <v>1626</v>
      </c>
      <c r="M814" s="275" t="s">
        <v>35</v>
      </c>
      <c r="N814" s="19" t="s">
        <v>1951</v>
      </c>
      <c r="O814" s="143">
        <v>42886</v>
      </c>
      <c r="P814" s="143"/>
      <c r="Q814" s="143"/>
      <c r="R814" s="143"/>
      <c r="S814" s="144"/>
      <c r="T814" s="144"/>
      <c r="U814" s="145">
        <v>0</v>
      </c>
      <c r="V814" s="145">
        <v>0</v>
      </c>
      <c r="W814" s="145">
        <v>0</v>
      </c>
      <c r="X814" s="145">
        <f>W814+V814+U814</f>
        <v>0</v>
      </c>
      <c r="Y814" s="145">
        <v>0</v>
      </c>
      <c r="Z814" s="145">
        <v>0</v>
      </c>
      <c r="AA814" s="145">
        <v>0</v>
      </c>
      <c r="AB814" s="145">
        <v>0</v>
      </c>
      <c r="AC814" s="145">
        <v>0</v>
      </c>
      <c r="AD814" s="145">
        <v>0</v>
      </c>
      <c r="AE814" s="145">
        <v>0</v>
      </c>
      <c r="AF814" s="145">
        <v>0</v>
      </c>
      <c r="AG814" s="145">
        <v>0</v>
      </c>
      <c r="AH814" s="319">
        <v>542638.03650000005</v>
      </c>
      <c r="AI814" s="319">
        <v>7911.2219999999998</v>
      </c>
      <c r="AJ814" s="319">
        <v>7911.2219999999998</v>
      </c>
      <c r="AK814" s="145">
        <f>SUM(Y814:AJ814)</f>
        <v>558460.48049999995</v>
      </c>
      <c r="AL814" s="145">
        <v>7778423.9084999999</v>
      </c>
      <c r="AM814" s="145">
        <v>7518650</v>
      </c>
      <c r="AN814" s="145">
        <v>9013554</v>
      </c>
      <c r="AO814" s="145">
        <v>0</v>
      </c>
      <c r="AP814" s="145">
        <v>0</v>
      </c>
      <c r="AQ814" s="145">
        <v>0</v>
      </c>
      <c r="AR814" s="145">
        <v>0</v>
      </c>
      <c r="AS814" s="144">
        <f>U814+V814+W814+AK814+AL814+AM814+AN814+AO814+AP814+AQ814+AR814</f>
        <v>24869088.388999999</v>
      </c>
      <c r="AT814" s="144"/>
      <c r="AU814" s="146">
        <f>AS814-AT814</f>
        <v>24869088.388999999</v>
      </c>
      <c r="AV814" s="146">
        <f>IFERROR(VLOOKUP(J814,Maksājumu_pieprasījumu_iesn.!G:BL,57,0),0)</f>
        <v>0</v>
      </c>
      <c r="AW814" s="139">
        <f t="shared" si="230"/>
        <v>-24869088.388999999</v>
      </c>
      <c r="AX814" s="147"/>
      <c r="AY814" s="147"/>
      <c r="AZ814" s="147"/>
      <c r="BA814" s="165"/>
      <c r="BB814" s="144"/>
      <c r="BC814" s="144"/>
      <c r="BD814" s="144"/>
      <c r="BE814" s="144"/>
      <c r="BF814" s="144"/>
      <c r="BG814" s="144"/>
      <c r="BH814" s="149"/>
      <c r="BI814" s="149"/>
      <c r="BJ814" s="149"/>
      <c r="BK814" s="149"/>
      <c r="BL814" s="149"/>
      <c r="BM814" s="149"/>
      <c r="BN814" s="149"/>
    </row>
    <row r="815" spans="1:66" s="91" customFormat="1" ht="12.75" hidden="1" customHeight="1" x14ac:dyDescent="0.2">
      <c r="A815" s="190" t="s">
        <v>1952</v>
      </c>
      <c r="B815" s="120" t="s">
        <v>1020</v>
      </c>
      <c r="C815" s="121" t="s">
        <v>5</v>
      </c>
      <c r="D815" s="122" t="s">
        <v>1953</v>
      </c>
      <c r="E815" s="121"/>
      <c r="F815" s="121"/>
      <c r="G815" s="121" t="s">
        <v>5</v>
      </c>
      <c r="H815" s="121"/>
      <c r="I815" s="121"/>
      <c r="J815" s="123"/>
      <c r="K815" s="191"/>
      <c r="L815" s="191"/>
      <c r="M815" s="191"/>
      <c r="N815" s="191"/>
      <c r="O815" s="192"/>
      <c r="P815" s="192"/>
      <c r="Q815" s="192"/>
      <c r="R815" s="192"/>
      <c r="S815" s="179">
        <f>S896</f>
        <v>235477563</v>
      </c>
      <c r="T815" s="179">
        <f>T896</f>
        <v>14363011</v>
      </c>
      <c r="U815" s="179">
        <f>U896</f>
        <v>0</v>
      </c>
      <c r="V815" s="179">
        <f>V896</f>
        <v>0</v>
      </c>
      <c r="W815" s="179">
        <f>W896</f>
        <v>55449905.710000001</v>
      </c>
      <c r="X815" s="125">
        <f>U815+V815+W815</f>
        <v>55449905.710000001</v>
      </c>
      <c r="Y815" s="179">
        <f t="shared" ref="Y815:AY815" si="238">Y896</f>
        <v>7973580.79</v>
      </c>
      <c r="Z815" s="179">
        <f t="shared" si="238"/>
        <v>466168.59</v>
      </c>
      <c r="AA815" s="179">
        <f t="shared" si="238"/>
        <v>4389565.62</v>
      </c>
      <c r="AB815" s="179">
        <f t="shared" si="238"/>
        <v>3697728.76</v>
      </c>
      <c r="AC815" s="179">
        <f t="shared" si="238"/>
        <v>0</v>
      </c>
      <c r="AD815" s="179">
        <f t="shared" si="238"/>
        <v>315990.76</v>
      </c>
      <c r="AE815" s="179">
        <f t="shared" si="238"/>
        <v>14874303.85</v>
      </c>
      <c r="AF815" s="179">
        <f t="shared" si="238"/>
        <v>0</v>
      </c>
      <c r="AG815" s="179">
        <f t="shared" si="238"/>
        <v>10120572.6</v>
      </c>
      <c r="AH815" s="179">
        <f t="shared" si="238"/>
        <v>14603335.27</v>
      </c>
      <c r="AI815" s="179">
        <f t="shared" si="238"/>
        <v>0</v>
      </c>
      <c r="AJ815" s="179">
        <f t="shared" si="238"/>
        <v>9257940.0199999996</v>
      </c>
      <c r="AK815" s="179">
        <f t="shared" si="238"/>
        <v>65699186.259999983</v>
      </c>
      <c r="AL815" s="179">
        <f t="shared" si="238"/>
        <v>76373108.700000003</v>
      </c>
      <c r="AM815" s="179">
        <f t="shared" si="238"/>
        <v>18736154.409999996</v>
      </c>
      <c r="AN815" s="179">
        <f t="shared" si="238"/>
        <v>1772783.31</v>
      </c>
      <c r="AO815" s="179">
        <f t="shared" si="238"/>
        <v>0</v>
      </c>
      <c r="AP815" s="179">
        <f t="shared" si="238"/>
        <v>0</v>
      </c>
      <c r="AQ815" s="179">
        <f t="shared" si="238"/>
        <v>0</v>
      </c>
      <c r="AR815" s="179">
        <f t="shared" si="238"/>
        <v>0</v>
      </c>
      <c r="AS815" s="179">
        <f t="shared" si="238"/>
        <v>218031138.38999999</v>
      </c>
      <c r="AT815" s="179">
        <f t="shared" si="238"/>
        <v>0</v>
      </c>
      <c r="AU815" s="179">
        <f t="shared" si="238"/>
        <v>218031138.38999999</v>
      </c>
      <c r="AV815" s="146">
        <f>IFERROR(VLOOKUP(J815,Maksājumu_pieprasījumu_iesn.!G:BL,57,0),0)</f>
        <v>0</v>
      </c>
      <c r="AW815" s="139">
        <f t="shared" si="230"/>
        <v>-218031138.38999999</v>
      </c>
      <c r="AX815" s="179">
        <f t="shared" si="238"/>
        <v>3083413.6100000143</v>
      </c>
      <c r="AY815" s="179">
        <f t="shared" si="238"/>
        <v>3116010.4499999881</v>
      </c>
      <c r="AZ815" s="179"/>
      <c r="BA815" s="179"/>
      <c r="BB815" s="179">
        <v>72852630</v>
      </c>
      <c r="BC815" s="179">
        <f t="shared" ref="BC815:BN815" si="239">BC896</f>
        <v>159335646.31999999</v>
      </c>
      <c r="BD815" s="179">
        <f t="shared" si="239"/>
        <v>137028655.83519998</v>
      </c>
      <c r="BE815" s="179">
        <f t="shared" si="239"/>
        <v>161210183.33552939</v>
      </c>
      <c r="BF815" s="179">
        <f t="shared" si="239"/>
        <v>0</v>
      </c>
      <c r="BG815" s="179">
        <f t="shared" si="239"/>
        <v>0</v>
      </c>
      <c r="BH815" s="179">
        <f t="shared" si="239"/>
        <v>41847598.380000003</v>
      </c>
      <c r="BI815" s="179">
        <f t="shared" si="239"/>
        <v>66289317.566</v>
      </c>
      <c r="BJ815" s="179">
        <f t="shared" si="239"/>
        <v>56501300.183599986</v>
      </c>
      <c r="BK815" s="179">
        <f t="shared" si="239"/>
        <v>-9788017.3824000135</v>
      </c>
      <c r="BL815" s="179">
        <f t="shared" si="239"/>
        <v>64558375</v>
      </c>
      <c r="BM815" s="179">
        <f t="shared" si="239"/>
        <v>65680873.482000001</v>
      </c>
      <c r="BN815" s="179">
        <f t="shared" si="239"/>
        <v>1122498.4820000008</v>
      </c>
    </row>
    <row r="816" spans="1:66" s="91" customFormat="1" ht="12.75" hidden="1" customHeight="1" x14ac:dyDescent="0.2">
      <c r="A816" s="190" t="s">
        <v>1952</v>
      </c>
      <c r="B816" s="120" t="s">
        <v>1020</v>
      </c>
      <c r="C816" s="121" t="s">
        <v>102</v>
      </c>
      <c r="D816" s="122" t="s">
        <v>1953</v>
      </c>
      <c r="E816" s="121"/>
      <c r="F816" s="121"/>
      <c r="G816" s="121" t="s">
        <v>102</v>
      </c>
      <c r="H816" s="121"/>
      <c r="I816" s="121"/>
      <c r="J816" s="123"/>
      <c r="K816" s="191"/>
      <c r="L816" s="191"/>
      <c r="M816" s="191"/>
      <c r="N816" s="191"/>
      <c r="O816" s="192"/>
      <c r="P816" s="192"/>
      <c r="Q816" s="192"/>
      <c r="R816" s="192"/>
      <c r="S816" s="179">
        <f>S817+S829+S832+S842+S857+S887</f>
        <v>924294295</v>
      </c>
      <c r="T816" s="179">
        <f>T817+T829+T832+T842+T857+T887</f>
        <v>57183034.452919744</v>
      </c>
      <c r="U816" s="179">
        <f>U817+U829+U832+U842+U857+U887</f>
        <v>0</v>
      </c>
      <c r="V816" s="179">
        <f>V817+V829+V832+V842+V857+V887</f>
        <v>37121781.339999996</v>
      </c>
      <c r="W816" s="179">
        <f>W817+W829+W832+W842+W857+W887</f>
        <v>68726540.150000006</v>
      </c>
      <c r="X816" s="125">
        <f>U816+V816+W816</f>
        <v>105848321.49000001</v>
      </c>
      <c r="Y816" s="179">
        <f t="shared" ref="Y816:AY816" si="240">Y817+Y829+Y832+Y842+Y857+Y887</f>
        <v>6517958.3000000007</v>
      </c>
      <c r="Z816" s="179">
        <f t="shared" si="240"/>
        <v>4534713.76</v>
      </c>
      <c r="AA816" s="179">
        <f t="shared" si="240"/>
        <v>10887300.02</v>
      </c>
      <c r="AB816" s="179">
        <f t="shared" si="240"/>
        <v>2551003.9</v>
      </c>
      <c r="AC816" s="179">
        <f t="shared" si="240"/>
        <v>2018750</v>
      </c>
      <c r="AD816" s="179">
        <f t="shared" si="240"/>
        <v>637047.98</v>
      </c>
      <c r="AE816" s="179">
        <f t="shared" si="240"/>
        <v>3981492.88</v>
      </c>
      <c r="AF816" s="179">
        <f t="shared" si="240"/>
        <v>6344874.5999999996</v>
      </c>
      <c r="AG816" s="179">
        <f t="shared" si="240"/>
        <v>6327851.7699999996</v>
      </c>
      <c r="AH816" s="179">
        <f t="shared" si="240"/>
        <v>6324688.2999999998</v>
      </c>
      <c r="AI816" s="179">
        <f t="shared" si="240"/>
        <v>5767063.3300000001</v>
      </c>
      <c r="AJ816" s="179">
        <f t="shared" si="240"/>
        <v>8715133.3699999992</v>
      </c>
      <c r="AK816" s="179">
        <f>AK817+AK829+AK832+AK842+AK857+AK887</f>
        <v>64607878.209999993</v>
      </c>
      <c r="AL816" s="179">
        <f t="shared" si="240"/>
        <v>223688958.58535534</v>
      </c>
      <c r="AM816" s="179">
        <f t="shared" si="240"/>
        <v>131927157.53623906</v>
      </c>
      <c r="AN816" s="179">
        <f t="shared" si="240"/>
        <v>127088420.28236543</v>
      </c>
      <c r="AO816" s="179">
        <f t="shared" si="240"/>
        <v>58121487.022272334</v>
      </c>
      <c r="AP816" s="179">
        <f t="shared" si="240"/>
        <v>52181823.631454475</v>
      </c>
      <c r="AQ816" s="179">
        <f t="shared" si="240"/>
        <v>82120274</v>
      </c>
      <c r="AR816" s="179">
        <f t="shared" si="240"/>
        <v>0</v>
      </c>
      <c r="AS816" s="179">
        <f>AS817+AS829+AS832+AS842+AS857+AS887</f>
        <v>845584320.75768661</v>
      </c>
      <c r="AT816" s="179">
        <f>AT817+AT829+AT832+AT842+AT857+AT887</f>
        <v>19041112.45957239</v>
      </c>
      <c r="AU816" s="179">
        <f>AU817+AU829+AU832+AU842+AU857+AU887</f>
        <v>826543208.29811418</v>
      </c>
      <c r="AV816" s="146">
        <f>IFERROR(VLOOKUP(J816,Maksājumu_pieprasījumu_iesn.!G:BL,57,0),0)</f>
        <v>0</v>
      </c>
      <c r="AW816" s="139">
        <f t="shared" si="230"/>
        <v>-826543208.29811418</v>
      </c>
      <c r="AX816" s="179">
        <f>AX817+AX829+AX832+AX842+AX857+AX887</f>
        <v>40568052.248966053</v>
      </c>
      <c r="AY816" s="179">
        <f t="shared" si="240"/>
        <v>21526938.859572388</v>
      </c>
      <c r="AZ816" s="179"/>
      <c r="BA816" s="179"/>
      <c r="BB816" s="179">
        <v>306148623</v>
      </c>
      <c r="BC816" s="179">
        <f>BC817+BC829+BC832+BC842+BC857+BC887</f>
        <v>282300678.99267763</v>
      </c>
      <c r="BD816" s="179">
        <f>BD817+BD829+BD832+BD842+BD857+BD887</f>
        <v>234309563.56392244</v>
      </c>
      <c r="BE816" s="179">
        <f>BE817+BE829+BE832+BE842+BE857+BE887</f>
        <v>275658310.07520282</v>
      </c>
      <c r="BF816" s="179">
        <f t="shared" ref="BF816:BN816" si="241">BF817+BF829+BF832+BF842+BF857+BF887</f>
        <v>0</v>
      </c>
      <c r="BG816" s="179">
        <f t="shared" si="241"/>
        <v>0</v>
      </c>
      <c r="BH816" s="179">
        <f t="shared" si="241"/>
        <v>103759003.63</v>
      </c>
      <c r="BI816" s="179">
        <f t="shared" si="241"/>
        <v>86835953.067555577</v>
      </c>
      <c r="BJ816" s="179">
        <f>BJ817+BJ829+BJ832+BJ842+BJ857+BJ887</f>
        <v>53624538.914299995</v>
      </c>
      <c r="BK816" s="179">
        <f>BK817+BK829+BK832+BK842+BK857+BK887</f>
        <v>-33211414.153255589</v>
      </c>
      <c r="BL816" s="179">
        <f t="shared" si="241"/>
        <v>130240948.91788588</v>
      </c>
      <c r="BM816" s="179">
        <f t="shared" si="241"/>
        <v>185661835.6258449</v>
      </c>
      <c r="BN816" s="179">
        <f t="shared" si="241"/>
        <v>55420886.707959034</v>
      </c>
    </row>
    <row r="817" spans="1:66" s="91" customFormat="1" hidden="1" x14ac:dyDescent="0.2">
      <c r="A817" s="127" t="s">
        <v>1952</v>
      </c>
      <c r="B817" s="127" t="s">
        <v>758</v>
      </c>
      <c r="C817" s="127" t="s">
        <v>1023</v>
      </c>
      <c r="D817" s="128" t="s">
        <v>760</v>
      </c>
      <c r="E817" s="127"/>
      <c r="F817" s="127"/>
      <c r="G817" s="127" t="s">
        <v>102</v>
      </c>
      <c r="H817" s="127"/>
      <c r="I817" s="127"/>
      <c r="J817" s="127"/>
      <c r="K817" s="128"/>
      <c r="L817" s="128"/>
      <c r="M817" s="128"/>
      <c r="N817" s="128"/>
      <c r="O817" s="163"/>
      <c r="P817" s="163"/>
      <c r="Q817" s="163"/>
      <c r="R817" s="163"/>
      <c r="S817" s="164">
        <f>S818+S819</f>
        <v>89312625</v>
      </c>
      <c r="T817" s="164">
        <f>T818+T819</f>
        <v>5525477</v>
      </c>
      <c r="U817" s="164">
        <f>U818</f>
        <v>0</v>
      </c>
      <c r="V817" s="164">
        <f>V818</f>
        <v>0</v>
      </c>
      <c r="W817" s="164">
        <f>W818</f>
        <v>0</v>
      </c>
      <c r="X817" s="129">
        <f>U817+V817+W817</f>
        <v>0</v>
      </c>
      <c r="Y817" s="164">
        <f t="shared" ref="Y817:AR817" si="242">Y818</f>
        <v>0</v>
      </c>
      <c r="Z817" s="164">
        <f t="shared" si="242"/>
        <v>0</v>
      </c>
      <c r="AA817" s="164">
        <f t="shared" si="242"/>
        <v>0</v>
      </c>
      <c r="AB817" s="164">
        <f t="shared" si="242"/>
        <v>0</v>
      </c>
      <c r="AC817" s="164">
        <f t="shared" si="242"/>
        <v>0</v>
      </c>
      <c r="AD817" s="164">
        <f t="shared" si="242"/>
        <v>0</v>
      </c>
      <c r="AE817" s="164">
        <f t="shared" si="242"/>
        <v>466189.95999999996</v>
      </c>
      <c r="AF817" s="164">
        <f t="shared" si="242"/>
        <v>164000</v>
      </c>
      <c r="AG817" s="164">
        <f t="shared" si="242"/>
        <v>0</v>
      </c>
      <c r="AH817" s="164">
        <f t="shared" si="242"/>
        <v>951838.3</v>
      </c>
      <c r="AI817" s="164">
        <f t="shared" si="242"/>
        <v>0</v>
      </c>
      <c r="AJ817" s="164">
        <f t="shared" si="242"/>
        <v>2039558</v>
      </c>
      <c r="AK817" s="164">
        <f>AK818</f>
        <v>3621586.26</v>
      </c>
      <c r="AL817" s="164">
        <f t="shared" si="242"/>
        <v>27135241.385355324</v>
      </c>
      <c r="AM817" s="164">
        <f t="shared" si="242"/>
        <v>20036742.216239057</v>
      </c>
      <c r="AN817" s="164">
        <f t="shared" si="242"/>
        <v>18264352.569837101</v>
      </c>
      <c r="AO817" s="164">
        <f t="shared" si="242"/>
        <v>3122438.398996131</v>
      </c>
      <c r="AP817" s="164">
        <f t="shared" si="242"/>
        <v>330075.31</v>
      </c>
      <c r="AQ817" s="164">
        <f t="shared" si="242"/>
        <v>0</v>
      </c>
      <c r="AR817" s="164">
        <f t="shared" si="242"/>
        <v>0</v>
      </c>
      <c r="AS817" s="164">
        <f>AS818</f>
        <v>72510436.140427604</v>
      </c>
      <c r="AT817" s="164">
        <f>AT818</f>
        <v>18431677.859572388</v>
      </c>
      <c r="AU817" s="183">
        <f>AS817-AT817</f>
        <v>54078758.280855216</v>
      </c>
      <c r="AV817" s="146">
        <f>IFERROR(VLOOKUP(J817,Maksājumu_pieprasījumu_iesn.!G:BL,57,0),0)</f>
        <v>0</v>
      </c>
      <c r="AW817" s="139">
        <f t="shared" si="230"/>
        <v>-54078758.280855216</v>
      </c>
      <c r="AX817" s="164">
        <f>AX818</f>
        <v>15448763.491601609</v>
      </c>
      <c r="AY817" s="164">
        <f>AY818</f>
        <v>11276710.859572388</v>
      </c>
      <c r="AZ817" s="164"/>
      <c r="BA817" s="164"/>
      <c r="BB817" s="164">
        <f>BB818</f>
        <v>0</v>
      </c>
      <c r="BC817" s="164">
        <f>BC818</f>
        <v>17189206.95267766</v>
      </c>
      <c r="BD817" s="129">
        <f>BC817*0.83</f>
        <v>14267041.770722456</v>
      </c>
      <c r="BE817" s="129">
        <f>BD817/0.85</f>
        <v>16784755.024379361</v>
      </c>
      <c r="BF817" s="164">
        <f>BF818</f>
        <v>0</v>
      </c>
      <c r="BG817" s="164">
        <f>BG818</f>
        <v>0</v>
      </c>
      <c r="BH817" s="129">
        <f>BH818</f>
        <v>0</v>
      </c>
      <c r="BI817" s="129">
        <f>BI818</f>
        <v>4065870</v>
      </c>
      <c r="BJ817" s="129">
        <f>AK817*0.83</f>
        <v>3005916.5957999998</v>
      </c>
      <c r="BK817" s="129">
        <f>BJ817-BI817</f>
        <v>-1059953.4042000002</v>
      </c>
      <c r="BL817" s="129">
        <f>BL818</f>
        <v>18997702</v>
      </c>
      <c r="BM817" s="129">
        <f>AL817*0.83</f>
        <v>22522250.349844918</v>
      </c>
      <c r="BN817" s="129">
        <f>BM817-BL817</f>
        <v>3524548.3498449177</v>
      </c>
    </row>
    <row r="818" spans="1:66" s="320" customFormat="1" ht="25.5" hidden="1" customHeight="1" x14ac:dyDescent="0.2">
      <c r="A818" s="131" t="s">
        <v>1952</v>
      </c>
      <c r="B818" s="132" t="s">
        <v>758</v>
      </c>
      <c r="C818" s="132" t="s">
        <v>759</v>
      </c>
      <c r="D818" s="133" t="s">
        <v>760</v>
      </c>
      <c r="E818" s="22" t="s">
        <v>3</v>
      </c>
      <c r="F818" s="22" t="s">
        <v>29</v>
      </c>
      <c r="G818" s="22" t="s">
        <v>102</v>
      </c>
      <c r="H818" s="22" t="s">
        <v>3</v>
      </c>
      <c r="I818" s="22" t="s">
        <v>1022</v>
      </c>
      <c r="J818" s="134" t="s">
        <v>1026</v>
      </c>
      <c r="K818" s="133"/>
      <c r="L818" s="133"/>
      <c r="M818" s="133"/>
      <c r="N818" s="133"/>
      <c r="O818" s="135"/>
      <c r="P818" s="135"/>
      <c r="Q818" s="135"/>
      <c r="R818" s="135"/>
      <c r="S818" s="136">
        <v>74112625</v>
      </c>
      <c r="T818" s="136">
        <v>4585103.2275431817</v>
      </c>
      <c r="U818" s="137">
        <f>U820+U822+U824+U823+U825+U826+U827+U828</f>
        <v>0</v>
      </c>
      <c r="V818" s="137">
        <f t="shared" ref="V818:AR818" si="243">V820+V822+V824+V823+V825+V826+V827+V828</f>
        <v>0</v>
      </c>
      <c r="W818" s="137">
        <f t="shared" si="243"/>
        <v>0</v>
      </c>
      <c r="X818" s="137">
        <f t="shared" si="243"/>
        <v>0</v>
      </c>
      <c r="Y818" s="137">
        <f t="shared" si="243"/>
        <v>0</v>
      </c>
      <c r="Z818" s="137">
        <f t="shared" si="243"/>
        <v>0</v>
      </c>
      <c r="AA818" s="137">
        <f t="shared" si="243"/>
        <v>0</v>
      </c>
      <c r="AB818" s="137">
        <f t="shared" si="243"/>
        <v>0</v>
      </c>
      <c r="AC818" s="137">
        <f t="shared" si="243"/>
        <v>0</v>
      </c>
      <c r="AD818" s="137">
        <f t="shared" si="243"/>
        <v>0</v>
      </c>
      <c r="AE818" s="137">
        <f t="shared" si="243"/>
        <v>466189.95999999996</v>
      </c>
      <c r="AF818" s="137">
        <f t="shared" si="243"/>
        <v>164000</v>
      </c>
      <c r="AG818" s="137">
        <f t="shared" si="243"/>
        <v>0</v>
      </c>
      <c r="AH818" s="137">
        <f t="shared" si="243"/>
        <v>951838.3</v>
      </c>
      <c r="AI818" s="137">
        <f t="shared" si="243"/>
        <v>0</v>
      </c>
      <c r="AJ818" s="137">
        <f t="shared" si="243"/>
        <v>2039558</v>
      </c>
      <c r="AK818" s="137">
        <f>AK820+AK822+AK824+AK823+AK825+AK826+AK827+AK828</f>
        <v>3621586.26</v>
      </c>
      <c r="AL818" s="137">
        <f t="shared" si="243"/>
        <v>27135241.385355324</v>
      </c>
      <c r="AM818" s="137">
        <f t="shared" si="243"/>
        <v>20036742.216239057</v>
      </c>
      <c r="AN818" s="137">
        <f t="shared" si="243"/>
        <v>18264352.569837101</v>
      </c>
      <c r="AO818" s="137">
        <f t="shared" si="243"/>
        <v>3122438.398996131</v>
      </c>
      <c r="AP818" s="137">
        <f t="shared" si="243"/>
        <v>330075.31</v>
      </c>
      <c r="AQ818" s="137">
        <f t="shared" si="243"/>
        <v>0</v>
      </c>
      <c r="AR818" s="137">
        <f t="shared" si="243"/>
        <v>0</v>
      </c>
      <c r="AS818" s="137">
        <f>U818+V818+W818+AK818+AL818+AM818+AN818+AO818+AP818+AQ818+AR818</f>
        <v>72510436.140427604</v>
      </c>
      <c r="AT818" s="137">
        <f>SUM(AT820:AT827)</f>
        <v>18431677.859572388</v>
      </c>
      <c r="AU818" s="139">
        <f>AS818-AT818</f>
        <v>54078758.280855216</v>
      </c>
      <c r="AV818" s="146">
        <f>IFERROR(VLOOKUP(J818,Maksājumu_pieprasījumu_iesn.!G:BL,57,0),0)</f>
        <v>0</v>
      </c>
      <c r="AW818" s="139">
        <f t="shared" si="230"/>
        <v>-54078758.280855216</v>
      </c>
      <c r="AX818" s="140">
        <f>S818-T818-AU818</f>
        <v>15448763.491601609</v>
      </c>
      <c r="AY818" s="137">
        <f>AY823+AY828</f>
        <v>11276710.859572388</v>
      </c>
      <c r="AZ818" s="137"/>
      <c r="BA818" s="138"/>
      <c r="BB818" s="140"/>
      <c r="BC818" s="140">
        <f>X818+AK818+AL818/2</f>
        <v>17189206.95267766</v>
      </c>
      <c r="BD818" s="140"/>
      <c r="BE818" s="140">
        <f>BC818/0.85</f>
        <v>20222596.414914895</v>
      </c>
      <c r="BF818" s="137"/>
      <c r="BG818" s="137"/>
      <c r="BH818" s="138">
        <v>0</v>
      </c>
      <c r="BI818" s="138">
        <v>4065870</v>
      </c>
      <c r="BJ818" s="138"/>
      <c r="BK818" s="138"/>
      <c r="BL818" s="138">
        <v>18997702</v>
      </c>
      <c r="BM818" s="138"/>
      <c r="BN818" s="138"/>
    </row>
    <row r="819" spans="1:66" s="320" customFormat="1" ht="19.5" hidden="1" customHeight="1" x14ac:dyDescent="0.2">
      <c r="A819" s="131" t="s">
        <v>1952</v>
      </c>
      <c r="B819" s="132" t="s">
        <v>758</v>
      </c>
      <c r="C819" s="132" t="s">
        <v>759</v>
      </c>
      <c r="D819" s="133" t="s">
        <v>760</v>
      </c>
      <c r="E819" s="22" t="s">
        <v>3</v>
      </c>
      <c r="F819" s="22" t="s">
        <v>29</v>
      </c>
      <c r="G819" s="22" t="s">
        <v>102</v>
      </c>
      <c r="H819" s="22" t="s">
        <v>3</v>
      </c>
      <c r="I819" s="22" t="s">
        <v>1022</v>
      </c>
      <c r="J819" s="134" t="s">
        <v>1026</v>
      </c>
      <c r="K819" s="133"/>
      <c r="L819" s="133"/>
      <c r="M819" s="133"/>
      <c r="N819" s="133"/>
      <c r="O819" s="135"/>
      <c r="P819" s="135"/>
      <c r="Q819" s="135"/>
      <c r="R819" s="135" t="s">
        <v>1954</v>
      </c>
      <c r="S819" s="136">
        <v>15200000</v>
      </c>
      <c r="T819" s="136">
        <v>940373.77245681826</v>
      </c>
      <c r="U819" s="137"/>
      <c r="V819" s="137"/>
      <c r="W819" s="137"/>
      <c r="X819" s="137"/>
      <c r="Y819" s="137"/>
      <c r="Z819" s="137"/>
      <c r="AA819" s="137"/>
      <c r="AB819" s="137"/>
      <c r="AC819" s="137"/>
      <c r="AD819" s="137"/>
      <c r="AE819" s="137"/>
      <c r="AF819" s="137"/>
      <c r="AG819" s="137"/>
      <c r="AH819" s="137"/>
      <c r="AI819" s="137"/>
      <c r="AJ819" s="137"/>
      <c r="AK819" s="137"/>
      <c r="AL819" s="137"/>
      <c r="AM819" s="137"/>
      <c r="AN819" s="137"/>
      <c r="AO819" s="137"/>
      <c r="AP819" s="137"/>
      <c r="AQ819" s="137"/>
      <c r="AR819" s="137"/>
      <c r="AS819" s="137"/>
      <c r="AT819" s="321"/>
      <c r="AU819" s="139"/>
      <c r="AV819" s="146">
        <f>IFERROR(VLOOKUP(J819,Maksājumu_pieprasījumu_iesn.!G:BL,57,0),0)</f>
        <v>0</v>
      </c>
      <c r="AW819" s="139">
        <f t="shared" si="230"/>
        <v>0</v>
      </c>
      <c r="AX819" s="140"/>
      <c r="AY819" s="137"/>
      <c r="AZ819" s="137"/>
      <c r="BA819" s="138"/>
      <c r="BB819" s="140"/>
      <c r="BC819" s="140"/>
      <c r="BD819" s="140"/>
      <c r="BE819" s="140"/>
      <c r="BF819" s="137"/>
      <c r="BG819" s="137"/>
      <c r="BH819" s="138"/>
      <c r="BI819" s="138"/>
      <c r="BJ819" s="138"/>
      <c r="BK819" s="138"/>
      <c r="BL819" s="138"/>
      <c r="BM819" s="138"/>
      <c r="BN819" s="138"/>
    </row>
    <row r="820" spans="1:66" ht="38.25" hidden="1" customHeight="1" x14ac:dyDescent="0.2">
      <c r="A820" s="322" t="s">
        <v>1952</v>
      </c>
      <c r="B820" s="18" t="s">
        <v>758</v>
      </c>
      <c r="C820" s="18" t="s">
        <v>759</v>
      </c>
      <c r="D820" s="19" t="s">
        <v>760</v>
      </c>
      <c r="E820" s="18" t="s">
        <v>3</v>
      </c>
      <c r="F820" s="18" t="s">
        <v>29</v>
      </c>
      <c r="G820" s="18" t="s">
        <v>102</v>
      </c>
      <c r="H820" s="18" t="s">
        <v>3</v>
      </c>
      <c r="I820" s="18"/>
      <c r="J820" s="18" t="s">
        <v>782</v>
      </c>
      <c r="K820" s="19" t="s">
        <v>761</v>
      </c>
      <c r="L820" s="19"/>
      <c r="M820" s="19"/>
      <c r="N820" s="19" t="s">
        <v>762</v>
      </c>
      <c r="O820" s="143"/>
      <c r="P820" s="143"/>
      <c r="Q820" s="143"/>
      <c r="R820" s="143">
        <v>42822</v>
      </c>
      <c r="S820" s="144">
        <v>15697303.17</v>
      </c>
      <c r="T820" s="144"/>
      <c r="U820" s="145">
        <v>0</v>
      </c>
      <c r="V820" s="145">
        <v>0</v>
      </c>
      <c r="W820" s="145">
        <v>0</v>
      </c>
      <c r="X820" s="145">
        <f t="shared" ref="X820:X828" si="244">W820+V820+U820</f>
        <v>0</v>
      </c>
      <c r="Y820" s="145">
        <v>0</v>
      </c>
      <c r="Z820" s="145">
        <v>0</v>
      </c>
      <c r="AA820" s="145">
        <v>0</v>
      </c>
      <c r="AB820" s="145">
        <v>0</v>
      </c>
      <c r="AC820" s="145">
        <v>0</v>
      </c>
      <c r="AD820" s="145">
        <v>0</v>
      </c>
      <c r="AE820" s="166">
        <v>220189.96000000002</v>
      </c>
      <c r="AF820" s="145">
        <v>0</v>
      </c>
      <c r="AG820" s="145">
        <v>0</v>
      </c>
      <c r="AH820" s="145">
        <v>951838.3</v>
      </c>
      <c r="AI820" s="145">
        <v>0</v>
      </c>
      <c r="AJ820" s="145">
        <v>0</v>
      </c>
      <c r="AK820" s="145">
        <f>SUM(Y820:AJ820)</f>
        <v>1172028.26</v>
      </c>
      <c r="AL820" s="145">
        <v>5113006.43</v>
      </c>
      <c r="AM820" s="145">
        <v>3926770.2</v>
      </c>
      <c r="AN820" s="145">
        <v>3439212.5199999996</v>
      </c>
      <c r="AO820" s="145">
        <v>1642390.52</v>
      </c>
      <c r="AP820" s="145">
        <v>330075.31</v>
      </c>
      <c r="AQ820" s="145">
        <v>0</v>
      </c>
      <c r="AR820" s="145">
        <v>0</v>
      </c>
      <c r="AS820" s="144">
        <f>U820+V820+W820+AK820+AL820+AM820+AN820+AO820+AP820+AQ820+AR820</f>
        <v>15623483.24</v>
      </c>
      <c r="AT820" s="323">
        <v>0</v>
      </c>
      <c r="AU820" s="146">
        <f t="shared" si="231"/>
        <v>15623483.24</v>
      </c>
      <c r="AV820" s="146" t="str">
        <f>IFERROR(VLOOKUP(J820,Maksājumu_pieprasījumu_iesn.!G:BL,57,0),0)</f>
        <v xml:space="preserve">Izmaiņas saistītas ar sākotnēji neprecīzu maksājuma pieprasījumu iesniegšanas plānošanu. Būtiski kavējumi projektā ar darbu izpildi nav. Līdz šim brīdim plānotie būvdarbu un būvuzraudzības iepirkumi tika izsludināti laikā, kā rezultātā noslēgti 5 būvdarbu, 2 būvuzraudzības un 5 autoruzraudzības līgumi. 
Ņemot vērā, ka maksājumi līgumu ietvaros nebija veikti (nebija pieprasīti avansa maksājumi), otrais avansa pieprasījums nebija nepieciešams un nākamo starpposma maksājuma pieprasījumu finansējuma saņēmējs iesniegts atbilstoši līguma nosacījumiem – 10 dienu laikā pēc 3 mēnešu perioda beigām.
</v>
      </c>
      <c r="AW820" s="139" t="e">
        <f t="shared" si="230"/>
        <v>#VALUE!</v>
      </c>
      <c r="AX820" s="276"/>
      <c r="AY820" s="316"/>
      <c r="AZ820" s="316"/>
      <c r="BA820" s="165"/>
      <c r="BB820" s="144"/>
      <c r="BC820" s="144"/>
      <c r="BD820" s="144"/>
      <c r="BE820" s="144"/>
      <c r="BF820" s="144"/>
      <c r="BG820" s="144"/>
      <c r="BH820" s="149"/>
      <c r="BI820" s="149"/>
      <c r="BJ820" s="149"/>
      <c r="BK820" s="149"/>
      <c r="BL820" s="149"/>
      <c r="BM820" s="149"/>
      <c r="BN820" s="149"/>
    </row>
    <row r="821" spans="1:66" ht="38.25" hidden="1" customHeight="1" x14ac:dyDescent="0.2">
      <c r="A821" s="322" t="s">
        <v>1952</v>
      </c>
      <c r="B821" s="18" t="s">
        <v>758</v>
      </c>
      <c r="C821" s="18" t="s">
        <v>759</v>
      </c>
      <c r="D821" s="19" t="s">
        <v>760</v>
      </c>
      <c r="E821" s="18" t="s">
        <v>3</v>
      </c>
      <c r="F821" s="18" t="s">
        <v>29</v>
      </c>
      <c r="G821" s="18" t="s">
        <v>102</v>
      </c>
      <c r="H821" s="18" t="s">
        <v>3</v>
      </c>
      <c r="I821" s="18"/>
      <c r="J821" s="18" t="s">
        <v>782</v>
      </c>
      <c r="K821" s="19" t="s">
        <v>761</v>
      </c>
      <c r="L821" s="19"/>
      <c r="M821" s="19"/>
      <c r="N821" s="19" t="s">
        <v>762</v>
      </c>
      <c r="O821" s="143" t="s">
        <v>880</v>
      </c>
      <c r="P821" s="143"/>
      <c r="Q821" s="143"/>
      <c r="R821" s="143"/>
      <c r="S821" s="144"/>
      <c r="T821" s="144"/>
      <c r="U821" s="145"/>
      <c r="V821" s="145"/>
      <c r="W821" s="145"/>
      <c r="X821" s="145">
        <f t="shared" si="244"/>
        <v>0</v>
      </c>
      <c r="Y821" s="145"/>
      <c r="Z821" s="145"/>
      <c r="AA821" s="145"/>
      <c r="AB821" s="145"/>
      <c r="AC821" s="145"/>
      <c r="AD821" s="145">
        <v>771318</v>
      </c>
      <c r="AE821" s="145"/>
      <c r="AF821" s="420">
        <v>1126888.52</v>
      </c>
      <c r="AG821" s="145"/>
      <c r="AH821" s="145"/>
      <c r="AI821" s="145"/>
      <c r="AJ821" s="145"/>
      <c r="AK821" s="145">
        <f>SUM(Y821:AJ821)</f>
        <v>1898206.52</v>
      </c>
      <c r="AL821" s="145">
        <v>4760850</v>
      </c>
      <c r="AM821" s="145">
        <v>3818812.55</v>
      </c>
      <c r="AN821" s="145">
        <v>2352362.86</v>
      </c>
      <c r="AO821" s="145"/>
      <c r="AP821" s="145"/>
      <c r="AQ821" s="145"/>
      <c r="AR821" s="145"/>
      <c r="AS821" s="86"/>
      <c r="AT821" s="144">
        <f>U821+V821+W821+AK821+AL821+AM821+AN821+AO821+AP821+AQ821+AR821</f>
        <v>12830231.93</v>
      </c>
      <c r="AU821" s="146"/>
      <c r="AV821" s="146" t="str">
        <f>IFERROR(VLOOKUP(J821,Maksājumu_pieprasījumu_iesn.!G:BL,57,0),0)</f>
        <v xml:space="preserve">Izmaiņas saistītas ar sākotnēji neprecīzu maksājuma pieprasījumu iesniegšanas plānošanu. Būtiski kavējumi projektā ar darbu izpildi nav. Līdz šim brīdim plānotie būvdarbu un būvuzraudzības iepirkumi tika izsludināti laikā, kā rezultātā noslēgti 5 būvdarbu, 2 būvuzraudzības un 5 autoruzraudzības līgumi. 
Ņemot vērā, ka maksājumi līgumu ietvaros nebija veikti (nebija pieprasīti avansa maksājumi), otrais avansa pieprasījums nebija nepieciešams un nākamo starpposma maksājuma pieprasījumu finansējuma saņēmējs iesniegts atbilstoši līguma nosacījumiem – 10 dienu laikā pēc 3 mēnešu perioda beigām.
</v>
      </c>
      <c r="AW821" s="139" t="e">
        <f t="shared" si="230"/>
        <v>#VALUE!</v>
      </c>
      <c r="AX821" s="276"/>
      <c r="AY821" s="316"/>
      <c r="AZ821" s="316"/>
      <c r="BA821" s="165"/>
      <c r="BB821" s="144"/>
      <c r="BC821" s="144"/>
      <c r="BD821" s="144"/>
      <c r="BE821" s="144"/>
      <c r="BF821" s="144"/>
      <c r="BG821" s="144"/>
      <c r="BH821" s="149"/>
      <c r="BI821" s="149"/>
      <c r="BJ821" s="149"/>
      <c r="BK821" s="149"/>
      <c r="BL821" s="149"/>
      <c r="BM821" s="149"/>
      <c r="BN821" s="149"/>
    </row>
    <row r="822" spans="1:66" s="91" customFormat="1" ht="25.5" hidden="1" customHeight="1" x14ac:dyDescent="0.2">
      <c r="A822" s="324" t="s">
        <v>1952</v>
      </c>
      <c r="B822" s="18" t="s">
        <v>758</v>
      </c>
      <c r="C822" s="18" t="s">
        <v>759</v>
      </c>
      <c r="D822" s="19" t="s">
        <v>760</v>
      </c>
      <c r="E822" s="55" t="s">
        <v>3</v>
      </c>
      <c r="F822" s="55" t="s">
        <v>29</v>
      </c>
      <c r="G822" s="55" t="s">
        <v>102</v>
      </c>
      <c r="H822" s="55" t="s">
        <v>3</v>
      </c>
      <c r="I822" s="55"/>
      <c r="J822" s="55"/>
      <c r="K822" s="19" t="s">
        <v>761</v>
      </c>
      <c r="L822" s="19"/>
      <c r="M822" s="19"/>
      <c r="N822" s="19" t="s">
        <v>1955</v>
      </c>
      <c r="O822" s="151">
        <v>42855</v>
      </c>
      <c r="P822" s="151"/>
      <c r="Q822" s="151"/>
      <c r="R822" s="151"/>
      <c r="S822" s="152">
        <v>16606904.83</v>
      </c>
      <c r="T822" s="152">
        <v>1998555</v>
      </c>
      <c r="U822" s="145">
        <v>0</v>
      </c>
      <c r="V822" s="145">
        <v>0</v>
      </c>
      <c r="W822" s="145">
        <v>0</v>
      </c>
      <c r="X822" s="145">
        <f t="shared" si="244"/>
        <v>0</v>
      </c>
      <c r="Y822" s="145">
        <v>0</v>
      </c>
      <c r="Z822" s="145">
        <v>0</v>
      </c>
      <c r="AA822" s="145">
        <v>0</v>
      </c>
      <c r="AB822" s="145">
        <v>0</v>
      </c>
      <c r="AC822" s="145">
        <v>0</v>
      </c>
      <c r="AD822" s="145">
        <v>0</v>
      </c>
      <c r="AE822" s="145">
        <v>0</v>
      </c>
      <c r="AF822" s="145">
        <v>0</v>
      </c>
      <c r="AG822" s="145">
        <v>0</v>
      </c>
      <c r="AH822" s="145">
        <v>0</v>
      </c>
      <c r="AI822" s="145">
        <v>0</v>
      </c>
      <c r="AJ822" s="145">
        <v>891558</v>
      </c>
      <c r="AK822" s="145">
        <f>SUM(Y822:AJ822)</f>
        <v>891558</v>
      </c>
      <c r="AL822" s="145">
        <v>1646234.9553553245</v>
      </c>
      <c r="AM822" s="145">
        <v>2479764.0162390554</v>
      </c>
      <c r="AN822" s="145">
        <v>2509299.0498371003</v>
      </c>
      <c r="AO822" s="145">
        <v>1480047.878996131</v>
      </c>
      <c r="AP822" s="145">
        <v>0</v>
      </c>
      <c r="AQ822" s="145">
        <v>0</v>
      </c>
      <c r="AR822" s="145">
        <v>0</v>
      </c>
      <c r="AS822" s="145">
        <f>U822+V822+W822+AK822+AL822+AM822+AN822+AO822+AP822+AQ822+AR822</f>
        <v>9006903.9004276115</v>
      </c>
      <c r="AT822" s="145"/>
      <c r="AU822" s="139">
        <f>AS822-AT822</f>
        <v>9006903.9004276115</v>
      </c>
      <c r="AV822" s="146">
        <f>IFERROR(VLOOKUP(J822,Maksājumu_pieprasījumu_iesn.!G:BL,57,0),0)</f>
        <v>0</v>
      </c>
      <c r="AW822" s="139">
        <f t="shared" si="230"/>
        <v>-9006903.9004276115</v>
      </c>
      <c r="AX822" s="153"/>
      <c r="AY822" s="153"/>
      <c r="AZ822" s="153"/>
      <c r="BA822" s="136"/>
      <c r="BB822" s="145"/>
      <c r="BC822" s="145"/>
      <c r="BD822" s="145"/>
      <c r="BE822" s="145"/>
      <c r="BF822" s="145"/>
      <c r="BG822" s="145"/>
      <c r="BH822" s="138"/>
      <c r="BI822" s="138"/>
      <c r="BJ822" s="138"/>
      <c r="BK822" s="138"/>
      <c r="BL822" s="138"/>
      <c r="BM822" s="138"/>
      <c r="BN822" s="138"/>
    </row>
    <row r="823" spans="1:66" ht="64.5" hidden="1" customHeight="1" x14ac:dyDescent="0.2">
      <c r="A823" s="324" t="s">
        <v>1952</v>
      </c>
      <c r="B823" s="18" t="s">
        <v>758</v>
      </c>
      <c r="C823" s="18" t="s">
        <v>759</v>
      </c>
      <c r="D823" s="19" t="s">
        <v>760</v>
      </c>
      <c r="E823" s="55" t="s">
        <v>3</v>
      </c>
      <c r="F823" s="55" t="s">
        <v>29</v>
      </c>
      <c r="G823" s="55" t="s">
        <v>102</v>
      </c>
      <c r="H823" s="55" t="s">
        <v>3</v>
      </c>
      <c r="I823" s="55"/>
      <c r="J823" s="55" t="s">
        <v>1593</v>
      </c>
      <c r="K823" s="19" t="s">
        <v>761</v>
      </c>
      <c r="L823" s="19"/>
      <c r="M823" s="19"/>
      <c r="N823" s="19"/>
      <c r="O823" s="143"/>
      <c r="P823" s="143"/>
      <c r="Q823" s="143"/>
      <c r="R823" s="143"/>
      <c r="S823" s="144"/>
      <c r="T823" s="144"/>
      <c r="U823" s="145"/>
      <c r="V823" s="145"/>
      <c r="W823" s="145"/>
      <c r="X823" s="145">
        <f t="shared" si="244"/>
        <v>0</v>
      </c>
      <c r="Y823" s="145"/>
      <c r="Z823" s="145"/>
      <c r="AA823" s="145"/>
      <c r="AB823" s="145"/>
      <c r="AC823" s="145"/>
      <c r="AD823" s="145"/>
      <c r="AE823" s="145"/>
      <c r="AF823" s="145"/>
      <c r="AG823" s="145"/>
      <c r="AH823" s="145"/>
      <c r="AI823" s="145"/>
      <c r="AJ823" s="145"/>
      <c r="AK823" s="145"/>
      <c r="AL823" s="145"/>
      <c r="AM823" s="145"/>
      <c r="AN823" s="145"/>
      <c r="AO823" s="145"/>
      <c r="AP823" s="145"/>
      <c r="AQ823" s="145"/>
      <c r="AR823" s="145"/>
      <c r="AT823" s="144">
        <v>5601445.9295723885</v>
      </c>
      <c r="AU823" s="146"/>
      <c r="AV823" s="146">
        <f>IFERROR(VLOOKUP(J823,Maksājumu_pieprasījumu_iesn.!G:BL,57,0),0)</f>
        <v>0</v>
      </c>
      <c r="AW823" s="139">
        <f t="shared" si="230"/>
        <v>0</v>
      </c>
      <c r="AX823" s="276"/>
      <c r="AY823" s="316">
        <v>5675265.8595723882</v>
      </c>
      <c r="AZ823" s="138" t="s">
        <v>1956</v>
      </c>
      <c r="BA823" s="138" t="s">
        <v>1956</v>
      </c>
      <c r="BB823" s="144"/>
      <c r="BC823" s="144"/>
      <c r="BD823" s="144"/>
      <c r="BE823" s="144"/>
      <c r="BF823" s="144"/>
      <c r="BG823" s="144"/>
      <c r="BH823" s="149"/>
      <c r="BI823" s="149"/>
      <c r="BJ823" s="149"/>
      <c r="BK823" s="149"/>
      <c r="BL823" s="149"/>
      <c r="BM823" s="149"/>
      <c r="BN823" s="149"/>
    </row>
    <row r="824" spans="1:66" s="91" customFormat="1" ht="25.5" hidden="1" customHeight="1" x14ac:dyDescent="0.2">
      <c r="A824" s="324" t="s">
        <v>1952</v>
      </c>
      <c r="B824" s="18" t="s">
        <v>758</v>
      </c>
      <c r="C824" s="18" t="s">
        <v>759</v>
      </c>
      <c r="D824" s="19" t="s">
        <v>760</v>
      </c>
      <c r="E824" s="55" t="s">
        <v>3</v>
      </c>
      <c r="F824" s="55" t="s">
        <v>29</v>
      </c>
      <c r="G824" s="55" t="s">
        <v>102</v>
      </c>
      <c r="H824" s="55" t="s">
        <v>3</v>
      </c>
      <c r="I824" s="55"/>
      <c r="J824" s="55"/>
      <c r="K824" s="19" t="s">
        <v>1957</v>
      </c>
      <c r="L824" s="19"/>
      <c r="M824" s="19"/>
      <c r="N824" s="19" t="s">
        <v>1958</v>
      </c>
      <c r="O824" s="151">
        <v>43070</v>
      </c>
      <c r="P824" s="151"/>
      <c r="Q824" s="151"/>
      <c r="R824" s="151"/>
      <c r="S824" s="152">
        <v>24704209</v>
      </c>
      <c r="T824" s="152">
        <v>1528367</v>
      </c>
      <c r="U824" s="145">
        <v>0</v>
      </c>
      <c r="V824" s="145">
        <v>0</v>
      </c>
      <c r="W824" s="145">
        <v>0</v>
      </c>
      <c r="X824" s="145">
        <f t="shared" si="244"/>
        <v>0</v>
      </c>
      <c r="Y824" s="145">
        <v>0</v>
      </c>
      <c r="Z824" s="145">
        <v>0</v>
      </c>
      <c r="AA824" s="145">
        <v>0</v>
      </c>
      <c r="AB824" s="145">
        <v>0</v>
      </c>
      <c r="AC824" s="145">
        <v>0</v>
      </c>
      <c r="AD824" s="145">
        <v>0</v>
      </c>
      <c r="AE824" s="145">
        <v>0</v>
      </c>
      <c r="AF824" s="145">
        <v>0</v>
      </c>
      <c r="AG824" s="145">
        <v>0</v>
      </c>
      <c r="AH824" s="145">
        <v>0</v>
      </c>
      <c r="AI824" s="145">
        <v>0</v>
      </c>
      <c r="AJ824" s="145">
        <v>0</v>
      </c>
      <c r="AK824" s="145">
        <f>SUM(Y824:AJ824)</f>
        <v>0</v>
      </c>
      <c r="AL824" s="145">
        <v>2500000</v>
      </c>
      <c r="AM824" s="145">
        <v>10000000</v>
      </c>
      <c r="AN824" s="145">
        <v>10675841</v>
      </c>
      <c r="AO824" s="145">
        <v>0</v>
      </c>
      <c r="AP824" s="145">
        <v>0</v>
      </c>
      <c r="AQ824" s="145">
        <v>0</v>
      </c>
      <c r="AR824" s="145">
        <v>0</v>
      </c>
      <c r="AS824" s="145">
        <f>U824+V824+W824+AK824+AL824+AM824+AN824+AO824+AP824+AQ824+AR824</f>
        <v>23175841</v>
      </c>
      <c r="AT824" s="145"/>
      <c r="AU824" s="139">
        <f t="shared" si="231"/>
        <v>23175841</v>
      </c>
      <c r="AV824" s="146">
        <f>IFERROR(VLOOKUP(J824,Maksājumu_pieprasījumu_iesn.!G:BL,57,0),0)</f>
        <v>0</v>
      </c>
      <c r="AW824" s="139">
        <f t="shared" si="230"/>
        <v>-23175841</v>
      </c>
      <c r="AX824" s="153"/>
      <c r="AY824" s="153" t="s">
        <v>1085</v>
      </c>
      <c r="AZ824" s="153"/>
      <c r="BA824" s="136" t="s">
        <v>1086</v>
      </c>
      <c r="BB824" s="145"/>
      <c r="BC824" s="145"/>
      <c r="BD824" s="145"/>
      <c r="BE824" s="145"/>
      <c r="BF824" s="145"/>
      <c r="BG824" s="145"/>
      <c r="BH824" s="138"/>
      <c r="BI824" s="138"/>
      <c r="BJ824" s="138"/>
      <c r="BK824" s="138"/>
      <c r="BL824" s="138"/>
      <c r="BM824" s="138"/>
      <c r="BN824" s="138"/>
    </row>
    <row r="825" spans="1:66" s="91" customFormat="1" ht="38.25" hidden="1" customHeight="1" x14ac:dyDescent="0.2">
      <c r="A825" s="324" t="s">
        <v>1952</v>
      </c>
      <c r="B825" s="18" t="s">
        <v>758</v>
      </c>
      <c r="C825" s="18" t="s">
        <v>759</v>
      </c>
      <c r="D825" s="19" t="s">
        <v>760</v>
      </c>
      <c r="E825" s="55" t="s">
        <v>3</v>
      </c>
      <c r="F825" s="55" t="s">
        <v>29</v>
      </c>
      <c r="G825" s="55" t="s">
        <v>102</v>
      </c>
      <c r="H825" s="55" t="s">
        <v>3</v>
      </c>
      <c r="I825" s="55"/>
      <c r="J825" s="55"/>
      <c r="K825" s="19" t="s">
        <v>861</v>
      </c>
      <c r="L825" s="19"/>
      <c r="M825" s="19"/>
      <c r="N825" s="19" t="s">
        <v>1959</v>
      </c>
      <c r="O825" s="325">
        <v>43222</v>
      </c>
      <c r="P825" s="325"/>
      <c r="Q825" s="325"/>
      <c r="R825" s="151"/>
      <c r="S825" s="152">
        <v>32304208</v>
      </c>
      <c r="T825" s="152">
        <v>1998555</v>
      </c>
      <c r="U825" s="145">
        <v>0</v>
      </c>
      <c r="V825" s="145">
        <v>0</v>
      </c>
      <c r="W825" s="145">
        <v>0</v>
      </c>
      <c r="X825" s="145">
        <f t="shared" si="244"/>
        <v>0</v>
      </c>
      <c r="Y825" s="145">
        <v>0</v>
      </c>
      <c r="Z825" s="145">
        <v>0</v>
      </c>
      <c r="AA825" s="145">
        <v>0</v>
      </c>
      <c r="AB825" s="145">
        <v>0</v>
      </c>
      <c r="AC825" s="145">
        <v>0</v>
      </c>
      <c r="AD825" s="145">
        <v>0</v>
      </c>
      <c r="AE825" s="145">
        <v>0</v>
      </c>
      <c r="AF825" s="145">
        <v>0</v>
      </c>
      <c r="AG825" s="145">
        <v>0</v>
      </c>
      <c r="AH825" s="145">
        <v>0</v>
      </c>
      <c r="AI825" s="145">
        <v>0</v>
      </c>
      <c r="AJ825" s="145">
        <v>0</v>
      </c>
      <c r="AK825" s="145">
        <f>SUM(Y825:AJ825)</f>
        <v>0</v>
      </c>
      <c r="AL825" s="326">
        <v>1640000</v>
      </c>
      <c r="AM825" s="326">
        <v>3280000</v>
      </c>
      <c r="AN825" s="326">
        <v>1640000</v>
      </c>
      <c r="AO825" s="145">
        <v>0</v>
      </c>
      <c r="AP825" s="145">
        <v>0</v>
      </c>
      <c r="AQ825" s="145">
        <v>0</v>
      </c>
      <c r="AR825" s="145">
        <v>0</v>
      </c>
      <c r="AS825" s="145">
        <f>U825+V825+W825+AK825+AL825+AM825+AN825+AO825+AP825+AQ825+AR825</f>
        <v>6560000</v>
      </c>
      <c r="AT825" s="145"/>
      <c r="AU825" s="139">
        <f t="shared" si="231"/>
        <v>6560000</v>
      </c>
      <c r="AV825" s="146">
        <f>IFERROR(VLOOKUP(J825,Maksājumu_pieprasījumu_iesn.!G:BL,57,0),0)</f>
        <v>0</v>
      </c>
      <c r="AW825" s="139">
        <f t="shared" si="230"/>
        <v>-6560000</v>
      </c>
      <c r="AX825" s="153"/>
      <c r="AY825" s="153"/>
      <c r="AZ825" s="153"/>
      <c r="BA825" s="136"/>
      <c r="BB825" s="326"/>
      <c r="BC825" s="326"/>
      <c r="BD825" s="326"/>
      <c r="BE825" s="326"/>
      <c r="BF825" s="326"/>
      <c r="BG825" s="326"/>
      <c r="BH825" s="138"/>
      <c r="BI825" s="138"/>
      <c r="BJ825" s="138"/>
      <c r="BK825" s="138"/>
      <c r="BL825" s="138"/>
      <c r="BM825" s="138"/>
      <c r="BN825" s="138"/>
    </row>
    <row r="826" spans="1:66" s="91" customFormat="1" ht="38.25" hidden="1" customHeight="1" x14ac:dyDescent="0.2">
      <c r="A826" s="324" t="s">
        <v>1952</v>
      </c>
      <c r="B826" s="18" t="s">
        <v>758</v>
      </c>
      <c r="C826" s="18" t="s">
        <v>759</v>
      </c>
      <c r="D826" s="19" t="s">
        <v>760</v>
      </c>
      <c r="E826" s="55" t="s">
        <v>3</v>
      </c>
      <c r="F826" s="55" t="s">
        <v>29</v>
      </c>
      <c r="G826" s="55" t="s">
        <v>102</v>
      </c>
      <c r="H826" s="55" t="s">
        <v>3</v>
      </c>
      <c r="I826" s="55"/>
      <c r="J826" s="55"/>
      <c r="K826" s="19" t="s">
        <v>861</v>
      </c>
      <c r="L826" s="19"/>
      <c r="M826" s="19"/>
      <c r="N826" s="19" t="s">
        <v>862</v>
      </c>
      <c r="O826" s="325">
        <v>42867</v>
      </c>
      <c r="P826" s="325"/>
      <c r="Q826" s="325"/>
      <c r="R826" s="151"/>
      <c r="S826" s="152"/>
      <c r="T826" s="152"/>
      <c r="U826" s="145">
        <v>0</v>
      </c>
      <c r="V826" s="145">
        <v>0</v>
      </c>
      <c r="W826" s="145">
        <v>0</v>
      </c>
      <c r="X826" s="145">
        <f t="shared" si="244"/>
        <v>0</v>
      </c>
      <c r="Y826" s="145">
        <v>0</v>
      </c>
      <c r="Z826" s="145">
        <v>0</v>
      </c>
      <c r="AA826" s="145">
        <v>0</v>
      </c>
      <c r="AB826" s="145">
        <v>0</v>
      </c>
      <c r="AC826" s="145">
        <v>0</v>
      </c>
      <c r="AD826" s="145">
        <v>0</v>
      </c>
      <c r="AE826" s="327">
        <v>245999.99999999997</v>
      </c>
      <c r="AF826" s="145">
        <v>0</v>
      </c>
      <c r="AG826" s="145">
        <v>0</v>
      </c>
      <c r="AH826" s="145">
        <v>0</v>
      </c>
      <c r="AI826" s="145">
        <v>0</v>
      </c>
      <c r="AJ826" s="326">
        <v>983999.99999999988</v>
      </c>
      <c r="AK826" s="145">
        <f>SUM(Y826:AJ826)</f>
        <v>1229999.9999999998</v>
      </c>
      <c r="AL826" s="328">
        <v>3935999.9999999995</v>
      </c>
      <c r="AM826" s="145">
        <v>0</v>
      </c>
      <c r="AN826" s="145">
        <v>0</v>
      </c>
      <c r="AO826" s="145">
        <v>0</v>
      </c>
      <c r="AP826" s="145">
        <v>0</v>
      </c>
      <c r="AQ826" s="145">
        <v>0</v>
      </c>
      <c r="AR826" s="145">
        <v>0</v>
      </c>
      <c r="AS826" s="145">
        <f>U826+V826+W826+AK826+AL826+AM826+AN826+AO826+AP826+AQ826+AR826</f>
        <v>5165999.9999999991</v>
      </c>
      <c r="AT826" s="145"/>
      <c r="AU826" s="139">
        <f t="shared" si="231"/>
        <v>5165999.9999999991</v>
      </c>
      <c r="AV826" s="146">
        <f>IFERROR(VLOOKUP(J826,Maksājumu_pieprasījumu_iesn.!G:BL,57,0),0)</f>
        <v>0</v>
      </c>
      <c r="AW826" s="139">
        <f t="shared" si="230"/>
        <v>-5165999.9999999991</v>
      </c>
      <c r="AX826" s="153"/>
      <c r="AY826" s="153"/>
      <c r="AZ826" s="153"/>
      <c r="BA826" s="136"/>
      <c r="BB826" s="328"/>
      <c r="BC826" s="328"/>
      <c r="BD826" s="328"/>
      <c r="BE826" s="328"/>
      <c r="BF826" s="328"/>
      <c r="BG826" s="328"/>
      <c r="BH826" s="138"/>
      <c r="BI826" s="138"/>
      <c r="BJ826" s="138"/>
      <c r="BK826" s="138"/>
      <c r="BL826" s="138"/>
      <c r="BM826" s="138"/>
      <c r="BN826" s="138"/>
    </row>
    <row r="827" spans="1:66" s="91" customFormat="1" ht="38.25" hidden="1" customHeight="1" x14ac:dyDescent="0.2">
      <c r="A827" s="324" t="s">
        <v>1952</v>
      </c>
      <c r="B827" s="18" t="s">
        <v>758</v>
      </c>
      <c r="C827" s="18" t="s">
        <v>759</v>
      </c>
      <c r="D827" s="19" t="s">
        <v>760</v>
      </c>
      <c r="E827" s="55" t="s">
        <v>3</v>
      </c>
      <c r="F827" s="55" t="s">
        <v>29</v>
      </c>
      <c r="G827" s="55" t="s">
        <v>102</v>
      </c>
      <c r="H827" s="55" t="s">
        <v>3</v>
      </c>
      <c r="I827" s="55"/>
      <c r="J827" s="55"/>
      <c r="K827" s="19" t="s">
        <v>861</v>
      </c>
      <c r="L827" s="19"/>
      <c r="M827" s="19"/>
      <c r="N827" s="19" t="s">
        <v>1960</v>
      </c>
      <c r="O827" s="151">
        <v>42947</v>
      </c>
      <c r="P827" s="151"/>
      <c r="Q827" s="151"/>
      <c r="R827" s="151"/>
      <c r="S827" s="152"/>
      <c r="T827" s="152"/>
      <c r="U827" s="145">
        <v>0</v>
      </c>
      <c r="V827" s="145">
        <v>0</v>
      </c>
      <c r="W827" s="145">
        <v>0</v>
      </c>
      <c r="X827" s="145">
        <f t="shared" si="244"/>
        <v>0</v>
      </c>
      <c r="Y827" s="145">
        <v>0</v>
      </c>
      <c r="Z827" s="145">
        <v>0</v>
      </c>
      <c r="AA827" s="145">
        <v>0</v>
      </c>
      <c r="AB827" s="145">
        <v>0</v>
      </c>
      <c r="AC827" s="145">
        <v>0</v>
      </c>
      <c r="AD827" s="145">
        <v>0</v>
      </c>
      <c r="AE827" s="145">
        <v>0</v>
      </c>
      <c r="AF827" s="421">
        <v>164000</v>
      </c>
      <c r="AG827" s="145">
        <v>0</v>
      </c>
      <c r="AH827" s="145">
        <v>0</v>
      </c>
      <c r="AI827" s="145">
        <v>0</v>
      </c>
      <c r="AJ827" s="219">
        <v>164000</v>
      </c>
      <c r="AK827" s="145">
        <f>SUM(Y827:AJ827)</f>
        <v>328000</v>
      </c>
      <c r="AL827" s="326">
        <v>12300000</v>
      </c>
      <c r="AM827" s="326">
        <v>350208</v>
      </c>
      <c r="AN827" s="145">
        <v>0</v>
      </c>
      <c r="AO827" s="145">
        <v>0</v>
      </c>
      <c r="AP827" s="145">
        <v>0</v>
      </c>
      <c r="AQ827" s="145">
        <v>0</v>
      </c>
      <c r="AR827" s="145">
        <v>0</v>
      </c>
      <c r="AS827" s="145">
        <f>U827+V827+W827+AK827+AL827+AM827+AN827+AO827+AP827+AQ827+AR827</f>
        <v>12978208</v>
      </c>
      <c r="AT827" s="145"/>
      <c r="AU827" s="139">
        <f>AS827-AT827</f>
        <v>12978208</v>
      </c>
      <c r="AV827" s="146">
        <f>IFERROR(VLOOKUP(J827,Maksājumu_pieprasījumu_iesn.!G:BL,57,0),0)</f>
        <v>0</v>
      </c>
      <c r="AW827" s="139">
        <f t="shared" si="230"/>
        <v>-12978208</v>
      </c>
      <c r="AX827" s="153"/>
      <c r="AY827" s="153"/>
      <c r="AZ827" s="153"/>
      <c r="BA827" s="136"/>
      <c r="BB827" s="326"/>
      <c r="BC827" s="326"/>
      <c r="BD827" s="326"/>
      <c r="BE827" s="326"/>
      <c r="BF827" s="326"/>
      <c r="BG827" s="326"/>
      <c r="BH827" s="138"/>
      <c r="BI827" s="138"/>
      <c r="BJ827" s="138"/>
      <c r="BK827" s="138"/>
      <c r="BL827" s="138"/>
      <c r="BM827" s="138"/>
      <c r="BN827" s="138"/>
    </row>
    <row r="828" spans="1:66" s="91" customFormat="1" ht="98.25" hidden="1" customHeight="1" x14ac:dyDescent="0.2">
      <c r="A828" s="324" t="s">
        <v>1952</v>
      </c>
      <c r="B828" s="18" t="s">
        <v>758</v>
      </c>
      <c r="C828" s="18" t="s">
        <v>759</v>
      </c>
      <c r="D828" s="19" t="s">
        <v>760</v>
      </c>
      <c r="E828" s="55" t="s">
        <v>3</v>
      </c>
      <c r="F828" s="55" t="s">
        <v>29</v>
      </c>
      <c r="G828" s="55" t="s">
        <v>102</v>
      </c>
      <c r="H828" s="55" t="s">
        <v>3</v>
      </c>
      <c r="I828" s="55"/>
      <c r="J828" s="55" t="s">
        <v>1593</v>
      </c>
      <c r="K828" s="19" t="s">
        <v>861</v>
      </c>
      <c r="L828" s="19"/>
      <c r="M828" s="19"/>
      <c r="N828" s="19"/>
      <c r="O828" s="151"/>
      <c r="P828" s="151"/>
      <c r="Q828" s="151"/>
      <c r="R828" s="151"/>
      <c r="S828" s="152"/>
      <c r="T828" s="152"/>
      <c r="U828" s="145"/>
      <c r="V828" s="145"/>
      <c r="W828" s="145"/>
      <c r="X828" s="145">
        <f t="shared" si="244"/>
        <v>0</v>
      </c>
      <c r="Y828" s="145"/>
      <c r="Z828" s="145"/>
      <c r="AA828" s="145"/>
      <c r="AB828" s="145"/>
      <c r="AC828" s="145"/>
      <c r="AD828" s="145"/>
      <c r="AE828" s="145"/>
      <c r="AF828" s="219"/>
      <c r="AG828" s="145"/>
      <c r="AH828" s="145"/>
      <c r="AI828" s="145"/>
      <c r="AJ828" s="219"/>
      <c r="AK828" s="145"/>
      <c r="AL828" s="326"/>
      <c r="AM828" s="326"/>
      <c r="AN828" s="145"/>
      <c r="AO828" s="145"/>
      <c r="AP828" s="145"/>
      <c r="AQ828" s="145"/>
      <c r="AR828" s="145"/>
      <c r="AS828" s="145">
        <v>5601445</v>
      </c>
      <c r="AT828" s="145"/>
      <c r="AU828" s="139"/>
      <c r="AV828" s="146">
        <f>IFERROR(VLOOKUP(J828,Maksājumu_pieprasījumu_iesn.!G:BL,57,0),0)</f>
        <v>0</v>
      </c>
      <c r="AW828" s="139">
        <f t="shared" si="230"/>
        <v>0</v>
      </c>
      <c r="AX828" s="153"/>
      <c r="AY828" s="153">
        <v>5601445</v>
      </c>
      <c r="AZ828" s="138" t="s">
        <v>1961</v>
      </c>
      <c r="BA828" s="138" t="s">
        <v>1961</v>
      </c>
      <c r="BB828" s="326"/>
      <c r="BC828" s="326"/>
      <c r="BD828" s="326"/>
      <c r="BE828" s="326"/>
      <c r="BF828" s="326"/>
      <c r="BG828" s="326"/>
      <c r="BH828" s="138"/>
      <c r="BI828" s="138"/>
      <c r="BJ828" s="138"/>
      <c r="BK828" s="138"/>
      <c r="BL828" s="138"/>
      <c r="BM828" s="138"/>
      <c r="BN828" s="138"/>
    </row>
    <row r="829" spans="1:66" s="91" customFormat="1" hidden="1" x14ac:dyDescent="0.2">
      <c r="A829" s="127" t="s">
        <v>1952</v>
      </c>
      <c r="B829" s="127" t="s">
        <v>1962</v>
      </c>
      <c r="C829" s="127" t="s">
        <v>1023</v>
      </c>
      <c r="D829" s="128" t="s">
        <v>1963</v>
      </c>
      <c r="E829" s="127"/>
      <c r="F829" s="127"/>
      <c r="G829" s="127" t="s">
        <v>102</v>
      </c>
      <c r="H829" s="127"/>
      <c r="I829" s="127"/>
      <c r="J829" s="127"/>
      <c r="K829" s="128"/>
      <c r="L829" s="128"/>
      <c r="M829" s="128"/>
      <c r="N829" s="128"/>
      <c r="O829" s="163"/>
      <c r="P829" s="163"/>
      <c r="Q829" s="163"/>
      <c r="R829" s="163"/>
      <c r="S829" s="164">
        <f>S830</f>
        <v>11484765</v>
      </c>
      <c r="T829" s="164">
        <f>T830</f>
        <v>710524.46285737387</v>
      </c>
      <c r="U829" s="164">
        <f>U830</f>
        <v>0</v>
      </c>
      <c r="V829" s="164">
        <f>V830</f>
        <v>0</v>
      </c>
      <c r="W829" s="164">
        <f>W830</f>
        <v>0</v>
      </c>
      <c r="X829" s="129">
        <f>U829+V829+W829</f>
        <v>0</v>
      </c>
      <c r="Y829" s="164">
        <f t="shared" ref="Y829:AT829" si="245">Y830</f>
        <v>0</v>
      </c>
      <c r="Z829" s="164">
        <f t="shared" si="245"/>
        <v>0</v>
      </c>
      <c r="AA829" s="164">
        <f t="shared" si="245"/>
        <v>0</v>
      </c>
      <c r="AB829" s="164">
        <f t="shared" si="245"/>
        <v>0</v>
      </c>
      <c r="AC829" s="164">
        <f t="shared" si="245"/>
        <v>0</v>
      </c>
      <c r="AD829" s="164">
        <f t="shared" si="245"/>
        <v>0</v>
      </c>
      <c r="AE829" s="164">
        <f t="shared" si="245"/>
        <v>0</v>
      </c>
      <c r="AF829" s="164">
        <f t="shared" si="245"/>
        <v>0</v>
      </c>
      <c r="AG829" s="164">
        <f t="shared" si="245"/>
        <v>0</v>
      </c>
      <c r="AH829" s="164">
        <f t="shared" si="245"/>
        <v>0</v>
      </c>
      <c r="AI829" s="164">
        <f t="shared" si="245"/>
        <v>0</v>
      </c>
      <c r="AJ829" s="164">
        <f t="shared" si="245"/>
        <v>140.72</v>
      </c>
      <c r="AK829" s="164">
        <f t="shared" si="245"/>
        <v>140.72</v>
      </c>
      <c r="AL829" s="164">
        <f t="shared" si="245"/>
        <v>1136104.0399999998</v>
      </c>
      <c r="AM829" s="164">
        <f t="shared" si="245"/>
        <v>888800.97</v>
      </c>
      <c r="AN829" s="164">
        <f t="shared" si="245"/>
        <v>8749195.2699999996</v>
      </c>
      <c r="AO829" s="164">
        <f t="shared" si="245"/>
        <v>0</v>
      </c>
      <c r="AP829" s="164">
        <f t="shared" si="245"/>
        <v>0</v>
      </c>
      <c r="AQ829" s="164">
        <f t="shared" si="245"/>
        <v>0</v>
      </c>
      <c r="AR829" s="164">
        <f t="shared" si="245"/>
        <v>0</v>
      </c>
      <c r="AS829" s="164">
        <f t="shared" si="245"/>
        <v>10774241</v>
      </c>
      <c r="AT829" s="164">
        <f t="shared" si="245"/>
        <v>0</v>
      </c>
      <c r="AU829" s="183">
        <f t="shared" si="231"/>
        <v>10774241</v>
      </c>
      <c r="AV829" s="146">
        <f>IFERROR(VLOOKUP(J829,Maksājumu_pieprasījumu_iesn.!G:BL,57,0),0)</f>
        <v>0</v>
      </c>
      <c r="AW829" s="139">
        <f t="shared" si="230"/>
        <v>-10774241</v>
      </c>
      <c r="AX829" s="164">
        <f>AX830</f>
        <v>-0.46285737305879593</v>
      </c>
      <c r="AY829" s="164"/>
      <c r="AZ829" s="164"/>
      <c r="BA829" s="164"/>
      <c r="BB829" s="164">
        <f>BB830</f>
        <v>0</v>
      </c>
      <c r="BC829" s="164">
        <f>BC830</f>
        <v>568192.73999999987</v>
      </c>
      <c r="BD829" s="129">
        <f>BC829*0.83</f>
        <v>471599.97419999988</v>
      </c>
      <c r="BE829" s="129">
        <f>BD829/0.85</f>
        <v>554823.49905882345</v>
      </c>
      <c r="BF829" s="164">
        <f>BF830</f>
        <v>0</v>
      </c>
      <c r="BG829" s="164">
        <f>BG830</f>
        <v>0</v>
      </c>
      <c r="BH829" s="129">
        <f>BH830</f>
        <v>0</v>
      </c>
      <c r="BI829" s="129">
        <f>BI830</f>
        <v>93000</v>
      </c>
      <c r="BJ829" s="129">
        <f>AK829*0.83</f>
        <v>116.79759999999999</v>
      </c>
      <c r="BK829" s="129">
        <f>BJ829-BI829</f>
        <v>-92883.202399999995</v>
      </c>
      <c r="BL829" s="129">
        <f>BL830</f>
        <v>1110779.5630342199</v>
      </c>
      <c r="BM829" s="129">
        <f>AL829*0.83</f>
        <v>942966.35319999978</v>
      </c>
      <c r="BN829" s="129">
        <f>BM829-BL829</f>
        <v>-167813.20983422012</v>
      </c>
    </row>
    <row r="830" spans="1:66" s="91" customFormat="1" ht="12.75" hidden="1" customHeight="1" x14ac:dyDescent="0.2">
      <c r="A830" s="131" t="s">
        <v>1952</v>
      </c>
      <c r="B830" s="132" t="s">
        <v>1962</v>
      </c>
      <c r="C830" s="132" t="s">
        <v>1964</v>
      </c>
      <c r="D830" s="133" t="s">
        <v>1963</v>
      </c>
      <c r="E830" s="22" t="s">
        <v>3</v>
      </c>
      <c r="F830" s="22" t="s">
        <v>29</v>
      </c>
      <c r="G830" s="22" t="s">
        <v>102</v>
      </c>
      <c r="H830" s="22" t="s">
        <v>3</v>
      </c>
      <c r="I830" s="22" t="s">
        <v>1022</v>
      </c>
      <c r="J830" s="134" t="s">
        <v>1026</v>
      </c>
      <c r="K830" s="133"/>
      <c r="L830" s="133"/>
      <c r="M830" s="133"/>
      <c r="N830" s="133"/>
      <c r="O830" s="135"/>
      <c r="P830" s="135"/>
      <c r="Q830" s="135"/>
      <c r="R830" s="135"/>
      <c r="S830" s="136">
        <v>11484765</v>
      </c>
      <c r="T830" s="136">
        <v>710524.46285737387</v>
      </c>
      <c r="U830" s="137">
        <f>SUM(U831)</f>
        <v>0</v>
      </c>
      <c r="V830" s="137">
        <f>SUM(V831)</f>
        <v>0</v>
      </c>
      <c r="W830" s="137">
        <f>SUM(W831)</f>
        <v>0</v>
      </c>
      <c r="X830" s="138">
        <f>U830+V830+W830</f>
        <v>0</v>
      </c>
      <c r="Y830" s="137">
        <f t="shared" ref="Y830:AR830" si="246">SUM(Y831)</f>
        <v>0</v>
      </c>
      <c r="Z830" s="137">
        <f t="shared" si="246"/>
        <v>0</v>
      </c>
      <c r="AA830" s="137">
        <f t="shared" si="246"/>
        <v>0</v>
      </c>
      <c r="AB830" s="137">
        <f t="shared" si="246"/>
        <v>0</v>
      </c>
      <c r="AC830" s="137">
        <f t="shared" si="246"/>
        <v>0</v>
      </c>
      <c r="AD830" s="137">
        <f t="shared" si="246"/>
        <v>0</v>
      </c>
      <c r="AE830" s="137">
        <f t="shared" si="246"/>
        <v>0</v>
      </c>
      <c r="AF830" s="137">
        <f t="shared" si="246"/>
        <v>0</v>
      </c>
      <c r="AG830" s="137">
        <f t="shared" si="246"/>
        <v>0</v>
      </c>
      <c r="AH830" s="137">
        <f t="shared" si="246"/>
        <v>0</v>
      </c>
      <c r="AI830" s="137">
        <f t="shared" si="246"/>
        <v>0</v>
      </c>
      <c r="AJ830" s="137">
        <f t="shared" si="246"/>
        <v>140.72</v>
      </c>
      <c r="AK830" s="137">
        <f t="shared" si="246"/>
        <v>140.72</v>
      </c>
      <c r="AL830" s="137">
        <f t="shared" si="246"/>
        <v>1136104.0399999998</v>
      </c>
      <c r="AM830" s="137">
        <f t="shared" si="246"/>
        <v>888800.97</v>
      </c>
      <c r="AN830" s="137">
        <f t="shared" si="246"/>
        <v>8749195.2699999996</v>
      </c>
      <c r="AO830" s="137">
        <f t="shared" si="246"/>
        <v>0</v>
      </c>
      <c r="AP830" s="137">
        <f t="shared" si="246"/>
        <v>0</v>
      </c>
      <c r="AQ830" s="137">
        <f t="shared" si="246"/>
        <v>0</v>
      </c>
      <c r="AR830" s="137">
        <f t="shared" si="246"/>
        <v>0</v>
      </c>
      <c r="AS830" s="137">
        <f>U830+V830+W830+AK830+AL830+AM830+AN830+AO830+AP830+AQ830+AR830</f>
        <v>10774241</v>
      </c>
      <c r="AT830" s="137">
        <f>AT831</f>
        <v>0</v>
      </c>
      <c r="AU830" s="139">
        <f t="shared" si="231"/>
        <v>10774241</v>
      </c>
      <c r="AV830" s="146">
        <f>IFERROR(VLOOKUP(J830,Maksājumu_pieprasījumu_iesn.!G:BL,57,0),0)</f>
        <v>0</v>
      </c>
      <c r="AW830" s="139">
        <f t="shared" si="230"/>
        <v>-10774241</v>
      </c>
      <c r="AX830" s="140">
        <f>S830-T830-AU830</f>
        <v>-0.46285737305879593</v>
      </c>
      <c r="AY830" s="137"/>
      <c r="AZ830" s="137"/>
      <c r="BA830" s="138"/>
      <c r="BB830" s="140"/>
      <c r="BC830" s="140">
        <f>X830+AK830+AL830/2</f>
        <v>568192.73999999987</v>
      </c>
      <c r="BD830" s="140"/>
      <c r="BE830" s="140">
        <f>BC830/0.85</f>
        <v>668462.0470588234</v>
      </c>
      <c r="BF830" s="137"/>
      <c r="BG830" s="137"/>
      <c r="BH830" s="138">
        <v>0</v>
      </c>
      <c r="BI830" s="138">
        <v>93000</v>
      </c>
      <c r="BJ830" s="138"/>
      <c r="BK830" s="138"/>
      <c r="BL830" s="138">
        <v>1110779.5630342199</v>
      </c>
      <c r="BM830" s="138"/>
      <c r="BN830" s="138"/>
    </row>
    <row r="831" spans="1:66" ht="38.25" hidden="1" customHeight="1" x14ac:dyDescent="0.2">
      <c r="A831" s="322" t="s">
        <v>1952</v>
      </c>
      <c r="B831" s="18" t="s">
        <v>1962</v>
      </c>
      <c r="C831" s="18" t="s">
        <v>1964</v>
      </c>
      <c r="D831" s="19" t="s">
        <v>1963</v>
      </c>
      <c r="E831" s="18" t="s">
        <v>3</v>
      </c>
      <c r="F831" s="18" t="s">
        <v>29</v>
      </c>
      <c r="G831" s="18" t="s">
        <v>102</v>
      </c>
      <c r="H831" s="18" t="s">
        <v>3</v>
      </c>
      <c r="I831" s="18"/>
      <c r="J831" s="18" t="s">
        <v>1965</v>
      </c>
      <c r="K831" s="19" t="s">
        <v>1966</v>
      </c>
      <c r="L831" s="19"/>
      <c r="M831" s="19"/>
      <c r="N831" s="19" t="s">
        <v>1967</v>
      </c>
      <c r="O831" s="143"/>
      <c r="P831" s="143"/>
      <c r="Q831" s="143"/>
      <c r="R831" s="143">
        <v>42731</v>
      </c>
      <c r="S831" s="144">
        <v>10774241</v>
      </c>
      <c r="T831" s="144"/>
      <c r="U831" s="145">
        <v>0</v>
      </c>
      <c r="V831" s="145">
        <v>0</v>
      </c>
      <c r="W831" s="145">
        <v>0</v>
      </c>
      <c r="X831" s="145">
        <f>W831+V831+U831</f>
        <v>0</v>
      </c>
      <c r="Y831" s="145">
        <v>0</v>
      </c>
      <c r="Z831" s="145">
        <v>0</v>
      </c>
      <c r="AA831" s="145">
        <v>0</v>
      </c>
      <c r="AB831" s="145">
        <v>0</v>
      </c>
      <c r="AC831" s="145">
        <v>0</v>
      </c>
      <c r="AD831" s="145">
        <v>0</v>
      </c>
      <c r="AE831" s="145">
        <v>0</v>
      </c>
      <c r="AF831" s="145">
        <v>0</v>
      </c>
      <c r="AG831" s="145">
        <v>0</v>
      </c>
      <c r="AH831" s="145">
        <v>0</v>
      </c>
      <c r="AI831" s="145">
        <v>0</v>
      </c>
      <c r="AJ831" s="145">
        <v>140.72</v>
      </c>
      <c r="AK831" s="145">
        <f>SUM(Y831:AJ831)</f>
        <v>140.72</v>
      </c>
      <c r="AL831" s="145">
        <v>1136104.0399999998</v>
      </c>
      <c r="AM831" s="145">
        <v>888800.97</v>
      </c>
      <c r="AN831" s="145">
        <v>8749195.2699999996</v>
      </c>
      <c r="AO831" s="145">
        <v>0</v>
      </c>
      <c r="AP831" s="145">
        <v>0</v>
      </c>
      <c r="AQ831" s="145">
        <v>0</v>
      </c>
      <c r="AR831" s="145">
        <v>0</v>
      </c>
      <c r="AS831" s="144">
        <f>U831+V831+W831+AK831+AL831+AM831+AN831+AO831+AP831+AQ831+AR831</f>
        <v>10774241</v>
      </c>
      <c r="AT831" s="144">
        <v>0</v>
      </c>
      <c r="AU831" s="146">
        <f t="shared" si="231"/>
        <v>10774241</v>
      </c>
      <c r="AV831" s="146">
        <f>IFERROR(VLOOKUP(J831,Maksājumu_pieprasījumu_iesn.!G:BL,57,0),0)</f>
        <v>0</v>
      </c>
      <c r="AW831" s="139">
        <f t="shared" si="230"/>
        <v>-10774241</v>
      </c>
      <c r="AX831" s="147"/>
      <c r="AY831" s="147"/>
      <c r="AZ831" s="147"/>
      <c r="BA831" s="165"/>
      <c r="BB831" s="144"/>
      <c r="BC831" s="144"/>
      <c r="BD831" s="144"/>
      <c r="BE831" s="144"/>
      <c r="BF831" s="144"/>
      <c r="BG831" s="144"/>
      <c r="BH831" s="149"/>
      <c r="BI831" s="149"/>
      <c r="BJ831" s="149"/>
      <c r="BK831" s="149"/>
      <c r="BL831" s="149"/>
      <c r="BM831" s="149"/>
      <c r="BN831" s="149"/>
    </row>
    <row r="832" spans="1:66" s="91" customFormat="1" ht="25.5" hidden="1" x14ac:dyDescent="0.2">
      <c r="A832" s="127" t="s">
        <v>1952</v>
      </c>
      <c r="B832" s="127" t="s">
        <v>145</v>
      </c>
      <c r="C832" s="127" t="s">
        <v>1023</v>
      </c>
      <c r="D832" s="128" t="s">
        <v>1968</v>
      </c>
      <c r="E832" s="127"/>
      <c r="F832" s="127"/>
      <c r="G832" s="127" t="s">
        <v>102</v>
      </c>
      <c r="H832" s="127"/>
      <c r="I832" s="127"/>
      <c r="J832" s="127"/>
      <c r="K832" s="128"/>
      <c r="L832" s="128"/>
      <c r="M832" s="128"/>
      <c r="N832" s="128"/>
      <c r="O832" s="163"/>
      <c r="P832" s="163"/>
      <c r="Q832" s="163"/>
      <c r="R832" s="163"/>
      <c r="S832" s="164">
        <f>S833+S840</f>
        <v>82202804</v>
      </c>
      <c r="T832" s="164">
        <f>T833+T840</f>
        <v>5085616.3627410103</v>
      </c>
      <c r="U832" s="164">
        <f>U833+U840</f>
        <v>0</v>
      </c>
      <c r="V832" s="164">
        <f>V833+V840</f>
        <v>0</v>
      </c>
      <c r="W832" s="164">
        <f>W833+W840</f>
        <v>0</v>
      </c>
      <c r="X832" s="129">
        <f>U832+V832+W832</f>
        <v>0</v>
      </c>
      <c r="Y832" s="164">
        <f t="shared" ref="Y832:AT832" si="247">Y833+Y840</f>
        <v>0</v>
      </c>
      <c r="Z832" s="164">
        <f t="shared" si="247"/>
        <v>0</v>
      </c>
      <c r="AA832" s="164">
        <f t="shared" si="247"/>
        <v>7365510.9100000001</v>
      </c>
      <c r="AB832" s="164">
        <f t="shared" si="247"/>
        <v>0</v>
      </c>
      <c r="AC832" s="164">
        <f t="shared" si="247"/>
        <v>0</v>
      </c>
      <c r="AD832" s="164">
        <f t="shared" si="247"/>
        <v>637047.98</v>
      </c>
      <c r="AE832" s="164">
        <f t="shared" si="247"/>
        <v>0</v>
      </c>
      <c r="AF832" s="164">
        <f t="shared" si="247"/>
        <v>0</v>
      </c>
      <c r="AG832" s="164">
        <f t="shared" si="247"/>
        <v>699990.72</v>
      </c>
      <c r="AH832" s="164">
        <f t="shared" si="247"/>
        <v>0</v>
      </c>
      <c r="AI832" s="164">
        <f t="shared" si="247"/>
        <v>0</v>
      </c>
      <c r="AJ832" s="164">
        <f t="shared" si="247"/>
        <v>572200.6</v>
      </c>
      <c r="AK832" s="164">
        <f t="shared" si="247"/>
        <v>9274750.2100000009</v>
      </c>
      <c r="AL832" s="164">
        <f t="shared" si="247"/>
        <v>13966950.060000001</v>
      </c>
      <c r="AM832" s="164">
        <f t="shared" si="247"/>
        <v>34095891.490000002</v>
      </c>
      <c r="AN832" s="164">
        <f t="shared" si="247"/>
        <v>17977357.407258987</v>
      </c>
      <c r="AO832" s="164">
        <f t="shared" si="247"/>
        <v>1081343</v>
      </c>
      <c r="AP832" s="164">
        <f t="shared" si="247"/>
        <v>720895</v>
      </c>
      <c r="AQ832" s="164">
        <f t="shared" si="247"/>
        <v>0</v>
      </c>
      <c r="AR832" s="164">
        <f t="shared" si="247"/>
        <v>0</v>
      </c>
      <c r="AS832" s="164">
        <f t="shared" si="247"/>
        <v>77117187.167258993</v>
      </c>
      <c r="AT832" s="164">
        <f t="shared" si="247"/>
        <v>609434.6</v>
      </c>
      <c r="AU832" s="183">
        <f t="shared" si="231"/>
        <v>76507752.567258999</v>
      </c>
      <c r="AV832" s="146">
        <f>IFERROR(VLOOKUP(J832,Maksājumu_pieprasījumu_iesn.!G:BL,57,0),0)</f>
        <v>0</v>
      </c>
      <c r="AW832" s="139">
        <f t="shared" si="230"/>
        <v>-76507752.567258999</v>
      </c>
      <c r="AX832" s="164">
        <f>AX833+AX840</f>
        <v>609435.06999998819</v>
      </c>
      <c r="AY832" s="164"/>
      <c r="AZ832" s="164"/>
      <c r="BA832" s="164"/>
      <c r="BB832" s="164">
        <f>BB833+BB840</f>
        <v>0</v>
      </c>
      <c r="BC832" s="164">
        <f>BC833+BC840</f>
        <v>16258225.240000002</v>
      </c>
      <c r="BD832" s="129">
        <f>BC832*0.83</f>
        <v>13494326.949200001</v>
      </c>
      <c r="BE832" s="129">
        <f>BD832/0.85</f>
        <v>15875678.763764707</v>
      </c>
      <c r="BF832" s="164">
        <f>BF833+BF840</f>
        <v>0</v>
      </c>
      <c r="BG832" s="164">
        <f>BG833+BG840</f>
        <v>0</v>
      </c>
      <c r="BH832" s="129">
        <f>BH833+BH840</f>
        <v>0</v>
      </c>
      <c r="BI832" s="129">
        <f>BI833+BI840</f>
        <v>10292262.652875001</v>
      </c>
      <c r="BJ832" s="129">
        <f>AK832*0.83</f>
        <v>7698042.6743000001</v>
      </c>
      <c r="BK832" s="129">
        <f>BJ832-BI832</f>
        <v>-2594219.9785750005</v>
      </c>
      <c r="BL832" s="129">
        <f>BL833+BL840</f>
        <v>11700279.4500784</v>
      </c>
      <c r="BM832" s="129">
        <f>AL832*0.83</f>
        <v>11592568.549799999</v>
      </c>
      <c r="BN832" s="129">
        <f>BM832-BL832</f>
        <v>-107710.90027840063</v>
      </c>
    </row>
    <row r="833" spans="1:66" s="91" customFormat="1" ht="12.75" hidden="1" customHeight="1" x14ac:dyDescent="0.2">
      <c r="A833" s="131" t="s">
        <v>1952</v>
      </c>
      <c r="B833" s="132" t="s">
        <v>145</v>
      </c>
      <c r="C833" s="132" t="s">
        <v>146</v>
      </c>
      <c r="D833" s="133" t="s">
        <v>577</v>
      </c>
      <c r="E833" s="22" t="s">
        <v>3</v>
      </c>
      <c r="F833" s="22" t="s">
        <v>29</v>
      </c>
      <c r="G833" s="22" t="s">
        <v>102</v>
      </c>
      <c r="H833" s="22" t="s">
        <v>3</v>
      </c>
      <c r="I833" s="22" t="s">
        <v>1022</v>
      </c>
      <c r="J833" s="134" t="s">
        <v>1026</v>
      </c>
      <c r="K833" s="133"/>
      <c r="L833" s="133"/>
      <c r="M833" s="133"/>
      <c r="N833" s="133"/>
      <c r="O833" s="135"/>
      <c r="P833" s="135"/>
      <c r="Q833" s="135"/>
      <c r="R833" s="135"/>
      <c r="S833" s="136">
        <v>75109463.528290108</v>
      </c>
      <c r="T833" s="136">
        <v>4646774.3627410103</v>
      </c>
      <c r="U833" s="137">
        <f>U834+U836+U837+U838+U839</f>
        <v>0</v>
      </c>
      <c r="V833" s="137">
        <f t="shared" ref="V833:AR833" si="248">V834+V836+V837+V838+V839</f>
        <v>0</v>
      </c>
      <c r="W833" s="137">
        <f t="shared" si="248"/>
        <v>0</v>
      </c>
      <c r="X833" s="137">
        <f t="shared" si="248"/>
        <v>0</v>
      </c>
      <c r="Y833" s="137">
        <f t="shared" si="248"/>
        <v>0</v>
      </c>
      <c r="Z833" s="137">
        <f t="shared" si="248"/>
        <v>0</v>
      </c>
      <c r="AA833" s="137">
        <f t="shared" si="248"/>
        <v>7365510.9100000001</v>
      </c>
      <c r="AB833" s="137">
        <f t="shared" si="248"/>
        <v>0</v>
      </c>
      <c r="AC833" s="137">
        <f t="shared" si="248"/>
        <v>0</v>
      </c>
      <c r="AD833" s="137">
        <f t="shared" si="248"/>
        <v>637047.98</v>
      </c>
      <c r="AE833" s="137">
        <f t="shared" si="248"/>
        <v>0</v>
      </c>
      <c r="AF833" s="137">
        <f t="shared" si="248"/>
        <v>0</v>
      </c>
      <c r="AG833" s="137">
        <f t="shared" si="248"/>
        <v>699990.72</v>
      </c>
      <c r="AH833" s="137">
        <f t="shared" si="248"/>
        <v>0</v>
      </c>
      <c r="AI833" s="137">
        <f t="shared" si="248"/>
        <v>0</v>
      </c>
      <c r="AJ833" s="137">
        <f t="shared" si="248"/>
        <v>572200.6</v>
      </c>
      <c r="AK833" s="137">
        <f t="shared" si="248"/>
        <v>9274750.2100000009</v>
      </c>
      <c r="AL833" s="137">
        <f t="shared" si="248"/>
        <v>13405798.060000001</v>
      </c>
      <c r="AM833" s="137">
        <f t="shared" si="248"/>
        <v>32182099.490000002</v>
      </c>
      <c r="AN833" s="137">
        <f t="shared" si="248"/>
        <v>15600041.407258989</v>
      </c>
      <c r="AO833" s="137">
        <f t="shared" si="248"/>
        <v>0</v>
      </c>
      <c r="AP833" s="137">
        <f t="shared" si="248"/>
        <v>0</v>
      </c>
      <c r="AQ833" s="137">
        <f t="shared" si="248"/>
        <v>0</v>
      </c>
      <c r="AR833" s="137">
        <f t="shared" si="248"/>
        <v>0</v>
      </c>
      <c r="AS833" s="137">
        <f>U833+V833+W833+AK833+AL833+AM833+AN833+AO833+AP833+AQ833+AR833</f>
        <v>70462689.167258993</v>
      </c>
      <c r="AT833" s="137">
        <f>SUM(AT834:AT839)</f>
        <v>609434.6</v>
      </c>
      <c r="AU833" s="139">
        <f t="shared" si="231"/>
        <v>69853254.567258999</v>
      </c>
      <c r="AV833" s="146">
        <f>IFERROR(VLOOKUP(J833,Maksājumu_pieprasījumu_iesn.!G:BL,57,0),0)</f>
        <v>0</v>
      </c>
      <c r="AW833" s="139">
        <f t="shared" si="230"/>
        <v>-69853254.567258999</v>
      </c>
      <c r="AX833" s="140">
        <f>S833-T833-AU833</f>
        <v>609434.59829010069</v>
      </c>
      <c r="AY833" s="137"/>
      <c r="AZ833" s="137"/>
      <c r="BA833" s="138"/>
      <c r="BB833" s="140"/>
      <c r="BC833" s="140">
        <f>X833+AK833+AL833/2</f>
        <v>15977649.240000002</v>
      </c>
      <c r="BD833" s="140"/>
      <c r="BE833" s="140">
        <f>BC833/0.85</f>
        <v>18797234.400000002</v>
      </c>
      <c r="BF833" s="137"/>
      <c r="BG833" s="137"/>
      <c r="BH833" s="138">
        <v>0</v>
      </c>
      <c r="BI833" s="138">
        <v>10292262.652875001</v>
      </c>
      <c r="BJ833" s="138"/>
      <c r="BK833" s="138"/>
      <c r="BL833" s="138">
        <v>11700279.4500784</v>
      </c>
      <c r="BM833" s="138"/>
      <c r="BN833" s="138"/>
    </row>
    <row r="834" spans="1:66" ht="25.5" hidden="1" customHeight="1" x14ac:dyDescent="0.2">
      <c r="A834" s="322" t="s">
        <v>1952</v>
      </c>
      <c r="B834" s="18" t="s">
        <v>145</v>
      </c>
      <c r="C834" s="18" t="s">
        <v>146</v>
      </c>
      <c r="D834" s="19" t="s">
        <v>577</v>
      </c>
      <c r="E834" s="18" t="s">
        <v>3</v>
      </c>
      <c r="F834" s="18" t="s">
        <v>29</v>
      </c>
      <c r="G834" s="18" t="s">
        <v>102</v>
      </c>
      <c r="H834" s="18" t="s">
        <v>3</v>
      </c>
      <c r="I834" s="18"/>
      <c r="J834" s="18" t="s">
        <v>147</v>
      </c>
      <c r="K834" s="19" t="s">
        <v>148</v>
      </c>
      <c r="L834" s="19"/>
      <c r="M834" s="19"/>
      <c r="N834" s="19" t="s">
        <v>149</v>
      </c>
      <c r="O834" s="143"/>
      <c r="P834" s="143"/>
      <c r="Q834" s="143"/>
      <c r="R834" s="143">
        <v>42779</v>
      </c>
      <c r="S834" s="144">
        <v>9388273.1300000008</v>
      </c>
      <c r="T834" s="144"/>
      <c r="U834" s="137">
        <f>SUM(U835:U840)</f>
        <v>0</v>
      </c>
      <c r="V834" s="145">
        <v>0</v>
      </c>
      <c r="W834" s="145">
        <v>0</v>
      </c>
      <c r="X834" s="145">
        <f t="shared" ref="X834:X839" si="249">W834+V834+U834</f>
        <v>0</v>
      </c>
      <c r="Y834" s="145">
        <v>0</v>
      </c>
      <c r="Z834" s="145">
        <v>0</v>
      </c>
      <c r="AA834" s="145">
        <v>7365510.9100000001</v>
      </c>
      <c r="AB834" s="145">
        <v>0</v>
      </c>
      <c r="AC834" s="145">
        <v>0</v>
      </c>
      <c r="AD834" s="145">
        <v>637047.98</v>
      </c>
      <c r="AE834" s="145">
        <v>0</v>
      </c>
      <c r="AF834" s="145">
        <v>0</v>
      </c>
      <c r="AG834" s="145">
        <v>699990.72</v>
      </c>
      <c r="AH834" s="145">
        <v>0</v>
      </c>
      <c r="AI834" s="145">
        <v>0</v>
      </c>
      <c r="AJ834" s="145">
        <v>572200.6</v>
      </c>
      <c r="AK834" s="145">
        <f t="shared" ref="AK834:AK839" si="250">SUM(Y834:AJ834)</f>
        <v>9274750.2100000009</v>
      </c>
      <c r="AL834" s="145">
        <v>113522.92</v>
      </c>
      <c r="AM834" s="145">
        <v>0</v>
      </c>
      <c r="AN834" s="145">
        <v>0</v>
      </c>
      <c r="AO834" s="145">
        <v>0</v>
      </c>
      <c r="AP834" s="145">
        <v>0</v>
      </c>
      <c r="AQ834" s="145">
        <v>0</v>
      </c>
      <c r="AR834" s="145">
        <v>0</v>
      </c>
      <c r="AS834" s="144">
        <f>U834+V834+W834+AK834+AL834+AM834+AN834+AO834+AP834+AQ834+AR834</f>
        <v>9388273.1300000008</v>
      </c>
      <c r="AT834" s="315">
        <v>0</v>
      </c>
      <c r="AU834" s="146">
        <f t="shared" si="231"/>
        <v>9388273.1300000008</v>
      </c>
      <c r="AV834" s="146">
        <f>IFERROR(VLOOKUP(J834,Maksājumu_pieprasījumu_iesn.!G:BL,57,0),0)</f>
        <v>0</v>
      </c>
      <c r="AW834" s="139">
        <f t="shared" si="230"/>
        <v>-9388273.1300000008</v>
      </c>
      <c r="AX834" s="276">
        <f>S834-T834-AU834</f>
        <v>0</v>
      </c>
      <c r="AY834" s="316"/>
      <c r="AZ834" s="316"/>
      <c r="BA834" s="165"/>
      <c r="BB834" s="144"/>
      <c r="BC834" s="144"/>
      <c r="BD834" s="144"/>
      <c r="BE834" s="144"/>
      <c r="BF834" s="144"/>
      <c r="BG834" s="144"/>
      <c r="BH834" s="149"/>
      <c r="BI834" s="149"/>
      <c r="BJ834" s="149"/>
      <c r="BK834" s="149"/>
      <c r="BL834" s="149"/>
      <c r="BM834" s="149"/>
      <c r="BN834" s="149"/>
    </row>
    <row r="835" spans="1:66" ht="25.5" hidden="1" customHeight="1" x14ac:dyDescent="0.2">
      <c r="A835" s="322" t="s">
        <v>1952</v>
      </c>
      <c r="B835" s="18" t="s">
        <v>145</v>
      </c>
      <c r="C835" s="18" t="s">
        <v>146</v>
      </c>
      <c r="D835" s="19" t="s">
        <v>577</v>
      </c>
      <c r="E835" s="18" t="s">
        <v>3</v>
      </c>
      <c r="F835" s="18" t="s">
        <v>29</v>
      </c>
      <c r="G835" s="18" t="s">
        <v>102</v>
      </c>
      <c r="H835" s="18" t="s">
        <v>3</v>
      </c>
      <c r="I835" s="18"/>
      <c r="J835" s="18" t="s">
        <v>147</v>
      </c>
      <c r="K835" s="19" t="s">
        <v>148</v>
      </c>
      <c r="L835" s="19"/>
      <c r="M835" s="19"/>
      <c r="N835" s="19" t="s">
        <v>149</v>
      </c>
      <c r="O835" s="143" t="s">
        <v>880</v>
      </c>
      <c r="P835" s="143"/>
      <c r="Q835" s="143"/>
      <c r="R835" s="143"/>
      <c r="S835" s="144"/>
      <c r="T835" s="144"/>
      <c r="U835" s="145"/>
      <c r="V835" s="145"/>
      <c r="W835" s="145"/>
      <c r="X835" s="145">
        <f t="shared" si="249"/>
        <v>0</v>
      </c>
      <c r="Y835" s="145"/>
      <c r="Z835" s="145">
        <v>609434.6</v>
      </c>
      <c r="AA835" s="145"/>
      <c r="AB835" s="145"/>
      <c r="AC835" s="145"/>
      <c r="AD835" s="145"/>
      <c r="AE835" s="145"/>
      <c r="AF835" s="145"/>
      <c r="AG835" s="145"/>
      <c r="AH835" s="145"/>
      <c r="AI835" s="145"/>
      <c r="AJ835" s="145"/>
      <c r="AK835" s="145">
        <f t="shared" si="250"/>
        <v>609434.6</v>
      </c>
      <c r="AL835" s="145"/>
      <c r="AM835" s="145"/>
      <c r="AN835" s="145"/>
      <c r="AO835" s="145"/>
      <c r="AP835" s="145"/>
      <c r="AQ835" s="145"/>
      <c r="AR835" s="145"/>
      <c r="AS835" s="86"/>
      <c r="AT835" s="144">
        <f>U835+V835+W835+AK835+AL835+AM835+AN835+AO835+AP835+AQ835+AR835</f>
        <v>609434.6</v>
      </c>
      <c r="AU835" s="329"/>
      <c r="AV835" s="146">
        <f>IFERROR(VLOOKUP(J835,Maksājumu_pieprasījumu_iesn.!G:BL,57,0),0)</f>
        <v>0</v>
      </c>
      <c r="AW835" s="139">
        <f t="shared" si="230"/>
        <v>0</v>
      </c>
      <c r="AX835" s="285"/>
      <c r="AY835" s="330"/>
      <c r="AZ835" s="330"/>
      <c r="BA835" s="165"/>
      <c r="BB835" s="144"/>
      <c r="BC835" s="144"/>
      <c r="BD835" s="144"/>
      <c r="BE835" s="144"/>
      <c r="BF835" s="144"/>
      <c r="BG835" s="144"/>
      <c r="BH835" s="149"/>
      <c r="BI835" s="149"/>
      <c r="BJ835" s="149"/>
      <c r="BK835" s="149"/>
      <c r="BL835" s="149"/>
      <c r="BM835" s="149"/>
      <c r="BN835" s="149"/>
    </row>
    <row r="836" spans="1:66" s="91" customFormat="1" ht="25.5" hidden="1" customHeight="1" x14ac:dyDescent="0.2">
      <c r="A836" s="324" t="s">
        <v>1952</v>
      </c>
      <c r="B836" s="18" t="s">
        <v>145</v>
      </c>
      <c r="C836" s="18" t="s">
        <v>146</v>
      </c>
      <c r="D836" s="19" t="s">
        <v>577</v>
      </c>
      <c r="E836" s="55" t="s">
        <v>3</v>
      </c>
      <c r="F836" s="55" t="s">
        <v>29</v>
      </c>
      <c r="G836" s="55" t="s">
        <v>102</v>
      </c>
      <c r="H836" s="55" t="s">
        <v>3</v>
      </c>
      <c r="I836" s="55"/>
      <c r="J836" s="55"/>
      <c r="K836" s="19" t="s">
        <v>148</v>
      </c>
      <c r="L836" s="19"/>
      <c r="M836" s="19"/>
      <c r="N836" s="19" t="s">
        <v>1969</v>
      </c>
      <c r="O836" s="151">
        <v>42947</v>
      </c>
      <c r="P836" s="151"/>
      <c r="Q836" s="151"/>
      <c r="R836" s="151"/>
      <c r="S836" s="152"/>
      <c r="T836" s="152"/>
      <c r="U836" s="145">
        <v>0</v>
      </c>
      <c r="V836" s="145">
        <v>0</v>
      </c>
      <c r="W836" s="145">
        <v>0</v>
      </c>
      <c r="X836" s="145">
        <f t="shared" si="249"/>
        <v>0</v>
      </c>
      <c r="Y836" s="145">
        <v>0</v>
      </c>
      <c r="Z836" s="145">
        <v>0</v>
      </c>
      <c r="AA836" s="145">
        <v>0</v>
      </c>
      <c r="AB836" s="145">
        <v>0</v>
      </c>
      <c r="AC836" s="145">
        <v>0</v>
      </c>
      <c r="AD836" s="145">
        <v>0</v>
      </c>
      <c r="AE836" s="145">
        <v>0</v>
      </c>
      <c r="AF836" s="145">
        <v>0</v>
      </c>
      <c r="AG836" s="145">
        <v>0</v>
      </c>
      <c r="AH836" s="145">
        <v>0</v>
      </c>
      <c r="AI836" s="145">
        <v>0</v>
      </c>
      <c r="AJ836" s="145">
        <v>0</v>
      </c>
      <c r="AK836" s="145">
        <f t="shared" si="250"/>
        <v>0</v>
      </c>
      <c r="AL836" s="145">
        <v>7657816.6200000001</v>
      </c>
      <c r="AM836" s="145">
        <v>3537153.5</v>
      </c>
      <c r="AN836" s="145">
        <v>0</v>
      </c>
      <c r="AO836" s="145">
        <v>0</v>
      </c>
      <c r="AP836" s="145">
        <v>0</v>
      </c>
      <c r="AQ836" s="145">
        <v>0</v>
      </c>
      <c r="AR836" s="145">
        <v>0</v>
      </c>
      <c r="AS836" s="145">
        <f t="shared" ref="AS836:AS841" si="251">U836+V836+W836+AK836+AL836+AM836+AN836+AO836+AP836+AQ836+AR836</f>
        <v>11194970.120000001</v>
      </c>
      <c r="AT836" s="145"/>
      <c r="AU836" s="139">
        <f t="shared" si="231"/>
        <v>11194970.120000001</v>
      </c>
      <c r="AV836" s="146">
        <f>IFERROR(VLOOKUP(J836,Maksājumu_pieprasījumu_iesn.!G:BL,57,0),0)</f>
        <v>0</v>
      </c>
      <c r="AW836" s="139">
        <f t="shared" si="230"/>
        <v>-11194970.120000001</v>
      </c>
      <c r="AX836" s="153"/>
      <c r="AY836" s="153"/>
      <c r="AZ836" s="153"/>
      <c r="BA836" s="136"/>
      <c r="BB836" s="145"/>
      <c r="BC836" s="145"/>
      <c r="BD836" s="145"/>
      <c r="BE836" s="145"/>
      <c r="BF836" s="145"/>
      <c r="BG836" s="145"/>
      <c r="BH836" s="138"/>
      <c r="BI836" s="138"/>
      <c r="BJ836" s="138"/>
      <c r="BK836" s="138"/>
      <c r="BL836" s="138"/>
      <c r="BM836" s="138"/>
      <c r="BN836" s="138"/>
    </row>
    <row r="837" spans="1:66" s="91" customFormat="1" ht="51" hidden="1" customHeight="1" x14ac:dyDescent="0.2">
      <c r="A837" s="324" t="s">
        <v>1952</v>
      </c>
      <c r="B837" s="18" t="s">
        <v>145</v>
      </c>
      <c r="C837" s="18" t="s">
        <v>146</v>
      </c>
      <c r="D837" s="19" t="s">
        <v>577</v>
      </c>
      <c r="E837" s="55" t="s">
        <v>3</v>
      </c>
      <c r="F837" s="55" t="s">
        <v>29</v>
      </c>
      <c r="G837" s="55" t="s">
        <v>102</v>
      </c>
      <c r="H837" s="55" t="s">
        <v>3</v>
      </c>
      <c r="I837" s="55"/>
      <c r="J837" s="55"/>
      <c r="K837" s="19" t="s">
        <v>148</v>
      </c>
      <c r="L837" s="19"/>
      <c r="M837" s="19"/>
      <c r="N837" s="19" t="s">
        <v>1970</v>
      </c>
      <c r="O837" s="151">
        <v>43132</v>
      </c>
      <c r="P837" s="151"/>
      <c r="Q837" s="151"/>
      <c r="R837" s="151"/>
      <c r="S837" s="152"/>
      <c r="T837" s="152"/>
      <c r="U837" s="145">
        <v>0</v>
      </c>
      <c r="V837" s="145">
        <v>0</v>
      </c>
      <c r="W837" s="145">
        <v>0</v>
      </c>
      <c r="X837" s="145">
        <f t="shared" si="249"/>
        <v>0</v>
      </c>
      <c r="Y837" s="145">
        <v>0</v>
      </c>
      <c r="Z837" s="145">
        <v>0</v>
      </c>
      <c r="AA837" s="145">
        <v>0</v>
      </c>
      <c r="AB837" s="145">
        <v>0</v>
      </c>
      <c r="AC837" s="145">
        <v>0</v>
      </c>
      <c r="AD837" s="145">
        <v>0</v>
      </c>
      <c r="AE837" s="145">
        <v>0</v>
      </c>
      <c r="AF837" s="145">
        <v>0</v>
      </c>
      <c r="AG837" s="145">
        <v>0</v>
      </c>
      <c r="AH837" s="145">
        <v>0</v>
      </c>
      <c r="AI837" s="145">
        <v>0</v>
      </c>
      <c r="AJ837" s="145">
        <v>0</v>
      </c>
      <c r="AK837" s="145">
        <f t="shared" si="250"/>
        <v>0</v>
      </c>
      <c r="AL837" s="145">
        <v>4986971.7</v>
      </c>
      <c r="AM837" s="145">
        <v>16020262.130000001</v>
      </c>
      <c r="AN837" s="145">
        <v>6179539.6100000003</v>
      </c>
      <c r="AO837" s="145">
        <v>0</v>
      </c>
      <c r="AP837" s="145">
        <v>0</v>
      </c>
      <c r="AQ837" s="145">
        <v>0</v>
      </c>
      <c r="AR837" s="145">
        <v>0</v>
      </c>
      <c r="AS837" s="145">
        <f t="shared" si="251"/>
        <v>27186773.440000001</v>
      </c>
      <c r="AT837" s="145"/>
      <c r="AU837" s="139">
        <f t="shared" si="231"/>
        <v>27186773.440000001</v>
      </c>
      <c r="AV837" s="146">
        <f>IFERROR(VLOOKUP(J837,Maksājumu_pieprasījumu_iesn.!G:BL,57,0),0)</f>
        <v>0</v>
      </c>
      <c r="AW837" s="139">
        <f t="shared" si="230"/>
        <v>-27186773.440000001</v>
      </c>
      <c r="AX837" s="153"/>
      <c r="AY837" s="153"/>
      <c r="AZ837" s="153"/>
      <c r="BA837" s="136"/>
      <c r="BB837" s="145"/>
      <c r="BC837" s="145"/>
      <c r="BD837" s="145"/>
      <c r="BE837" s="145"/>
      <c r="BF837" s="145"/>
      <c r="BG837" s="145"/>
      <c r="BH837" s="138"/>
      <c r="BI837" s="138"/>
      <c r="BJ837" s="138"/>
      <c r="BK837" s="138"/>
      <c r="BL837" s="138"/>
      <c r="BM837" s="138"/>
      <c r="BN837" s="138"/>
    </row>
    <row r="838" spans="1:66" s="91" customFormat="1" ht="25.5" hidden="1" customHeight="1" x14ac:dyDescent="0.2">
      <c r="A838" s="324" t="s">
        <v>1952</v>
      </c>
      <c r="B838" s="18" t="s">
        <v>145</v>
      </c>
      <c r="C838" s="18" t="s">
        <v>146</v>
      </c>
      <c r="D838" s="19" t="s">
        <v>577</v>
      </c>
      <c r="E838" s="55" t="s">
        <v>3</v>
      </c>
      <c r="F838" s="55" t="s">
        <v>29</v>
      </c>
      <c r="G838" s="55" t="s">
        <v>102</v>
      </c>
      <c r="H838" s="55" t="s">
        <v>3</v>
      </c>
      <c r="I838" s="55"/>
      <c r="J838" s="55"/>
      <c r="K838" s="19" t="s">
        <v>148</v>
      </c>
      <c r="L838" s="19"/>
      <c r="M838" s="19"/>
      <c r="N838" s="19" t="s">
        <v>1971</v>
      </c>
      <c r="O838" s="151">
        <v>43132</v>
      </c>
      <c r="P838" s="151"/>
      <c r="Q838" s="151"/>
      <c r="R838" s="151"/>
      <c r="S838" s="152"/>
      <c r="T838" s="152"/>
      <c r="U838" s="145">
        <v>0</v>
      </c>
      <c r="V838" s="145">
        <v>0</v>
      </c>
      <c r="W838" s="145">
        <v>0</v>
      </c>
      <c r="X838" s="145">
        <f t="shared" si="249"/>
        <v>0</v>
      </c>
      <c r="Y838" s="145">
        <v>0</v>
      </c>
      <c r="Z838" s="145">
        <v>0</v>
      </c>
      <c r="AA838" s="145">
        <v>0</v>
      </c>
      <c r="AB838" s="145">
        <v>0</v>
      </c>
      <c r="AC838" s="145">
        <v>0</v>
      </c>
      <c r="AD838" s="145">
        <v>0</v>
      </c>
      <c r="AE838" s="145">
        <v>0</v>
      </c>
      <c r="AF838" s="145">
        <v>0</v>
      </c>
      <c r="AG838" s="145">
        <v>0</v>
      </c>
      <c r="AH838" s="145">
        <v>0</v>
      </c>
      <c r="AI838" s="145">
        <v>0</v>
      </c>
      <c r="AJ838" s="145">
        <v>0</v>
      </c>
      <c r="AK838" s="145">
        <f t="shared" si="250"/>
        <v>0</v>
      </c>
      <c r="AL838" s="145">
        <v>200696.65</v>
      </c>
      <c r="AM838" s="145">
        <v>3604815.91</v>
      </c>
      <c r="AN838" s="145">
        <v>4242557.54</v>
      </c>
      <c r="AO838" s="145">
        <v>0</v>
      </c>
      <c r="AP838" s="145">
        <v>0</v>
      </c>
      <c r="AQ838" s="145">
        <v>0</v>
      </c>
      <c r="AR838" s="145">
        <v>0</v>
      </c>
      <c r="AS838" s="145">
        <f t="shared" si="251"/>
        <v>8048070.0999999996</v>
      </c>
      <c r="AT838" s="145"/>
      <c r="AU838" s="139">
        <f t="shared" si="231"/>
        <v>8048070.0999999996</v>
      </c>
      <c r="AV838" s="146">
        <f>IFERROR(VLOOKUP(J838,Maksājumu_pieprasījumu_iesn.!G:BL,57,0),0)</f>
        <v>0</v>
      </c>
      <c r="AW838" s="139">
        <f t="shared" si="230"/>
        <v>-8048070.0999999996</v>
      </c>
      <c r="AX838" s="153"/>
      <c r="AY838" s="153"/>
      <c r="AZ838" s="153"/>
      <c r="BA838" s="136"/>
      <c r="BB838" s="145"/>
      <c r="BC838" s="145"/>
      <c r="BD838" s="145"/>
      <c r="BE838" s="145"/>
      <c r="BF838" s="145"/>
      <c r="BG838" s="145"/>
      <c r="BH838" s="138"/>
      <c r="BI838" s="138"/>
      <c r="BJ838" s="138"/>
      <c r="BK838" s="138"/>
      <c r="BL838" s="138"/>
      <c r="BM838" s="138"/>
      <c r="BN838" s="138"/>
    </row>
    <row r="839" spans="1:66" s="91" customFormat="1" ht="38.25" hidden="1" customHeight="1" x14ac:dyDescent="0.2">
      <c r="A839" s="324" t="s">
        <v>1952</v>
      </c>
      <c r="B839" s="18" t="s">
        <v>145</v>
      </c>
      <c r="C839" s="18" t="s">
        <v>146</v>
      </c>
      <c r="D839" s="19" t="s">
        <v>577</v>
      </c>
      <c r="E839" s="55" t="s">
        <v>3</v>
      </c>
      <c r="F839" s="55" t="s">
        <v>29</v>
      </c>
      <c r="G839" s="55" t="s">
        <v>102</v>
      </c>
      <c r="H839" s="55" t="s">
        <v>3</v>
      </c>
      <c r="I839" s="55"/>
      <c r="J839" s="55"/>
      <c r="K839" s="19" t="s">
        <v>148</v>
      </c>
      <c r="L839" s="19"/>
      <c r="M839" s="19"/>
      <c r="N839" s="19" t="s">
        <v>1972</v>
      </c>
      <c r="O839" s="151">
        <v>43132</v>
      </c>
      <c r="P839" s="151"/>
      <c r="Q839" s="151"/>
      <c r="R839" s="151"/>
      <c r="S839" s="152"/>
      <c r="T839" s="152"/>
      <c r="U839" s="145">
        <v>0</v>
      </c>
      <c r="V839" s="145">
        <v>0</v>
      </c>
      <c r="W839" s="145">
        <v>0</v>
      </c>
      <c r="X839" s="145">
        <f t="shared" si="249"/>
        <v>0</v>
      </c>
      <c r="Y839" s="145">
        <v>0</v>
      </c>
      <c r="Z839" s="145">
        <v>0</v>
      </c>
      <c r="AA839" s="145">
        <v>0</v>
      </c>
      <c r="AB839" s="145">
        <v>0</v>
      </c>
      <c r="AC839" s="145">
        <v>0</v>
      </c>
      <c r="AD839" s="145">
        <v>0</v>
      </c>
      <c r="AE839" s="145">
        <v>0</v>
      </c>
      <c r="AF839" s="145">
        <v>0</v>
      </c>
      <c r="AG839" s="145">
        <v>0</v>
      </c>
      <c r="AH839" s="145">
        <v>0</v>
      </c>
      <c r="AI839" s="145">
        <v>0</v>
      </c>
      <c r="AJ839" s="145">
        <v>0</v>
      </c>
      <c r="AK839" s="145">
        <f t="shared" si="250"/>
        <v>0</v>
      </c>
      <c r="AL839" s="145">
        <v>446790.17</v>
      </c>
      <c r="AM839" s="145">
        <v>9019867.9499999993</v>
      </c>
      <c r="AN839" s="145">
        <v>5177944.2572589889</v>
      </c>
      <c r="AO839" s="145">
        <v>0</v>
      </c>
      <c r="AP839" s="145">
        <v>0</v>
      </c>
      <c r="AQ839" s="145">
        <v>0</v>
      </c>
      <c r="AR839" s="145">
        <v>0</v>
      </c>
      <c r="AS839" s="145">
        <f t="shared" si="251"/>
        <v>14644602.377258988</v>
      </c>
      <c r="AT839" s="145"/>
      <c r="AU839" s="139">
        <f t="shared" si="231"/>
        <v>14644602.377258988</v>
      </c>
      <c r="AV839" s="146">
        <f>IFERROR(VLOOKUP(J839,Maksājumu_pieprasījumu_iesn.!G:BL,57,0),0)</f>
        <v>0</v>
      </c>
      <c r="AW839" s="139">
        <f t="shared" si="230"/>
        <v>-14644602.377258988</v>
      </c>
      <c r="AX839" s="153"/>
      <c r="AY839" s="153" t="s">
        <v>1085</v>
      </c>
      <c r="AZ839" s="153"/>
      <c r="BA839" s="136" t="s">
        <v>1086</v>
      </c>
      <c r="BB839" s="145"/>
      <c r="BC839" s="145"/>
      <c r="BD839" s="145"/>
      <c r="BE839" s="145"/>
      <c r="BF839" s="145"/>
      <c r="BG839" s="145"/>
      <c r="BH839" s="138"/>
      <c r="BI839" s="138"/>
      <c r="BJ839" s="138"/>
      <c r="BK839" s="138"/>
      <c r="BL839" s="138"/>
      <c r="BM839" s="138"/>
      <c r="BN839" s="138"/>
    </row>
    <row r="840" spans="1:66" s="91" customFormat="1" ht="25.5" hidden="1" customHeight="1" x14ac:dyDescent="0.2">
      <c r="A840" s="131" t="s">
        <v>1952</v>
      </c>
      <c r="B840" s="132" t="s">
        <v>145</v>
      </c>
      <c r="C840" s="132" t="s">
        <v>1973</v>
      </c>
      <c r="D840" s="133" t="s">
        <v>1974</v>
      </c>
      <c r="E840" s="22" t="s">
        <v>3</v>
      </c>
      <c r="F840" s="22" t="s">
        <v>29</v>
      </c>
      <c r="G840" s="22" t="s">
        <v>102</v>
      </c>
      <c r="H840" s="22" t="s">
        <v>3</v>
      </c>
      <c r="I840" s="22" t="s">
        <v>1022</v>
      </c>
      <c r="J840" s="134" t="s">
        <v>1026</v>
      </c>
      <c r="K840" s="133"/>
      <c r="L840" s="133"/>
      <c r="M840" s="133"/>
      <c r="N840" s="133"/>
      <c r="O840" s="135"/>
      <c r="P840" s="135"/>
      <c r="Q840" s="135"/>
      <c r="R840" s="135"/>
      <c r="S840" s="136">
        <v>7093340.4717098875</v>
      </c>
      <c r="T840" s="136">
        <v>438842</v>
      </c>
      <c r="U840" s="137">
        <f>SUM(U841)</f>
        <v>0</v>
      </c>
      <c r="V840" s="137">
        <f>SUM(V841)</f>
        <v>0</v>
      </c>
      <c r="W840" s="137">
        <f>SUM(W841)</f>
        <v>0</v>
      </c>
      <c r="X840" s="138">
        <f>U840+V840+W840</f>
        <v>0</v>
      </c>
      <c r="Y840" s="137">
        <f t="shared" ref="Y840:AR840" si="252">SUM(Y841)</f>
        <v>0</v>
      </c>
      <c r="Z840" s="137">
        <f t="shared" si="252"/>
        <v>0</v>
      </c>
      <c r="AA840" s="137">
        <f t="shared" si="252"/>
        <v>0</v>
      </c>
      <c r="AB840" s="137">
        <f t="shared" si="252"/>
        <v>0</v>
      </c>
      <c r="AC840" s="137">
        <f t="shared" si="252"/>
        <v>0</v>
      </c>
      <c r="AD840" s="137">
        <f t="shared" si="252"/>
        <v>0</v>
      </c>
      <c r="AE840" s="137">
        <f t="shared" si="252"/>
        <v>0</v>
      </c>
      <c r="AF840" s="137">
        <f t="shared" si="252"/>
        <v>0</v>
      </c>
      <c r="AG840" s="137">
        <f t="shared" si="252"/>
        <v>0</v>
      </c>
      <c r="AH840" s="137">
        <f t="shared" si="252"/>
        <v>0</v>
      </c>
      <c r="AI840" s="137">
        <f t="shared" si="252"/>
        <v>0</v>
      </c>
      <c r="AJ840" s="137">
        <f t="shared" si="252"/>
        <v>0</v>
      </c>
      <c r="AK840" s="137">
        <f t="shared" si="252"/>
        <v>0</v>
      </c>
      <c r="AL840" s="137">
        <f t="shared" si="252"/>
        <v>561152</v>
      </c>
      <c r="AM840" s="137">
        <f t="shared" si="252"/>
        <v>1913792</v>
      </c>
      <c r="AN840" s="137">
        <f t="shared" si="252"/>
        <v>2377316</v>
      </c>
      <c r="AO840" s="137">
        <f t="shared" si="252"/>
        <v>1081343</v>
      </c>
      <c r="AP840" s="137">
        <f t="shared" si="252"/>
        <v>720895</v>
      </c>
      <c r="AQ840" s="137">
        <f t="shared" si="252"/>
        <v>0</v>
      </c>
      <c r="AR840" s="137">
        <f t="shared" si="252"/>
        <v>0</v>
      </c>
      <c r="AS840" s="137">
        <f t="shared" si="251"/>
        <v>6654498</v>
      </c>
      <c r="AT840" s="137">
        <f>AT841</f>
        <v>0</v>
      </c>
      <c r="AU840" s="139">
        <f t="shared" si="231"/>
        <v>6654498</v>
      </c>
      <c r="AV840" s="146">
        <f>IFERROR(VLOOKUP(J840,Maksājumu_pieprasījumu_iesn.!G:BL,57,0),0)</f>
        <v>0</v>
      </c>
      <c r="AW840" s="139">
        <f t="shared" si="230"/>
        <v>-6654498</v>
      </c>
      <c r="AX840" s="140">
        <f>S840-T840-AU840</f>
        <v>0.47170988749712706</v>
      </c>
      <c r="AY840" s="137"/>
      <c r="AZ840" s="137"/>
      <c r="BA840" s="138"/>
      <c r="BB840" s="140"/>
      <c r="BC840" s="140">
        <f>X840+AK840+AL840/2</f>
        <v>280576</v>
      </c>
      <c r="BD840" s="140"/>
      <c r="BE840" s="140">
        <f>BC840/0.85</f>
        <v>330089.4117647059</v>
      </c>
      <c r="BF840" s="137"/>
      <c r="BG840" s="137"/>
      <c r="BH840" s="138">
        <v>0</v>
      </c>
      <c r="BI840" s="138">
        <v>0</v>
      </c>
      <c r="BJ840" s="138"/>
      <c r="BK840" s="138"/>
      <c r="BL840" s="138">
        <v>0</v>
      </c>
      <c r="BM840" s="138"/>
      <c r="BN840" s="138"/>
    </row>
    <row r="841" spans="1:66" s="91" customFormat="1" ht="25.5" hidden="1" customHeight="1" x14ac:dyDescent="0.2">
      <c r="A841" s="324" t="s">
        <v>1952</v>
      </c>
      <c r="B841" s="18" t="s">
        <v>145</v>
      </c>
      <c r="C841" s="18" t="s">
        <v>1973</v>
      </c>
      <c r="D841" s="19" t="s">
        <v>1974</v>
      </c>
      <c r="E841" s="55" t="s">
        <v>3</v>
      </c>
      <c r="F841" s="55" t="s">
        <v>29</v>
      </c>
      <c r="G841" s="55" t="s">
        <v>102</v>
      </c>
      <c r="H841" s="55" t="s">
        <v>3</v>
      </c>
      <c r="I841" s="55"/>
      <c r="J841" s="55"/>
      <c r="K841" s="19" t="s">
        <v>148</v>
      </c>
      <c r="L841" s="19"/>
      <c r="M841" s="19"/>
      <c r="N841" s="19" t="s">
        <v>1975</v>
      </c>
      <c r="O841" s="184">
        <v>43098</v>
      </c>
      <c r="P841" s="184"/>
      <c r="Q841" s="184"/>
      <c r="R841" s="151"/>
      <c r="S841" s="152"/>
      <c r="T841" s="152"/>
      <c r="U841" s="145">
        <v>0</v>
      </c>
      <c r="V841" s="145">
        <v>0</v>
      </c>
      <c r="W841" s="145">
        <v>0</v>
      </c>
      <c r="X841" s="145">
        <f>W841+V841+U841</f>
        <v>0</v>
      </c>
      <c r="Y841" s="145">
        <v>0</v>
      </c>
      <c r="Z841" s="145">
        <v>0</v>
      </c>
      <c r="AA841" s="145">
        <v>0</v>
      </c>
      <c r="AB841" s="145">
        <v>0</v>
      </c>
      <c r="AC841" s="145">
        <v>0</v>
      </c>
      <c r="AD841" s="145">
        <v>0</v>
      </c>
      <c r="AE841" s="145">
        <v>0</v>
      </c>
      <c r="AF841" s="145">
        <v>0</v>
      </c>
      <c r="AG841" s="145">
        <v>0</v>
      </c>
      <c r="AH841" s="145">
        <v>0</v>
      </c>
      <c r="AI841" s="145">
        <v>0</v>
      </c>
      <c r="AJ841" s="145">
        <v>0</v>
      </c>
      <c r="AK841" s="145">
        <f>SUM(Y841:AJ841)</f>
        <v>0</v>
      </c>
      <c r="AL841" s="145">
        <v>561152</v>
      </c>
      <c r="AM841" s="331">
        <v>1913792</v>
      </c>
      <c r="AN841" s="331">
        <v>2377316</v>
      </c>
      <c r="AO841" s="331">
        <v>1081343</v>
      </c>
      <c r="AP841" s="331">
        <v>720895</v>
      </c>
      <c r="AQ841" s="145">
        <v>0</v>
      </c>
      <c r="AR841" s="145">
        <v>0</v>
      </c>
      <c r="AS841" s="145">
        <f t="shared" si="251"/>
        <v>6654498</v>
      </c>
      <c r="AT841" s="145"/>
      <c r="AU841" s="139">
        <f t="shared" si="231"/>
        <v>6654498</v>
      </c>
      <c r="AV841" s="146">
        <f>IFERROR(VLOOKUP(J841,Maksājumu_pieprasījumu_iesn.!G:BL,57,0),0)</f>
        <v>0</v>
      </c>
      <c r="AW841" s="139">
        <f t="shared" si="230"/>
        <v>-6654498</v>
      </c>
      <c r="AX841" s="153"/>
      <c r="AY841" s="153" t="s">
        <v>1085</v>
      </c>
      <c r="AZ841" s="153"/>
      <c r="BA841" s="136" t="s">
        <v>1086</v>
      </c>
      <c r="BB841" s="145"/>
      <c r="BC841" s="145"/>
      <c r="BD841" s="145"/>
      <c r="BE841" s="145"/>
      <c r="BF841" s="145"/>
      <c r="BG841" s="145"/>
      <c r="BH841" s="138"/>
      <c r="BI841" s="138"/>
      <c r="BJ841" s="138"/>
      <c r="BK841" s="138"/>
      <c r="BL841" s="138"/>
      <c r="BM841" s="138"/>
      <c r="BN841" s="138"/>
    </row>
    <row r="842" spans="1:66" s="91" customFormat="1" ht="38.25" hidden="1" x14ac:dyDescent="0.2">
      <c r="A842" s="127" t="s">
        <v>1952</v>
      </c>
      <c r="B842" s="127" t="s">
        <v>1976</v>
      </c>
      <c r="C842" s="127" t="s">
        <v>1023</v>
      </c>
      <c r="D842" s="128" t="s">
        <v>1977</v>
      </c>
      <c r="E842" s="127"/>
      <c r="F842" s="127"/>
      <c r="G842" s="127" t="s">
        <v>102</v>
      </c>
      <c r="H842" s="127"/>
      <c r="I842" s="127"/>
      <c r="J842" s="127"/>
      <c r="K842" s="128"/>
      <c r="L842" s="128"/>
      <c r="M842" s="128"/>
      <c r="N842" s="128"/>
      <c r="O842" s="186"/>
      <c r="P842" s="186"/>
      <c r="Q842" s="186"/>
      <c r="R842" s="163"/>
      <c r="S842" s="164">
        <f>S843+S847+S844+S848</f>
        <v>68916931.999999985</v>
      </c>
      <c r="T842" s="164">
        <f>T843+T847+T848+T844</f>
        <v>4263663.1124550002</v>
      </c>
      <c r="U842" s="164">
        <f>U843+U847</f>
        <v>0</v>
      </c>
      <c r="V842" s="164">
        <f>V843+V847</f>
        <v>0</v>
      </c>
      <c r="W842" s="164">
        <f>W843+W847</f>
        <v>0</v>
      </c>
      <c r="X842" s="129">
        <f>U842+V842+W842</f>
        <v>0</v>
      </c>
      <c r="Y842" s="164">
        <f t="shared" ref="Y842:AT842" si="253">Y843+Y847</f>
        <v>0</v>
      </c>
      <c r="Z842" s="164">
        <f t="shared" si="253"/>
        <v>0</v>
      </c>
      <c r="AA842" s="164">
        <f t="shared" si="253"/>
        <v>0</v>
      </c>
      <c r="AB842" s="164">
        <f t="shared" si="253"/>
        <v>0</v>
      </c>
      <c r="AC842" s="164">
        <f t="shared" si="253"/>
        <v>0</v>
      </c>
      <c r="AD842" s="164">
        <f t="shared" si="253"/>
        <v>0</v>
      </c>
      <c r="AE842" s="164">
        <f t="shared" si="253"/>
        <v>0</v>
      </c>
      <c r="AF842" s="164">
        <f t="shared" si="253"/>
        <v>0</v>
      </c>
      <c r="AG842" s="164">
        <f t="shared" si="253"/>
        <v>0</v>
      </c>
      <c r="AH842" s="164">
        <f t="shared" si="253"/>
        <v>0</v>
      </c>
      <c r="AI842" s="164">
        <f t="shared" si="253"/>
        <v>0</v>
      </c>
      <c r="AJ842" s="164">
        <f t="shared" si="253"/>
        <v>300000</v>
      </c>
      <c r="AK842" s="164">
        <f t="shared" si="253"/>
        <v>300000</v>
      </c>
      <c r="AL842" s="164">
        <f t="shared" si="253"/>
        <v>29792108.91</v>
      </c>
      <c r="AM842" s="164">
        <f t="shared" si="253"/>
        <v>17449353.109999999</v>
      </c>
      <c r="AN842" s="164">
        <f t="shared" si="253"/>
        <v>10344765.98</v>
      </c>
      <c r="AO842" s="164">
        <f t="shared" si="253"/>
        <v>0</v>
      </c>
      <c r="AP842" s="164">
        <f t="shared" si="253"/>
        <v>0</v>
      </c>
      <c r="AQ842" s="164">
        <f t="shared" si="253"/>
        <v>0</v>
      </c>
      <c r="AR842" s="164">
        <f t="shared" si="253"/>
        <v>0</v>
      </c>
      <c r="AS842" s="164">
        <f t="shared" si="253"/>
        <v>57886228</v>
      </c>
      <c r="AT842" s="164">
        <f t="shared" si="253"/>
        <v>0</v>
      </c>
      <c r="AU842" s="183">
        <f t="shared" si="231"/>
        <v>57886228</v>
      </c>
      <c r="AV842" s="146">
        <f>IFERROR(VLOOKUP(J842,Maksājumu_pieprasījumu_iesn.!G:BL,57,0),0)</f>
        <v>0</v>
      </c>
      <c r="AW842" s="139">
        <f t="shared" si="230"/>
        <v>-57886228</v>
      </c>
      <c r="AX842" s="164">
        <f>AX843+AX847</f>
        <v>21026667.115088172</v>
      </c>
      <c r="AY842" s="164">
        <f>AY847</f>
        <v>6767041</v>
      </c>
      <c r="AZ842" s="164"/>
      <c r="BA842" s="164"/>
      <c r="BB842" s="164">
        <f>BB843+BB847</f>
        <v>0</v>
      </c>
      <c r="BC842" s="164">
        <f>BC843+BC847</f>
        <v>15196054.455</v>
      </c>
      <c r="BD842" s="129">
        <f>BC842*0.83</f>
        <v>12612725.197649999</v>
      </c>
      <c r="BE842" s="129">
        <f>BD842/0.85</f>
        <v>14838500.232529411</v>
      </c>
      <c r="BF842" s="164">
        <f>BF843+BF847</f>
        <v>0</v>
      </c>
      <c r="BG842" s="164">
        <f>BG843+BG847</f>
        <v>0</v>
      </c>
      <c r="BH842" s="129">
        <f>BH843+BH847</f>
        <v>0</v>
      </c>
      <c r="BI842" s="129">
        <f>BI843+BI847</f>
        <v>5851677.4641105803</v>
      </c>
      <c r="BJ842" s="129">
        <f>AK842*0.83</f>
        <v>249000</v>
      </c>
      <c r="BK842" s="129">
        <f>BJ842-BI842</f>
        <v>-5602677.4641105803</v>
      </c>
      <c r="BL842" s="129">
        <f>BL843+BL847</f>
        <v>31686101.915943958</v>
      </c>
      <c r="BM842" s="129">
        <f>AL842*0.83</f>
        <v>24727450.395299997</v>
      </c>
      <c r="BN842" s="129">
        <f>BM842-BL842</f>
        <v>-6958651.5206439607</v>
      </c>
    </row>
    <row r="843" spans="1:66" s="91" customFormat="1" ht="25.5" hidden="1" customHeight="1" x14ac:dyDescent="0.2">
      <c r="A843" s="131" t="s">
        <v>1952</v>
      </c>
      <c r="B843" s="132" t="s">
        <v>1976</v>
      </c>
      <c r="C843" s="132" t="s">
        <v>1978</v>
      </c>
      <c r="D843" s="133" t="s">
        <v>1979</v>
      </c>
      <c r="E843" s="22" t="s">
        <v>3</v>
      </c>
      <c r="F843" s="22" t="s">
        <v>29</v>
      </c>
      <c r="G843" s="22" t="s">
        <v>102</v>
      </c>
      <c r="H843" s="22" t="s">
        <v>3</v>
      </c>
      <c r="I843" s="22" t="s">
        <v>1022</v>
      </c>
      <c r="J843" s="134" t="s">
        <v>1026</v>
      </c>
      <c r="K843" s="133"/>
      <c r="L843" s="133"/>
      <c r="M843" s="133"/>
      <c r="N843" s="133"/>
      <c r="O843" s="135"/>
      <c r="P843" s="135"/>
      <c r="Q843" s="135"/>
      <c r="R843" s="135"/>
      <c r="S843" s="136">
        <v>46413303.512341797</v>
      </c>
      <c r="T843" s="136">
        <v>2871438</v>
      </c>
      <c r="U843" s="137">
        <f>SUM(U845:U846)</f>
        <v>0</v>
      </c>
      <c r="V843" s="137">
        <f>SUM(V845:V846)</f>
        <v>0</v>
      </c>
      <c r="W843" s="137">
        <f>SUM(W845:W846)</f>
        <v>0</v>
      </c>
      <c r="X843" s="138">
        <f>U843+V843+W843</f>
        <v>0</v>
      </c>
      <c r="Y843" s="137">
        <f t="shared" ref="Y843:AQ843" si="254">SUM(Y845:Y846)</f>
        <v>0</v>
      </c>
      <c r="Z843" s="137">
        <f t="shared" si="254"/>
        <v>0</v>
      </c>
      <c r="AA843" s="137">
        <f t="shared" si="254"/>
        <v>0</v>
      </c>
      <c r="AB843" s="137">
        <f t="shared" si="254"/>
        <v>0</v>
      </c>
      <c r="AC843" s="137">
        <f t="shared" si="254"/>
        <v>0</v>
      </c>
      <c r="AD843" s="137">
        <f t="shared" si="254"/>
        <v>0</v>
      </c>
      <c r="AE843" s="137">
        <f t="shared" si="254"/>
        <v>0</v>
      </c>
      <c r="AF843" s="137">
        <f t="shared" si="254"/>
        <v>0</v>
      </c>
      <c r="AG843" s="137">
        <f t="shared" si="254"/>
        <v>0</v>
      </c>
      <c r="AH843" s="137">
        <f t="shared" si="254"/>
        <v>0</v>
      </c>
      <c r="AI843" s="137">
        <f t="shared" si="254"/>
        <v>0</v>
      </c>
      <c r="AJ843" s="137">
        <f t="shared" si="254"/>
        <v>0</v>
      </c>
      <c r="AK843" s="137">
        <f t="shared" si="254"/>
        <v>0</v>
      </c>
      <c r="AL843" s="137">
        <f t="shared" si="254"/>
        <v>6221525</v>
      </c>
      <c r="AM843" s="137">
        <f t="shared" si="254"/>
        <v>7834339</v>
      </c>
      <c r="AN843" s="137">
        <f>SUM(AN845:AN846)</f>
        <v>8459335</v>
      </c>
      <c r="AO843" s="137">
        <f t="shared" si="254"/>
        <v>0</v>
      </c>
      <c r="AP843" s="137">
        <f t="shared" si="254"/>
        <v>0</v>
      </c>
      <c r="AQ843" s="137">
        <f t="shared" si="254"/>
        <v>0</v>
      </c>
      <c r="AR843" s="137">
        <f>SUM(AR845)</f>
        <v>0</v>
      </c>
      <c r="AS843" s="137">
        <f>U843+V843+W843+AK843+AL843+AM843+AN843+AO843+AP843+AQ843+AR843</f>
        <v>22515199</v>
      </c>
      <c r="AT843" s="137">
        <f>SUM(AT845:AT846)</f>
        <v>0</v>
      </c>
      <c r="AU843" s="139">
        <f t="shared" si="231"/>
        <v>22515199</v>
      </c>
      <c r="AV843" s="146">
        <f>IFERROR(VLOOKUP(J843,Maksājumu_pieprasījumu_iesn.!G:BL,57,0),0)</f>
        <v>0</v>
      </c>
      <c r="AW843" s="139">
        <f t="shared" si="230"/>
        <v>-22515199</v>
      </c>
      <c r="AX843" s="140">
        <f>S843-T843-AU843</f>
        <v>21026666.512341797</v>
      </c>
      <c r="AY843" s="137"/>
      <c r="AZ843" s="137"/>
      <c r="BA843" s="138" t="s">
        <v>1980</v>
      </c>
      <c r="BB843" s="140"/>
      <c r="BC843" s="140">
        <f>X843+AK843+AL843/2</f>
        <v>3110762.5</v>
      </c>
      <c r="BD843" s="140"/>
      <c r="BE843" s="140">
        <f>BC843/0.85</f>
        <v>3659720.588235294</v>
      </c>
      <c r="BF843" s="137"/>
      <c r="BG843" s="137"/>
      <c r="BH843" s="138">
        <v>0</v>
      </c>
      <c r="BI843" s="138">
        <v>441498</v>
      </c>
      <c r="BJ843" s="138"/>
      <c r="BK843" s="138"/>
      <c r="BL843" s="138">
        <v>9512024.4280568603</v>
      </c>
      <c r="BM843" s="138"/>
      <c r="BN843" s="138"/>
    </row>
    <row r="844" spans="1:66" s="91" customFormat="1" ht="25.5" hidden="1" customHeight="1" x14ac:dyDescent="0.2">
      <c r="A844" s="131" t="s">
        <v>1952</v>
      </c>
      <c r="B844" s="132" t="s">
        <v>1976</v>
      </c>
      <c r="C844" s="132" t="s">
        <v>1978</v>
      </c>
      <c r="D844" s="133" t="s">
        <v>1979</v>
      </c>
      <c r="E844" s="22" t="s">
        <v>3</v>
      </c>
      <c r="F844" s="22" t="s">
        <v>29</v>
      </c>
      <c r="G844" s="22" t="s">
        <v>102</v>
      </c>
      <c r="H844" s="22" t="s">
        <v>3</v>
      </c>
      <c r="I844" s="22" t="s">
        <v>1022</v>
      </c>
      <c r="J844" s="134" t="s">
        <v>1026</v>
      </c>
      <c r="K844" s="133"/>
      <c r="L844" s="133"/>
      <c r="M844" s="133"/>
      <c r="N844" s="133"/>
      <c r="O844" s="135"/>
      <c r="P844" s="135"/>
      <c r="Q844" s="135"/>
      <c r="R844" s="135" t="s">
        <v>1981</v>
      </c>
      <c r="S844" s="136">
        <v>-22413304</v>
      </c>
      <c r="T844" s="136">
        <v>-1386636.8875450001</v>
      </c>
      <c r="U844" s="137"/>
      <c r="V844" s="137"/>
      <c r="W844" s="137"/>
      <c r="X844" s="138"/>
      <c r="Y844" s="137"/>
      <c r="Z844" s="13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9"/>
      <c r="AV844" s="146">
        <f>IFERROR(VLOOKUP(J844,Maksājumu_pieprasījumu_iesn.!G:BL,57,0),0)</f>
        <v>0</v>
      </c>
      <c r="AW844" s="139">
        <f t="shared" si="230"/>
        <v>0</v>
      </c>
      <c r="AX844" s="140"/>
      <c r="AY844" s="137"/>
      <c r="AZ844" s="137"/>
      <c r="BA844" s="138"/>
      <c r="BB844" s="140"/>
      <c r="BC844" s="140"/>
      <c r="BD844" s="140"/>
      <c r="BE844" s="140"/>
      <c r="BF844" s="137"/>
      <c r="BG844" s="137"/>
      <c r="BH844" s="138"/>
      <c r="BI844" s="138"/>
      <c r="BJ844" s="138"/>
      <c r="BK844" s="138"/>
      <c r="BL844" s="138"/>
      <c r="BM844" s="138"/>
      <c r="BN844" s="138"/>
    </row>
    <row r="845" spans="1:66" s="337" customFormat="1" ht="49.5" hidden="1" customHeight="1" x14ac:dyDescent="0.2">
      <c r="A845" s="324" t="s">
        <v>1952</v>
      </c>
      <c r="B845" s="332" t="s">
        <v>1976</v>
      </c>
      <c r="C845" s="332" t="s">
        <v>1978</v>
      </c>
      <c r="D845" s="333" t="s">
        <v>1979</v>
      </c>
      <c r="E845" s="55" t="s">
        <v>3</v>
      </c>
      <c r="F845" s="334" t="s">
        <v>29</v>
      </c>
      <c r="G845" s="334" t="s">
        <v>102</v>
      </c>
      <c r="H845" s="334" t="s">
        <v>3</v>
      </c>
      <c r="I845" s="334"/>
      <c r="J845" s="333"/>
      <c r="K845" s="19" t="s">
        <v>148</v>
      </c>
      <c r="L845" s="19"/>
      <c r="M845" s="19"/>
      <c r="N845" s="332" t="s">
        <v>1982</v>
      </c>
      <c r="O845" s="184">
        <v>43098</v>
      </c>
      <c r="P845" s="184"/>
      <c r="Q845" s="184"/>
      <c r="R845" s="184"/>
      <c r="S845" s="335">
        <v>24000000</v>
      </c>
      <c r="T845" s="335">
        <f>T843+T844</f>
        <v>1484801.1124549999</v>
      </c>
      <c r="U845" s="224">
        <v>0</v>
      </c>
      <c r="V845" s="224">
        <v>0</v>
      </c>
      <c r="W845" s="224">
        <v>0</v>
      </c>
      <c r="X845" s="145">
        <f>W845+V845+U845</f>
        <v>0</v>
      </c>
      <c r="Y845" s="224">
        <v>0</v>
      </c>
      <c r="Z845" s="224">
        <v>0</v>
      </c>
      <c r="AA845" s="224">
        <v>0</v>
      </c>
      <c r="AB845" s="224">
        <v>0</v>
      </c>
      <c r="AC845" s="224">
        <v>0</v>
      </c>
      <c r="AD845" s="224">
        <v>0</v>
      </c>
      <c r="AE845" s="224">
        <v>0</v>
      </c>
      <c r="AF845" s="224">
        <v>0</v>
      </c>
      <c r="AG845" s="224">
        <v>0</v>
      </c>
      <c r="AH845" s="224">
        <v>0</v>
      </c>
      <c r="AI845" s="224">
        <v>0</v>
      </c>
      <c r="AJ845" s="224">
        <v>0</v>
      </c>
      <c r="AK845" s="145">
        <f>SUM(Y845:AJ845)</f>
        <v>0</v>
      </c>
      <c r="AL845" s="145">
        <v>6221525</v>
      </c>
      <c r="AM845" s="224">
        <v>7834339</v>
      </c>
      <c r="AN845" s="224">
        <v>8459335</v>
      </c>
      <c r="AO845" s="224">
        <v>0</v>
      </c>
      <c r="AP845" s="224">
        <v>0</v>
      </c>
      <c r="AQ845" s="224">
        <v>0</v>
      </c>
      <c r="AR845" s="224">
        <v>0</v>
      </c>
      <c r="AS845" s="145">
        <f>U845+V845+W845+AK845+AL845+AM845+AN845+AO845+AP845+AQ845+AR845</f>
        <v>22515199</v>
      </c>
      <c r="AT845" s="224"/>
      <c r="AU845" s="139">
        <f>AS845-AT845</f>
        <v>22515199</v>
      </c>
      <c r="AV845" s="146">
        <f>IFERROR(VLOOKUP(J845,Maksājumu_pieprasījumu_iesn.!G:BL,57,0),0)</f>
        <v>0</v>
      </c>
      <c r="AW845" s="139">
        <f t="shared" si="230"/>
        <v>-22515199</v>
      </c>
      <c r="AX845" s="336"/>
      <c r="AY845" s="153" t="s">
        <v>1085</v>
      </c>
      <c r="AZ845" s="153"/>
      <c r="BA845" s="136" t="s">
        <v>1086</v>
      </c>
      <c r="BB845" s="145"/>
      <c r="BC845" s="145"/>
      <c r="BD845" s="145"/>
      <c r="BE845" s="145"/>
      <c r="BF845" s="145"/>
      <c r="BG845" s="145"/>
      <c r="BH845" s="138"/>
      <c r="BI845" s="138"/>
      <c r="BJ845" s="138"/>
      <c r="BK845" s="138"/>
      <c r="BL845" s="138"/>
      <c r="BM845" s="138"/>
      <c r="BN845" s="138"/>
    </row>
    <row r="846" spans="1:66" s="337" customFormat="1" ht="24" hidden="1" customHeight="1" x14ac:dyDescent="0.25">
      <c r="A846" s="333"/>
      <c r="B846" s="333"/>
      <c r="C846" s="333"/>
      <c r="D846" s="338"/>
      <c r="E846" s="334"/>
      <c r="F846" s="334"/>
      <c r="G846" s="334"/>
      <c r="H846" s="334"/>
      <c r="I846" s="334"/>
      <c r="J846" s="333"/>
      <c r="K846" s="333"/>
      <c r="L846" s="333"/>
      <c r="M846" s="333"/>
      <c r="N846" s="333"/>
      <c r="O846" s="184"/>
      <c r="P846" s="184"/>
      <c r="Q846" s="184"/>
      <c r="R846" s="184"/>
      <c r="S846" s="335"/>
      <c r="T846" s="335"/>
      <c r="U846" s="224"/>
      <c r="V846" s="224"/>
      <c r="W846" s="224"/>
      <c r="X846" s="145">
        <f>W846+V846+U846</f>
        <v>0</v>
      </c>
      <c r="Y846" s="224"/>
      <c r="Z846" s="224"/>
      <c r="AA846" s="224"/>
      <c r="AB846" s="224"/>
      <c r="AC846" s="224"/>
      <c r="AD846" s="224"/>
      <c r="AE846" s="224"/>
      <c r="AF846" s="224"/>
      <c r="AG846" s="224"/>
      <c r="AH846" s="224"/>
      <c r="AI846" s="224"/>
      <c r="AJ846" s="224"/>
      <c r="AK846" s="224"/>
      <c r="AL846" s="224"/>
      <c r="AM846" s="224"/>
      <c r="AN846" s="224"/>
      <c r="AO846" s="224"/>
      <c r="AP846" s="224"/>
      <c r="AQ846" s="224"/>
      <c r="AR846" s="339">
        <f>46413304-24000000</f>
        <v>22413304</v>
      </c>
      <c r="AS846" s="145">
        <f>U846+V846+W846+AK846+AL846+AM846+AN846+AO846+AP846+AQ846+AR846</f>
        <v>22413304</v>
      </c>
      <c r="AT846" s="340"/>
      <c r="AU846" s="139">
        <f t="shared" si="231"/>
        <v>22413304</v>
      </c>
      <c r="AV846" s="146">
        <f>IFERROR(VLOOKUP(J846,Maksājumu_pieprasījumu_iesn.!G:BL,57,0),0)</f>
        <v>0</v>
      </c>
      <c r="AW846" s="139">
        <f t="shared" si="230"/>
        <v>-22413304</v>
      </c>
      <c r="AX846" s="341"/>
      <c r="AY846" s="154"/>
      <c r="AZ846" s="154"/>
      <c r="BA846" s="136" t="s">
        <v>1983</v>
      </c>
      <c r="BB846" s="224"/>
      <c r="BC846" s="224"/>
      <c r="BD846" s="224"/>
      <c r="BE846" s="224"/>
      <c r="BF846" s="224"/>
      <c r="BG846" s="224"/>
      <c r="BH846" s="138"/>
      <c r="BI846" s="138"/>
      <c r="BJ846" s="138"/>
      <c r="BK846" s="138"/>
      <c r="BL846" s="138"/>
      <c r="BM846" s="138"/>
      <c r="BN846" s="138"/>
    </row>
    <row r="847" spans="1:66" s="91" customFormat="1" ht="41.25" hidden="1" customHeight="1" x14ac:dyDescent="0.2">
      <c r="A847" s="131" t="s">
        <v>1952</v>
      </c>
      <c r="B847" s="132" t="s">
        <v>1976</v>
      </c>
      <c r="C847" s="132" t="s">
        <v>1984</v>
      </c>
      <c r="D847" s="133" t="s">
        <v>1985</v>
      </c>
      <c r="E847" s="22" t="s">
        <v>3</v>
      </c>
      <c r="F847" s="22" t="s">
        <v>29</v>
      </c>
      <c r="G847" s="22" t="s">
        <v>102</v>
      </c>
      <c r="H847" s="22" t="s">
        <v>3</v>
      </c>
      <c r="I847" s="22" t="s">
        <v>1022</v>
      </c>
      <c r="J847" s="134" t="s">
        <v>1026</v>
      </c>
      <c r="K847" s="133"/>
      <c r="L847" s="133"/>
      <c r="M847" s="133"/>
      <c r="N847" s="133"/>
      <c r="O847" s="135"/>
      <c r="P847" s="135"/>
      <c r="Q847" s="135"/>
      <c r="R847" s="135"/>
      <c r="S847" s="136">
        <v>37703628.487658188</v>
      </c>
      <c r="T847" s="136">
        <v>2332598.8849118147</v>
      </c>
      <c r="U847" s="137">
        <f>SUM(U849:U856)</f>
        <v>0</v>
      </c>
      <c r="V847" s="137">
        <f>SUM(V849:V856)</f>
        <v>0</v>
      </c>
      <c r="W847" s="137">
        <f>SUM(W849:W856)</f>
        <v>0</v>
      </c>
      <c r="X847" s="138">
        <f>U847+V847+W847</f>
        <v>0</v>
      </c>
      <c r="Y847" s="137">
        <f t="shared" ref="Y847:AR847" si="255">SUM(Y849:Y856)</f>
        <v>0</v>
      </c>
      <c r="Z847" s="137">
        <f t="shared" si="255"/>
        <v>0</v>
      </c>
      <c r="AA847" s="137">
        <f t="shared" si="255"/>
        <v>0</v>
      </c>
      <c r="AB847" s="137">
        <f t="shared" si="255"/>
        <v>0</v>
      </c>
      <c r="AC847" s="137">
        <f t="shared" si="255"/>
        <v>0</v>
      </c>
      <c r="AD847" s="137">
        <f t="shared" si="255"/>
        <v>0</v>
      </c>
      <c r="AE847" s="137">
        <f t="shared" si="255"/>
        <v>0</v>
      </c>
      <c r="AF847" s="137">
        <f t="shared" si="255"/>
        <v>0</v>
      </c>
      <c r="AG847" s="137">
        <f t="shared" si="255"/>
        <v>0</v>
      </c>
      <c r="AH847" s="137">
        <f t="shared" si="255"/>
        <v>0</v>
      </c>
      <c r="AI847" s="137">
        <f t="shared" si="255"/>
        <v>0</v>
      </c>
      <c r="AJ847" s="137">
        <f t="shared" si="255"/>
        <v>300000</v>
      </c>
      <c r="AK847" s="137">
        <f t="shared" si="255"/>
        <v>300000</v>
      </c>
      <c r="AL847" s="137">
        <f t="shared" si="255"/>
        <v>23570583.91</v>
      </c>
      <c r="AM847" s="137">
        <f t="shared" si="255"/>
        <v>9615014.1099999994</v>
      </c>
      <c r="AN847" s="137">
        <f>SUM(AN849:AN856)</f>
        <v>1885430.98</v>
      </c>
      <c r="AO847" s="137">
        <f t="shared" si="255"/>
        <v>0</v>
      </c>
      <c r="AP847" s="137">
        <f t="shared" si="255"/>
        <v>0</v>
      </c>
      <c r="AQ847" s="137">
        <f t="shared" si="255"/>
        <v>0</v>
      </c>
      <c r="AR847" s="137">
        <f t="shared" si="255"/>
        <v>0</v>
      </c>
      <c r="AS847" s="137">
        <f>U847+V847+W847+AK847+AL847+AM847+AN847+AO847+AP847+AQ847+AR847</f>
        <v>35371029</v>
      </c>
      <c r="AT847" s="137">
        <f>SUM(AT849:AT856)</f>
        <v>0</v>
      </c>
      <c r="AU847" s="139">
        <f t="shared" si="231"/>
        <v>35371029</v>
      </c>
      <c r="AV847" s="146">
        <f>IFERROR(VLOOKUP(J847,Maksājumu_pieprasījumu_iesn.!G:BL,57,0),0)</f>
        <v>0</v>
      </c>
      <c r="AW847" s="139">
        <f t="shared" si="230"/>
        <v>-35371029</v>
      </c>
      <c r="AX847" s="140">
        <f>S847-T847-AU847</f>
        <v>0.60274637490510941</v>
      </c>
      <c r="AY847" s="137">
        <f>AY851+AY852</f>
        <v>6767041</v>
      </c>
      <c r="AZ847" s="137"/>
      <c r="BA847" s="138"/>
      <c r="BB847" s="140"/>
      <c r="BC847" s="140">
        <f>X847+AK847+AL847/2</f>
        <v>12085291.955</v>
      </c>
      <c r="BD847" s="140"/>
      <c r="BE847" s="140">
        <f>BC847/0.85</f>
        <v>14217990.535294117</v>
      </c>
      <c r="BF847" s="137"/>
      <c r="BG847" s="137"/>
      <c r="BH847" s="138">
        <v>0</v>
      </c>
      <c r="BI847" s="138">
        <v>5410179.4641105803</v>
      </c>
      <c r="BJ847" s="138"/>
      <c r="BK847" s="138"/>
      <c r="BL847" s="138">
        <v>22174077.487887099</v>
      </c>
      <c r="BM847" s="138"/>
      <c r="BN847" s="138"/>
    </row>
    <row r="848" spans="1:66" s="91" customFormat="1" ht="41.25" hidden="1" customHeight="1" x14ac:dyDescent="0.2">
      <c r="A848" s="131" t="s">
        <v>1952</v>
      </c>
      <c r="B848" s="132" t="s">
        <v>1976</v>
      </c>
      <c r="C848" s="132" t="s">
        <v>1984</v>
      </c>
      <c r="D848" s="133" t="s">
        <v>1985</v>
      </c>
      <c r="E848" s="22" t="s">
        <v>3</v>
      </c>
      <c r="F848" s="22" t="s">
        <v>29</v>
      </c>
      <c r="G848" s="22" t="s">
        <v>102</v>
      </c>
      <c r="H848" s="22" t="s">
        <v>3</v>
      </c>
      <c r="I848" s="22" t="s">
        <v>1022</v>
      </c>
      <c r="J848" s="134" t="s">
        <v>1026</v>
      </c>
      <c r="K848" s="133"/>
      <c r="L848" s="133"/>
      <c r="M848" s="133"/>
      <c r="N848" s="133"/>
      <c r="O848" s="135"/>
      <c r="P848" s="135"/>
      <c r="Q848" s="135"/>
      <c r="R848" s="135" t="s">
        <v>1954</v>
      </c>
      <c r="S848" s="136">
        <v>7213304</v>
      </c>
      <c r="T848" s="136">
        <v>446263.1150881853</v>
      </c>
      <c r="U848" s="137"/>
      <c r="V848" s="137"/>
      <c r="W848" s="137"/>
      <c r="X848" s="138"/>
      <c r="Y848" s="137"/>
      <c r="Z848" s="13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9"/>
      <c r="AV848" s="146">
        <f>IFERROR(VLOOKUP(J848,Maksājumu_pieprasījumu_iesn.!G:BL,57,0),0)</f>
        <v>0</v>
      </c>
      <c r="AW848" s="139">
        <f t="shared" ref="AW848:AW911" si="256">AV848-AU848</f>
        <v>0</v>
      </c>
      <c r="AX848" s="140"/>
      <c r="AY848" s="137"/>
      <c r="AZ848" s="137"/>
      <c r="BA848" s="138"/>
      <c r="BB848" s="140"/>
      <c r="BC848" s="140"/>
      <c r="BD848" s="140"/>
      <c r="BE848" s="140"/>
      <c r="BF848" s="137"/>
      <c r="BG848" s="137"/>
      <c r="BH848" s="138"/>
      <c r="BI848" s="138"/>
      <c r="BJ848" s="138"/>
      <c r="BK848" s="138"/>
      <c r="BL848" s="138"/>
      <c r="BM848" s="138"/>
      <c r="BN848" s="138"/>
    </row>
    <row r="849" spans="1:66" s="91" customFormat="1" ht="38.25" hidden="1" customHeight="1" x14ac:dyDescent="0.2">
      <c r="A849" s="324" t="s">
        <v>1952</v>
      </c>
      <c r="B849" s="20" t="s">
        <v>1976</v>
      </c>
      <c r="C849" s="20" t="s">
        <v>1984</v>
      </c>
      <c r="D849" s="21" t="s">
        <v>1985</v>
      </c>
      <c r="E849" s="52" t="s">
        <v>3</v>
      </c>
      <c r="F849" s="52" t="s">
        <v>29</v>
      </c>
      <c r="G849" s="52" t="s">
        <v>102</v>
      </c>
      <c r="H849" s="52" t="s">
        <v>3</v>
      </c>
      <c r="I849" s="52"/>
      <c r="J849" s="52"/>
      <c r="K849" s="21" t="s">
        <v>893</v>
      </c>
      <c r="L849" s="21"/>
      <c r="M849" s="21"/>
      <c r="N849" s="21" t="s">
        <v>1986</v>
      </c>
      <c r="O849" s="188">
        <v>43008</v>
      </c>
      <c r="P849" s="188"/>
      <c r="Q849" s="188"/>
      <c r="R849" s="188"/>
      <c r="S849" s="189">
        <v>7648420</v>
      </c>
      <c r="T849" s="189"/>
      <c r="U849" s="153">
        <v>0</v>
      </c>
      <c r="V849" s="153">
        <v>0</v>
      </c>
      <c r="W849" s="153">
        <v>0</v>
      </c>
      <c r="X849" s="145">
        <f t="shared" ref="X849:X856" si="257">W849+V849+U849</f>
        <v>0</v>
      </c>
      <c r="Y849" s="153">
        <v>0</v>
      </c>
      <c r="Z849" s="153">
        <v>0</v>
      </c>
      <c r="AA849" s="153">
        <v>0</v>
      </c>
      <c r="AB849" s="153">
        <v>0</v>
      </c>
      <c r="AC849" s="153">
        <v>0</v>
      </c>
      <c r="AD849" s="153">
        <v>0</v>
      </c>
      <c r="AE849" s="153">
        <v>0</v>
      </c>
      <c r="AF849" s="153">
        <v>0</v>
      </c>
      <c r="AG849" s="153">
        <v>0</v>
      </c>
      <c r="AH849" s="153">
        <v>0</v>
      </c>
      <c r="AI849" s="153">
        <v>0</v>
      </c>
      <c r="AJ849" s="153">
        <v>0</v>
      </c>
      <c r="AK849" s="153">
        <f t="shared" ref="AK849:AK856" si="258">SUM(Y849:AJ849)</f>
        <v>0</v>
      </c>
      <c r="AL849" s="326">
        <v>4525000</v>
      </c>
      <c r="AM849" s="326">
        <v>2358578</v>
      </c>
      <c r="AN849" s="326">
        <v>764842</v>
      </c>
      <c r="AO849" s="153">
        <v>0</v>
      </c>
      <c r="AP849" s="153">
        <v>0</v>
      </c>
      <c r="AQ849" s="153">
        <v>0</v>
      </c>
      <c r="AR849" s="153">
        <v>0</v>
      </c>
      <c r="AS849" s="153">
        <f t="shared" ref="AS849:AS856" si="259">U849+V849+W849+AK849+AL849+AM849+AN849+AO849+AP849+AQ849+AR849</f>
        <v>7648420</v>
      </c>
      <c r="AT849" s="153"/>
      <c r="AU849" s="139">
        <f t="shared" si="231"/>
        <v>7648420</v>
      </c>
      <c r="AV849" s="146">
        <f>IFERROR(VLOOKUP(J849,Maksājumu_pieprasījumu_iesn.!G:BL,57,0),0)</f>
        <v>0</v>
      </c>
      <c r="AW849" s="139">
        <f t="shared" si="256"/>
        <v>-7648420</v>
      </c>
      <c r="AX849" s="153"/>
      <c r="AY849" s="153">
        <f t="shared" ref="AY849:AY856" si="260">S849-AS849</f>
        <v>0</v>
      </c>
      <c r="AZ849" s="153"/>
      <c r="BA849" s="136"/>
      <c r="BB849" s="326"/>
      <c r="BC849" s="326"/>
      <c r="BD849" s="326"/>
      <c r="BE849" s="326"/>
      <c r="BF849" s="326"/>
      <c r="BG849" s="326"/>
      <c r="BH849" s="138"/>
      <c r="BI849" s="138"/>
      <c r="BJ849" s="138"/>
      <c r="BK849" s="138"/>
      <c r="BL849" s="138"/>
      <c r="BM849" s="138"/>
      <c r="BN849" s="138"/>
    </row>
    <row r="850" spans="1:66" s="91" customFormat="1" ht="38.25" hidden="1" customHeight="1" x14ac:dyDescent="0.2">
      <c r="A850" s="324" t="s">
        <v>1952</v>
      </c>
      <c r="B850" s="18" t="s">
        <v>1976</v>
      </c>
      <c r="C850" s="18" t="s">
        <v>1984</v>
      </c>
      <c r="D850" s="21" t="s">
        <v>1985</v>
      </c>
      <c r="E850" s="55" t="s">
        <v>3</v>
      </c>
      <c r="F850" s="55" t="s">
        <v>29</v>
      </c>
      <c r="G850" s="55" t="s">
        <v>102</v>
      </c>
      <c r="H850" s="55" t="s">
        <v>3</v>
      </c>
      <c r="I850" s="55"/>
      <c r="J850" s="55"/>
      <c r="K850" s="19" t="s">
        <v>508</v>
      </c>
      <c r="L850" s="19"/>
      <c r="M850" s="19"/>
      <c r="N850" s="19" t="s">
        <v>1987</v>
      </c>
      <c r="O850" s="151">
        <v>42886</v>
      </c>
      <c r="P850" s="151"/>
      <c r="Q850" s="151"/>
      <c r="R850" s="151"/>
      <c r="S850" s="152">
        <v>2711205</v>
      </c>
      <c r="T850" s="152"/>
      <c r="U850" s="145">
        <v>0</v>
      </c>
      <c r="V850" s="145">
        <v>0</v>
      </c>
      <c r="W850" s="145">
        <v>0</v>
      </c>
      <c r="X850" s="145">
        <f t="shared" si="257"/>
        <v>0</v>
      </c>
      <c r="Y850" s="145">
        <v>0</v>
      </c>
      <c r="Z850" s="145">
        <v>0</v>
      </c>
      <c r="AA850" s="145">
        <v>0</v>
      </c>
      <c r="AB850" s="145">
        <v>0</v>
      </c>
      <c r="AC850" s="145">
        <v>0</v>
      </c>
      <c r="AD850" s="145">
        <v>0</v>
      </c>
      <c r="AE850" s="145">
        <v>0</v>
      </c>
      <c r="AF850" s="145">
        <v>0</v>
      </c>
      <c r="AG850" s="145">
        <v>0</v>
      </c>
      <c r="AH850" s="145">
        <v>0</v>
      </c>
      <c r="AI850" s="145">
        <v>0</v>
      </c>
      <c r="AJ850" s="145">
        <v>0</v>
      </c>
      <c r="AK850" s="145">
        <f t="shared" si="258"/>
        <v>0</v>
      </c>
      <c r="AL850" s="145">
        <v>578000</v>
      </c>
      <c r="AM850" s="145">
        <v>1445000</v>
      </c>
      <c r="AN850" s="224">
        <v>688205</v>
      </c>
      <c r="AO850" s="145">
        <v>0</v>
      </c>
      <c r="AP850" s="145">
        <v>0</v>
      </c>
      <c r="AQ850" s="145">
        <v>0</v>
      </c>
      <c r="AR850" s="145">
        <v>0</v>
      </c>
      <c r="AS850" s="145">
        <f t="shared" si="259"/>
        <v>2711205</v>
      </c>
      <c r="AT850" s="145"/>
      <c r="AU850" s="139">
        <f t="shared" si="231"/>
        <v>2711205</v>
      </c>
      <c r="AV850" s="146">
        <f>IFERROR(VLOOKUP(J850,Maksājumu_pieprasījumu_iesn.!G:BL,57,0),0)</f>
        <v>0</v>
      </c>
      <c r="AW850" s="139">
        <f t="shared" si="256"/>
        <v>-2711205</v>
      </c>
      <c r="AX850" s="153"/>
      <c r="AY850" s="153">
        <f t="shared" si="260"/>
        <v>0</v>
      </c>
      <c r="AZ850" s="153"/>
      <c r="BA850" s="136"/>
      <c r="BB850" s="145"/>
      <c r="BC850" s="145"/>
      <c r="BD850" s="145"/>
      <c r="BE850" s="145"/>
      <c r="BF850" s="145"/>
      <c r="BG850" s="145"/>
      <c r="BH850" s="138"/>
      <c r="BI850" s="138"/>
      <c r="BJ850" s="138"/>
      <c r="BK850" s="138"/>
      <c r="BL850" s="138"/>
      <c r="BM850" s="138"/>
      <c r="BN850" s="138"/>
    </row>
    <row r="851" spans="1:66" s="91" customFormat="1" ht="51" hidden="1" customHeight="1" x14ac:dyDescent="0.2">
      <c r="A851" s="324" t="s">
        <v>1952</v>
      </c>
      <c r="B851" s="18" t="s">
        <v>1976</v>
      </c>
      <c r="C851" s="18" t="s">
        <v>1984</v>
      </c>
      <c r="D851" s="21" t="s">
        <v>1985</v>
      </c>
      <c r="E851" s="55" t="s">
        <v>3</v>
      </c>
      <c r="F851" s="55" t="s">
        <v>29</v>
      </c>
      <c r="G851" s="55" t="s">
        <v>102</v>
      </c>
      <c r="H851" s="55" t="s">
        <v>3</v>
      </c>
      <c r="I851" s="55"/>
      <c r="J851" s="55"/>
      <c r="K851" s="19" t="s">
        <v>488</v>
      </c>
      <c r="L851" s="19"/>
      <c r="M851" s="19"/>
      <c r="N851" s="19" t="s">
        <v>1988</v>
      </c>
      <c r="O851" s="151">
        <v>43007</v>
      </c>
      <c r="P851" s="151"/>
      <c r="Q851" s="151"/>
      <c r="R851" s="151"/>
      <c r="S851" s="152">
        <v>5031495</v>
      </c>
      <c r="T851" s="152"/>
      <c r="U851" s="145">
        <v>0</v>
      </c>
      <c r="V851" s="145">
        <v>0</v>
      </c>
      <c r="W851" s="145">
        <v>0</v>
      </c>
      <c r="X851" s="145">
        <f t="shared" si="257"/>
        <v>0</v>
      </c>
      <c r="Y851" s="145">
        <v>0</v>
      </c>
      <c r="Z851" s="145">
        <v>0</v>
      </c>
      <c r="AA851" s="145">
        <v>0</v>
      </c>
      <c r="AB851" s="145">
        <v>0</v>
      </c>
      <c r="AC851" s="145">
        <v>0</v>
      </c>
      <c r="AD851" s="145">
        <v>0</v>
      </c>
      <c r="AE851" s="145">
        <v>0</v>
      </c>
      <c r="AF851" s="145">
        <v>0</v>
      </c>
      <c r="AG851" s="145">
        <v>0</v>
      </c>
      <c r="AH851" s="145">
        <v>0</v>
      </c>
      <c r="AI851" s="145">
        <v>0</v>
      </c>
      <c r="AJ851" s="145">
        <v>0</v>
      </c>
      <c r="AK851" s="145">
        <f t="shared" si="258"/>
        <v>0</v>
      </c>
      <c r="AL851" s="145">
        <v>2790947</v>
      </c>
      <c r="AM851" s="145">
        <v>1196120</v>
      </c>
      <c r="AN851" s="145">
        <v>0</v>
      </c>
      <c r="AO851" s="145">
        <v>0</v>
      </c>
      <c r="AP851" s="145">
        <v>0</v>
      </c>
      <c r="AQ851" s="145">
        <v>0</v>
      </c>
      <c r="AR851" s="145">
        <v>0</v>
      </c>
      <c r="AS851" s="145">
        <f t="shared" si="259"/>
        <v>3987067</v>
      </c>
      <c r="AT851" s="145"/>
      <c r="AU851" s="139">
        <f t="shared" si="231"/>
        <v>3987067</v>
      </c>
      <c r="AV851" s="146">
        <f>IFERROR(VLOOKUP(J851,Maksājumu_pieprasījumu_iesn.!G:BL,57,0),0)</f>
        <v>0</v>
      </c>
      <c r="AW851" s="139">
        <f t="shared" si="256"/>
        <v>-3987067</v>
      </c>
      <c r="AX851" s="153"/>
      <c r="AY851" s="153">
        <f t="shared" si="260"/>
        <v>1044428</v>
      </c>
      <c r="AZ851" s="149" t="s">
        <v>1989</v>
      </c>
      <c r="BA851" s="149" t="s">
        <v>1989</v>
      </c>
      <c r="BB851" s="145"/>
      <c r="BC851" s="145"/>
      <c r="BD851" s="145"/>
      <c r="BE851" s="145"/>
      <c r="BF851" s="145"/>
      <c r="BG851" s="145"/>
      <c r="BH851" s="138"/>
      <c r="BI851" s="138"/>
      <c r="BJ851" s="138"/>
      <c r="BK851" s="138"/>
      <c r="BL851" s="138"/>
      <c r="BM851" s="138"/>
      <c r="BN851" s="138"/>
    </row>
    <row r="852" spans="1:66" s="91" customFormat="1" ht="56.25" hidden="1" customHeight="1" x14ac:dyDescent="0.2">
      <c r="A852" s="324" t="s">
        <v>1952</v>
      </c>
      <c r="B852" s="18" t="s">
        <v>1976</v>
      </c>
      <c r="C852" s="18" t="s">
        <v>1984</v>
      </c>
      <c r="D852" s="21" t="s">
        <v>1985</v>
      </c>
      <c r="E852" s="55" t="s">
        <v>3</v>
      </c>
      <c r="F852" s="55" t="s">
        <v>29</v>
      </c>
      <c r="G852" s="55" t="s">
        <v>102</v>
      </c>
      <c r="H852" s="55" t="s">
        <v>3</v>
      </c>
      <c r="I852" s="55"/>
      <c r="J852" s="55"/>
      <c r="K852" s="19" t="s">
        <v>519</v>
      </c>
      <c r="L852" s="19"/>
      <c r="M852" s="19"/>
      <c r="N852" s="19" t="s">
        <v>1990</v>
      </c>
      <c r="O852" s="151">
        <v>42855</v>
      </c>
      <c r="P852" s="151"/>
      <c r="Q852" s="151"/>
      <c r="R852" s="151"/>
      <c r="S852" s="152">
        <v>12004303</v>
      </c>
      <c r="T852" s="152"/>
      <c r="U852" s="145">
        <v>0</v>
      </c>
      <c r="V852" s="145">
        <v>0</v>
      </c>
      <c r="W852" s="145">
        <v>0</v>
      </c>
      <c r="X852" s="145">
        <f t="shared" si="257"/>
        <v>0</v>
      </c>
      <c r="Y852" s="145">
        <v>0</v>
      </c>
      <c r="Z852" s="145">
        <v>0</v>
      </c>
      <c r="AA852" s="145">
        <v>0</v>
      </c>
      <c r="AB852" s="145">
        <v>0</v>
      </c>
      <c r="AC852" s="145">
        <v>0</v>
      </c>
      <c r="AD852" s="145">
        <v>0</v>
      </c>
      <c r="AE852" s="145">
        <v>0</v>
      </c>
      <c r="AF852" s="145">
        <v>0</v>
      </c>
      <c r="AG852" s="145">
        <v>0</v>
      </c>
      <c r="AH852" s="145">
        <v>0</v>
      </c>
      <c r="AI852" s="145">
        <v>0</v>
      </c>
      <c r="AJ852" s="145">
        <v>0</v>
      </c>
      <c r="AK852" s="145">
        <f t="shared" si="258"/>
        <v>0</v>
      </c>
      <c r="AL852" s="145">
        <v>3400000</v>
      </c>
      <c r="AM852" s="145">
        <v>2881690</v>
      </c>
      <c r="AN852" s="145">
        <v>0</v>
      </c>
      <c r="AO852" s="145">
        <v>0</v>
      </c>
      <c r="AP852" s="145">
        <v>0</v>
      </c>
      <c r="AQ852" s="145">
        <v>0</v>
      </c>
      <c r="AR852" s="145">
        <v>0</v>
      </c>
      <c r="AS852" s="145">
        <f t="shared" si="259"/>
        <v>6281690</v>
      </c>
      <c r="AT852" s="145"/>
      <c r="AU852" s="139">
        <f t="shared" si="231"/>
        <v>6281690</v>
      </c>
      <c r="AV852" s="146">
        <f>IFERROR(VLOOKUP(J852,Maksājumu_pieprasījumu_iesn.!G:BL,57,0),0)</f>
        <v>0</v>
      </c>
      <c r="AW852" s="139">
        <f t="shared" si="256"/>
        <v>-6281690</v>
      </c>
      <c r="AX852" s="153"/>
      <c r="AY852" s="153">
        <f t="shared" si="260"/>
        <v>5722613</v>
      </c>
      <c r="AZ852" s="149" t="s">
        <v>1989</v>
      </c>
      <c r="BA852" s="149" t="s">
        <v>1989</v>
      </c>
      <c r="BB852" s="145"/>
      <c r="BC852" s="145"/>
      <c r="BD852" s="145"/>
      <c r="BE852" s="145"/>
      <c r="BF852" s="145"/>
      <c r="BG852" s="145"/>
      <c r="BH852" s="138"/>
      <c r="BI852" s="138"/>
      <c r="BJ852" s="138"/>
      <c r="BK852" s="138"/>
      <c r="BL852" s="138"/>
      <c r="BM852" s="138"/>
      <c r="BN852" s="138"/>
    </row>
    <row r="853" spans="1:66" ht="38.25" hidden="1" customHeight="1" x14ac:dyDescent="0.2">
      <c r="A853" s="322" t="s">
        <v>1952</v>
      </c>
      <c r="B853" s="18" t="s">
        <v>1976</v>
      </c>
      <c r="C853" s="18" t="s">
        <v>1984</v>
      </c>
      <c r="D853" s="21" t="s">
        <v>1985</v>
      </c>
      <c r="E853" s="18" t="s">
        <v>3</v>
      </c>
      <c r="F853" s="18" t="s">
        <v>29</v>
      </c>
      <c r="G853" s="18" t="s">
        <v>102</v>
      </c>
      <c r="H853" s="18" t="s">
        <v>3</v>
      </c>
      <c r="I853" s="18"/>
      <c r="J853" s="18" t="s">
        <v>1991</v>
      </c>
      <c r="K853" s="19" t="s">
        <v>499</v>
      </c>
      <c r="L853" s="19"/>
      <c r="M853" s="19"/>
      <c r="N853" s="19" t="s">
        <v>1992</v>
      </c>
      <c r="O853" s="143"/>
      <c r="P853" s="143"/>
      <c r="Q853" s="143"/>
      <c r="R853" s="187" t="s">
        <v>1858</v>
      </c>
      <c r="S853" s="144">
        <v>4432093</v>
      </c>
      <c r="T853" s="172"/>
      <c r="U853" s="145">
        <v>0</v>
      </c>
      <c r="V853" s="145">
        <v>0</v>
      </c>
      <c r="W853" s="145">
        <v>0</v>
      </c>
      <c r="X853" s="145">
        <f t="shared" si="257"/>
        <v>0</v>
      </c>
      <c r="Y853" s="145">
        <v>0</v>
      </c>
      <c r="Z853" s="145">
        <v>0</v>
      </c>
      <c r="AA853" s="145">
        <v>0</v>
      </c>
      <c r="AB853" s="145">
        <v>0</v>
      </c>
      <c r="AC853" s="145">
        <v>0</v>
      </c>
      <c r="AD853" s="145">
        <v>0</v>
      </c>
      <c r="AE853" s="145">
        <v>0</v>
      </c>
      <c r="AF853" s="145">
        <v>0</v>
      </c>
      <c r="AG853" s="145">
        <v>0</v>
      </c>
      <c r="AH853" s="145">
        <v>0</v>
      </c>
      <c r="AI853" s="145">
        <v>0</v>
      </c>
      <c r="AJ853" s="145">
        <v>0</v>
      </c>
      <c r="AK853" s="145">
        <f t="shared" si="258"/>
        <v>0</v>
      </c>
      <c r="AL853" s="145">
        <v>3988883.7</v>
      </c>
      <c r="AM853" s="145">
        <v>443209.3</v>
      </c>
      <c r="AN853" s="145">
        <v>0</v>
      </c>
      <c r="AO853" s="145">
        <v>0</v>
      </c>
      <c r="AP853" s="145">
        <v>0</v>
      </c>
      <c r="AQ853" s="145">
        <v>0</v>
      </c>
      <c r="AR853" s="145">
        <v>0</v>
      </c>
      <c r="AS853" s="144">
        <f t="shared" si="259"/>
        <v>4432093</v>
      </c>
      <c r="AT853" s="144">
        <v>0</v>
      </c>
      <c r="AU853" s="146">
        <f t="shared" si="231"/>
        <v>4432093</v>
      </c>
      <c r="AV853" s="146">
        <f>IFERROR(VLOOKUP(J853,Maksājumu_pieprasījumu_iesn.!G:BL,57,0),0)</f>
        <v>0</v>
      </c>
      <c r="AW853" s="139">
        <f t="shared" si="256"/>
        <v>-4432093</v>
      </c>
      <c r="AX853" s="147"/>
      <c r="AY853" s="153">
        <f t="shared" si="260"/>
        <v>0</v>
      </c>
      <c r="AZ853" s="153"/>
      <c r="BA853" s="165"/>
      <c r="BB853" s="144"/>
      <c r="BC853" s="144"/>
      <c r="BD853" s="144"/>
      <c r="BE853" s="144"/>
      <c r="BF853" s="144"/>
      <c r="BG853" s="144"/>
      <c r="BH853" s="149"/>
      <c r="BI853" s="149"/>
      <c r="BJ853" s="149"/>
      <c r="BK853" s="149"/>
      <c r="BL853" s="149"/>
      <c r="BM853" s="149"/>
      <c r="BN853" s="149"/>
    </row>
    <row r="854" spans="1:66" ht="51" hidden="1" customHeight="1" x14ac:dyDescent="0.2">
      <c r="A854" s="322" t="s">
        <v>1952</v>
      </c>
      <c r="B854" s="18" t="s">
        <v>1976</v>
      </c>
      <c r="C854" s="18" t="s">
        <v>1984</v>
      </c>
      <c r="D854" s="21" t="s">
        <v>1985</v>
      </c>
      <c r="E854" s="18" t="s">
        <v>3</v>
      </c>
      <c r="F854" s="18" t="s">
        <v>29</v>
      </c>
      <c r="G854" s="18" t="s">
        <v>102</v>
      </c>
      <c r="H854" s="18" t="s">
        <v>3</v>
      </c>
      <c r="I854" s="18"/>
      <c r="J854" s="18" t="s">
        <v>1993</v>
      </c>
      <c r="K854" s="19" t="s">
        <v>1212</v>
      </c>
      <c r="L854" s="19"/>
      <c r="M854" s="19"/>
      <c r="N854" s="19" t="s">
        <v>1994</v>
      </c>
      <c r="O854" s="143"/>
      <c r="P854" s="143"/>
      <c r="Q854" s="143"/>
      <c r="R854" s="187" t="s">
        <v>1995</v>
      </c>
      <c r="S854" s="144">
        <v>2392240</v>
      </c>
      <c r="T854" s="172"/>
      <c r="U854" s="145">
        <v>0</v>
      </c>
      <c r="V854" s="145">
        <v>0</v>
      </c>
      <c r="W854" s="145">
        <v>0</v>
      </c>
      <c r="X854" s="145">
        <f t="shared" si="257"/>
        <v>0</v>
      </c>
      <c r="Y854" s="145">
        <v>0</v>
      </c>
      <c r="Z854" s="145">
        <v>0</v>
      </c>
      <c r="AA854" s="145">
        <v>0</v>
      </c>
      <c r="AB854" s="145">
        <v>0</v>
      </c>
      <c r="AC854" s="145">
        <v>0</v>
      </c>
      <c r="AD854" s="145">
        <v>0</v>
      </c>
      <c r="AE854" s="145">
        <v>0</v>
      </c>
      <c r="AF854" s="145">
        <v>0</v>
      </c>
      <c r="AG854" s="145">
        <v>0</v>
      </c>
      <c r="AH854" s="145">
        <v>0</v>
      </c>
      <c r="AI854" s="145">
        <v>0</v>
      </c>
      <c r="AJ854" s="145">
        <v>0</v>
      </c>
      <c r="AK854" s="145">
        <f t="shared" si="258"/>
        <v>0</v>
      </c>
      <c r="AL854" s="145">
        <v>2392240</v>
      </c>
      <c r="AM854" s="145">
        <v>0</v>
      </c>
      <c r="AN854" s="145">
        <v>0</v>
      </c>
      <c r="AO854" s="145">
        <v>0</v>
      </c>
      <c r="AP854" s="145">
        <v>0</v>
      </c>
      <c r="AQ854" s="145">
        <v>0</v>
      </c>
      <c r="AR854" s="145">
        <v>0</v>
      </c>
      <c r="AS854" s="144">
        <f t="shared" si="259"/>
        <v>2392240</v>
      </c>
      <c r="AT854" s="144">
        <v>0</v>
      </c>
      <c r="AU854" s="146">
        <f t="shared" si="231"/>
        <v>2392240</v>
      </c>
      <c r="AV854" s="146">
        <f>IFERROR(VLOOKUP(J854,Maksājumu_pieprasījumu_iesn.!G:BL,57,0),0)</f>
        <v>0</v>
      </c>
      <c r="AW854" s="139">
        <f t="shared" si="256"/>
        <v>-2392240</v>
      </c>
      <c r="AX854" s="147"/>
      <c r="AY854" s="153">
        <f t="shared" si="260"/>
        <v>0</v>
      </c>
      <c r="AZ854" s="153"/>
      <c r="BA854" s="165"/>
      <c r="BB854" s="144"/>
      <c r="BC854" s="144"/>
      <c r="BD854" s="144"/>
      <c r="BE854" s="144"/>
      <c r="BF854" s="144"/>
      <c r="BG854" s="144"/>
      <c r="BH854" s="149"/>
      <c r="BI854" s="149"/>
      <c r="BJ854" s="149"/>
      <c r="BK854" s="149"/>
      <c r="BL854" s="149"/>
      <c r="BM854" s="149"/>
      <c r="BN854" s="149"/>
    </row>
    <row r="855" spans="1:66" s="91" customFormat="1" ht="38.25" hidden="1" customHeight="1" x14ac:dyDescent="0.2">
      <c r="A855" s="324" t="s">
        <v>1952</v>
      </c>
      <c r="B855" s="18" t="s">
        <v>1976</v>
      </c>
      <c r="C855" s="18" t="s">
        <v>1984</v>
      </c>
      <c r="D855" s="21" t="s">
        <v>1985</v>
      </c>
      <c r="E855" s="55" t="s">
        <v>3</v>
      </c>
      <c r="F855" s="55" t="s">
        <v>29</v>
      </c>
      <c r="G855" s="55" t="s">
        <v>102</v>
      </c>
      <c r="H855" s="55" t="s">
        <v>3</v>
      </c>
      <c r="I855" s="55"/>
      <c r="J855" s="55"/>
      <c r="K855" s="19" t="s">
        <v>524</v>
      </c>
      <c r="L855" s="19"/>
      <c r="M855" s="19"/>
      <c r="N855" s="19" t="s">
        <v>1996</v>
      </c>
      <c r="O855" s="151">
        <v>43039</v>
      </c>
      <c r="P855" s="151"/>
      <c r="Q855" s="151"/>
      <c r="R855" s="151"/>
      <c r="S855" s="152">
        <v>2870688</v>
      </c>
      <c r="T855" s="152"/>
      <c r="U855" s="145">
        <v>0</v>
      </c>
      <c r="V855" s="145">
        <v>0</v>
      </c>
      <c r="W855" s="145">
        <v>0</v>
      </c>
      <c r="X855" s="145">
        <f t="shared" si="257"/>
        <v>0</v>
      </c>
      <c r="Y855" s="145">
        <v>0</v>
      </c>
      <c r="Z855" s="145">
        <v>0</v>
      </c>
      <c r="AA855" s="145">
        <v>0</v>
      </c>
      <c r="AB855" s="145">
        <v>0</v>
      </c>
      <c r="AC855" s="145">
        <v>0</v>
      </c>
      <c r="AD855" s="145">
        <v>0</v>
      </c>
      <c r="AE855" s="145">
        <v>0</v>
      </c>
      <c r="AF855" s="145">
        <v>0</v>
      </c>
      <c r="AG855" s="145">
        <v>0</v>
      </c>
      <c r="AH855" s="145">
        <v>0</v>
      </c>
      <c r="AI855" s="145">
        <v>0</v>
      </c>
      <c r="AJ855" s="145">
        <v>0</v>
      </c>
      <c r="AK855" s="145">
        <f t="shared" si="258"/>
        <v>0</v>
      </c>
      <c r="AL855" s="145">
        <v>2870688</v>
      </c>
      <c r="AM855" s="145">
        <v>0</v>
      </c>
      <c r="AN855" s="145">
        <v>0</v>
      </c>
      <c r="AO855" s="145">
        <v>0</v>
      </c>
      <c r="AP855" s="145">
        <v>0</v>
      </c>
      <c r="AQ855" s="145">
        <v>0</v>
      </c>
      <c r="AR855" s="145">
        <v>0</v>
      </c>
      <c r="AS855" s="145">
        <f t="shared" si="259"/>
        <v>2870688</v>
      </c>
      <c r="AT855" s="145"/>
      <c r="AU855" s="139">
        <f t="shared" si="231"/>
        <v>2870688</v>
      </c>
      <c r="AV855" s="146">
        <f>IFERROR(VLOOKUP(J855,Maksājumu_pieprasījumu_iesn.!G:BL,57,0),0)</f>
        <v>0</v>
      </c>
      <c r="AW855" s="139">
        <f t="shared" si="256"/>
        <v>-2870688</v>
      </c>
      <c r="AX855" s="153"/>
      <c r="AY855" s="153">
        <f t="shared" si="260"/>
        <v>0</v>
      </c>
      <c r="AZ855" s="153"/>
      <c r="BA855" s="136"/>
      <c r="BB855" s="145"/>
      <c r="BC855" s="145"/>
      <c r="BD855" s="145"/>
      <c r="BE855" s="145"/>
      <c r="BF855" s="145"/>
      <c r="BG855" s="145"/>
      <c r="BH855" s="138"/>
      <c r="BI855" s="138"/>
      <c r="BJ855" s="138"/>
      <c r="BK855" s="138"/>
      <c r="BL855" s="138"/>
      <c r="BM855" s="138"/>
      <c r="BN855" s="138"/>
    </row>
    <row r="856" spans="1:66" s="161" customFormat="1" ht="63.75" hidden="1" customHeight="1" x14ac:dyDescent="0.2">
      <c r="A856" s="173" t="s">
        <v>1952</v>
      </c>
      <c r="B856" s="20" t="s">
        <v>1976</v>
      </c>
      <c r="C856" s="20" t="s">
        <v>1984</v>
      </c>
      <c r="D856" s="21" t="s">
        <v>1985</v>
      </c>
      <c r="E856" s="20" t="s">
        <v>3</v>
      </c>
      <c r="F856" s="20" t="s">
        <v>29</v>
      </c>
      <c r="G856" s="20" t="s">
        <v>102</v>
      </c>
      <c r="H856" s="20" t="s">
        <v>3</v>
      </c>
      <c r="I856" s="342"/>
      <c r="J856" s="343" t="s">
        <v>1997</v>
      </c>
      <c r="K856" s="344" t="s">
        <v>1998</v>
      </c>
      <c r="L856" s="344"/>
      <c r="M856" s="21"/>
      <c r="N856" s="344" t="s">
        <v>1999</v>
      </c>
      <c r="O856" s="159"/>
      <c r="P856" s="159"/>
      <c r="Q856" s="159"/>
      <c r="R856" s="345" t="s">
        <v>2000</v>
      </c>
      <c r="S856" s="144">
        <v>5047626</v>
      </c>
      <c r="T856" s="227"/>
      <c r="U856" s="153">
        <v>0</v>
      </c>
      <c r="V856" s="153">
        <v>0</v>
      </c>
      <c r="W856" s="153">
        <v>0</v>
      </c>
      <c r="X856" s="145">
        <f t="shared" si="257"/>
        <v>0</v>
      </c>
      <c r="Y856" s="153">
        <v>0</v>
      </c>
      <c r="Z856" s="153">
        <v>0</v>
      </c>
      <c r="AA856" s="153">
        <v>0</v>
      </c>
      <c r="AB856" s="153">
        <v>0</v>
      </c>
      <c r="AC856" s="153">
        <v>0</v>
      </c>
      <c r="AD856" s="153">
        <v>0</v>
      </c>
      <c r="AE856" s="153">
        <v>0</v>
      </c>
      <c r="AF856" s="153">
        <v>0</v>
      </c>
      <c r="AG856" s="153">
        <v>0</v>
      </c>
      <c r="AH856" s="153">
        <v>0</v>
      </c>
      <c r="AI856" s="153">
        <v>0</v>
      </c>
      <c r="AJ856" s="153">
        <v>300000</v>
      </c>
      <c r="AK856" s="153">
        <f t="shared" si="258"/>
        <v>300000</v>
      </c>
      <c r="AL856" s="153">
        <v>3024825.21</v>
      </c>
      <c r="AM856" s="153">
        <v>1290416.81</v>
      </c>
      <c r="AN856" s="153">
        <v>432383.98</v>
      </c>
      <c r="AO856" s="153">
        <v>0</v>
      </c>
      <c r="AP856" s="153">
        <v>0</v>
      </c>
      <c r="AQ856" s="153">
        <v>0</v>
      </c>
      <c r="AR856" s="153">
        <v>0</v>
      </c>
      <c r="AS856" s="147">
        <f t="shared" si="259"/>
        <v>5047626</v>
      </c>
      <c r="AT856" s="144">
        <v>0</v>
      </c>
      <c r="AU856" s="146">
        <f t="shared" si="231"/>
        <v>5047626</v>
      </c>
      <c r="AV856" s="146">
        <f>IFERROR(VLOOKUP(J856,Maksājumu_pieprasījumu_iesn.!G:BL,57,0),0)</f>
        <v>0</v>
      </c>
      <c r="AW856" s="139">
        <f t="shared" si="256"/>
        <v>-5047626</v>
      </c>
      <c r="AX856" s="147"/>
      <c r="AY856" s="153">
        <f t="shared" si="260"/>
        <v>0</v>
      </c>
      <c r="AZ856" s="153"/>
      <c r="BA856" s="165"/>
      <c r="BB856" s="147"/>
      <c r="BC856" s="147"/>
      <c r="BD856" s="147"/>
      <c r="BE856" s="147"/>
      <c r="BF856" s="147"/>
      <c r="BG856" s="147"/>
      <c r="BH856" s="149"/>
      <c r="BI856" s="149"/>
      <c r="BJ856" s="149"/>
      <c r="BK856" s="149"/>
      <c r="BL856" s="149"/>
      <c r="BM856" s="149"/>
      <c r="BN856" s="149"/>
    </row>
    <row r="857" spans="1:66" s="349" customFormat="1" ht="25.5" hidden="1" x14ac:dyDescent="0.2">
      <c r="A857" s="127" t="s">
        <v>1952</v>
      </c>
      <c r="B857" s="127" t="s">
        <v>150</v>
      </c>
      <c r="C857" s="127" t="s">
        <v>1023</v>
      </c>
      <c r="D857" s="128" t="s">
        <v>578</v>
      </c>
      <c r="E857" s="127"/>
      <c r="F857" s="127"/>
      <c r="G857" s="127" t="s">
        <v>102</v>
      </c>
      <c r="H857" s="127"/>
      <c r="I857" s="346"/>
      <c r="J857" s="347"/>
      <c r="K857" s="128"/>
      <c r="L857" s="128"/>
      <c r="M857" s="128"/>
      <c r="N857" s="128"/>
      <c r="O857" s="163"/>
      <c r="P857" s="163"/>
      <c r="Q857" s="163"/>
      <c r="R857" s="186"/>
      <c r="S857" s="348">
        <f>S858</f>
        <v>218449803</v>
      </c>
      <c r="T857" s="348">
        <f>T858</f>
        <v>13514767.514866358</v>
      </c>
      <c r="U857" s="348">
        <f>U858</f>
        <v>0</v>
      </c>
      <c r="V857" s="348">
        <f>V858</f>
        <v>37121781.339999996</v>
      </c>
      <c r="W857" s="348">
        <f>W858</f>
        <v>68726540.150000006</v>
      </c>
      <c r="X857" s="129">
        <f>U857+V857+W857</f>
        <v>105848321.49000001</v>
      </c>
      <c r="Y857" s="348">
        <f t="shared" ref="Y857:AT857" si="261">Y858</f>
        <v>6517958.3000000007</v>
      </c>
      <c r="Z857" s="348">
        <f t="shared" si="261"/>
        <v>4534713.76</v>
      </c>
      <c r="AA857" s="348">
        <f t="shared" si="261"/>
        <v>3521789.11</v>
      </c>
      <c r="AB857" s="348">
        <f t="shared" si="261"/>
        <v>2551003.9</v>
      </c>
      <c r="AC857" s="348">
        <f t="shared" si="261"/>
        <v>2018750</v>
      </c>
      <c r="AD857" s="348">
        <f t="shared" si="261"/>
        <v>0</v>
      </c>
      <c r="AE857" s="348">
        <f t="shared" si="261"/>
        <v>3515302.92</v>
      </c>
      <c r="AF857" s="348">
        <f t="shared" si="261"/>
        <v>6180874.5999999996</v>
      </c>
      <c r="AG857" s="348">
        <f t="shared" si="261"/>
        <v>5627861.0499999998</v>
      </c>
      <c r="AH857" s="348">
        <f t="shared" si="261"/>
        <v>5372850</v>
      </c>
      <c r="AI857" s="348">
        <f t="shared" si="261"/>
        <v>5767063.3300000001</v>
      </c>
      <c r="AJ857" s="348">
        <f t="shared" si="261"/>
        <v>5803234.0499999998</v>
      </c>
      <c r="AK857" s="348">
        <f>AK858</f>
        <v>51411401.019999996</v>
      </c>
      <c r="AL857" s="348">
        <f t="shared" si="261"/>
        <v>41429617.689999998</v>
      </c>
      <c r="AM857" s="348">
        <f t="shared" si="261"/>
        <v>2762508.25</v>
      </c>
      <c r="AN857" s="348">
        <f t="shared" si="261"/>
        <v>0</v>
      </c>
      <c r="AO857" s="348">
        <f t="shared" si="261"/>
        <v>0</v>
      </c>
      <c r="AP857" s="348">
        <f t="shared" si="261"/>
        <v>0</v>
      </c>
      <c r="AQ857" s="348">
        <f t="shared" si="261"/>
        <v>0</v>
      </c>
      <c r="AR857" s="348">
        <f t="shared" si="261"/>
        <v>0</v>
      </c>
      <c r="AS857" s="348">
        <f>AS858</f>
        <v>201451848.44999999</v>
      </c>
      <c r="AT857" s="348">
        <f t="shared" si="261"/>
        <v>0</v>
      </c>
      <c r="AU857" s="183">
        <f>AS857-AT857</f>
        <v>201451848.44999999</v>
      </c>
      <c r="AV857" s="146">
        <f>IFERROR(VLOOKUP(J857,Maksājumu_pieprasījumu_iesn.!G:BL,57,0),0)</f>
        <v>0</v>
      </c>
      <c r="AW857" s="139">
        <f t="shared" si="256"/>
        <v>-201451848.44999999</v>
      </c>
      <c r="AX857" s="348">
        <f>AX858</f>
        <v>3483187.0351336598</v>
      </c>
      <c r="AY857" s="348">
        <f>AY858</f>
        <v>3483187</v>
      </c>
      <c r="AZ857" s="348"/>
      <c r="BA857" s="164"/>
      <c r="BB857" s="348">
        <f>BB858</f>
        <v>0</v>
      </c>
      <c r="BC857" s="348">
        <f>BC858</f>
        <v>177974531.35499999</v>
      </c>
      <c r="BD857" s="129">
        <f>BC857*0.83</f>
        <v>147718861.02464998</v>
      </c>
      <c r="BE857" s="129">
        <f>BD857/0.85</f>
        <v>173786895.32311761</v>
      </c>
      <c r="BF857" s="348">
        <f>BF858</f>
        <v>0</v>
      </c>
      <c r="BG857" s="348">
        <f>BG858</f>
        <v>0</v>
      </c>
      <c r="BH857" s="129">
        <f>BH858</f>
        <v>103759003.63</v>
      </c>
      <c r="BI857" s="129">
        <f>BI858</f>
        <v>48213305.450570002</v>
      </c>
      <c r="BJ857" s="129">
        <f>AK857*0.83</f>
        <v>42671462.846599996</v>
      </c>
      <c r="BK857" s="129">
        <f>BJ857-BI857</f>
        <v>-5541842.6039700061</v>
      </c>
      <c r="BL857" s="129">
        <f>BL858</f>
        <v>40016646</v>
      </c>
      <c r="BM857" s="129">
        <f>AL857*0.83</f>
        <v>34386582.682699993</v>
      </c>
      <c r="BN857" s="129">
        <f>BM857-BL857</f>
        <v>-5630063.3173000067</v>
      </c>
    </row>
    <row r="858" spans="1:66" s="91" customFormat="1" ht="51" hidden="1" customHeight="1" x14ac:dyDescent="0.2">
      <c r="A858" s="131" t="s">
        <v>1952</v>
      </c>
      <c r="B858" s="132" t="s">
        <v>150</v>
      </c>
      <c r="C858" s="132" t="s">
        <v>151</v>
      </c>
      <c r="D858" s="133" t="s">
        <v>578</v>
      </c>
      <c r="E858" s="22" t="s">
        <v>3</v>
      </c>
      <c r="F858" s="22" t="s">
        <v>29</v>
      </c>
      <c r="G858" s="22" t="s">
        <v>102</v>
      </c>
      <c r="H858" s="22" t="s">
        <v>3</v>
      </c>
      <c r="I858" s="22" t="s">
        <v>1022</v>
      </c>
      <c r="J858" s="134" t="s">
        <v>1026</v>
      </c>
      <c r="K858" s="133"/>
      <c r="L858" s="133"/>
      <c r="M858" s="133"/>
      <c r="N858" s="133"/>
      <c r="O858" s="135"/>
      <c r="P858" s="135"/>
      <c r="Q858" s="135"/>
      <c r="R858" s="135"/>
      <c r="S858" s="136">
        <v>218449803</v>
      </c>
      <c r="T858" s="136">
        <v>13514767.514866358</v>
      </c>
      <c r="U858" s="137">
        <f>SUM(U859:U885)</f>
        <v>0</v>
      </c>
      <c r="V858" s="137">
        <f>SUM(V859:V885)</f>
        <v>37121781.339999996</v>
      </c>
      <c r="W858" s="137">
        <f>SUM(W859:W885)</f>
        <v>68726540.150000006</v>
      </c>
      <c r="X858" s="138">
        <f>U858+V858+W858</f>
        <v>105848321.49000001</v>
      </c>
      <c r="Y858" s="137">
        <f t="shared" ref="Y858:AR858" si="262">SUM(Y859:Y885)</f>
        <v>6517958.3000000007</v>
      </c>
      <c r="Z858" s="137">
        <f t="shared" si="262"/>
        <v>4534713.76</v>
      </c>
      <c r="AA858" s="137">
        <f t="shared" si="262"/>
        <v>3521789.11</v>
      </c>
      <c r="AB858" s="137">
        <f t="shared" si="262"/>
        <v>2551003.9</v>
      </c>
      <c r="AC858" s="137">
        <f t="shared" si="262"/>
        <v>2018750</v>
      </c>
      <c r="AD858" s="137">
        <f t="shared" si="262"/>
        <v>0</v>
      </c>
      <c r="AE858" s="137">
        <f t="shared" si="262"/>
        <v>3515302.92</v>
      </c>
      <c r="AF858" s="137">
        <f t="shared" si="262"/>
        <v>6180874.5999999996</v>
      </c>
      <c r="AG858" s="137">
        <f t="shared" si="262"/>
        <v>5627861.0499999998</v>
      </c>
      <c r="AH858" s="137">
        <f t="shared" si="262"/>
        <v>5372850</v>
      </c>
      <c r="AI858" s="137">
        <f t="shared" si="262"/>
        <v>5767063.3300000001</v>
      </c>
      <c r="AJ858" s="137">
        <f t="shared" si="262"/>
        <v>5803234.0499999998</v>
      </c>
      <c r="AK858" s="137">
        <f>SUM(AK859:AK885)</f>
        <v>51411401.019999996</v>
      </c>
      <c r="AL858" s="137">
        <f t="shared" si="262"/>
        <v>41429617.689999998</v>
      </c>
      <c r="AM858" s="137">
        <f t="shared" si="262"/>
        <v>2762508.25</v>
      </c>
      <c r="AN858" s="137">
        <f t="shared" si="262"/>
        <v>0</v>
      </c>
      <c r="AO858" s="137">
        <f t="shared" si="262"/>
        <v>0</v>
      </c>
      <c r="AP858" s="137">
        <f t="shared" si="262"/>
        <v>0</v>
      </c>
      <c r="AQ858" s="137">
        <f t="shared" si="262"/>
        <v>0</v>
      </c>
      <c r="AR858" s="137">
        <f t="shared" si="262"/>
        <v>0</v>
      </c>
      <c r="AS858" s="137">
        <f t="shared" ref="AS858:AS885" si="263">U858+V858+W858+AK858+AL858+AM858+AN858+AO858+AP858+AQ858+AR858</f>
        <v>201451848.44999999</v>
      </c>
      <c r="AT858" s="137">
        <f>SUM(AT859:AT885)</f>
        <v>0</v>
      </c>
      <c r="AU858" s="139">
        <f>AS858-AT858</f>
        <v>201451848.44999999</v>
      </c>
      <c r="AV858" s="146">
        <f>IFERROR(VLOOKUP(J858,Maksājumu_pieprasījumu_iesn.!G:BL,57,0),0)</f>
        <v>0</v>
      </c>
      <c r="AW858" s="139">
        <f t="shared" si="256"/>
        <v>-201451848.44999999</v>
      </c>
      <c r="AX858" s="140">
        <f t="shared" ref="AX858:AX885" si="264">S858-T858-AU858</f>
        <v>3483187.0351336598</v>
      </c>
      <c r="AY858" s="137">
        <v>3483187</v>
      </c>
      <c r="AZ858" s="137"/>
      <c r="BA858" s="138"/>
      <c r="BB858" s="140"/>
      <c r="BC858" s="140">
        <f>X858+AK858+AL858/2</f>
        <v>177974531.35499999</v>
      </c>
      <c r="BD858" s="140"/>
      <c r="BE858" s="140">
        <f>BC858/0.85</f>
        <v>209381801.59411764</v>
      </c>
      <c r="BF858" s="137"/>
      <c r="BG858" s="137"/>
      <c r="BH858" s="138">
        <v>103759003.63</v>
      </c>
      <c r="BI858" s="138">
        <v>48213305.450570002</v>
      </c>
      <c r="BJ858" s="138"/>
      <c r="BK858" s="138"/>
      <c r="BL858" s="138">
        <v>40016646</v>
      </c>
      <c r="BM858" s="138"/>
      <c r="BN858" s="138"/>
    </row>
    <row r="859" spans="1:66" ht="63.75" hidden="1" customHeight="1" x14ac:dyDescent="0.2">
      <c r="A859" s="322" t="s">
        <v>1952</v>
      </c>
      <c r="B859" s="18" t="s">
        <v>150</v>
      </c>
      <c r="C859" s="18" t="s">
        <v>151</v>
      </c>
      <c r="D859" s="19" t="s">
        <v>578</v>
      </c>
      <c r="E859" s="18" t="s">
        <v>3</v>
      </c>
      <c r="F859" s="18" t="s">
        <v>29</v>
      </c>
      <c r="G859" s="18" t="s">
        <v>102</v>
      </c>
      <c r="H859" s="18" t="s">
        <v>3</v>
      </c>
      <c r="I859" s="18"/>
      <c r="J859" s="18" t="s">
        <v>152</v>
      </c>
      <c r="K859" s="19" t="s">
        <v>98</v>
      </c>
      <c r="L859" s="19"/>
      <c r="M859" s="19"/>
      <c r="N859" s="19" t="s">
        <v>153</v>
      </c>
      <c r="O859" s="143"/>
      <c r="P859" s="143"/>
      <c r="Q859" s="143"/>
      <c r="R859" s="143">
        <v>42802</v>
      </c>
      <c r="S859" s="144">
        <v>10903548.26</v>
      </c>
      <c r="T859" s="144"/>
      <c r="U859" s="145">
        <v>0</v>
      </c>
      <c r="V859" s="145">
        <v>0</v>
      </c>
      <c r="W859" s="145">
        <v>10323791.960000001</v>
      </c>
      <c r="X859" s="145">
        <f t="shared" ref="X859:X886" si="265">W859+V859+U859</f>
        <v>10323791.960000001</v>
      </c>
      <c r="Y859" s="145">
        <v>0</v>
      </c>
      <c r="Z859" s="145">
        <v>0</v>
      </c>
      <c r="AA859" s="145">
        <v>579756.30000000005</v>
      </c>
      <c r="AB859" s="145">
        <v>0</v>
      </c>
      <c r="AC859" s="145">
        <v>0</v>
      </c>
      <c r="AD859" s="145">
        <v>0</v>
      </c>
      <c r="AE859" s="145">
        <v>0</v>
      </c>
      <c r="AF859" s="145">
        <v>0</v>
      </c>
      <c r="AG859" s="145">
        <v>0</v>
      </c>
      <c r="AH859" s="145">
        <v>0</v>
      </c>
      <c r="AI859" s="145">
        <v>0</v>
      </c>
      <c r="AJ859" s="145">
        <v>0</v>
      </c>
      <c r="AK859" s="145">
        <f t="shared" ref="AK859:AK885" si="266">SUM(Y859:AJ859)</f>
        <v>579756.30000000005</v>
      </c>
      <c r="AL859" s="145">
        <v>0</v>
      </c>
      <c r="AM859" s="145">
        <v>0</v>
      </c>
      <c r="AN859" s="145">
        <v>0</v>
      </c>
      <c r="AO859" s="145">
        <v>0</v>
      </c>
      <c r="AP859" s="145">
        <v>0</v>
      </c>
      <c r="AQ859" s="145">
        <v>0</v>
      </c>
      <c r="AR859" s="145">
        <v>0</v>
      </c>
      <c r="AS859" s="144">
        <f t="shared" si="263"/>
        <v>10903548.260000002</v>
      </c>
      <c r="AT859" s="144">
        <v>0</v>
      </c>
      <c r="AU859" s="146">
        <f t="shared" si="231"/>
        <v>10903548.260000002</v>
      </c>
      <c r="AV859" s="146">
        <f>IFERROR(VLOOKUP(J859,Maksājumu_pieprasījumu_iesn.!G:BL,57,0),0)</f>
        <v>0</v>
      </c>
      <c r="AW859" s="139">
        <f t="shared" si="256"/>
        <v>-10903548.260000002</v>
      </c>
      <c r="AX859" s="147">
        <f t="shared" si="264"/>
        <v>0</v>
      </c>
      <c r="AY859" s="147"/>
      <c r="AZ859" s="147"/>
      <c r="BA859" s="165"/>
      <c r="BB859" s="144"/>
      <c r="BC859" s="144"/>
      <c r="BD859" s="144"/>
      <c r="BE859" s="144"/>
      <c r="BF859" s="144"/>
      <c r="BG859" s="144"/>
      <c r="BH859" s="149"/>
      <c r="BI859" s="149"/>
      <c r="BJ859" s="149"/>
      <c r="BK859" s="149"/>
      <c r="BL859" s="149"/>
      <c r="BM859" s="149"/>
      <c r="BN859" s="149"/>
    </row>
    <row r="860" spans="1:66" ht="38.25" hidden="1" customHeight="1" x14ac:dyDescent="0.2">
      <c r="A860" s="322" t="s">
        <v>1952</v>
      </c>
      <c r="B860" s="18" t="s">
        <v>150</v>
      </c>
      <c r="C860" s="18" t="s">
        <v>151</v>
      </c>
      <c r="D860" s="19" t="s">
        <v>578</v>
      </c>
      <c r="E860" s="18" t="s">
        <v>3</v>
      </c>
      <c r="F860" s="18" t="s">
        <v>29</v>
      </c>
      <c r="G860" s="18" t="s">
        <v>102</v>
      </c>
      <c r="H860" s="18" t="s">
        <v>3</v>
      </c>
      <c r="I860" s="18"/>
      <c r="J860" s="18" t="s">
        <v>627</v>
      </c>
      <c r="K860" s="19" t="s">
        <v>98</v>
      </c>
      <c r="L860" s="19"/>
      <c r="M860" s="19"/>
      <c r="N860" s="19" t="s">
        <v>628</v>
      </c>
      <c r="O860" s="143"/>
      <c r="P860" s="143"/>
      <c r="Q860" s="143"/>
      <c r="R860" s="143">
        <v>42264</v>
      </c>
      <c r="S860" s="144">
        <v>14913131</v>
      </c>
      <c r="T860" s="144"/>
      <c r="U860" s="145">
        <v>0</v>
      </c>
      <c r="V860" s="145">
        <v>1818178.5600000001</v>
      </c>
      <c r="W860" s="145">
        <v>9496003.2400000002</v>
      </c>
      <c r="X860" s="145">
        <f t="shared" si="265"/>
        <v>11314181.800000001</v>
      </c>
      <c r="Y860" s="145">
        <v>660990.02</v>
      </c>
      <c r="Z860" s="145">
        <v>0</v>
      </c>
      <c r="AA860" s="145">
        <v>0</v>
      </c>
      <c r="AB860" s="145">
        <v>0</v>
      </c>
      <c r="AC860" s="145">
        <v>0</v>
      </c>
      <c r="AD860" s="166">
        <v>0</v>
      </c>
      <c r="AE860" s="166">
        <v>557302.92000000004</v>
      </c>
      <c r="AF860" s="145">
        <v>0</v>
      </c>
      <c r="AG860" s="145">
        <v>0</v>
      </c>
      <c r="AH860" s="145">
        <v>0</v>
      </c>
      <c r="AI860" s="145">
        <v>0</v>
      </c>
      <c r="AJ860" s="145">
        <v>0</v>
      </c>
      <c r="AK860" s="145">
        <f t="shared" si="266"/>
        <v>1218292.94</v>
      </c>
      <c r="AL860" s="145">
        <v>0</v>
      </c>
      <c r="AM860" s="145">
        <v>0</v>
      </c>
      <c r="AN860" s="145">
        <v>0</v>
      </c>
      <c r="AO860" s="145">
        <v>0</v>
      </c>
      <c r="AP860" s="145">
        <v>0</v>
      </c>
      <c r="AQ860" s="145">
        <v>0</v>
      </c>
      <c r="AR860" s="145">
        <v>0</v>
      </c>
      <c r="AS860" s="144">
        <f t="shared" si="263"/>
        <v>12532474.74</v>
      </c>
      <c r="AT860" s="144">
        <v>0</v>
      </c>
      <c r="AU860" s="146">
        <f t="shared" si="231"/>
        <v>12532474.74</v>
      </c>
      <c r="AV860" s="146">
        <f>IFERROR(VLOOKUP(J860,Maksājumu_pieprasījumu_iesn.!G:BL,57,0),0)</f>
        <v>0</v>
      </c>
      <c r="AW860" s="139">
        <f t="shared" si="256"/>
        <v>-12532474.74</v>
      </c>
      <c r="AX860" s="147">
        <f t="shared" si="264"/>
        <v>2380656.2599999998</v>
      </c>
      <c r="AY860" s="147"/>
      <c r="AZ860" s="147"/>
      <c r="BA860" s="165"/>
      <c r="BB860" s="144"/>
      <c r="BC860" s="144"/>
      <c r="BD860" s="144"/>
      <c r="BE860" s="144"/>
      <c r="BF860" s="144"/>
      <c r="BG860" s="144"/>
      <c r="BH860" s="149"/>
      <c r="BI860" s="149"/>
      <c r="BJ860" s="149"/>
      <c r="BK860" s="149"/>
      <c r="BL860" s="149"/>
      <c r="BM860" s="149"/>
      <c r="BN860" s="149"/>
    </row>
    <row r="861" spans="1:66" ht="38.25" hidden="1" customHeight="1" x14ac:dyDescent="0.2">
      <c r="A861" s="322" t="s">
        <v>1952</v>
      </c>
      <c r="B861" s="18" t="s">
        <v>150</v>
      </c>
      <c r="C861" s="18" t="s">
        <v>151</v>
      </c>
      <c r="D861" s="19" t="s">
        <v>578</v>
      </c>
      <c r="E861" s="18" t="s">
        <v>3</v>
      </c>
      <c r="F861" s="18" t="s">
        <v>29</v>
      </c>
      <c r="G861" s="18" t="s">
        <v>102</v>
      </c>
      <c r="H861" s="18" t="s">
        <v>3</v>
      </c>
      <c r="I861" s="18"/>
      <c r="J861" s="18" t="s">
        <v>154</v>
      </c>
      <c r="K861" s="19" t="s">
        <v>98</v>
      </c>
      <c r="L861" s="19"/>
      <c r="M861" s="19"/>
      <c r="N861" s="19" t="s">
        <v>155</v>
      </c>
      <c r="O861" s="143"/>
      <c r="P861" s="143"/>
      <c r="Q861" s="143"/>
      <c r="R861" s="143">
        <v>42264</v>
      </c>
      <c r="S861" s="144">
        <v>13600000</v>
      </c>
      <c r="T861" s="144"/>
      <c r="U861" s="145">
        <v>0</v>
      </c>
      <c r="V861" s="145">
        <v>2929854.4</v>
      </c>
      <c r="W861" s="145">
        <v>8704224.8099999987</v>
      </c>
      <c r="X861" s="145">
        <f t="shared" si="265"/>
        <v>11634079.209999999</v>
      </c>
      <c r="Y861" s="145">
        <v>0</v>
      </c>
      <c r="Z861" s="145">
        <v>0</v>
      </c>
      <c r="AA861" s="145">
        <v>1320073.4099999999</v>
      </c>
      <c r="AB861" s="145">
        <v>0</v>
      </c>
      <c r="AC861" s="145">
        <v>0</v>
      </c>
      <c r="AD861" s="145">
        <v>0</v>
      </c>
      <c r="AE861" s="145">
        <v>0</v>
      </c>
      <c r="AF861" s="145">
        <v>0</v>
      </c>
      <c r="AG861" s="145">
        <v>0</v>
      </c>
      <c r="AH861" s="145">
        <v>0</v>
      </c>
      <c r="AI861" s="145">
        <v>0</v>
      </c>
      <c r="AJ861" s="145">
        <v>0</v>
      </c>
      <c r="AK861" s="145">
        <f t="shared" si="266"/>
        <v>1320073.4099999999</v>
      </c>
      <c r="AL861" s="145">
        <v>0</v>
      </c>
      <c r="AM861" s="145">
        <v>0</v>
      </c>
      <c r="AN861" s="145">
        <v>0</v>
      </c>
      <c r="AO861" s="145">
        <v>0</v>
      </c>
      <c r="AP861" s="145">
        <v>0</v>
      </c>
      <c r="AQ861" s="145">
        <v>0</v>
      </c>
      <c r="AR861" s="145">
        <v>0</v>
      </c>
      <c r="AS861" s="144">
        <f t="shared" si="263"/>
        <v>12954152.619999999</v>
      </c>
      <c r="AT861" s="144">
        <v>0</v>
      </c>
      <c r="AU861" s="146">
        <f t="shared" si="231"/>
        <v>12954152.619999999</v>
      </c>
      <c r="AV861" s="146">
        <f>IFERROR(VLOOKUP(J861,Maksājumu_pieprasījumu_iesn.!G:BL,57,0),0)</f>
        <v>0</v>
      </c>
      <c r="AW861" s="139">
        <f t="shared" si="256"/>
        <v>-12954152.619999999</v>
      </c>
      <c r="AX861" s="147">
        <f t="shared" si="264"/>
        <v>645847.38000000082</v>
      </c>
      <c r="AY861" s="147"/>
      <c r="AZ861" s="147"/>
      <c r="BA861" s="165"/>
      <c r="BB861" s="144"/>
      <c r="BC861" s="144"/>
      <c r="BD861" s="144"/>
      <c r="BE861" s="144"/>
      <c r="BF861" s="144"/>
      <c r="BG861" s="144"/>
      <c r="BH861" s="149"/>
      <c r="BI861" s="149"/>
      <c r="BJ861" s="149"/>
      <c r="BK861" s="149"/>
      <c r="BL861" s="149"/>
      <c r="BM861" s="149"/>
      <c r="BN861" s="149"/>
    </row>
    <row r="862" spans="1:66" ht="38.25" hidden="1" customHeight="1" x14ac:dyDescent="0.2">
      <c r="A862" s="322" t="s">
        <v>1952</v>
      </c>
      <c r="B862" s="18" t="s">
        <v>150</v>
      </c>
      <c r="C862" s="18" t="s">
        <v>151</v>
      </c>
      <c r="D862" s="19" t="s">
        <v>578</v>
      </c>
      <c r="E862" s="18" t="s">
        <v>3</v>
      </c>
      <c r="F862" s="18" t="s">
        <v>29</v>
      </c>
      <c r="G862" s="18" t="s">
        <v>102</v>
      </c>
      <c r="H862" s="18" t="s">
        <v>3</v>
      </c>
      <c r="I862" s="18"/>
      <c r="J862" s="18" t="s">
        <v>156</v>
      </c>
      <c r="K862" s="19" t="s">
        <v>98</v>
      </c>
      <c r="L862" s="19"/>
      <c r="M862" s="19"/>
      <c r="N862" s="19" t="s">
        <v>157</v>
      </c>
      <c r="O862" s="143"/>
      <c r="P862" s="143"/>
      <c r="Q862" s="143"/>
      <c r="R862" s="143">
        <v>42803</v>
      </c>
      <c r="S862" s="144">
        <v>9756405.4100000001</v>
      </c>
      <c r="T862" s="144"/>
      <c r="U862" s="145">
        <v>0</v>
      </c>
      <c r="V862" s="145">
        <v>5541172.3200000003</v>
      </c>
      <c r="W862" s="145">
        <v>3789226.8700000006</v>
      </c>
      <c r="X862" s="145">
        <f t="shared" si="265"/>
        <v>9330399.1900000013</v>
      </c>
      <c r="Y862" s="145">
        <v>0</v>
      </c>
      <c r="Z862" s="145">
        <v>0</v>
      </c>
      <c r="AA862" s="145">
        <v>426006.22</v>
      </c>
      <c r="AB862" s="145">
        <v>0</v>
      </c>
      <c r="AC862" s="145">
        <v>0</v>
      </c>
      <c r="AD862" s="145">
        <v>0</v>
      </c>
      <c r="AE862" s="145">
        <v>0</v>
      </c>
      <c r="AF862" s="145">
        <v>0</v>
      </c>
      <c r="AG862" s="145">
        <v>0</v>
      </c>
      <c r="AH862" s="145">
        <v>0</v>
      </c>
      <c r="AI862" s="145">
        <v>0</v>
      </c>
      <c r="AJ862" s="145">
        <v>0</v>
      </c>
      <c r="AK862" s="145">
        <f t="shared" si="266"/>
        <v>426006.22</v>
      </c>
      <c r="AL862" s="145">
        <v>0</v>
      </c>
      <c r="AM862" s="145">
        <v>0</v>
      </c>
      <c r="AN862" s="145">
        <v>0</v>
      </c>
      <c r="AO862" s="145">
        <v>0</v>
      </c>
      <c r="AP862" s="145">
        <v>0</v>
      </c>
      <c r="AQ862" s="145">
        <v>0</v>
      </c>
      <c r="AR862" s="145">
        <v>0</v>
      </c>
      <c r="AS862" s="144">
        <f t="shared" si="263"/>
        <v>9756405.410000002</v>
      </c>
      <c r="AT862" s="144">
        <v>0</v>
      </c>
      <c r="AU862" s="146">
        <f t="shared" si="231"/>
        <v>9756405.410000002</v>
      </c>
      <c r="AV862" s="146">
        <f>IFERROR(VLOOKUP(J862,Maksājumu_pieprasījumu_iesn.!G:BL,57,0),0)</f>
        <v>0</v>
      </c>
      <c r="AW862" s="139">
        <f t="shared" si="256"/>
        <v>-9756405.410000002</v>
      </c>
      <c r="AX862" s="147">
        <f t="shared" si="264"/>
        <v>0</v>
      </c>
      <c r="AY862" s="147"/>
      <c r="AZ862" s="147"/>
      <c r="BA862" s="165"/>
      <c r="BB862" s="144"/>
      <c r="BC862" s="144"/>
      <c r="BD862" s="144"/>
      <c r="BE862" s="144"/>
      <c r="BF862" s="144"/>
      <c r="BG862" s="144"/>
      <c r="BH862" s="149"/>
      <c r="BI862" s="149"/>
      <c r="BJ862" s="149"/>
      <c r="BK862" s="149"/>
      <c r="BL862" s="149"/>
      <c r="BM862" s="149"/>
      <c r="BN862" s="149"/>
    </row>
    <row r="863" spans="1:66" ht="51" hidden="1" customHeight="1" x14ac:dyDescent="0.2">
      <c r="A863" s="322" t="s">
        <v>1952</v>
      </c>
      <c r="B863" s="18" t="s">
        <v>150</v>
      </c>
      <c r="C863" s="18" t="s">
        <v>151</v>
      </c>
      <c r="D863" s="19" t="s">
        <v>578</v>
      </c>
      <c r="E863" s="18" t="s">
        <v>3</v>
      </c>
      <c r="F863" s="18" t="s">
        <v>29</v>
      </c>
      <c r="G863" s="18" t="s">
        <v>102</v>
      </c>
      <c r="H863" s="18" t="s">
        <v>3</v>
      </c>
      <c r="I863" s="18"/>
      <c r="J863" s="18" t="s">
        <v>629</v>
      </c>
      <c r="K863" s="19" t="s">
        <v>98</v>
      </c>
      <c r="L863" s="19"/>
      <c r="M863" s="19"/>
      <c r="N863" s="19" t="s">
        <v>630</v>
      </c>
      <c r="O863" s="143"/>
      <c r="P863" s="143"/>
      <c r="Q863" s="143"/>
      <c r="R863" s="143">
        <v>42265</v>
      </c>
      <c r="S863" s="144">
        <v>16332185.51</v>
      </c>
      <c r="T863" s="144"/>
      <c r="U863" s="145">
        <v>0</v>
      </c>
      <c r="V863" s="145">
        <v>7917754.4800000004</v>
      </c>
      <c r="W863" s="145">
        <v>7060331.9199999999</v>
      </c>
      <c r="X863" s="145">
        <f t="shared" si="265"/>
        <v>14978086.4</v>
      </c>
      <c r="Y863" s="145">
        <v>0</v>
      </c>
      <c r="Z863" s="145">
        <v>0</v>
      </c>
      <c r="AA863" s="145">
        <v>0</v>
      </c>
      <c r="AB863" s="145">
        <v>0</v>
      </c>
      <c r="AC863" s="145">
        <v>0</v>
      </c>
      <c r="AD863" s="145">
        <v>0</v>
      </c>
      <c r="AE863" s="145">
        <v>0</v>
      </c>
      <c r="AF863" s="145">
        <v>0</v>
      </c>
      <c r="AG863" s="145">
        <v>0</v>
      </c>
      <c r="AH863" s="145">
        <v>0</v>
      </c>
      <c r="AI863" s="145">
        <v>0</v>
      </c>
      <c r="AJ863" s="145">
        <v>0</v>
      </c>
      <c r="AK863" s="145">
        <f t="shared" si="266"/>
        <v>0</v>
      </c>
      <c r="AL863" s="145">
        <v>0</v>
      </c>
      <c r="AM863" s="145">
        <v>0</v>
      </c>
      <c r="AN863" s="145">
        <v>0</v>
      </c>
      <c r="AO863" s="145">
        <v>0</v>
      </c>
      <c r="AP863" s="145">
        <v>0</v>
      </c>
      <c r="AQ863" s="145">
        <v>0</v>
      </c>
      <c r="AR863" s="145">
        <v>0</v>
      </c>
      <c r="AS863" s="144">
        <f t="shared" si="263"/>
        <v>14978086.4</v>
      </c>
      <c r="AT863" s="144">
        <v>0</v>
      </c>
      <c r="AU863" s="146">
        <f t="shared" ref="AU863:AU927" si="267">AS863-AT863</f>
        <v>14978086.4</v>
      </c>
      <c r="AV863" s="146">
        <f>IFERROR(VLOOKUP(J863,Maksājumu_pieprasījumu_iesn.!G:BL,57,0),0)</f>
        <v>0</v>
      </c>
      <c r="AW863" s="139">
        <f t="shared" si="256"/>
        <v>-14978086.4</v>
      </c>
      <c r="AX863" s="147">
        <f t="shared" si="264"/>
        <v>1354099.1099999994</v>
      </c>
      <c r="AY863" s="147"/>
      <c r="AZ863" s="147"/>
      <c r="BA863" s="165"/>
      <c r="BB863" s="144"/>
      <c r="BC863" s="144"/>
      <c r="BD863" s="144"/>
      <c r="BE863" s="144"/>
      <c r="BF863" s="144"/>
      <c r="BG863" s="144"/>
      <c r="BH863" s="149"/>
      <c r="BI863" s="149"/>
      <c r="BJ863" s="149"/>
      <c r="BK863" s="149"/>
      <c r="BL863" s="149"/>
      <c r="BM863" s="149"/>
      <c r="BN863" s="149"/>
    </row>
    <row r="864" spans="1:66" ht="38.25" hidden="1" customHeight="1" x14ac:dyDescent="0.2">
      <c r="A864" s="322" t="s">
        <v>1952</v>
      </c>
      <c r="B864" s="18" t="s">
        <v>150</v>
      </c>
      <c r="C864" s="18" t="s">
        <v>151</v>
      </c>
      <c r="D864" s="19" t="s">
        <v>578</v>
      </c>
      <c r="E864" s="18" t="s">
        <v>3</v>
      </c>
      <c r="F864" s="18" t="s">
        <v>29</v>
      </c>
      <c r="G864" s="18" t="s">
        <v>102</v>
      </c>
      <c r="H864" s="18" t="s">
        <v>3</v>
      </c>
      <c r="I864" s="18"/>
      <c r="J864" s="18" t="s">
        <v>158</v>
      </c>
      <c r="K864" s="19" t="s">
        <v>98</v>
      </c>
      <c r="L864" s="19"/>
      <c r="M864" s="19"/>
      <c r="N864" s="19" t="s">
        <v>159</v>
      </c>
      <c r="O864" s="143"/>
      <c r="P864" s="143"/>
      <c r="Q864" s="143"/>
      <c r="R864" s="143">
        <v>42787</v>
      </c>
      <c r="S864" s="144">
        <v>7833586.2000000002</v>
      </c>
      <c r="T864" s="144"/>
      <c r="U864" s="145">
        <v>0</v>
      </c>
      <c r="V864" s="145">
        <v>6834050.4199999999</v>
      </c>
      <c r="W864" s="145">
        <v>956429.63</v>
      </c>
      <c r="X864" s="145">
        <f t="shared" si="265"/>
        <v>7790480.0499999998</v>
      </c>
      <c r="Y864" s="145">
        <v>0</v>
      </c>
      <c r="Z864" s="145">
        <v>43106.149999999994</v>
      </c>
      <c r="AA864" s="145">
        <v>0</v>
      </c>
      <c r="AB864" s="145">
        <v>0</v>
      </c>
      <c r="AC864" s="145">
        <v>0</v>
      </c>
      <c r="AD864" s="145">
        <v>0</v>
      </c>
      <c r="AE864" s="145">
        <v>0</v>
      </c>
      <c r="AF864" s="145">
        <v>0</v>
      </c>
      <c r="AG864" s="145">
        <v>0</v>
      </c>
      <c r="AH864" s="145">
        <v>0</v>
      </c>
      <c r="AI864" s="145">
        <v>0</v>
      </c>
      <c r="AJ864" s="145">
        <v>0</v>
      </c>
      <c r="AK864" s="145">
        <f t="shared" si="266"/>
        <v>43106.149999999994</v>
      </c>
      <c r="AL864" s="145">
        <v>0</v>
      </c>
      <c r="AM864" s="145">
        <v>0</v>
      </c>
      <c r="AN864" s="145">
        <v>0</v>
      </c>
      <c r="AO864" s="145">
        <v>0</v>
      </c>
      <c r="AP864" s="145">
        <v>0</v>
      </c>
      <c r="AQ864" s="145">
        <v>0</v>
      </c>
      <c r="AR864" s="145">
        <v>0</v>
      </c>
      <c r="AS864" s="144">
        <f t="shared" si="263"/>
        <v>7833586.2000000002</v>
      </c>
      <c r="AT864" s="144">
        <v>0</v>
      </c>
      <c r="AU864" s="146">
        <f t="shared" si="267"/>
        <v>7833586.2000000002</v>
      </c>
      <c r="AV864" s="146">
        <f>IFERROR(VLOOKUP(J864,Maksājumu_pieprasījumu_iesn.!G:BL,57,0),0)</f>
        <v>0</v>
      </c>
      <c r="AW864" s="139">
        <f t="shared" si="256"/>
        <v>-7833586.2000000002</v>
      </c>
      <c r="AX864" s="147">
        <f t="shared" si="264"/>
        <v>0</v>
      </c>
      <c r="AY864" s="147"/>
      <c r="AZ864" s="147"/>
      <c r="BA864" s="165"/>
      <c r="BB864" s="144"/>
      <c r="BC864" s="144"/>
      <c r="BD864" s="144"/>
      <c r="BE864" s="144"/>
      <c r="BF864" s="144"/>
      <c r="BG864" s="144"/>
      <c r="BH864" s="149"/>
      <c r="BI864" s="149"/>
      <c r="BJ864" s="149"/>
      <c r="BK864" s="149"/>
      <c r="BL864" s="149"/>
      <c r="BM864" s="149"/>
      <c r="BN864" s="149"/>
    </row>
    <row r="865" spans="1:66" ht="38.25" hidden="1" customHeight="1" x14ac:dyDescent="0.2">
      <c r="A865" s="322" t="s">
        <v>1952</v>
      </c>
      <c r="B865" s="18" t="s">
        <v>150</v>
      </c>
      <c r="C865" s="18" t="s">
        <v>151</v>
      </c>
      <c r="D865" s="19" t="s">
        <v>578</v>
      </c>
      <c r="E865" s="18" t="s">
        <v>3</v>
      </c>
      <c r="F865" s="18" t="s">
        <v>29</v>
      </c>
      <c r="G865" s="18" t="s">
        <v>102</v>
      </c>
      <c r="H865" s="18" t="s">
        <v>3</v>
      </c>
      <c r="I865" s="18"/>
      <c r="J865" s="18" t="s">
        <v>631</v>
      </c>
      <c r="K865" s="19" t="s">
        <v>98</v>
      </c>
      <c r="L865" s="19"/>
      <c r="M865" s="19"/>
      <c r="N865" s="19" t="s">
        <v>632</v>
      </c>
      <c r="O865" s="143"/>
      <c r="P865" s="143"/>
      <c r="Q865" s="143"/>
      <c r="R865" s="143">
        <v>42564</v>
      </c>
      <c r="S865" s="144">
        <v>9641313.4000000004</v>
      </c>
      <c r="T865" s="144"/>
      <c r="U865" s="145">
        <v>0</v>
      </c>
      <c r="V865" s="145">
        <v>6543514.0700000003</v>
      </c>
      <c r="W865" s="145">
        <v>3097799.33</v>
      </c>
      <c r="X865" s="145">
        <f t="shared" si="265"/>
        <v>9641313.4000000004</v>
      </c>
      <c r="Y865" s="145">
        <v>0</v>
      </c>
      <c r="Z865" s="145">
        <v>0</v>
      </c>
      <c r="AA865" s="145">
        <v>0</v>
      </c>
      <c r="AB865" s="145">
        <v>0</v>
      </c>
      <c r="AC865" s="145">
        <v>0</v>
      </c>
      <c r="AD865" s="145">
        <v>0</v>
      </c>
      <c r="AE865" s="145">
        <v>0</v>
      </c>
      <c r="AF865" s="145">
        <v>0</v>
      </c>
      <c r="AG865" s="145">
        <v>0</v>
      </c>
      <c r="AH865" s="145">
        <v>0</v>
      </c>
      <c r="AI865" s="145">
        <v>0</v>
      </c>
      <c r="AJ865" s="145">
        <v>0</v>
      </c>
      <c r="AK865" s="145">
        <f t="shared" si="266"/>
        <v>0</v>
      </c>
      <c r="AL865" s="145">
        <v>0</v>
      </c>
      <c r="AM865" s="145">
        <v>0</v>
      </c>
      <c r="AN865" s="145">
        <v>0</v>
      </c>
      <c r="AO865" s="145">
        <v>0</v>
      </c>
      <c r="AP865" s="145">
        <v>0</v>
      </c>
      <c r="AQ865" s="145">
        <v>0</v>
      </c>
      <c r="AR865" s="145">
        <v>0</v>
      </c>
      <c r="AS865" s="144">
        <f t="shared" si="263"/>
        <v>9641313.4000000004</v>
      </c>
      <c r="AT865" s="144">
        <v>0</v>
      </c>
      <c r="AU865" s="146">
        <f t="shared" si="267"/>
        <v>9641313.4000000004</v>
      </c>
      <c r="AV865" s="146">
        <f>IFERROR(VLOOKUP(J865,Maksājumu_pieprasījumu_iesn.!G:BL,57,0),0)</f>
        <v>0</v>
      </c>
      <c r="AW865" s="139">
        <f t="shared" si="256"/>
        <v>-9641313.4000000004</v>
      </c>
      <c r="AX865" s="147">
        <f t="shared" si="264"/>
        <v>0</v>
      </c>
      <c r="AY865" s="147"/>
      <c r="AZ865" s="147"/>
      <c r="BA865" s="165"/>
      <c r="BB865" s="144"/>
      <c r="BC865" s="144"/>
      <c r="BD865" s="144"/>
      <c r="BE865" s="144"/>
      <c r="BF865" s="144"/>
      <c r="BG865" s="144"/>
      <c r="BH865" s="149"/>
      <c r="BI865" s="149"/>
      <c r="BJ865" s="149"/>
      <c r="BK865" s="149"/>
      <c r="BL865" s="149"/>
      <c r="BM865" s="149"/>
      <c r="BN865" s="149"/>
    </row>
    <row r="866" spans="1:66" ht="51" hidden="1" customHeight="1" x14ac:dyDescent="0.2">
      <c r="A866" s="322" t="s">
        <v>1952</v>
      </c>
      <c r="B866" s="18" t="s">
        <v>150</v>
      </c>
      <c r="C866" s="18" t="s">
        <v>151</v>
      </c>
      <c r="D866" s="19" t="s">
        <v>578</v>
      </c>
      <c r="E866" s="18" t="s">
        <v>3</v>
      </c>
      <c r="F866" s="18" t="s">
        <v>29</v>
      </c>
      <c r="G866" s="18" t="s">
        <v>102</v>
      </c>
      <c r="H866" s="18" t="s">
        <v>3</v>
      </c>
      <c r="I866" s="18"/>
      <c r="J866" s="18" t="s">
        <v>160</v>
      </c>
      <c r="K866" s="19" t="s">
        <v>98</v>
      </c>
      <c r="L866" s="19"/>
      <c r="M866" s="19"/>
      <c r="N866" s="19" t="s">
        <v>161</v>
      </c>
      <c r="O866" s="143"/>
      <c r="P866" s="143"/>
      <c r="Q866" s="143"/>
      <c r="R866" s="143">
        <v>42804</v>
      </c>
      <c r="S866" s="144">
        <v>4739300.51</v>
      </c>
      <c r="T866" s="144"/>
      <c r="U866" s="145">
        <v>0</v>
      </c>
      <c r="V866" s="145">
        <v>1914185.88</v>
      </c>
      <c r="W866" s="145">
        <v>2615029.0300000003</v>
      </c>
      <c r="X866" s="145">
        <f t="shared" si="265"/>
        <v>4529214.91</v>
      </c>
      <c r="Y866" s="145">
        <v>0</v>
      </c>
      <c r="Z866" s="145">
        <v>0</v>
      </c>
      <c r="AA866" s="145">
        <v>210085.6</v>
      </c>
      <c r="AB866" s="145">
        <v>0</v>
      </c>
      <c r="AC866" s="145">
        <v>0</v>
      </c>
      <c r="AD866" s="145">
        <v>0</v>
      </c>
      <c r="AE866" s="145">
        <v>0</v>
      </c>
      <c r="AF866" s="145">
        <v>0</v>
      </c>
      <c r="AG866" s="145">
        <v>0</v>
      </c>
      <c r="AH866" s="145">
        <v>0</v>
      </c>
      <c r="AI866" s="145">
        <v>0</v>
      </c>
      <c r="AJ866" s="145">
        <v>0</v>
      </c>
      <c r="AK866" s="145">
        <f t="shared" si="266"/>
        <v>210085.6</v>
      </c>
      <c r="AL866" s="145">
        <v>0</v>
      </c>
      <c r="AM866" s="145">
        <v>0</v>
      </c>
      <c r="AN866" s="145">
        <v>0</v>
      </c>
      <c r="AO866" s="145">
        <v>0</v>
      </c>
      <c r="AP866" s="145">
        <v>0</v>
      </c>
      <c r="AQ866" s="145">
        <v>0</v>
      </c>
      <c r="AR866" s="145">
        <v>0</v>
      </c>
      <c r="AS866" s="144">
        <f t="shared" si="263"/>
        <v>4739300.51</v>
      </c>
      <c r="AT866" s="144">
        <v>0</v>
      </c>
      <c r="AU866" s="146">
        <f t="shared" si="267"/>
        <v>4739300.51</v>
      </c>
      <c r="AV866" s="146">
        <f>IFERROR(VLOOKUP(J866,Maksājumu_pieprasījumu_iesn.!G:BL,57,0),0)</f>
        <v>0</v>
      </c>
      <c r="AW866" s="139">
        <f t="shared" si="256"/>
        <v>-4739300.51</v>
      </c>
      <c r="AX866" s="147">
        <f t="shared" si="264"/>
        <v>0</v>
      </c>
      <c r="AY866" s="147"/>
      <c r="AZ866" s="147"/>
      <c r="BA866" s="165"/>
      <c r="BB866" s="144"/>
      <c r="BC866" s="144"/>
      <c r="BD866" s="144"/>
      <c r="BE866" s="144"/>
      <c r="BF866" s="144"/>
      <c r="BG866" s="144"/>
      <c r="BH866" s="149"/>
      <c r="BI866" s="149"/>
      <c r="BJ866" s="149"/>
      <c r="BK866" s="149"/>
      <c r="BL866" s="149"/>
      <c r="BM866" s="149"/>
      <c r="BN866" s="149"/>
    </row>
    <row r="867" spans="1:66" ht="63.75" hidden="1" customHeight="1" x14ac:dyDescent="0.2">
      <c r="A867" s="322" t="s">
        <v>1952</v>
      </c>
      <c r="B867" s="18" t="s">
        <v>150</v>
      </c>
      <c r="C867" s="18" t="s">
        <v>151</v>
      </c>
      <c r="D867" s="19" t="s">
        <v>578</v>
      </c>
      <c r="E867" s="18" t="s">
        <v>3</v>
      </c>
      <c r="F867" s="18" t="s">
        <v>29</v>
      </c>
      <c r="G867" s="18" t="s">
        <v>102</v>
      </c>
      <c r="H867" s="18" t="s">
        <v>3</v>
      </c>
      <c r="I867" s="18"/>
      <c r="J867" s="18" t="s">
        <v>162</v>
      </c>
      <c r="K867" s="19" t="s">
        <v>98</v>
      </c>
      <c r="L867" s="19"/>
      <c r="M867" s="19"/>
      <c r="N867" s="19" t="s">
        <v>163</v>
      </c>
      <c r="O867" s="143"/>
      <c r="P867" s="143"/>
      <c r="Q867" s="143"/>
      <c r="R867" s="143">
        <v>42804</v>
      </c>
      <c r="S867" s="144">
        <v>12589103.140000001</v>
      </c>
      <c r="T867" s="144"/>
      <c r="U867" s="145">
        <v>0</v>
      </c>
      <c r="V867" s="145">
        <v>3623071.21</v>
      </c>
      <c r="W867" s="145">
        <v>7980164.3499999996</v>
      </c>
      <c r="X867" s="145">
        <f t="shared" si="265"/>
        <v>11603235.559999999</v>
      </c>
      <c r="Y867" s="145">
        <v>0</v>
      </c>
      <c r="Z867" s="145">
        <v>0</v>
      </c>
      <c r="AA867" s="145">
        <v>985867.58</v>
      </c>
      <c r="AB867" s="145">
        <v>0</v>
      </c>
      <c r="AC867" s="145">
        <v>0</v>
      </c>
      <c r="AD867" s="145">
        <v>0</v>
      </c>
      <c r="AE867" s="145">
        <v>0</v>
      </c>
      <c r="AF867" s="145">
        <v>0</v>
      </c>
      <c r="AG867" s="145">
        <v>0</v>
      </c>
      <c r="AH867" s="145">
        <v>0</v>
      </c>
      <c r="AI867" s="145">
        <v>0</v>
      </c>
      <c r="AJ867" s="145">
        <v>0</v>
      </c>
      <c r="AK867" s="145">
        <f t="shared" si="266"/>
        <v>985867.58</v>
      </c>
      <c r="AL867" s="145">
        <v>0</v>
      </c>
      <c r="AM867" s="145">
        <v>0</v>
      </c>
      <c r="AN867" s="145">
        <v>0</v>
      </c>
      <c r="AO867" s="145">
        <v>0</v>
      </c>
      <c r="AP867" s="145">
        <v>0</v>
      </c>
      <c r="AQ867" s="145">
        <v>0</v>
      </c>
      <c r="AR867" s="145">
        <v>0</v>
      </c>
      <c r="AS867" s="144">
        <f t="shared" si="263"/>
        <v>12589103.139999999</v>
      </c>
      <c r="AT867" s="144">
        <v>0</v>
      </c>
      <c r="AU867" s="146">
        <f t="shared" si="267"/>
        <v>12589103.139999999</v>
      </c>
      <c r="AV867" s="146">
        <f>IFERROR(VLOOKUP(J867,Maksājumu_pieprasījumu_iesn.!G:BL,57,0),0)</f>
        <v>0</v>
      </c>
      <c r="AW867" s="139">
        <f t="shared" si="256"/>
        <v>-12589103.139999999</v>
      </c>
      <c r="AX867" s="147">
        <f t="shared" si="264"/>
        <v>0</v>
      </c>
      <c r="AY867" s="147"/>
      <c r="AZ867" s="147"/>
      <c r="BA867" s="165"/>
      <c r="BB867" s="144"/>
      <c r="BC867" s="144"/>
      <c r="BD867" s="144"/>
      <c r="BE867" s="144"/>
      <c r="BF867" s="144"/>
      <c r="BG867" s="144"/>
      <c r="BH867" s="149"/>
      <c r="BI867" s="149"/>
      <c r="BJ867" s="149"/>
      <c r="BK867" s="149"/>
      <c r="BL867" s="149"/>
      <c r="BM867" s="149"/>
      <c r="BN867" s="149"/>
    </row>
    <row r="868" spans="1:66" ht="38.25" hidden="1" customHeight="1" x14ac:dyDescent="0.2">
      <c r="A868" s="322" t="s">
        <v>1952</v>
      </c>
      <c r="B868" s="18" t="s">
        <v>150</v>
      </c>
      <c r="C868" s="18" t="s">
        <v>151</v>
      </c>
      <c r="D868" s="19" t="s">
        <v>578</v>
      </c>
      <c r="E868" s="18" t="s">
        <v>3</v>
      </c>
      <c r="F868" s="18" t="s">
        <v>29</v>
      </c>
      <c r="G868" s="18" t="s">
        <v>102</v>
      </c>
      <c r="H868" s="18" t="s">
        <v>3</v>
      </c>
      <c r="I868" s="18"/>
      <c r="J868" s="18" t="s">
        <v>164</v>
      </c>
      <c r="K868" s="19" t="s">
        <v>98</v>
      </c>
      <c r="L868" s="19"/>
      <c r="M868" s="19"/>
      <c r="N868" s="19" t="s">
        <v>165</v>
      </c>
      <c r="O868" s="143"/>
      <c r="P868" s="143"/>
      <c r="Q868" s="143"/>
      <c r="R868" s="143">
        <v>42376</v>
      </c>
      <c r="S868" s="144">
        <v>17931685</v>
      </c>
      <c r="T868" s="144"/>
      <c r="U868" s="145">
        <v>0</v>
      </c>
      <c r="V868" s="145">
        <v>0</v>
      </c>
      <c r="W868" s="145">
        <v>8074353.8699999992</v>
      </c>
      <c r="X868" s="145">
        <f t="shared" si="265"/>
        <v>8074353.8699999992</v>
      </c>
      <c r="Y868" s="145">
        <v>5856968.2800000003</v>
      </c>
      <c r="Z868" s="145">
        <v>0</v>
      </c>
      <c r="AA868" s="145">
        <v>0</v>
      </c>
      <c r="AB868" s="145">
        <v>103003.9</v>
      </c>
      <c r="AC868" s="145">
        <v>0</v>
      </c>
      <c r="AD868" s="166">
        <v>0</v>
      </c>
      <c r="AE868" s="166">
        <v>2006000</v>
      </c>
      <c r="AF868" s="145">
        <v>0</v>
      </c>
      <c r="AG868" s="145">
        <v>0</v>
      </c>
      <c r="AH868" s="145">
        <v>1292850</v>
      </c>
      <c r="AI868" s="145">
        <v>0</v>
      </c>
      <c r="AJ868" s="145">
        <v>598508.94999999995</v>
      </c>
      <c r="AK868" s="145">
        <f t="shared" si="266"/>
        <v>9857331.129999999</v>
      </c>
      <c r="AL868" s="145">
        <v>0</v>
      </c>
      <c r="AM868" s="145">
        <v>0</v>
      </c>
      <c r="AN868" s="145">
        <v>0</v>
      </c>
      <c r="AO868" s="145">
        <v>0</v>
      </c>
      <c r="AP868" s="145">
        <v>0</v>
      </c>
      <c r="AQ868" s="145">
        <v>0</v>
      </c>
      <c r="AR868" s="145">
        <v>0</v>
      </c>
      <c r="AS868" s="144">
        <f t="shared" si="263"/>
        <v>17931685</v>
      </c>
      <c r="AT868" s="144">
        <v>0</v>
      </c>
      <c r="AU868" s="146">
        <f t="shared" si="267"/>
        <v>17931685</v>
      </c>
      <c r="AV868" s="146" t="str">
        <f>IFERROR(VLOOKUP(J868,Maksājumu_pieprasījumu_iesn.!G:BL,57,0),0)</f>
        <v xml:space="preserve">Sagaidāms ietaupījums indikatīvi 1,86 milj euro.  </v>
      </c>
      <c r="AW868" s="139" t="e">
        <f t="shared" si="256"/>
        <v>#VALUE!</v>
      </c>
      <c r="AX868" s="147">
        <f t="shared" si="264"/>
        <v>0</v>
      </c>
      <c r="AY868" s="147"/>
      <c r="AZ868" s="147"/>
      <c r="BA868" s="165"/>
      <c r="BB868" s="144"/>
      <c r="BC868" s="144"/>
      <c r="BD868" s="144"/>
      <c r="BE868" s="144"/>
      <c r="BF868" s="144"/>
      <c r="BG868" s="144"/>
      <c r="BH868" s="149"/>
      <c r="BI868" s="149"/>
      <c r="BJ868" s="149"/>
      <c r="BK868" s="149"/>
      <c r="BL868" s="149"/>
      <c r="BM868" s="149"/>
      <c r="BN868" s="149"/>
    </row>
    <row r="869" spans="1:66" ht="38.25" hidden="1" customHeight="1" x14ac:dyDescent="0.2">
      <c r="A869" s="322" t="s">
        <v>1952</v>
      </c>
      <c r="B869" s="18" t="s">
        <v>150</v>
      </c>
      <c r="C869" s="18" t="s">
        <v>151</v>
      </c>
      <c r="D869" s="19" t="s">
        <v>578</v>
      </c>
      <c r="E869" s="18" t="s">
        <v>3</v>
      </c>
      <c r="F869" s="18" t="s">
        <v>29</v>
      </c>
      <c r="G869" s="18" t="s">
        <v>102</v>
      </c>
      <c r="H869" s="18" t="s">
        <v>3</v>
      </c>
      <c r="I869" s="18"/>
      <c r="J869" s="18" t="s">
        <v>166</v>
      </c>
      <c r="K869" s="19" t="s">
        <v>98</v>
      </c>
      <c r="L869" s="19"/>
      <c r="M869" s="19"/>
      <c r="N869" s="19" t="s">
        <v>167</v>
      </c>
      <c r="O869" s="143"/>
      <c r="P869" s="143"/>
      <c r="Q869" s="143"/>
      <c r="R869" s="143">
        <v>42404</v>
      </c>
      <c r="S869" s="144">
        <v>9879730.1999999993</v>
      </c>
      <c r="T869" s="144"/>
      <c r="U869" s="145">
        <v>0</v>
      </c>
      <c r="V869" s="145">
        <v>0</v>
      </c>
      <c r="W869" s="145">
        <v>3076197.67</v>
      </c>
      <c r="X869" s="145">
        <f t="shared" si="265"/>
        <v>3076197.67</v>
      </c>
      <c r="Y869" s="145">
        <v>0</v>
      </c>
      <c r="Z869" s="145">
        <v>2387703.4500000002</v>
      </c>
      <c r="AA869" s="145">
        <v>0</v>
      </c>
      <c r="AB869" s="145">
        <v>0</v>
      </c>
      <c r="AC869" s="145">
        <v>0</v>
      </c>
      <c r="AD869" s="145">
        <v>0</v>
      </c>
      <c r="AE869" s="145">
        <v>0</v>
      </c>
      <c r="AF869" s="420">
        <v>3053115</v>
      </c>
      <c r="AG869" s="145">
        <v>0</v>
      </c>
      <c r="AH869" s="145">
        <v>0</v>
      </c>
      <c r="AI869" s="145">
        <v>1362714.08</v>
      </c>
      <c r="AJ869" s="145">
        <v>0</v>
      </c>
      <c r="AK869" s="145">
        <f t="shared" si="266"/>
        <v>6803532.5300000003</v>
      </c>
      <c r="AL869" s="145">
        <v>0</v>
      </c>
      <c r="AM869" s="145">
        <v>0</v>
      </c>
      <c r="AN869" s="145">
        <v>0</v>
      </c>
      <c r="AO869" s="145">
        <v>0</v>
      </c>
      <c r="AP869" s="145">
        <v>0</v>
      </c>
      <c r="AQ869" s="145">
        <v>0</v>
      </c>
      <c r="AR869" s="145">
        <v>0</v>
      </c>
      <c r="AS869" s="144">
        <f t="shared" si="263"/>
        <v>9879730.1999999993</v>
      </c>
      <c r="AT869" s="144">
        <v>0</v>
      </c>
      <c r="AU869" s="146">
        <f>AS869-AT869</f>
        <v>9879730.1999999993</v>
      </c>
      <c r="AV869" s="146" t="str">
        <f>IFERROR(VLOOKUP(J869,Maksājumu_pieprasījumu_iesn.!G:BL,57,0),0)</f>
        <v>Maksājuma pieprasījums iesniegts par mazāku summu, jo būvdarbu izpilde neatbilst iepriekš plānotajai - saistībā ar darbam nepiemērotiem laika apstākļiem, būvnieks darbus pēc tehnoloģiskā pārtraukuma atsāka vēlāk. 24.08.2017. precizēts plānotais maksājuma pieprasījumu iesniegšanas grafiks.</v>
      </c>
      <c r="AW869" s="139" t="e">
        <f t="shared" si="256"/>
        <v>#VALUE!</v>
      </c>
      <c r="AX869" s="147">
        <f t="shared" si="264"/>
        <v>0</v>
      </c>
      <c r="AY869" s="147"/>
      <c r="AZ869" s="147"/>
      <c r="BA869" s="165"/>
      <c r="BB869" s="144"/>
      <c r="BC869" s="144"/>
      <c r="BD869" s="144"/>
      <c r="BE869" s="144"/>
      <c r="BF869" s="144"/>
      <c r="BG869" s="144"/>
      <c r="BH869" s="149"/>
      <c r="BI869" s="149"/>
      <c r="BJ869" s="149"/>
      <c r="BK869" s="149"/>
      <c r="BL869" s="149"/>
      <c r="BM869" s="149"/>
      <c r="BN869" s="149"/>
    </row>
    <row r="870" spans="1:66" ht="38.25" hidden="1" customHeight="1" x14ac:dyDescent="0.2">
      <c r="A870" s="322" t="s">
        <v>1952</v>
      </c>
      <c r="B870" s="18" t="s">
        <v>150</v>
      </c>
      <c r="C870" s="18" t="s">
        <v>151</v>
      </c>
      <c r="D870" s="19" t="s">
        <v>578</v>
      </c>
      <c r="E870" s="18" t="s">
        <v>3</v>
      </c>
      <c r="F870" s="18" t="s">
        <v>29</v>
      </c>
      <c r="G870" s="18" t="s">
        <v>102</v>
      </c>
      <c r="H870" s="18" t="s">
        <v>3</v>
      </c>
      <c r="I870" s="18"/>
      <c r="J870" s="18" t="s">
        <v>168</v>
      </c>
      <c r="K870" s="19" t="s">
        <v>98</v>
      </c>
      <c r="L870" s="19"/>
      <c r="M870" s="19"/>
      <c r="N870" s="19" t="s">
        <v>169</v>
      </c>
      <c r="O870" s="143"/>
      <c r="P870" s="143"/>
      <c r="Q870" s="143"/>
      <c r="R870" s="143">
        <v>42404</v>
      </c>
      <c r="S870" s="144">
        <v>9378900</v>
      </c>
      <c r="T870" s="144"/>
      <c r="U870" s="145">
        <v>0</v>
      </c>
      <c r="V870" s="145">
        <v>0</v>
      </c>
      <c r="W870" s="145">
        <v>3552987.47</v>
      </c>
      <c r="X870" s="145">
        <f t="shared" si="265"/>
        <v>3552987.47</v>
      </c>
      <c r="Y870" s="145">
        <v>0</v>
      </c>
      <c r="Z870" s="145">
        <v>2103904.16</v>
      </c>
      <c r="AA870" s="145">
        <v>0</v>
      </c>
      <c r="AB870" s="145">
        <v>0</v>
      </c>
      <c r="AC870" s="145">
        <v>0</v>
      </c>
      <c r="AD870" s="145">
        <v>0</v>
      </c>
      <c r="AE870" s="145">
        <v>0</v>
      </c>
      <c r="AF870" s="420">
        <v>1534009.6</v>
      </c>
      <c r="AG870" s="145">
        <v>0</v>
      </c>
      <c r="AH870" s="145">
        <v>0</v>
      </c>
      <c r="AI870" s="145">
        <v>1216849.25</v>
      </c>
      <c r="AJ870" s="145">
        <v>0</v>
      </c>
      <c r="AK870" s="145">
        <f t="shared" si="266"/>
        <v>4854763.01</v>
      </c>
      <c r="AL870" s="145">
        <v>971149.52</v>
      </c>
      <c r="AM870" s="145">
        <v>0</v>
      </c>
      <c r="AN870" s="145">
        <v>0</v>
      </c>
      <c r="AO870" s="145">
        <v>0</v>
      </c>
      <c r="AP870" s="145">
        <v>0</v>
      </c>
      <c r="AQ870" s="145">
        <v>0</v>
      </c>
      <c r="AR870" s="145">
        <v>0</v>
      </c>
      <c r="AS870" s="144">
        <f t="shared" si="263"/>
        <v>9378900</v>
      </c>
      <c r="AT870" s="144">
        <v>0</v>
      </c>
      <c r="AU870" s="146">
        <f>AS870-AT870</f>
        <v>9378900</v>
      </c>
      <c r="AV870" s="146" t="str">
        <f>IFERROR(VLOOKUP(J870,Maksājumu_pieprasījumu_iesn.!G:BL,57,0),0)</f>
        <v xml:space="preserve">Izmaiņas skaidrojamas ar projekta attiecināmo izmaksu iespējamu samazināšanu (jautājums vēl tiek starp līguma pusēm precizēts). </v>
      </c>
      <c r="AW870" s="139" t="e">
        <f t="shared" si="256"/>
        <v>#VALUE!</v>
      </c>
      <c r="AX870" s="147">
        <f t="shared" si="264"/>
        <v>0</v>
      </c>
      <c r="AY870" s="147"/>
      <c r="AZ870" s="147"/>
      <c r="BA870" s="165"/>
      <c r="BB870" s="144"/>
      <c r="BC870" s="144"/>
      <c r="BD870" s="144"/>
      <c r="BE870" s="144"/>
      <c r="BF870" s="144"/>
      <c r="BG870" s="144"/>
      <c r="BH870" s="149"/>
      <c r="BI870" s="149"/>
      <c r="BJ870" s="149"/>
      <c r="BK870" s="149"/>
      <c r="BL870" s="149"/>
      <c r="BM870" s="149"/>
      <c r="BN870" s="149"/>
    </row>
    <row r="871" spans="1:66" ht="51" hidden="1" customHeight="1" x14ac:dyDescent="0.2">
      <c r="A871" s="322" t="s">
        <v>1952</v>
      </c>
      <c r="B871" s="18" t="s">
        <v>150</v>
      </c>
      <c r="C871" s="18" t="s">
        <v>151</v>
      </c>
      <c r="D871" s="19" t="s">
        <v>578</v>
      </c>
      <c r="E871" s="18" t="s">
        <v>3</v>
      </c>
      <c r="F871" s="18" t="s">
        <v>29</v>
      </c>
      <c r="G871" s="18" t="s">
        <v>102</v>
      </c>
      <c r="H871" s="18" t="s">
        <v>3</v>
      </c>
      <c r="I871" s="18"/>
      <c r="J871" s="18" t="s">
        <v>717</v>
      </c>
      <c r="K871" s="19" t="s">
        <v>98</v>
      </c>
      <c r="L871" s="19"/>
      <c r="M871" s="19"/>
      <c r="N871" s="19" t="s">
        <v>718</v>
      </c>
      <c r="O871" s="143"/>
      <c r="P871" s="143"/>
      <c r="Q871" s="143"/>
      <c r="R871" s="143">
        <v>42495</v>
      </c>
      <c r="S871" s="144">
        <v>10365853.699999999</v>
      </c>
      <c r="T871" s="144"/>
      <c r="U871" s="145">
        <v>0</v>
      </c>
      <c r="V871" s="145">
        <v>0</v>
      </c>
      <c r="W871" s="145">
        <v>0</v>
      </c>
      <c r="X871" s="145">
        <f t="shared" si="265"/>
        <v>0</v>
      </c>
      <c r="Y871" s="145">
        <v>0</v>
      </c>
      <c r="Z871" s="145">
        <v>0</v>
      </c>
      <c r="AA871" s="145">
        <v>0</v>
      </c>
      <c r="AB871" s="145">
        <v>0</v>
      </c>
      <c r="AC871" s="145">
        <v>2018750</v>
      </c>
      <c r="AD871" s="145">
        <v>0</v>
      </c>
      <c r="AE871" s="145">
        <v>0</v>
      </c>
      <c r="AF871" s="420">
        <v>1593750</v>
      </c>
      <c r="AG871" s="145">
        <v>0</v>
      </c>
      <c r="AH871" s="145">
        <v>0</v>
      </c>
      <c r="AI871" s="145">
        <v>3187500</v>
      </c>
      <c r="AJ871" s="145">
        <v>0</v>
      </c>
      <c r="AK871" s="145">
        <f t="shared" si="266"/>
        <v>6800000</v>
      </c>
      <c r="AL871" s="145">
        <v>3825000</v>
      </c>
      <c r="AM871" s="145">
        <v>0</v>
      </c>
      <c r="AN871" s="145">
        <v>0</v>
      </c>
      <c r="AO871" s="145">
        <v>0</v>
      </c>
      <c r="AP871" s="145">
        <v>0</v>
      </c>
      <c r="AQ871" s="145">
        <v>0</v>
      </c>
      <c r="AR871" s="145">
        <v>0</v>
      </c>
      <c r="AS871" s="144">
        <f t="shared" si="263"/>
        <v>10625000</v>
      </c>
      <c r="AT871" s="144">
        <v>0</v>
      </c>
      <c r="AU871" s="146">
        <v>10365853.699999999</v>
      </c>
      <c r="AV871" s="146" t="str">
        <f>IFERROR(VLOOKUP(J871,Maksājumu_pieprasījumu_iesn.!G:BL,57,0),0)</f>
        <v>Projekta ietvaros noris aktīva būvniecība, taču plānoto maksājumu pieprasījumu iesniegšanas grafiks tiek koriģētas atbilstoši saņemtajiem rēķiniem, kas tiek sniegti par faktiski izpildītajiem darbiem - būvdarbu rēķini iesniegti par mazāku summu, nekā sākotnēji plānots. Nelielas nobīdes izpildes grafikā rada nepastāvīgie laika apstākļi.</v>
      </c>
      <c r="AW871" s="139" t="e">
        <f t="shared" si="256"/>
        <v>#VALUE!</v>
      </c>
      <c r="AX871" s="147">
        <f t="shared" si="264"/>
        <v>0</v>
      </c>
      <c r="AY871" s="147"/>
      <c r="AZ871" s="147"/>
      <c r="BA871" s="165"/>
      <c r="BB871" s="144"/>
      <c r="BC871" s="144"/>
      <c r="BD871" s="144"/>
      <c r="BE871" s="144"/>
      <c r="BF871" s="144"/>
      <c r="BG871" s="144"/>
      <c r="BH871" s="149"/>
      <c r="BI871" s="149"/>
      <c r="BJ871" s="149"/>
      <c r="BK871" s="149"/>
      <c r="BL871" s="149"/>
      <c r="BM871" s="149"/>
      <c r="BN871" s="149"/>
    </row>
    <row r="872" spans="1:66" ht="63.75" hidden="1" customHeight="1" x14ac:dyDescent="0.2">
      <c r="A872" s="322" t="s">
        <v>1952</v>
      </c>
      <c r="B872" s="18" t="s">
        <v>150</v>
      </c>
      <c r="C872" s="18" t="s">
        <v>151</v>
      </c>
      <c r="D872" s="19" t="s">
        <v>578</v>
      </c>
      <c r="E872" s="18" t="s">
        <v>3</v>
      </c>
      <c r="F872" s="18" t="s">
        <v>29</v>
      </c>
      <c r="G872" s="18" t="s">
        <v>102</v>
      </c>
      <c r="H872" s="18" t="s">
        <v>3</v>
      </c>
      <c r="I872" s="18"/>
      <c r="J872" s="18" t="s">
        <v>170</v>
      </c>
      <c r="K872" s="19" t="s">
        <v>98</v>
      </c>
      <c r="L872" s="19"/>
      <c r="M872" s="19"/>
      <c r="N872" s="19" t="s">
        <v>171</v>
      </c>
      <c r="O872" s="143"/>
      <c r="P872" s="143"/>
      <c r="Q872" s="143"/>
      <c r="R872" s="143">
        <v>42656</v>
      </c>
      <c r="S872" s="144">
        <v>13347331.550000001</v>
      </c>
      <c r="T872" s="144"/>
      <c r="U872" s="145">
        <v>0</v>
      </c>
      <c r="V872" s="145">
        <v>0</v>
      </c>
      <c r="W872" s="145">
        <v>0</v>
      </c>
      <c r="X872" s="145">
        <f t="shared" si="265"/>
        <v>0</v>
      </c>
      <c r="Y872" s="145">
        <v>0</v>
      </c>
      <c r="Z872" s="145">
        <v>0</v>
      </c>
      <c r="AA872" s="145">
        <v>0</v>
      </c>
      <c r="AB872" s="145">
        <v>2448000</v>
      </c>
      <c r="AC872" s="145">
        <v>0</v>
      </c>
      <c r="AD872" s="166">
        <v>0</v>
      </c>
      <c r="AE872" s="166">
        <v>952000</v>
      </c>
      <c r="AF872" s="145">
        <v>0</v>
      </c>
      <c r="AG872" s="145">
        <v>0</v>
      </c>
      <c r="AH872" s="145">
        <v>4080000</v>
      </c>
      <c r="AI872" s="145">
        <v>0</v>
      </c>
      <c r="AJ872" s="145">
        <v>0</v>
      </c>
      <c r="AK872" s="145">
        <f t="shared" si="266"/>
        <v>7480000</v>
      </c>
      <c r="AL872" s="145">
        <v>6201015.2000000002</v>
      </c>
      <c r="AM872" s="145">
        <v>0</v>
      </c>
      <c r="AN872" s="145">
        <v>0</v>
      </c>
      <c r="AO872" s="145">
        <v>0</v>
      </c>
      <c r="AP872" s="145">
        <v>0</v>
      </c>
      <c r="AQ872" s="145">
        <v>0</v>
      </c>
      <c r="AR872" s="145">
        <v>0</v>
      </c>
      <c r="AS872" s="144">
        <f t="shared" si="263"/>
        <v>13681015.199999999</v>
      </c>
      <c r="AT872" s="144">
        <v>0</v>
      </c>
      <c r="AU872" s="146">
        <f t="shared" si="267"/>
        <v>13681015.199999999</v>
      </c>
      <c r="AV872" s="146">
        <f>IFERROR(VLOOKUP(J872,Maksājumu_pieprasījumu_iesn.!G:BL,57,0),0)</f>
        <v>0</v>
      </c>
      <c r="AW872" s="139">
        <f t="shared" si="256"/>
        <v>-13681015.199999999</v>
      </c>
      <c r="AX872" s="147">
        <f t="shared" si="264"/>
        <v>-333683.64999999851</v>
      </c>
      <c r="AY872" s="147"/>
      <c r="AZ872" s="147"/>
      <c r="BA872" s="165"/>
      <c r="BB872" s="144"/>
      <c r="BC872" s="144"/>
      <c r="BD872" s="144"/>
      <c r="BE872" s="144"/>
      <c r="BF872" s="144"/>
      <c r="BG872" s="144"/>
      <c r="BH872" s="149"/>
      <c r="BI872" s="149"/>
      <c r="BJ872" s="149"/>
      <c r="BK872" s="149"/>
      <c r="BL872" s="149"/>
      <c r="BM872" s="149"/>
      <c r="BN872" s="149"/>
    </row>
    <row r="873" spans="1:66" ht="51" hidden="1" customHeight="1" x14ac:dyDescent="0.2">
      <c r="A873" s="322" t="s">
        <v>1952</v>
      </c>
      <c r="B873" s="18" t="s">
        <v>150</v>
      </c>
      <c r="C873" s="18" t="s">
        <v>151</v>
      </c>
      <c r="D873" s="19" t="s">
        <v>578</v>
      </c>
      <c r="E873" s="18" t="s">
        <v>3</v>
      </c>
      <c r="F873" s="18" t="s">
        <v>29</v>
      </c>
      <c r="G873" s="18" t="s">
        <v>102</v>
      </c>
      <c r="H873" s="18" t="s">
        <v>3</v>
      </c>
      <c r="I873" s="18"/>
      <c r="J873" s="18" t="s">
        <v>783</v>
      </c>
      <c r="K873" s="19" t="s">
        <v>98</v>
      </c>
      <c r="L873" s="19"/>
      <c r="M873" s="19"/>
      <c r="N873" s="19" t="s">
        <v>814</v>
      </c>
      <c r="O873" s="143"/>
      <c r="P873" s="143"/>
      <c r="Q873" s="143"/>
      <c r="R873" s="143">
        <v>42709</v>
      </c>
      <c r="S873" s="144">
        <v>17720584.100000001</v>
      </c>
      <c r="T873" s="144"/>
      <c r="U873" s="145">
        <v>0</v>
      </c>
      <c r="V873" s="145">
        <v>0</v>
      </c>
      <c r="W873" s="145">
        <v>0</v>
      </c>
      <c r="X873" s="145">
        <f t="shared" si="265"/>
        <v>0</v>
      </c>
      <c r="Y873" s="145">
        <v>0</v>
      </c>
      <c r="Z873" s="145">
        <v>0</v>
      </c>
      <c r="AA873" s="145">
        <v>0</v>
      </c>
      <c r="AB873" s="145">
        <v>0</v>
      </c>
      <c r="AC873" s="145">
        <v>0</v>
      </c>
      <c r="AD873" s="145">
        <v>0</v>
      </c>
      <c r="AE873" s="145">
        <v>0</v>
      </c>
      <c r="AF873" s="145">
        <v>0</v>
      </c>
      <c r="AG873" s="145">
        <v>5627861.0499999998</v>
      </c>
      <c r="AH873" s="145">
        <v>0</v>
      </c>
      <c r="AI873" s="145">
        <v>0</v>
      </c>
      <c r="AJ873" s="145">
        <v>4317325.0999999996</v>
      </c>
      <c r="AK873" s="145">
        <f t="shared" si="266"/>
        <v>9945186.1499999985</v>
      </c>
      <c r="AL873" s="145">
        <v>8218412.8500000006</v>
      </c>
      <c r="AM873" s="145">
        <v>0</v>
      </c>
      <c r="AN873" s="145">
        <v>0</v>
      </c>
      <c r="AO873" s="145">
        <v>0</v>
      </c>
      <c r="AP873" s="145">
        <v>0</v>
      </c>
      <c r="AQ873" s="145">
        <v>0</v>
      </c>
      <c r="AR873" s="145">
        <v>0</v>
      </c>
      <c r="AS873" s="144">
        <f t="shared" si="263"/>
        <v>18163599</v>
      </c>
      <c r="AT873" s="144">
        <v>0</v>
      </c>
      <c r="AU873" s="146">
        <f t="shared" si="267"/>
        <v>18163599</v>
      </c>
      <c r="AV873" s="146">
        <f>IFERROR(VLOOKUP(J873,Maksājumu_pieprasījumu_iesn.!G:BL,57,0),0)</f>
        <v>0</v>
      </c>
      <c r="AW873" s="139">
        <f t="shared" si="256"/>
        <v>-18163599</v>
      </c>
      <c r="AX873" s="147">
        <f t="shared" si="264"/>
        <v>-443014.89999999851</v>
      </c>
      <c r="AY873" s="147"/>
      <c r="AZ873" s="147"/>
      <c r="BA873" s="165"/>
      <c r="BB873" s="144"/>
      <c r="BC873" s="144"/>
      <c r="BD873" s="144"/>
      <c r="BE873" s="144"/>
      <c r="BF873" s="144"/>
      <c r="BG873" s="144"/>
      <c r="BH873" s="149"/>
      <c r="BI873" s="149"/>
      <c r="BJ873" s="149"/>
      <c r="BK873" s="149"/>
      <c r="BL873" s="149"/>
      <c r="BM873" s="149"/>
      <c r="BN873" s="149"/>
    </row>
    <row r="874" spans="1:66" s="91" customFormat="1" ht="38.25" hidden="1" customHeight="1" x14ac:dyDescent="0.2">
      <c r="A874" s="324" t="s">
        <v>1952</v>
      </c>
      <c r="B874" s="18" t="s">
        <v>150</v>
      </c>
      <c r="C874" s="18" t="s">
        <v>151</v>
      </c>
      <c r="D874" s="19" t="s">
        <v>578</v>
      </c>
      <c r="E874" s="55" t="s">
        <v>3</v>
      </c>
      <c r="F874" s="55" t="s">
        <v>29</v>
      </c>
      <c r="G874" s="55" t="s">
        <v>102</v>
      </c>
      <c r="H874" s="55" t="s">
        <v>3</v>
      </c>
      <c r="I874" s="55"/>
      <c r="J874" s="55"/>
      <c r="K874" s="19" t="s">
        <v>98</v>
      </c>
      <c r="L874" s="19"/>
      <c r="M874" s="19"/>
      <c r="N874" s="19" t="s">
        <v>2001</v>
      </c>
      <c r="O874" s="151"/>
      <c r="P874" s="151"/>
      <c r="Q874" s="151"/>
      <c r="R874" s="151"/>
      <c r="S874" s="152"/>
      <c r="T874" s="152"/>
      <c r="U874" s="145">
        <v>0</v>
      </c>
      <c r="V874" s="145">
        <v>0</v>
      </c>
      <c r="W874" s="145">
        <v>0</v>
      </c>
      <c r="X874" s="145">
        <f t="shared" si="265"/>
        <v>0</v>
      </c>
      <c r="Y874" s="145">
        <v>0</v>
      </c>
      <c r="Z874" s="145">
        <v>0</v>
      </c>
      <c r="AA874" s="145">
        <v>0</v>
      </c>
      <c r="AB874" s="145">
        <v>0</v>
      </c>
      <c r="AC874" s="145">
        <v>0</v>
      </c>
      <c r="AD874" s="145">
        <v>0</v>
      </c>
      <c r="AE874" s="145">
        <v>0</v>
      </c>
      <c r="AF874" s="145">
        <v>0</v>
      </c>
      <c r="AG874" s="145">
        <v>0</v>
      </c>
      <c r="AH874" s="145">
        <v>0</v>
      </c>
      <c r="AI874" s="145">
        <v>0</v>
      </c>
      <c r="AJ874" s="145">
        <v>0</v>
      </c>
      <c r="AK874" s="145">
        <f t="shared" si="266"/>
        <v>0</v>
      </c>
      <c r="AL874" s="145">
        <v>0</v>
      </c>
      <c r="AM874" s="145">
        <v>0</v>
      </c>
      <c r="AN874" s="145">
        <v>0</v>
      </c>
      <c r="AO874" s="145">
        <v>0</v>
      </c>
      <c r="AP874" s="145">
        <v>0</v>
      </c>
      <c r="AQ874" s="145">
        <v>0</v>
      </c>
      <c r="AR874" s="145">
        <v>0</v>
      </c>
      <c r="AS874" s="145">
        <f t="shared" si="263"/>
        <v>0</v>
      </c>
      <c r="AT874" s="145"/>
      <c r="AU874" s="139">
        <f t="shared" si="267"/>
        <v>0</v>
      </c>
      <c r="AV874" s="146">
        <f>IFERROR(VLOOKUP(J874,Maksājumu_pieprasījumu_iesn.!G:BL,57,0),0)</f>
        <v>0</v>
      </c>
      <c r="AW874" s="139">
        <f t="shared" si="256"/>
        <v>0</v>
      </c>
      <c r="AX874" s="147">
        <f t="shared" si="264"/>
        <v>0</v>
      </c>
      <c r="AY874" s="153"/>
      <c r="AZ874" s="153"/>
      <c r="BA874" s="136"/>
      <c r="BB874" s="145"/>
      <c r="BC874" s="145"/>
      <c r="BD874" s="145"/>
      <c r="BE874" s="145"/>
      <c r="BF874" s="145"/>
      <c r="BG874" s="145"/>
      <c r="BH874" s="138"/>
      <c r="BI874" s="138"/>
      <c r="BJ874" s="138"/>
      <c r="BK874" s="138"/>
      <c r="BL874" s="138"/>
      <c r="BM874" s="138"/>
      <c r="BN874" s="138"/>
    </row>
    <row r="875" spans="1:66" ht="38.25" hidden="1" customHeight="1" x14ac:dyDescent="0.2">
      <c r="A875" s="322" t="s">
        <v>1952</v>
      </c>
      <c r="B875" s="18" t="s">
        <v>150</v>
      </c>
      <c r="C875" s="18" t="s">
        <v>151</v>
      </c>
      <c r="D875" s="19" t="s">
        <v>578</v>
      </c>
      <c r="E875" s="18" t="s">
        <v>3</v>
      </c>
      <c r="F875" s="18" t="s">
        <v>29</v>
      </c>
      <c r="G875" s="18" t="s">
        <v>102</v>
      </c>
      <c r="H875" s="18" t="s">
        <v>3</v>
      </c>
      <c r="I875" s="18"/>
      <c r="J875" s="18" t="s">
        <v>2002</v>
      </c>
      <c r="K875" s="19" t="s">
        <v>98</v>
      </c>
      <c r="L875" s="19"/>
      <c r="M875" s="19"/>
      <c r="N875" s="19" t="s">
        <v>2003</v>
      </c>
      <c r="O875" s="143"/>
      <c r="P875" s="143"/>
      <c r="Q875" s="143"/>
      <c r="R875" s="187" t="s">
        <v>2004</v>
      </c>
      <c r="S875" s="144">
        <v>12234908.25</v>
      </c>
      <c r="T875" s="172"/>
      <c r="U875" s="145">
        <v>0</v>
      </c>
      <c r="V875" s="145">
        <v>0</v>
      </c>
      <c r="W875" s="145">
        <v>0</v>
      </c>
      <c r="X875" s="145">
        <f t="shared" si="265"/>
        <v>0</v>
      </c>
      <c r="Y875" s="145">
        <v>0</v>
      </c>
      <c r="Z875" s="145">
        <v>0</v>
      </c>
      <c r="AA875" s="145">
        <v>0</v>
      </c>
      <c r="AB875" s="145">
        <v>0</v>
      </c>
      <c r="AC875" s="145">
        <v>0</v>
      </c>
      <c r="AD875" s="145">
        <v>0</v>
      </c>
      <c r="AE875" s="145">
        <v>0</v>
      </c>
      <c r="AF875" s="145">
        <v>0</v>
      </c>
      <c r="AG875" s="145">
        <v>0</v>
      </c>
      <c r="AH875" s="145">
        <v>0</v>
      </c>
      <c r="AI875" s="145">
        <v>0</v>
      </c>
      <c r="AJ875" s="145">
        <v>0</v>
      </c>
      <c r="AK875" s="145">
        <f t="shared" si="266"/>
        <v>0</v>
      </c>
      <c r="AL875" s="145">
        <v>11050000</v>
      </c>
      <c r="AM875" s="145">
        <v>1184908.25</v>
      </c>
      <c r="AN875" s="145">
        <v>0</v>
      </c>
      <c r="AO875" s="145">
        <v>0</v>
      </c>
      <c r="AP875" s="145">
        <v>0</v>
      </c>
      <c r="AQ875" s="145">
        <v>0</v>
      </c>
      <c r="AR875" s="145">
        <v>0</v>
      </c>
      <c r="AS875" s="144">
        <f t="shared" si="263"/>
        <v>12234908.25</v>
      </c>
      <c r="AT875" s="144">
        <v>0</v>
      </c>
      <c r="AU875" s="146">
        <f t="shared" si="267"/>
        <v>12234908.25</v>
      </c>
      <c r="AV875" s="146">
        <f>IFERROR(VLOOKUP(J875,Maksājumu_pieprasījumu_iesn.!G:BL,57,0),0)</f>
        <v>0</v>
      </c>
      <c r="AW875" s="139">
        <f t="shared" si="256"/>
        <v>-12234908.25</v>
      </c>
      <c r="AX875" s="147">
        <f t="shared" si="264"/>
        <v>0</v>
      </c>
      <c r="AY875" s="147"/>
      <c r="AZ875" s="147"/>
      <c r="BA875" s="165"/>
      <c r="BB875" s="144"/>
      <c r="BC875" s="144"/>
      <c r="BD875" s="144"/>
      <c r="BE875" s="144"/>
      <c r="BF875" s="144"/>
      <c r="BG875" s="144"/>
      <c r="BH875" s="149"/>
      <c r="BI875" s="149"/>
      <c r="BJ875" s="149"/>
      <c r="BK875" s="149"/>
      <c r="BL875" s="149"/>
      <c r="BM875" s="149"/>
      <c r="BN875" s="149"/>
    </row>
    <row r="876" spans="1:66" s="91" customFormat="1" ht="38.25" hidden="1" customHeight="1" x14ac:dyDescent="0.2">
      <c r="A876" s="324" t="s">
        <v>1952</v>
      </c>
      <c r="B876" s="18" t="s">
        <v>150</v>
      </c>
      <c r="C876" s="18" t="s">
        <v>151</v>
      </c>
      <c r="D876" s="19" t="s">
        <v>578</v>
      </c>
      <c r="E876" s="55" t="s">
        <v>3</v>
      </c>
      <c r="F876" s="55" t="s">
        <v>29</v>
      </c>
      <c r="G876" s="55" t="s">
        <v>102</v>
      </c>
      <c r="H876" s="55" t="s">
        <v>3</v>
      </c>
      <c r="I876" s="55"/>
      <c r="J876" s="55"/>
      <c r="K876" s="19" t="s">
        <v>98</v>
      </c>
      <c r="L876" s="19"/>
      <c r="M876" s="19"/>
      <c r="N876" s="19" t="s">
        <v>2005</v>
      </c>
      <c r="O876" s="151"/>
      <c r="P876" s="151"/>
      <c r="Q876" s="151"/>
      <c r="R876" s="151"/>
      <c r="S876" s="152"/>
      <c r="T876" s="152"/>
      <c r="U876" s="145">
        <v>0</v>
      </c>
      <c r="V876" s="145">
        <v>0</v>
      </c>
      <c r="W876" s="145">
        <v>0</v>
      </c>
      <c r="X876" s="145">
        <f t="shared" si="265"/>
        <v>0</v>
      </c>
      <c r="Y876" s="145">
        <v>0</v>
      </c>
      <c r="Z876" s="145">
        <v>0</v>
      </c>
      <c r="AA876" s="145">
        <v>0</v>
      </c>
      <c r="AB876" s="145">
        <v>0</v>
      </c>
      <c r="AC876" s="145">
        <v>0</v>
      </c>
      <c r="AD876" s="145">
        <v>0</v>
      </c>
      <c r="AE876" s="145">
        <v>0</v>
      </c>
      <c r="AF876" s="145">
        <v>0</v>
      </c>
      <c r="AG876" s="145">
        <v>0</v>
      </c>
      <c r="AH876" s="145">
        <v>0</v>
      </c>
      <c r="AI876" s="145">
        <v>0</v>
      </c>
      <c r="AJ876" s="145">
        <v>0</v>
      </c>
      <c r="AK876" s="145">
        <f t="shared" si="266"/>
        <v>0</v>
      </c>
      <c r="AL876" s="145">
        <v>0</v>
      </c>
      <c r="AM876" s="145">
        <v>0</v>
      </c>
      <c r="AN876" s="145">
        <v>0</v>
      </c>
      <c r="AO876" s="145">
        <v>0</v>
      </c>
      <c r="AP876" s="145">
        <v>0</v>
      </c>
      <c r="AQ876" s="145">
        <v>0</v>
      </c>
      <c r="AR876" s="145">
        <v>0</v>
      </c>
      <c r="AS876" s="145">
        <f t="shared" si="263"/>
        <v>0</v>
      </c>
      <c r="AT876" s="145"/>
      <c r="AU876" s="139">
        <f t="shared" si="267"/>
        <v>0</v>
      </c>
      <c r="AV876" s="146">
        <f>IFERROR(VLOOKUP(J876,Maksājumu_pieprasījumu_iesn.!G:BL,57,0),0)</f>
        <v>0</v>
      </c>
      <c r="AW876" s="139">
        <f t="shared" si="256"/>
        <v>0</v>
      </c>
      <c r="AX876" s="147">
        <f t="shared" si="264"/>
        <v>0</v>
      </c>
      <c r="AY876" s="153"/>
      <c r="AZ876" s="153"/>
      <c r="BA876" s="136"/>
      <c r="BB876" s="145"/>
      <c r="BC876" s="145"/>
      <c r="BD876" s="145"/>
      <c r="BE876" s="145"/>
      <c r="BF876" s="145"/>
      <c r="BG876" s="145"/>
      <c r="BH876" s="138"/>
      <c r="BI876" s="138"/>
      <c r="BJ876" s="138"/>
      <c r="BK876" s="138"/>
      <c r="BL876" s="138"/>
      <c r="BM876" s="138"/>
      <c r="BN876" s="138"/>
    </row>
    <row r="877" spans="1:66" s="91" customFormat="1" ht="51" hidden="1" customHeight="1" x14ac:dyDescent="0.2">
      <c r="A877" s="324" t="s">
        <v>1952</v>
      </c>
      <c r="B877" s="18" t="s">
        <v>150</v>
      </c>
      <c r="C877" s="18" t="s">
        <v>151</v>
      </c>
      <c r="D877" s="19" t="s">
        <v>578</v>
      </c>
      <c r="E877" s="55" t="s">
        <v>3</v>
      </c>
      <c r="F877" s="55" t="s">
        <v>29</v>
      </c>
      <c r="G877" s="55" t="s">
        <v>102</v>
      </c>
      <c r="H877" s="55" t="s">
        <v>3</v>
      </c>
      <c r="I877" s="55"/>
      <c r="J877" s="55"/>
      <c r="K877" s="19" t="s">
        <v>98</v>
      </c>
      <c r="L877" s="19"/>
      <c r="M877" s="19"/>
      <c r="N877" s="19" t="s">
        <v>2006</v>
      </c>
      <c r="O877" s="151"/>
      <c r="P877" s="151"/>
      <c r="Q877" s="151"/>
      <c r="R877" s="151"/>
      <c r="S877" s="152"/>
      <c r="T877" s="152"/>
      <c r="U877" s="145">
        <v>0</v>
      </c>
      <c r="V877" s="145">
        <v>0</v>
      </c>
      <c r="W877" s="145">
        <v>0</v>
      </c>
      <c r="X877" s="145">
        <f t="shared" si="265"/>
        <v>0</v>
      </c>
      <c r="Y877" s="145">
        <v>0</v>
      </c>
      <c r="Z877" s="145">
        <v>0</v>
      </c>
      <c r="AA877" s="145">
        <v>0</v>
      </c>
      <c r="AB877" s="145">
        <v>0</v>
      </c>
      <c r="AC877" s="145">
        <v>0</v>
      </c>
      <c r="AD877" s="145">
        <v>0</v>
      </c>
      <c r="AE877" s="145">
        <v>0</v>
      </c>
      <c r="AF877" s="145">
        <v>0</v>
      </c>
      <c r="AG877" s="145">
        <v>0</v>
      </c>
      <c r="AH877" s="145">
        <v>0</v>
      </c>
      <c r="AI877" s="145">
        <v>0</v>
      </c>
      <c r="AJ877" s="145">
        <v>0</v>
      </c>
      <c r="AK877" s="145">
        <f t="shared" si="266"/>
        <v>0</v>
      </c>
      <c r="AL877" s="145">
        <v>0</v>
      </c>
      <c r="AM877" s="145">
        <v>0</v>
      </c>
      <c r="AN877" s="145">
        <v>0</v>
      </c>
      <c r="AO877" s="145">
        <v>0</v>
      </c>
      <c r="AP877" s="145">
        <v>0</v>
      </c>
      <c r="AQ877" s="145">
        <v>0</v>
      </c>
      <c r="AR877" s="145">
        <v>0</v>
      </c>
      <c r="AS877" s="145">
        <f t="shared" si="263"/>
        <v>0</v>
      </c>
      <c r="AT877" s="145"/>
      <c r="AU877" s="139">
        <f t="shared" si="267"/>
        <v>0</v>
      </c>
      <c r="AV877" s="146">
        <f>IFERROR(VLOOKUP(J877,Maksājumu_pieprasījumu_iesn.!G:BL,57,0),0)</f>
        <v>0</v>
      </c>
      <c r="AW877" s="139">
        <f t="shared" si="256"/>
        <v>0</v>
      </c>
      <c r="AX877" s="147">
        <f t="shared" si="264"/>
        <v>0</v>
      </c>
      <c r="AY877" s="153"/>
      <c r="AZ877" s="153"/>
      <c r="BA877" s="136"/>
      <c r="BB877" s="145"/>
      <c r="BC877" s="145"/>
      <c r="BD877" s="145"/>
      <c r="BE877" s="145"/>
      <c r="BF877" s="145"/>
      <c r="BG877" s="145"/>
      <c r="BH877" s="138"/>
      <c r="BI877" s="138"/>
      <c r="BJ877" s="138"/>
      <c r="BK877" s="138"/>
      <c r="BL877" s="138"/>
      <c r="BM877" s="138"/>
      <c r="BN877" s="138"/>
    </row>
    <row r="878" spans="1:66" s="91" customFormat="1" ht="38.25" hidden="1" customHeight="1" x14ac:dyDescent="0.2">
      <c r="A878" s="324" t="s">
        <v>1952</v>
      </c>
      <c r="B878" s="18" t="s">
        <v>150</v>
      </c>
      <c r="C878" s="18" t="s">
        <v>151</v>
      </c>
      <c r="D878" s="19" t="s">
        <v>578</v>
      </c>
      <c r="E878" s="55" t="s">
        <v>3</v>
      </c>
      <c r="F878" s="55" t="s">
        <v>29</v>
      </c>
      <c r="G878" s="55" t="s">
        <v>102</v>
      </c>
      <c r="H878" s="55" t="s">
        <v>3</v>
      </c>
      <c r="I878" s="55"/>
      <c r="J878" s="55"/>
      <c r="K878" s="19" t="s">
        <v>98</v>
      </c>
      <c r="L878" s="19"/>
      <c r="M878" s="19"/>
      <c r="N878" s="19" t="s">
        <v>2007</v>
      </c>
      <c r="O878" s="151">
        <v>42916</v>
      </c>
      <c r="P878" s="151"/>
      <c r="Q878" s="151"/>
      <c r="R878" s="151"/>
      <c r="S878" s="152">
        <v>4930000</v>
      </c>
      <c r="T878" s="152"/>
      <c r="U878" s="145">
        <v>0</v>
      </c>
      <c r="V878" s="145">
        <v>0</v>
      </c>
      <c r="W878" s="145">
        <v>0</v>
      </c>
      <c r="X878" s="145">
        <f t="shared" si="265"/>
        <v>0</v>
      </c>
      <c r="Y878" s="145">
        <v>0</v>
      </c>
      <c r="Z878" s="145">
        <v>0</v>
      </c>
      <c r="AA878" s="145">
        <v>0</v>
      </c>
      <c r="AB878" s="145">
        <v>0</v>
      </c>
      <c r="AC878" s="145">
        <v>0</v>
      </c>
      <c r="AD878" s="145">
        <v>0</v>
      </c>
      <c r="AE878" s="145">
        <v>0</v>
      </c>
      <c r="AF878" s="145">
        <v>0</v>
      </c>
      <c r="AG878" s="145">
        <v>0</v>
      </c>
      <c r="AH878" s="145">
        <v>0</v>
      </c>
      <c r="AI878" s="145">
        <v>0</v>
      </c>
      <c r="AJ878" s="145">
        <v>887400</v>
      </c>
      <c r="AK878" s="145">
        <f t="shared" si="266"/>
        <v>887400</v>
      </c>
      <c r="AL878" s="145">
        <v>4042600</v>
      </c>
      <c r="AM878" s="145">
        <v>0</v>
      </c>
      <c r="AN878" s="145">
        <v>0</v>
      </c>
      <c r="AO878" s="145">
        <v>0</v>
      </c>
      <c r="AP878" s="145">
        <v>0</v>
      </c>
      <c r="AQ878" s="145">
        <v>0</v>
      </c>
      <c r="AR878" s="145">
        <v>0</v>
      </c>
      <c r="AS878" s="145">
        <f t="shared" si="263"/>
        <v>4930000</v>
      </c>
      <c r="AT878" s="145"/>
      <c r="AU878" s="139">
        <f t="shared" si="267"/>
        <v>4930000</v>
      </c>
      <c r="AV878" s="146">
        <f>IFERROR(VLOOKUP(J878,Maksājumu_pieprasījumu_iesn.!G:BL,57,0),0)</f>
        <v>0</v>
      </c>
      <c r="AW878" s="139">
        <f t="shared" si="256"/>
        <v>-4930000</v>
      </c>
      <c r="AX878" s="147">
        <f t="shared" si="264"/>
        <v>0</v>
      </c>
      <c r="AY878" s="153"/>
      <c r="AZ878" s="153"/>
      <c r="BA878" s="136"/>
      <c r="BB878" s="145"/>
      <c r="BC878" s="145"/>
      <c r="BD878" s="145"/>
      <c r="BE878" s="145"/>
      <c r="BF878" s="145"/>
      <c r="BG878" s="145"/>
      <c r="BH878" s="138"/>
      <c r="BI878" s="138"/>
      <c r="BJ878" s="138"/>
      <c r="BK878" s="138"/>
      <c r="BL878" s="138"/>
      <c r="BM878" s="138"/>
      <c r="BN878" s="138"/>
    </row>
    <row r="879" spans="1:66" s="91" customFormat="1" ht="38.25" hidden="1" customHeight="1" x14ac:dyDescent="0.2">
      <c r="A879" s="324" t="s">
        <v>1952</v>
      </c>
      <c r="B879" s="18" t="s">
        <v>150</v>
      </c>
      <c r="C879" s="18" t="s">
        <v>151</v>
      </c>
      <c r="D879" s="19" t="s">
        <v>578</v>
      </c>
      <c r="E879" s="55" t="s">
        <v>3</v>
      </c>
      <c r="F879" s="55" t="s">
        <v>29</v>
      </c>
      <c r="G879" s="55" t="s">
        <v>102</v>
      </c>
      <c r="H879" s="55" t="s">
        <v>3</v>
      </c>
      <c r="I879" s="55"/>
      <c r="J879" s="55"/>
      <c r="K879" s="19" t="s">
        <v>98</v>
      </c>
      <c r="L879" s="19"/>
      <c r="M879" s="19"/>
      <c r="N879" s="19" t="s">
        <v>2008</v>
      </c>
      <c r="O879" s="151">
        <v>43008</v>
      </c>
      <c r="P879" s="151"/>
      <c r="Q879" s="151"/>
      <c r="R879" s="151"/>
      <c r="S879" s="152">
        <v>4930000</v>
      </c>
      <c r="T879" s="152"/>
      <c r="U879" s="145">
        <v>0</v>
      </c>
      <c r="V879" s="145">
        <v>0</v>
      </c>
      <c r="W879" s="145">
        <v>0</v>
      </c>
      <c r="X879" s="145">
        <f t="shared" si="265"/>
        <v>0</v>
      </c>
      <c r="Y879" s="145">
        <v>0</v>
      </c>
      <c r="Z879" s="145">
        <v>0</v>
      </c>
      <c r="AA879" s="145">
        <v>0</v>
      </c>
      <c r="AB879" s="145">
        <v>0</v>
      </c>
      <c r="AC879" s="145">
        <v>0</v>
      </c>
      <c r="AD879" s="145">
        <v>0</v>
      </c>
      <c r="AE879" s="145">
        <v>0</v>
      </c>
      <c r="AF879" s="145">
        <v>0</v>
      </c>
      <c r="AG879" s="145">
        <v>0</v>
      </c>
      <c r="AH879" s="145">
        <v>0</v>
      </c>
      <c r="AI879" s="145">
        <v>0</v>
      </c>
      <c r="AJ879" s="145">
        <v>0</v>
      </c>
      <c r="AK879" s="145">
        <f t="shared" si="266"/>
        <v>0</v>
      </c>
      <c r="AL879" s="145">
        <v>3352400</v>
      </c>
      <c r="AM879" s="145">
        <v>1577600</v>
      </c>
      <c r="AN879" s="145">
        <v>0</v>
      </c>
      <c r="AO879" s="145">
        <v>0</v>
      </c>
      <c r="AP879" s="145">
        <v>0</v>
      </c>
      <c r="AQ879" s="145">
        <v>0</v>
      </c>
      <c r="AR879" s="145">
        <v>0</v>
      </c>
      <c r="AS879" s="145">
        <f t="shared" si="263"/>
        <v>4930000</v>
      </c>
      <c r="AT879" s="145"/>
      <c r="AU879" s="139">
        <f t="shared" si="267"/>
        <v>4930000</v>
      </c>
      <c r="AV879" s="146">
        <f>IFERROR(VLOOKUP(J879,Maksājumu_pieprasījumu_iesn.!G:BL,57,0),0)</f>
        <v>0</v>
      </c>
      <c r="AW879" s="139">
        <f t="shared" si="256"/>
        <v>-4930000</v>
      </c>
      <c r="AX879" s="147">
        <f t="shared" si="264"/>
        <v>0</v>
      </c>
      <c r="AY879" s="153"/>
      <c r="AZ879" s="153"/>
      <c r="BA879" s="136"/>
      <c r="BB879" s="145"/>
      <c r="BC879" s="145"/>
      <c r="BD879" s="145"/>
      <c r="BE879" s="145"/>
      <c r="BF879" s="145"/>
      <c r="BG879" s="145"/>
      <c r="BH879" s="138"/>
      <c r="BI879" s="138"/>
      <c r="BJ879" s="138"/>
      <c r="BK879" s="138"/>
      <c r="BL879" s="138"/>
      <c r="BM879" s="138"/>
      <c r="BN879" s="138"/>
    </row>
    <row r="880" spans="1:66" s="91" customFormat="1" ht="38.25" hidden="1" customHeight="1" x14ac:dyDescent="0.2">
      <c r="A880" s="324" t="s">
        <v>1952</v>
      </c>
      <c r="B880" s="18" t="s">
        <v>150</v>
      </c>
      <c r="C880" s="18" t="s">
        <v>151</v>
      </c>
      <c r="D880" s="19" t="s">
        <v>578</v>
      </c>
      <c r="E880" s="55" t="s">
        <v>3</v>
      </c>
      <c r="F880" s="55" t="s">
        <v>29</v>
      </c>
      <c r="G880" s="55" t="s">
        <v>102</v>
      </c>
      <c r="H880" s="55" t="s">
        <v>3</v>
      </c>
      <c r="I880" s="55"/>
      <c r="J880" s="55"/>
      <c r="K880" s="19" t="s">
        <v>98</v>
      </c>
      <c r="L880" s="19"/>
      <c r="M880" s="19"/>
      <c r="N880" s="19" t="s">
        <v>2009</v>
      </c>
      <c r="O880" s="151"/>
      <c r="P880" s="151"/>
      <c r="Q880" s="151"/>
      <c r="R880" s="151"/>
      <c r="S880" s="152"/>
      <c r="T880" s="152"/>
      <c r="U880" s="145">
        <v>0</v>
      </c>
      <c r="V880" s="145">
        <v>0</v>
      </c>
      <c r="W880" s="145">
        <v>0</v>
      </c>
      <c r="X880" s="145">
        <f t="shared" si="265"/>
        <v>0</v>
      </c>
      <c r="Y880" s="145">
        <v>0</v>
      </c>
      <c r="Z880" s="145">
        <v>0</v>
      </c>
      <c r="AA880" s="145">
        <v>0</v>
      </c>
      <c r="AB880" s="145">
        <v>0</v>
      </c>
      <c r="AC880" s="145">
        <v>0</v>
      </c>
      <c r="AD880" s="145">
        <v>0</v>
      </c>
      <c r="AE880" s="145">
        <v>0</v>
      </c>
      <c r="AF880" s="145">
        <v>0</v>
      </c>
      <c r="AG880" s="145">
        <v>0</v>
      </c>
      <c r="AH880" s="145">
        <v>0</v>
      </c>
      <c r="AI880" s="145">
        <v>0</v>
      </c>
      <c r="AJ880" s="145">
        <v>0</v>
      </c>
      <c r="AK880" s="145">
        <f t="shared" si="266"/>
        <v>0</v>
      </c>
      <c r="AL880" s="145">
        <v>0</v>
      </c>
      <c r="AM880" s="145">
        <v>0</v>
      </c>
      <c r="AN880" s="145">
        <v>0</v>
      </c>
      <c r="AO880" s="145">
        <v>0</v>
      </c>
      <c r="AP880" s="145">
        <v>0</v>
      </c>
      <c r="AQ880" s="145">
        <v>0</v>
      </c>
      <c r="AR880" s="145">
        <v>0</v>
      </c>
      <c r="AS880" s="145">
        <f t="shared" si="263"/>
        <v>0</v>
      </c>
      <c r="AT880" s="145"/>
      <c r="AU880" s="139">
        <f t="shared" si="267"/>
        <v>0</v>
      </c>
      <c r="AV880" s="146">
        <f>IFERROR(VLOOKUP(J880,Maksājumu_pieprasījumu_iesn.!G:BL,57,0),0)</f>
        <v>0</v>
      </c>
      <c r="AW880" s="139">
        <f t="shared" si="256"/>
        <v>0</v>
      </c>
      <c r="AX880" s="147">
        <f t="shared" si="264"/>
        <v>0</v>
      </c>
      <c r="AY880" s="153"/>
      <c r="AZ880" s="153"/>
      <c r="BA880" s="136"/>
      <c r="BB880" s="145"/>
      <c r="BC880" s="145"/>
      <c r="BD880" s="145"/>
      <c r="BE880" s="145"/>
      <c r="BF880" s="145"/>
      <c r="BG880" s="145"/>
      <c r="BH880" s="138"/>
      <c r="BI880" s="138"/>
      <c r="BJ880" s="138"/>
      <c r="BK880" s="138"/>
      <c r="BL880" s="138"/>
      <c r="BM880" s="138"/>
      <c r="BN880" s="138"/>
    </row>
    <row r="881" spans="1:66" s="91" customFormat="1" ht="38.25" hidden="1" customHeight="1" x14ac:dyDescent="0.2">
      <c r="A881" s="324" t="s">
        <v>1952</v>
      </c>
      <c r="B881" s="18" t="s">
        <v>150</v>
      </c>
      <c r="C881" s="18" t="s">
        <v>151</v>
      </c>
      <c r="D881" s="19" t="s">
        <v>578</v>
      </c>
      <c r="E881" s="55" t="s">
        <v>3</v>
      </c>
      <c r="F881" s="55" t="s">
        <v>29</v>
      </c>
      <c r="G881" s="55" t="s">
        <v>102</v>
      </c>
      <c r="H881" s="55" t="s">
        <v>3</v>
      </c>
      <c r="I881" s="55"/>
      <c r="J881" s="55"/>
      <c r="K881" s="19" t="s">
        <v>98</v>
      </c>
      <c r="L881" s="19"/>
      <c r="M881" s="19"/>
      <c r="N881" s="19" t="s">
        <v>2010</v>
      </c>
      <c r="O881" s="151"/>
      <c r="P881" s="151"/>
      <c r="Q881" s="151"/>
      <c r="R881" s="151"/>
      <c r="S881" s="152"/>
      <c r="T881" s="152"/>
      <c r="U881" s="145">
        <v>0</v>
      </c>
      <c r="V881" s="145">
        <v>0</v>
      </c>
      <c r="W881" s="145">
        <v>0</v>
      </c>
      <c r="X881" s="145">
        <f t="shared" si="265"/>
        <v>0</v>
      </c>
      <c r="Y881" s="145">
        <v>0</v>
      </c>
      <c r="Z881" s="145">
        <v>0</v>
      </c>
      <c r="AA881" s="145">
        <v>0</v>
      </c>
      <c r="AB881" s="145">
        <v>0</v>
      </c>
      <c r="AC881" s="145">
        <v>0</v>
      </c>
      <c r="AD881" s="145">
        <v>0</v>
      </c>
      <c r="AE881" s="145">
        <v>0</v>
      </c>
      <c r="AF881" s="145">
        <v>0</v>
      </c>
      <c r="AG881" s="145">
        <v>0</v>
      </c>
      <c r="AH881" s="145">
        <v>0</v>
      </c>
      <c r="AI881" s="145">
        <v>0</v>
      </c>
      <c r="AJ881" s="145">
        <v>0</v>
      </c>
      <c r="AK881" s="145">
        <f t="shared" si="266"/>
        <v>0</v>
      </c>
      <c r="AL881" s="145">
        <v>0</v>
      </c>
      <c r="AM881" s="145">
        <v>0</v>
      </c>
      <c r="AN881" s="145">
        <v>0</v>
      </c>
      <c r="AO881" s="145">
        <v>0</v>
      </c>
      <c r="AP881" s="145">
        <v>0</v>
      </c>
      <c r="AQ881" s="145">
        <v>0</v>
      </c>
      <c r="AR881" s="145">
        <v>0</v>
      </c>
      <c r="AS881" s="145">
        <f t="shared" si="263"/>
        <v>0</v>
      </c>
      <c r="AT881" s="145"/>
      <c r="AU881" s="139">
        <f t="shared" si="267"/>
        <v>0</v>
      </c>
      <c r="AV881" s="146">
        <f>IFERROR(VLOOKUP(J881,Maksājumu_pieprasījumu_iesn.!G:BL,57,0),0)</f>
        <v>0</v>
      </c>
      <c r="AW881" s="139">
        <f t="shared" si="256"/>
        <v>0</v>
      </c>
      <c r="AX881" s="147">
        <f t="shared" si="264"/>
        <v>0</v>
      </c>
      <c r="AY881" s="153"/>
      <c r="AZ881" s="153"/>
      <c r="BA881" s="136"/>
      <c r="BB881" s="145"/>
      <c r="BC881" s="145"/>
      <c r="BD881" s="145"/>
      <c r="BE881" s="145"/>
      <c r="BF881" s="145"/>
      <c r="BG881" s="145"/>
      <c r="BH881" s="138"/>
      <c r="BI881" s="138"/>
      <c r="BJ881" s="138"/>
      <c r="BK881" s="138"/>
      <c r="BL881" s="138"/>
      <c r="BM881" s="138"/>
      <c r="BN881" s="138"/>
    </row>
    <row r="882" spans="1:66" s="91" customFormat="1" ht="38.25" hidden="1" customHeight="1" x14ac:dyDescent="0.2">
      <c r="A882" s="324" t="s">
        <v>1952</v>
      </c>
      <c r="B882" s="18" t="s">
        <v>150</v>
      </c>
      <c r="C882" s="18" t="s">
        <v>151</v>
      </c>
      <c r="D882" s="19" t="s">
        <v>578</v>
      </c>
      <c r="E882" s="55" t="s">
        <v>3</v>
      </c>
      <c r="F882" s="55" t="s">
        <v>29</v>
      </c>
      <c r="G882" s="55" t="s">
        <v>102</v>
      </c>
      <c r="H882" s="55" t="s">
        <v>3</v>
      </c>
      <c r="I882" s="55"/>
      <c r="J882" s="55"/>
      <c r="K882" s="19" t="s">
        <v>98</v>
      </c>
      <c r="L882" s="19"/>
      <c r="M882" s="19"/>
      <c r="N882" s="19" t="s">
        <v>2011</v>
      </c>
      <c r="O882" s="151"/>
      <c r="P882" s="151"/>
      <c r="Q882" s="151"/>
      <c r="R882" s="151"/>
      <c r="S882" s="152"/>
      <c r="T882" s="152"/>
      <c r="U882" s="145">
        <v>0</v>
      </c>
      <c r="V882" s="145">
        <v>0</v>
      </c>
      <c r="W882" s="145">
        <v>0</v>
      </c>
      <c r="X882" s="145">
        <f t="shared" si="265"/>
        <v>0</v>
      </c>
      <c r="Y882" s="145">
        <v>0</v>
      </c>
      <c r="Z882" s="145">
        <v>0</v>
      </c>
      <c r="AA882" s="145">
        <v>0</v>
      </c>
      <c r="AB882" s="145">
        <v>0</v>
      </c>
      <c r="AC882" s="145">
        <v>0</v>
      </c>
      <c r="AD882" s="145">
        <v>0</v>
      </c>
      <c r="AE882" s="145">
        <v>0</v>
      </c>
      <c r="AF882" s="145">
        <v>0</v>
      </c>
      <c r="AG882" s="145">
        <v>0</v>
      </c>
      <c r="AH882" s="145">
        <v>0</v>
      </c>
      <c r="AI882" s="145">
        <v>0</v>
      </c>
      <c r="AJ882" s="145">
        <v>0</v>
      </c>
      <c r="AK882" s="145">
        <f t="shared" si="266"/>
        <v>0</v>
      </c>
      <c r="AL882" s="145">
        <v>0</v>
      </c>
      <c r="AM882" s="145">
        <v>0</v>
      </c>
      <c r="AN882" s="145">
        <v>0</v>
      </c>
      <c r="AO882" s="145">
        <v>0</v>
      </c>
      <c r="AP882" s="145">
        <v>0</v>
      </c>
      <c r="AQ882" s="145">
        <v>0</v>
      </c>
      <c r="AR882" s="145">
        <v>0</v>
      </c>
      <c r="AS882" s="145">
        <f t="shared" si="263"/>
        <v>0</v>
      </c>
      <c r="AT882" s="145"/>
      <c r="AU882" s="139">
        <f t="shared" si="267"/>
        <v>0</v>
      </c>
      <c r="AV882" s="146">
        <f>IFERROR(VLOOKUP(J882,Maksājumu_pieprasījumu_iesn.!G:BL,57,0),0)</f>
        <v>0</v>
      </c>
      <c r="AW882" s="139">
        <f t="shared" si="256"/>
        <v>0</v>
      </c>
      <c r="AX882" s="147">
        <f t="shared" si="264"/>
        <v>0</v>
      </c>
      <c r="AY882" s="153"/>
      <c r="AZ882" s="153"/>
      <c r="BA882" s="136"/>
      <c r="BB882" s="145"/>
      <c r="BC882" s="145"/>
      <c r="BD882" s="145"/>
      <c r="BE882" s="145"/>
      <c r="BF882" s="145"/>
      <c r="BG882" s="145"/>
      <c r="BH882" s="138"/>
      <c r="BI882" s="138"/>
      <c r="BJ882" s="138"/>
      <c r="BK882" s="138"/>
      <c r="BL882" s="138"/>
      <c r="BM882" s="138"/>
      <c r="BN882" s="138"/>
    </row>
    <row r="883" spans="1:66" s="91" customFormat="1" ht="63.75" hidden="1" customHeight="1" x14ac:dyDescent="0.2">
      <c r="A883" s="324" t="s">
        <v>1952</v>
      </c>
      <c r="B883" s="18" t="s">
        <v>150</v>
      </c>
      <c r="C883" s="18" t="s">
        <v>151</v>
      </c>
      <c r="D883" s="19" t="s">
        <v>578</v>
      </c>
      <c r="E883" s="55" t="s">
        <v>3</v>
      </c>
      <c r="F883" s="55" t="s">
        <v>29</v>
      </c>
      <c r="G883" s="55" t="s">
        <v>102</v>
      </c>
      <c r="H883" s="55" t="s">
        <v>3</v>
      </c>
      <c r="I883" s="55"/>
      <c r="J883" s="55"/>
      <c r="K883" s="19" t="s">
        <v>98</v>
      </c>
      <c r="L883" s="19"/>
      <c r="M883" s="19"/>
      <c r="N883" s="19" t="s">
        <v>2012</v>
      </c>
      <c r="O883" s="151"/>
      <c r="P883" s="151"/>
      <c r="Q883" s="151"/>
      <c r="R883" s="151"/>
      <c r="S883" s="152"/>
      <c r="T883" s="152"/>
      <c r="U883" s="145">
        <v>0</v>
      </c>
      <c r="V883" s="145">
        <v>0</v>
      </c>
      <c r="W883" s="145">
        <v>0</v>
      </c>
      <c r="X883" s="145">
        <f t="shared" si="265"/>
        <v>0</v>
      </c>
      <c r="Y883" s="145">
        <v>0</v>
      </c>
      <c r="Z883" s="145">
        <v>0</v>
      </c>
      <c r="AA883" s="145">
        <v>0</v>
      </c>
      <c r="AB883" s="145">
        <v>0</v>
      </c>
      <c r="AC883" s="145">
        <v>0</v>
      </c>
      <c r="AD883" s="145">
        <v>0</v>
      </c>
      <c r="AE883" s="145">
        <v>0</v>
      </c>
      <c r="AF883" s="145">
        <v>0</v>
      </c>
      <c r="AG883" s="145">
        <v>0</v>
      </c>
      <c r="AH883" s="145">
        <v>0</v>
      </c>
      <c r="AI883" s="145">
        <v>0</v>
      </c>
      <c r="AJ883" s="145">
        <v>0</v>
      </c>
      <c r="AK883" s="145">
        <f t="shared" si="266"/>
        <v>0</v>
      </c>
      <c r="AL883" s="145">
        <v>0</v>
      </c>
      <c r="AM883" s="145">
        <v>0</v>
      </c>
      <c r="AN883" s="145">
        <v>0</v>
      </c>
      <c r="AO883" s="145">
        <v>0</v>
      </c>
      <c r="AP883" s="145">
        <v>0</v>
      </c>
      <c r="AQ883" s="145">
        <v>0</v>
      </c>
      <c r="AR883" s="145">
        <v>0</v>
      </c>
      <c r="AS883" s="145">
        <f t="shared" si="263"/>
        <v>0</v>
      </c>
      <c r="AT883" s="145"/>
      <c r="AU883" s="139">
        <f t="shared" si="267"/>
        <v>0</v>
      </c>
      <c r="AV883" s="146">
        <f>IFERROR(VLOOKUP(J883,Maksājumu_pieprasījumu_iesn.!G:BL,57,0),0)</f>
        <v>0</v>
      </c>
      <c r="AW883" s="139">
        <f t="shared" si="256"/>
        <v>0</v>
      </c>
      <c r="AX883" s="147">
        <f t="shared" si="264"/>
        <v>0</v>
      </c>
      <c r="AY883" s="153"/>
      <c r="AZ883" s="153"/>
      <c r="BA883" s="136"/>
      <c r="BB883" s="145"/>
      <c r="BC883" s="145"/>
      <c r="BD883" s="145"/>
      <c r="BE883" s="145"/>
      <c r="BF883" s="145"/>
      <c r="BG883" s="145"/>
      <c r="BH883" s="138"/>
      <c r="BI883" s="138"/>
      <c r="BJ883" s="138"/>
      <c r="BK883" s="138"/>
      <c r="BL883" s="138"/>
      <c r="BM883" s="138"/>
      <c r="BN883" s="138"/>
    </row>
    <row r="884" spans="1:66" ht="38.25" hidden="1" customHeight="1" x14ac:dyDescent="0.2">
      <c r="A884" s="322" t="s">
        <v>1952</v>
      </c>
      <c r="B884" s="18" t="s">
        <v>150</v>
      </c>
      <c r="C884" s="18" t="s">
        <v>151</v>
      </c>
      <c r="D884" s="19" t="s">
        <v>578</v>
      </c>
      <c r="E884" s="18" t="s">
        <v>3</v>
      </c>
      <c r="F884" s="18" t="s">
        <v>29</v>
      </c>
      <c r="G884" s="18" t="s">
        <v>102</v>
      </c>
      <c r="H884" s="18" t="s">
        <v>3</v>
      </c>
      <c r="I884" s="18"/>
      <c r="J884" s="18" t="s">
        <v>2013</v>
      </c>
      <c r="K884" s="19" t="s">
        <v>98</v>
      </c>
      <c r="L884" s="19"/>
      <c r="M884" s="19"/>
      <c r="N884" s="19" t="s">
        <v>2014</v>
      </c>
      <c r="O884" s="143"/>
      <c r="P884" s="143"/>
      <c r="Q884" s="143"/>
      <c r="R884" s="187" t="s">
        <v>2004</v>
      </c>
      <c r="S884" s="144">
        <v>3769040.12</v>
      </c>
      <c r="T884" s="172"/>
      <c r="U884" s="145">
        <v>0</v>
      </c>
      <c r="V884" s="145">
        <v>0</v>
      </c>
      <c r="W884" s="145">
        <v>0</v>
      </c>
      <c r="X884" s="145">
        <f t="shared" si="265"/>
        <v>0</v>
      </c>
      <c r="Y884" s="145">
        <v>0</v>
      </c>
      <c r="Z884" s="145">
        <v>0</v>
      </c>
      <c r="AA884" s="145">
        <v>0</v>
      </c>
      <c r="AB884" s="145">
        <v>0</v>
      </c>
      <c r="AC884" s="145">
        <v>0</v>
      </c>
      <c r="AD884" s="145">
        <v>0</v>
      </c>
      <c r="AE884" s="145">
        <v>0</v>
      </c>
      <c r="AF884" s="145">
        <v>0</v>
      </c>
      <c r="AG884" s="145">
        <v>0</v>
      </c>
      <c r="AH884" s="145">
        <v>0</v>
      </c>
      <c r="AI884" s="145">
        <v>0</v>
      </c>
      <c r="AJ884" s="145">
        <v>0</v>
      </c>
      <c r="AK884" s="145">
        <f t="shared" si="266"/>
        <v>0</v>
      </c>
      <c r="AL884" s="145">
        <v>3769040.12</v>
      </c>
      <c r="AM884" s="145">
        <v>0</v>
      </c>
      <c r="AN884" s="145">
        <v>0</v>
      </c>
      <c r="AO884" s="145">
        <v>0</v>
      </c>
      <c r="AP884" s="145">
        <v>0</v>
      </c>
      <c r="AQ884" s="145">
        <v>0</v>
      </c>
      <c r="AR884" s="145">
        <v>0</v>
      </c>
      <c r="AS884" s="144">
        <f t="shared" si="263"/>
        <v>3769040.12</v>
      </c>
      <c r="AT884" s="144">
        <v>0</v>
      </c>
      <c r="AU884" s="146">
        <f t="shared" si="267"/>
        <v>3769040.12</v>
      </c>
      <c r="AV884" s="146">
        <f>IFERROR(VLOOKUP(J884,Maksājumu_pieprasījumu_iesn.!G:BL,57,0),0)</f>
        <v>0</v>
      </c>
      <c r="AW884" s="139">
        <f t="shared" si="256"/>
        <v>-3769040.12</v>
      </c>
      <c r="AX884" s="147">
        <f t="shared" si="264"/>
        <v>0</v>
      </c>
      <c r="AY884" s="147"/>
      <c r="AZ884" s="147"/>
      <c r="BA884" s="165"/>
      <c r="BB884" s="144"/>
      <c r="BC884" s="144"/>
      <c r="BD884" s="144"/>
      <c r="BE884" s="144"/>
      <c r="BF884" s="144"/>
      <c r="BG884" s="144"/>
      <c r="BH884" s="149"/>
      <c r="BI884" s="149"/>
      <c r="BJ884" s="149"/>
      <c r="BK884" s="149"/>
      <c r="BL884" s="149"/>
      <c r="BM884" s="149"/>
      <c r="BN884" s="149"/>
    </row>
    <row r="885" spans="1:66" s="91" customFormat="1" ht="25.5" hidden="1" customHeight="1" x14ac:dyDescent="0.2">
      <c r="A885" s="324" t="s">
        <v>1952</v>
      </c>
      <c r="B885" s="18" t="s">
        <v>150</v>
      </c>
      <c r="C885" s="18" t="s">
        <v>151</v>
      </c>
      <c r="D885" s="19" t="s">
        <v>578</v>
      </c>
      <c r="E885" s="55" t="s">
        <v>3</v>
      </c>
      <c r="F885" s="55" t="s">
        <v>29</v>
      </c>
      <c r="G885" s="55" t="s">
        <v>102</v>
      </c>
      <c r="H885" s="55" t="s">
        <v>3</v>
      </c>
      <c r="I885" s="55"/>
      <c r="J885" s="55"/>
      <c r="K885" s="19" t="s">
        <v>98</v>
      </c>
      <c r="L885" s="19"/>
      <c r="M885" s="19"/>
      <c r="N885" s="19" t="s">
        <v>2015</v>
      </c>
      <c r="O885" s="151"/>
      <c r="P885" s="151"/>
      <c r="Q885" s="151"/>
      <c r="R885" s="151"/>
      <c r="S885" s="152"/>
      <c r="T885" s="152"/>
      <c r="U885" s="145">
        <v>0</v>
      </c>
      <c r="V885" s="145">
        <v>0</v>
      </c>
      <c r="W885" s="145">
        <v>0</v>
      </c>
      <c r="X885" s="145">
        <f t="shared" si="265"/>
        <v>0</v>
      </c>
      <c r="Y885" s="145">
        <v>0</v>
      </c>
      <c r="Z885" s="145">
        <v>0</v>
      </c>
      <c r="AA885" s="145">
        <v>0</v>
      </c>
      <c r="AB885" s="145">
        <v>0</v>
      </c>
      <c r="AC885" s="145">
        <v>0</v>
      </c>
      <c r="AD885" s="145">
        <v>0</v>
      </c>
      <c r="AE885" s="145">
        <v>0</v>
      </c>
      <c r="AF885" s="145">
        <v>0</v>
      </c>
      <c r="AG885" s="145">
        <v>0</v>
      </c>
      <c r="AH885" s="145">
        <v>0</v>
      </c>
      <c r="AI885" s="145">
        <v>0</v>
      </c>
      <c r="AJ885" s="145">
        <v>0</v>
      </c>
      <c r="AK885" s="145">
        <f t="shared" si="266"/>
        <v>0</v>
      </c>
      <c r="AL885" s="145">
        <v>0</v>
      </c>
      <c r="AM885" s="145">
        <v>0</v>
      </c>
      <c r="AN885" s="145">
        <v>0</v>
      </c>
      <c r="AO885" s="145">
        <v>0</v>
      </c>
      <c r="AP885" s="145">
        <v>0</v>
      </c>
      <c r="AQ885" s="145">
        <v>0</v>
      </c>
      <c r="AR885" s="145">
        <v>0</v>
      </c>
      <c r="AS885" s="145">
        <f t="shared" si="263"/>
        <v>0</v>
      </c>
      <c r="AT885" s="145"/>
      <c r="AU885" s="139">
        <f t="shared" si="267"/>
        <v>0</v>
      </c>
      <c r="AV885" s="146">
        <f>IFERROR(VLOOKUP(J885,Maksājumu_pieprasījumu_iesn.!G:BL,57,0),0)</f>
        <v>0</v>
      </c>
      <c r="AW885" s="139">
        <f t="shared" si="256"/>
        <v>0</v>
      </c>
      <c r="AX885" s="147">
        <f t="shared" si="264"/>
        <v>0</v>
      </c>
      <c r="AY885" s="153"/>
      <c r="AZ885" s="153"/>
      <c r="BA885" s="136"/>
      <c r="BB885" s="145"/>
      <c r="BC885" s="145"/>
      <c r="BD885" s="145"/>
      <c r="BE885" s="145"/>
      <c r="BF885" s="145"/>
      <c r="BG885" s="145"/>
      <c r="BH885" s="138"/>
      <c r="BI885" s="138"/>
      <c r="BJ885" s="138"/>
      <c r="BK885" s="138"/>
      <c r="BL885" s="138"/>
      <c r="BM885" s="138"/>
      <c r="BN885" s="138"/>
    </row>
    <row r="886" spans="1:66" s="91" customFormat="1" ht="51" hidden="1" customHeight="1" x14ac:dyDescent="0.2">
      <c r="A886" s="324" t="s">
        <v>1952</v>
      </c>
      <c r="B886" s="18" t="s">
        <v>150</v>
      </c>
      <c r="C886" s="18" t="s">
        <v>151</v>
      </c>
      <c r="D886" s="19" t="s">
        <v>578</v>
      </c>
      <c r="E886" s="55" t="s">
        <v>3</v>
      </c>
      <c r="F886" s="55" t="s">
        <v>29</v>
      </c>
      <c r="G886" s="55" t="s">
        <v>102</v>
      </c>
      <c r="H886" s="55" t="s">
        <v>3</v>
      </c>
      <c r="I886" s="55"/>
      <c r="J886" s="55" t="s">
        <v>1593</v>
      </c>
      <c r="K886" s="19" t="s">
        <v>98</v>
      </c>
      <c r="L886" s="19"/>
      <c r="M886" s="19"/>
      <c r="N886" s="19"/>
      <c r="O886" s="151"/>
      <c r="P886" s="151"/>
      <c r="Q886" s="151"/>
      <c r="R886" s="151"/>
      <c r="S886" s="152">
        <f>S858-T858-SUM(S859:S884)</f>
        <v>138429.13513365388</v>
      </c>
      <c r="T886" s="152"/>
      <c r="U886" s="145"/>
      <c r="V886" s="145"/>
      <c r="W886" s="145"/>
      <c r="X886" s="145">
        <f t="shared" si="265"/>
        <v>0</v>
      </c>
      <c r="Y886" s="145"/>
      <c r="Z886" s="145"/>
      <c r="AA886" s="145"/>
      <c r="AB886" s="145"/>
      <c r="AC886" s="145"/>
      <c r="AD886" s="145"/>
      <c r="AE886" s="145"/>
      <c r="AF886" s="145"/>
      <c r="AG886" s="145"/>
      <c r="AH886" s="145"/>
      <c r="AI886" s="145"/>
      <c r="AJ886" s="145"/>
      <c r="AK886" s="145"/>
      <c r="AL886" s="145"/>
      <c r="AM886" s="145"/>
      <c r="AN886" s="145"/>
      <c r="AO886" s="145"/>
      <c r="AP886" s="145"/>
      <c r="AQ886" s="145"/>
      <c r="AR886" s="145"/>
      <c r="AS886" s="153">
        <v>3483187.0351336598</v>
      </c>
      <c r="AT886" s="145"/>
      <c r="AU886" s="139"/>
      <c r="AV886" s="146">
        <f>IFERROR(VLOOKUP(J886,Maksājumu_pieprasījumu_iesn.!G:BL,57,0),0)</f>
        <v>0</v>
      </c>
      <c r="AW886" s="139">
        <f t="shared" si="256"/>
        <v>0</v>
      </c>
      <c r="AX886" s="153"/>
      <c r="AY886" s="153">
        <v>3483187.0351336598</v>
      </c>
      <c r="AZ886" s="153"/>
      <c r="BA886" s="138" t="s">
        <v>2016</v>
      </c>
      <c r="BB886" s="145"/>
      <c r="BC886" s="145"/>
      <c r="BD886" s="145"/>
      <c r="BE886" s="145"/>
      <c r="BF886" s="145"/>
      <c r="BG886" s="145"/>
      <c r="BH886" s="138"/>
      <c r="BI886" s="138"/>
      <c r="BJ886" s="138"/>
      <c r="BK886" s="138"/>
      <c r="BL886" s="138"/>
      <c r="BM886" s="138"/>
      <c r="BN886" s="138"/>
    </row>
    <row r="887" spans="1:66" s="91" customFormat="1" ht="25.5" hidden="1" x14ac:dyDescent="0.2">
      <c r="A887" s="127" t="s">
        <v>1952</v>
      </c>
      <c r="B887" s="127" t="s">
        <v>2017</v>
      </c>
      <c r="C887" s="127" t="s">
        <v>1023</v>
      </c>
      <c r="D887" s="128" t="s">
        <v>2018</v>
      </c>
      <c r="E887" s="127"/>
      <c r="F887" s="127"/>
      <c r="G887" s="127" t="s">
        <v>102</v>
      </c>
      <c r="H887" s="127"/>
      <c r="I887" s="127"/>
      <c r="J887" s="127"/>
      <c r="K887" s="128"/>
      <c r="L887" s="128"/>
      <c r="M887" s="128"/>
      <c r="N887" s="128"/>
      <c r="O887" s="163"/>
      <c r="P887" s="163"/>
      <c r="Q887" s="163"/>
      <c r="R887" s="163"/>
      <c r="S887" s="164">
        <f>S888+S890</f>
        <v>453927366</v>
      </c>
      <c r="T887" s="164">
        <f>T888+T890</f>
        <v>28082986</v>
      </c>
      <c r="U887" s="164">
        <f>U888+U890</f>
        <v>0</v>
      </c>
      <c r="V887" s="164">
        <f>V888+V890</f>
        <v>0</v>
      </c>
      <c r="W887" s="164">
        <f>W888+W890</f>
        <v>0</v>
      </c>
      <c r="X887" s="129">
        <f>U887+V887+W887</f>
        <v>0</v>
      </c>
      <c r="Y887" s="164">
        <f t="shared" ref="Y887:AT887" si="268">Y888+Y890</f>
        <v>0</v>
      </c>
      <c r="Z887" s="164">
        <f t="shared" si="268"/>
        <v>0</v>
      </c>
      <c r="AA887" s="164">
        <f t="shared" si="268"/>
        <v>0</v>
      </c>
      <c r="AB887" s="164">
        <f t="shared" si="268"/>
        <v>0</v>
      </c>
      <c r="AC887" s="164">
        <f t="shared" si="268"/>
        <v>0</v>
      </c>
      <c r="AD887" s="164">
        <f t="shared" si="268"/>
        <v>0</v>
      </c>
      <c r="AE887" s="164">
        <f t="shared" si="268"/>
        <v>0</v>
      </c>
      <c r="AF887" s="164">
        <f t="shared" si="268"/>
        <v>0</v>
      </c>
      <c r="AG887" s="164">
        <f t="shared" si="268"/>
        <v>0</v>
      </c>
      <c r="AH887" s="164">
        <f t="shared" si="268"/>
        <v>0</v>
      </c>
      <c r="AI887" s="164">
        <f t="shared" si="268"/>
        <v>0</v>
      </c>
      <c r="AJ887" s="164">
        <f t="shared" si="268"/>
        <v>0</v>
      </c>
      <c r="AK887" s="164">
        <f t="shared" si="268"/>
        <v>0</v>
      </c>
      <c r="AL887" s="164">
        <f t="shared" si="268"/>
        <v>110228936.5</v>
      </c>
      <c r="AM887" s="164">
        <f t="shared" si="268"/>
        <v>56693861.5</v>
      </c>
      <c r="AN887" s="164">
        <f t="shared" si="268"/>
        <v>71752749.055269331</v>
      </c>
      <c r="AO887" s="164">
        <f t="shared" si="268"/>
        <v>53917705.623276204</v>
      </c>
      <c r="AP887" s="164">
        <f t="shared" si="268"/>
        <v>51130853.321454473</v>
      </c>
      <c r="AQ887" s="164">
        <f t="shared" si="268"/>
        <v>82120274</v>
      </c>
      <c r="AR887" s="164">
        <f t="shared" si="268"/>
        <v>0</v>
      </c>
      <c r="AS887" s="164">
        <f t="shared" si="268"/>
        <v>425844380</v>
      </c>
      <c r="AT887" s="164">
        <f t="shared" si="268"/>
        <v>0</v>
      </c>
      <c r="AU887" s="183">
        <f t="shared" si="267"/>
        <v>425844380</v>
      </c>
      <c r="AV887" s="146">
        <f>IFERROR(VLOOKUP(J887,Maksājumu_pieprasījumu_iesn.!G:BL,57,0),0)</f>
        <v>0</v>
      </c>
      <c r="AW887" s="139">
        <f t="shared" si="256"/>
        <v>-425844380</v>
      </c>
      <c r="AX887" s="164">
        <f>AX888+AX890</f>
        <v>0</v>
      </c>
      <c r="AY887" s="164">
        <f>AY888+AY890</f>
        <v>0</v>
      </c>
      <c r="AZ887" s="164"/>
      <c r="BA887" s="164"/>
      <c r="BB887" s="164">
        <f>BB888+BB890</f>
        <v>0</v>
      </c>
      <c r="BC887" s="164">
        <f>BC888+BC890</f>
        <v>55114468.25</v>
      </c>
      <c r="BD887" s="129">
        <f>BC887*0.83</f>
        <v>45745008.647500001</v>
      </c>
      <c r="BE887" s="129">
        <f>BD887/0.85</f>
        <v>53817657.232352942</v>
      </c>
      <c r="BF887" s="164">
        <f>BF888+BF890</f>
        <v>0</v>
      </c>
      <c r="BG887" s="164">
        <f>BG888+BG890</f>
        <v>0</v>
      </c>
      <c r="BH887" s="129">
        <f>BH888+BH890</f>
        <v>0</v>
      </c>
      <c r="BI887" s="129">
        <f>BI888+BI890</f>
        <v>18319837.5</v>
      </c>
      <c r="BJ887" s="129">
        <f>AK887*0.83</f>
        <v>0</v>
      </c>
      <c r="BK887" s="129">
        <f>BJ887-BI887</f>
        <v>-18319837.5</v>
      </c>
      <c r="BL887" s="129">
        <f>BL888+BL890</f>
        <v>26729439.9888293</v>
      </c>
      <c r="BM887" s="129">
        <f>AL887*0.83</f>
        <v>91490017.295000002</v>
      </c>
      <c r="BN887" s="129">
        <f>BM887-BL887</f>
        <v>64760577.306170702</v>
      </c>
    </row>
    <row r="888" spans="1:66" s="91" customFormat="1" ht="25.5" hidden="1" customHeight="1" x14ac:dyDescent="0.2">
      <c r="A888" s="131" t="s">
        <v>1952</v>
      </c>
      <c r="B888" s="132" t="s">
        <v>2017</v>
      </c>
      <c r="C888" s="132" t="s">
        <v>2019</v>
      </c>
      <c r="D888" s="133" t="s">
        <v>2020</v>
      </c>
      <c r="E888" s="22" t="s">
        <v>3</v>
      </c>
      <c r="F888" s="22" t="s">
        <v>29</v>
      </c>
      <c r="G888" s="22" t="s">
        <v>102</v>
      </c>
      <c r="H888" s="22" t="s">
        <v>3</v>
      </c>
      <c r="I888" s="22" t="s">
        <v>1022</v>
      </c>
      <c r="J888" s="134" t="s">
        <v>1026</v>
      </c>
      <c r="K888" s="133"/>
      <c r="L888" s="133"/>
      <c r="M888" s="133"/>
      <c r="N888" s="133"/>
      <c r="O888" s="135"/>
      <c r="P888" s="135"/>
      <c r="Q888" s="135"/>
      <c r="R888" s="135"/>
      <c r="S888" s="136">
        <v>346639348.33333331</v>
      </c>
      <c r="T888" s="136">
        <v>28082986</v>
      </c>
      <c r="U888" s="137">
        <f>SUM(U889)</f>
        <v>0</v>
      </c>
      <c r="V888" s="137">
        <f>SUM(V889)</f>
        <v>0</v>
      </c>
      <c r="W888" s="137">
        <f>SUM(W889)</f>
        <v>0</v>
      </c>
      <c r="X888" s="138">
        <f>U888+V888+W888</f>
        <v>0</v>
      </c>
      <c r="Y888" s="137">
        <f t="shared" ref="Y888:AR888" si="269">SUM(Y889)</f>
        <v>0</v>
      </c>
      <c r="Z888" s="137">
        <f t="shared" si="269"/>
        <v>0</v>
      </c>
      <c r="AA888" s="137">
        <f t="shared" si="269"/>
        <v>0</v>
      </c>
      <c r="AB888" s="137">
        <f t="shared" si="269"/>
        <v>0</v>
      </c>
      <c r="AC888" s="137">
        <f t="shared" si="269"/>
        <v>0</v>
      </c>
      <c r="AD888" s="137">
        <f t="shared" si="269"/>
        <v>0</v>
      </c>
      <c r="AE888" s="137">
        <f t="shared" si="269"/>
        <v>0</v>
      </c>
      <c r="AF888" s="137">
        <f t="shared" si="269"/>
        <v>0</v>
      </c>
      <c r="AG888" s="137">
        <f t="shared" si="269"/>
        <v>0</v>
      </c>
      <c r="AH888" s="137">
        <f t="shared" si="269"/>
        <v>0</v>
      </c>
      <c r="AI888" s="137">
        <f t="shared" si="269"/>
        <v>0</v>
      </c>
      <c r="AJ888" s="137">
        <f t="shared" si="269"/>
        <v>0</v>
      </c>
      <c r="AK888" s="137">
        <f t="shared" si="269"/>
        <v>0</v>
      </c>
      <c r="AL888" s="137">
        <f t="shared" si="269"/>
        <v>69461449</v>
      </c>
      <c r="AM888" s="137">
        <f t="shared" si="269"/>
        <v>31391232</v>
      </c>
      <c r="AN888" s="137">
        <f t="shared" si="269"/>
        <v>42077609</v>
      </c>
      <c r="AO888" s="137">
        <f t="shared" si="269"/>
        <v>46752899</v>
      </c>
      <c r="AP888" s="137">
        <f t="shared" si="269"/>
        <v>46752899</v>
      </c>
      <c r="AQ888" s="137">
        <f t="shared" si="269"/>
        <v>82120274</v>
      </c>
      <c r="AR888" s="137">
        <f t="shared" si="269"/>
        <v>0</v>
      </c>
      <c r="AS888" s="137">
        <f t="shared" ref="AS888:AS895" si="270">U888+V888+W888+AK888+AL888+AM888+AN888+AO888+AP888+AQ888+AR888</f>
        <v>318556362</v>
      </c>
      <c r="AT888" s="137">
        <f>AT889</f>
        <v>0</v>
      </c>
      <c r="AU888" s="139">
        <f t="shared" si="267"/>
        <v>318556362</v>
      </c>
      <c r="AV888" s="146">
        <f>IFERROR(VLOOKUP(J888,Maksājumu_pieprasījumu_iesn.!G:BL,57,0),0)</f>
        <v>0</v>
      </c>
      <c r="AW888" s="139">
        <f t="shared" si="256"/>
        <v>-318556362</v>
      </c>
      <c r="AX888" s="140">
        <f>S888-T888-AU888</f>
        <v>0.33333331346511841</v>
      </c>
      <c r="AY888" s="137"/>
      <c r="AZ888" s="137"/>
      <c r="BA888" s="138"/>
      <c r="BB888" s="140"/>
      <c r="BC888" s="140">
        <f>X888+AK888+AL888/2</f>
        <v>34730724.5</v>
      </c>
      <c r="BD888" s="140"/>
      <c r="BE888" s="140">
        <f>BC888/0.85</f>
        <v>40859675.882352941</v>
      </c>
      <c r="BF888" s="137"/>
      <c r="BG888" s="137"/>
      <c r="BH888" s="138">
        <v>0</v>
      </c>
      <c r="BI888" s="138">
        <v>0</v>
      </c>
      <c r="BJ888" s="138"/>
      <c r="BK888" s="138"/>
      <c r="BL888" s="138">
        <v>0</v>
      </c>
      <c r="BM888" s="138"/>
      <c r="BN888" s="138"/>
    </row>
    <row r="889" spans="1:66" ht="25.5" hidden="1" customHeight="1" x14ac:dyDescent="0.2">
      <c r="A889" s="322" t="s">
        <v>1952</v>
      </c>
      <c r="B889" s="18" t="s">
        <v>2017</v>
      </c>
      <c r="C889" s="18" t="s">
        <v>2019</v>
      </c>
      <c r="D889" s="19" t="s">
        <v>2020</v>
      </c>
      <c r="E889" s="18" t="s">
        <v>3</v>
      </c>
      <c r="F889" s="18" t="s">
        <v>29</v>
      </c>
      <c r="G889" s="18" t="s">
        <v>102</v>
      </c>
      <c r="H889" s="18" t="s">
        <v>3</v>
      </c>
      <c r="I889" s="18"/>
      <c r="J889" s="56" t="s">
        <v>2021</v>
      </c>
      <c r="K889" s="344" t="s">
        <v>2022</v>
      </c>
      <c r="L889" s="19"/>
      <c r="M889" s="19"/>
      <c r="N889" s="344" t="s">
        <v>2023</v>
      </c>
      <c r="O889" s="143"/>
      <c r="P889" s="143"/>
      <c r="Q889" s="143"/>
      <c r="R889" s="187" t="s">
        <v>2024</v>
      </c>
      <c r="S889" s="144"/>
      <c r="T889" s="172"/>
      <c r="U889" s="145">
        <v>0</v>
      </c>
      <c r="V889" s="145">
        <v>0</v>
      </c>
      <c r="W889" s="145">
        <v>0</v>
      </c>
      <c r="X889" s="145">
        <f>W889+V889+U889</f>
        <v>0</v>
      </c>
      <c r="Y889" s="145">
        <v>0</v>
      </c>
      <c r="Z889" s="145">
        <v>0</v>
      </c>
      <c r="AA889" s="145">
        <v>0</v>
      </c>
      <c r="AB889" s="145">
        <v>0</v>
      </c>
      <c r="AC889" s="145">
        <v>0</v>
      </c>
      <c r="AD889" s="145">
        <v>0</v>
      </c>
      <c r="AE889" s="145">
        <v>0</v>
      </c>
      <c r="AF889" s="145">
        <v>0</v>
      </c>
      <c r="AG889" s="145">
        <v>0</v>
      </c>
      <c r="AH889" s="145">
        <v>0</v>
      </c>
      <c r="AI889" s="145">
        <v>0</v>
      </c>
      <c r="AJ889" s="145">
        <v>0</v>
      </c>
      <c r="AK889" s="145">
        <f>SUM(Y889:AJ889)</f>
        <v>0</v>
      </c>
      <c r="AL889" s="145">
        <v>69461449</v>
      </c>
      <c r="AM889" s="145">
        <v>31391232</v>
      </c>
      <c r="AN889" s="145">
        <v>42077609</v>
      </c>
      <c r="AO889" s="145">
        <v>46752899</v>
      </c>
      <c r="AP889" s="145">
        <v>46752899</v>
      </c>
      <c r="AQ889" s="145">
        <v>82120274</v>
      </c>
      <c r="AR889" s="145">
        <v>0</v>
      </c>
      <c r="AS889" s="144">
        <f t="shared" si="270"/>
        <v>318556362</v>
      </c>
      <c r="AT889" s="144">
        <v>0</v>
      </c>
      <c r="AU889" s="146">
        <f t="shared" si="267"/>
        <v>318556362</v>
      </c>
      <c r="AV889" s="146">
        <f>IFERROR(VLOOKUP(J889,Maksājumu_pieprasījumu_iesn.!G:BL,57,0),0)</f>
        <v>0</v>
      </c>
      <c r="AW889" s="139">
        <f t="shared" si="256"/>
        <v>-318556362</v>
      </c>
      <c r="AX889" s="147"/>
      <c r="AY889" s="147" t="s">
        <v>1085</v>
      </c>
      <c r="AZ889" s="147"/>
      <c r="BA889" s="165" t="s">
        <v>1086</v>
      </c>
      <c r="BB889" s="144"/>
      <c r="BC889" s="144"/>
      <c r="BD889" s="144"/>
      <c r="BE889" s="144"/>
      <c r="BF889" s="144"/>
      <c r="BG889" s="144"/>
      <c r="BH889" s="149"/>
      <c r="BI889" s="149"/>
      <c r="BJ889" s="149"/>
      <c r="BK889" s="149"/>
      <c r="BL889" s="149"/>
      <c r="BM889" s="149"/>
      <c r="BN889" s="149"/>
    </row>
    <row r="890" spans="1:66" s="91" customFormat="1" ht="12.75" hidden="1" customHeight="1" x14ac:dyDescent="0.2">
      <c r="A890" s="131" t="s">
        <v>1952</v>
      </c>
      <c r="B890" s="132" t="s">
        <v>2017</v>
      </c>
      <c r="C890" s="132" t="s">
        <v>2025</v>
      </c>
      <c r="D890" s="133" t="s">
        <v>2026</v>
      </c>
      <c r="E890" s="22" t="s">
        <v>3</v>
      </c>
      <c r="F890" s="22" t="s">
        <v>29</v>
      </c>
      <c r="G890" s="22" t="s">
        <v>102</v>
      </c>
      <c r="H890" s="22" t="s">
        <v>3</v>
      </c>
      <c r="I890" s="22" t="s">
        <v>1022</v>
      </c>
      <c r="J890" s="134" t="s">
        <v>1026</v>
      </c>
      <c r="K890" s="133"/>
      <c r="L890" s="133"/>
      <c r="M890" s="133"/>
      <c r="N890" s="133"/>
      <c r="O890" s="135"/>
      <c r="P890" s="135"/>
      <c r="Q890" s="135"/>
      <c r="R890" s="135"/>
      <c r="S890" s="136">
        <v>107288017.6666667</v>
      </c>
      <c r="T890" s="136">
        <v>1.398105819950741E-9</v>
      </c>
      <c r="U890" s="137">
        <f>SUM(U891:U895)</f>
        <v>0</v>
      </c>
      <c r="V890" s="137">
        <f>SUM(V891:V895)</f>
        <v>0</v>
      </c>
      <c r="W890" s="137">
        <f>SUM(W891:W895)</f>
        <v>0</v>
      </c>
      <c r="X890" s="138">
        <f>U890+V890+W890</f>
        <v>0</v>
      </c>
      <c r="Y890" s="137">
        <f t="shared" ref="Y890:AR890" si="271">SUM(Y891:Y895)</f>
        <v>0</v>
      </c>
      <c r="Z890" s="137">
        <f t="shared" si="271"/>
        <v>0</v>
      </c>
      <c r="AA890" s="137">
        <f t="shared" si="271"/>
        <v>0</v>
      </c>
      <c r="AB890" s="137">
        <f t="shared" si="271"/>
        <v>0</v>
      </c>
      <c r="AC890" s="137">
        <f t="shared" si="271"/>
        <v>0</v>
      </c>
      <c r="AD890" s="137">
        <f t="shared" si="271"/>
        <v>0</v>
      </c>
      <c r="AE890" s="137">
        <f t="shared" si="271"/>
        <v>0</v>
      </c>
      <c r="AF890" s="137">
        <f t="shared" si="271"/>
        <v>0</v>
      </c>
      <c r="AG890" s="137">
        <f t="shared" si="271"/>
        <v>0</v>
      </c>
      <c r="AH890" s="137">
        <f t="shared" si="271"/>
        <v>0</v>
      </c>
      <c r="AI890" s="137">
        <f t="shared" si="271"/>
        <v>0</v>
      </c>
      <c r="AJ890" s="137">
        <f t="shared" si="271"/>
        <v>0</v>
      </c>
      <c r="AK890" s="137">
        <f t="shared" si="271"/>
        <v>0</v>
      </c>
      <c r="AL890" s="137">
        <f t="shared" si="271"/>
        <v>40767487.5</v>
      </c>
      <c r="AM890" s="137">
        <f t="shared" si="271"/>
        <v>25302629.5</v>
      </c>
      <c r="AN890" s="137">
        <f t="shared" si="271"/>
        <v>29675140.055269323</v>
      </c>
      <c r="AO890" s="137">
        <f t="shared" si="271"/>
        <v>7164806.6232762067</v>
      </c>
      <c r="AP890" s="137">
        <f t="shared" si="271"/>
        <v>4377954.3214544738</v>
      </c>
      <c r="AQ890" s="137">
        <f t="shared" si="271"/>
        <v>0</v>
      </c>
      <c r="AR890" s="137">
        <f t="shared" si="271"/>
        <v>0</v>
      </c>
      <c r="AS890" s="137">
        <f t="shared" si="270"/>
        <v>107288018.00000001</v>
      </c>
      <c r="AT890" s="137">
        <f>SUM(AT891:AT895)</f>
        <v>0</v>
      </c>
      <c r="AU890" s="139">
        <f t="shared" si="267"/>
        <v>107288018.00000001</v>
      </c>
      <c r="AV890" s="146">
        <f>IFERROR(VLOOKUP(J890,Maksājumu_pieprasījumu_iesn.!G:BL,57,0),0)</f>
        <v>0</v>
      </c>
      <c r="AW890" s="139">
        <f t="shared" si="256"/>
        <v>-107288018.00000001</v>
      </c>
      <c r="AX890" s="140">
        <f>S890-T890-AU890</f>
        <v>-0.33333331346511841</v>
      </c>
      <c r="AY890" s="137"/>
      <c r="AZ890" s="137"/>
      <c r="BA890" s="138"/>
      <c r="BB890" s="140"/>
      <c r="BC890" s="140">
        <f>X890+AK890+AL890/2</f>
        <v>20383743.75</v>
      </c>
      <c r="BD890" s="140"/>
      <c r="BE890" s="140">
        <f>BC890/0.85</f>
        <v>23980875</v>
      </c>
      <c r="BF890" s="137"/>
      <c r="BG890" s="137"/>
      <c r="BH890" s="138">
        <v>0</v>
      </c>
      <c r="BI890" s="138">
        <v>18319837.5</v>
      </c>
      <c r="BJ890" s="138"/>
      <c r="BK890" s="138"/>
      <c r="BL890" s="138">
        <v>26729439.9888293</v>
      </c>
      <c r="BM890" s="138"/>
      <c r="BN890" s="138"/>
    </row>
    <row r="891" spans="1:66" ht="38.25" hidden="1" customHeight="1" x14ac:dyDescent="0.2">
      <c r="A891" s="322" t="s">
        <v>1952</v>
      </c>
      <c r="B891" s="18" t="s">
        <v>2017</v>
      </c>
      <c r="C891" s="18" t="s">
        <v>2025</v>
      </c>
      <c r="D891" s="19" t="s">
        <v>2026</v>
      </c>
      <c r="E891" s="18" t="s">
        <v>3</v>
      </c>
      <c r="F891" s="18" t="s">
        <v>29</v>
      </c>
      <c r="G891" s="18" t="s">
        <v>102</v>
      </c>
      <c r="H891" s="18" t="s">
        <v>3</v>
      </c>
      <c r="I891" s="18"/>
      <c r="J891" s="18" t="s">
        <v>2027</v>
      </c>
      <c r="K891" s="19" t="s">
        <v>2028</v>
      </c>
      <c r="L891" s="19"/>
      <c r="M891" s="19"/>
      <c r="N891" s="19" t="s">
        <v>2029</v>
      </c>
      <c r="O891" s="143"/>
      <c r="P891" s="143"/>
      <c r="Q891" s="143"/>
      <c r="R891" s="187" t="s">
        <v>2030</v>
      </c>
      <c r="S891" s="144">
        <v>21250000</v>
      </c>
      <c r="T891" s="172"/>
      <c r="U891" s="145">
        <v>0</v>
      </c>
      <c r="V891" s="145">
        <v>0</v>
      </c>
      <c r="W891" s="145">
        <v>0</v>
      </c>
      <c r="X891" s="145">
        <f>W891+V891+U891</f>
        <v>0</v>
      </c>
      <c r="Y891" s="145">
        <v>0</v>
      </c>
      <c r="Z891" s="145">
        <v>0</v>
      </c>
      <c r="AA891" s="145">
        <v>0</v>
      </c>
      <c r="AB891" s="145">
        <v>0</v>
      </c>
      <c r="AC891" s="145">
        <v>0</v>
      </c>
      <c r="AD891" s="145">
        <v>0</v>
      </c>
      <c r="AE891" s="145">
        <v>0</v>
      </c>
      <c r="AF891" s="145">
        <v>0</v>
      </c>
      <c r="AG891" s="145">
        <v>0</v>
      </c>
      <c r="AH891" s="145">
        <v>0</v>
      </c>
      <c r="AI891" s="145">
        <v>0</v>
      </c>
      <c r="AJ891" s="145">
        <v>0</v>
      </c>
      <c r="AK891" s="145">
        <f>SUM(Y891:AJ891)</f>
        <v>0</v>
      </c>
      <c r="AL891" s="145">
        <v>10561250</v>
      </c>
      <c r="AM891" s="145">
        <v>5100000</v>
      </c>
      <c r="AN891" s="145">
        <v>4675000</v>
      </c>
      <c r="AO891" s="145">
        <v>913750</v>
      </c>
      <c r="AP891" s="145">
        <v>0</v>
      </c>
      <c r="AQ891" s="145">
        <v>0</v>
      </c>
      <c r="AR891" s="145">
        <v>0</v>
      </c>
      <c r="AS891" s="144">
        <f t="shared" si="270"/>
        <v>21250000</v>
      </c>
      <c r="AT891" s="144">
        <v>0</v>
      </c>
      <c r="AU891" s="146">
        <f t="shared" si="267"/>
        <v>21250000</v>
      </c>
      <c r="AV891" s="146">
        <f>IFERROR(VLOOKUP(J891,Maksājumu_pieprasījumu_iesn.!G:BL,57,0),0)</f>
        <v>0</v>
      </c>
      <c r="AW891" s="139">
        <f t="shared" si="256"/>
        <v>-21250000</v>
      </c>
      <c r="AX891" s="147"/>
      <c r="AY891" s="147"/>
      <c r="AZ891" s="147"/>
      <c r="BA891" s="165"/>
      <c r="BB891" s="144"/>
      <c r="BC891" s="144"/>
      <c r="BD891" s="144"/>
      <c r="BE891" s="144"/>
      <c r="BF891" s="144"/>
      <c r="BG891" s="144"/>
      <c r="BH891" s="149"/>
      <c r="BI891" s="149"/>
      <c r="BJ891" s="149"/>
      <c r="BK891" s="149"/>
      <c r="BL891" s="149"/>
      <c r="BM891" s="149"/>
      <c r="BN891" s="149"/>
    </row>
    <row r="892" spans="1:66" ht="25.5" hidden="1" customHeight="1" x14ac:dyDescent="0.2">
      <c r="A892" s="322" t="s">
        <v>1952</v>
      </c>
      <c r="B892" s="18" t="s">
        <v>2017</v>
      </c>
      <c r="C892" s="18" t="s">
        <v>2025</v>
      </c>
      <c r="D892" s="19" t="s">
        <v>2026</v>
      </c>
      <c r="E892" s="18" t="s">
        <v>3</v>
      </c>
      <c r="F892" s="18" t="s">
        <v>29</v>
      </c>
      <c r="G892" s="18" t="s">
        <v>102</v>
      </c>
      <c r="H892" s="18" t="s">
        <v>3</v>
      </c>
      <c r="I892" s="18"/>
      <c r="J892" s="18" t="s">
        <v>2031</v>
      </c>
      <c r="K892" s="19" t="s">
        <v>2028</v>
      </c>
      <c r="L892" s="19"/>
      <c r="M892" s="19"/>
      <c r="N892" s="19" t="s">
        <v>2032</v>
      </c>
      <c r="O892" s="143"/>
      <c r="P892" s="143"/>
      <c r="Q892" s="143"/>
      <c r="R892" s="187" t="s">
        <v>2030</v>
      </c>
      <c r="S892" s="144">
        <v>31127000</v>
      </c>
      <c r="T892" s="172"/>
      <c r="U892" s="145">
        <v>0</v>
      </c>
      <c r="V892" s="145">
        <v>0</v>
      </c>
      <c r="W892" s="145">
        <v>0</v>
      </c>
      <c r="X892" s="145">
        <f>W892+V892+U892</f>
        <v>0</v>
      </c>
      <c r="Y892" s="145">
        <v>0</v>
      </c>
      <c r="Z892" s="145">
        <v>0</v>
      </c>
      <c r="AA892" s="145">
        <v>0</v>
      </c>
      <c r="AB892" s="145">
        <v>0</v>
      </c>
      <c r="AC892" s="145">
        <v>0</v>
      </c>
      <c r="AD892" s="145">
        <v>0</v>
      </c>
      <c r="AE892" s="145">
        <v>0</v>
      </c>
      <c r="AF892" s="145">
        <v>0</v>
      </c>
      <c r="AG892" s="145">
        <v>0</v>
      </c>
      <c r="AH892" s="145">
        <v>0</v>
      </c>
      <c r="AI892" s="145">
        <v>0</v>
      </c>
      <c r="AJ892" s="145">
        <v>0</v>
      </c>
      <c r="AK892" s="145">
        <f>SUM(Y892:AJ892)</f>
        <v>0</v>
      </c>
      <c r="AL892" s="145">
        <v>14001115</v>
      </c>
      <c r="AM892" s="145">
        <v>7650000</v>
      </c>
      <c r="AN892" s="145">
        <v>8075000</v>
      </c>
      <c r="AO892" s="145">
        <v>1400885</v>
      </c>
      <c r="AP892" s="145">
        <v>0</v>
      </c>
      <c r="AQ892" s="145">
        <v>0</v>
      </c>
      <c r="AR892" s="145">
        <v>0</v>
      </c>
      <c r="AS892" s="144">
        <f t="shared" si="270"/>
        <v>31127000</v>
      </c>
      <c r="AT892" s="144">
        <v>0</v>
      </c>
      <c r="AU892" s="146">
        <f t="shared" si="267"/>
        <v>31127000</v>
      </c>
      <c r="AV892" s="146">
        <f>IFERROR(VLOOKUP(J892,Maksājumu_pieprasījumu_iesn.!G:BL,57,0),0)</f>
        <v>0</v>
      </c>
      <c r="AW892" s="139">
        <f t="shared" si="256"/>
        <v>-31127000</v>
      </c>
      <c r="AX892" s="147"/>
      <c r="AY892" s="147"/>
      <c r="AZ892" s="147"/>
      <c r="BA892" s="165"/>
      <c r="BB892" s="144"/>
      <c r="BC892" s="144"/>
      <c r="BD892" s="144"/>
      <c r="BE892" s="144"/>
      <c r="BF892" s="144"/>
      <c r="BG892" s="144"/>
      <c r="BH892" s="149"/>
      <c r="BI892" s="149"/>
      <c r="BJ892" s="149"/>
      <c r="BK892" s="149"/>
      <c r="BL892" s="149"/>
      <c r="BM892" s="149"/>
      <c r="BN892" s="149"/>
    </row>
    <row r="893" spans="1:66" ht="25.5" hidden="1" customHeight="1" x14ac:dyDescent="0.2">
      <c r="A893" s="322" t="s">
        <v>1952</v>
      </c>
      <c r="B893" s="18" t="s">
        <v>2017</v>
      </c>
      <c r="C893" s="18" t="s">
        <v>2025</v>
      </c>
      <c r="D893" s="19" t="s">
        <v>2026</v>
      </c>
      <c r="E893" s="18" t="s">
        <v>3</v>
      </c>
      <c r="F893" s="18" t="s">
        <v>29</v>
      </c>
      <c r="G893" s="18" t="s">
        <v>102</v>
      </c>
      <c r="H893" s="18" t="s">
        <v>3</v>
      </c>
      <c r="I893" s="18"/>
      <c r="J893" s="18" t="s">
        <v>2033</v>
      </c>
      <c r="K893" s="19" t="s">
        <v>2028</v>
      </c>
      <c r="L893" s="19"/>
      <c r="M893" s="19"/>
      <c r="N893" s="19" t="s">
        <v>2034</v>
      </c>
      <c r="O893" s="143"/>
      <c r="P893" s="143"/>
      <c r="Q893" s="143"/>
      <c r="R893" s="187" t="s">
        <v>2030</v>
      </c>
      <c r="S893" s="144">
        <v>37000500</v>
      </c>
      <c r="T893" s="172"/>
      <c r="U893" s="145">
        <v>0</v>
      </c>
      <c r="V893" s="145">
        <v>0</v>
      </c>
      <c r="W893" s="145">
        <v>0</v>
      </c>
      <c r="X893" s="145">
        <f>W893+V893+U893</f>
        <v>0</v>
      </c>
      <c r="Y893" s="145">
        <v>0</v>
      </c>
      <c r="Z893" s="145">
        <v>0</v>
      </c>
      <c r="AA893" s="145">
        <v>0</v>
      </c>
      <c r="AB893" s="145">
        <v>0</v>
      </c>
      <c r="AC893" s="145">
        <v>0</v>
      </c>
      <c r="AD893" s="145">
        <v>0</v>
      </c>
      <c r="AE893" s="145">
        <v>0</v>
      </c>
      <c r="AF893" s="145">
        <v>0</v>
      </c>
      <c r="AG893" s="145">
        <v>0</v>
      </c>
      <c r="AH893" s="145">
        <v>0</v>
      </c>
      <c r="AI893" s="145">
        <v>0</v>
      </c>
      <c r="AJ893" s="145">
        <v>0</v>
      </c>
      <c r="AK893" s="145">
        <f>SUM(Y893:AJ893)</f>
        <v>0</v>
      </c>
      <c r="AL893" s="145">
        <v>16205122.5</v>
      </c>
      <c r="AM893" s="145">
        <v>8075000</v>
      </c>
      <c r="AN893" s="145">
        <v>10625000</v>
      </c>
      <c r="AO893" s="145">
        <v>2095377.5</v>
      </c>
      <c r="AP893" s="145">
        <v>0</v>
      </c>
      <c r="AQ893" s="145">
        <v>0</v>
      </c>
      <c r="AR893" s="145">
        <v>0</v>
      </c>
      <c r="AS893" s="144">
        <f t="shared" si="270"/>
        <v>37000500</v>
      </c>
      <c r="AT893" s="144">
        <v>0</v>
      </c>
      <c r="AU893" s="146">
        <f t="shared" si="267"/>
        <v>37000500</v>
      </c>
      <c r="AV893" s="146">
        <f>IFERROR(VLOOKUP(J893,Maksājumu_pieprasījumu_iesn.!G:BL,57,0),0)</f>
        <v>0</v>
      </c>
      <c r="AW893" s="139">
        <f t="shared" si="256"/>
        <v>-37000500</v>
      </c>
      <c r="AX893" s="147"/>
      <c r="AY893" s="147"/>
      <c r="AZ893" s="147"/>
      <c r="BA893" s="165"/>
      <c r="BB893" s="144"/>
      <c r="BC893" s="144"/>
      <c r="BD893" s="144"/>
      <c r="BE893" s="144"/>
      <c r="BF893" s="144"/>
      <c r="BG893" s="144"/>
      <c r="BH893" s="149"/>
      <c r="BI893" s="149"/>
      <c r="BJ893" s="149"/>
      <c r="BK893" s="149"/>
      <c r="BL893" s="149"/>
      <c r="BM893" s="149"/>
      <c r="BN893" s="149"/>
    </row>
    <row r="894" spans="1:66" s="91" customFormat="1" ht="38.25" hidden="1" customHeight="1" x14ac:dyDescent="0.2">
      <c r="A894" s="324" t="s">
        <v>1952</v>
      </c>
      <c r="B894" s="18" t="s">
        <v>2017</v>
      </c>
      <c r="C894" s="18" t="s">
        <v>2025</v>
      </c>
      <c r="D894" s="19" t="s">
        <v>2026</v>
      </c>
      <c r="E894" s="55" t="s">
        <v>3</v>
      </c>
      <c r="F894" s="55" t="s">
        <v>29</v>
      </c>
      <c r="G894" s="55" t="s">
        <v>102</v>
      </c>
      <c r="H894" s="55" t="s">
        <v>3</v>
      </c>
      <c r="I894" s="55"/>
      <c r="J894" s="55"/>
      <c r="K894" s="19" t="s">
        <v>2028</v>
      </c>
      <c r="L894" s="19"/>
      <c r="M894" s="19"/>
      <c r="N894" s="19" t="s">
        <v>2035</v>
      </c>
      <c r="O894" s="151">
        <v>43098</v>
      </c>
      <c r="P894" s="151"/>
      <c r="Q894" s="151"/>
      <c r="R894" s="151"/>
      <c r="S894" s="152"/>
      <c r="T894" s="152"/>
      <c r="U894" s="145">
        <v>0</v>
      </c>
      <c r="V894" s="145">
        <v>0</v>
      </c>
      <c r="W894" s="145">
        <v>0</v>
      </c>
      <c r="X894" s="145">
        <f>W894+V894+U894</f>
        <v>0</v>
      </c>
      <c r="Y894" s="145">
        <v>0</v>
      </c>
      <c r="Z894" s="145">
        <v>0</v>
      </c>
      <c r="AA894" s="145">
        <v>0</v>
      </c>
      <c r="AB894" s="145">
        <v>0</v>
      </c>
      <c r="AC894" s="145">
        <v>0</v>
      </c>
      <c r="AD894" s="145">
        <v>0</v>
      </c>
      <c r="AE894" s="145">
        <v>0</v>
      </c>
      <c r="AF894" s="145">
        <v>0</v>
      </c>
      <c r="AG894" s="145">
        <v>0</v>
      </c>
      <c r="AH894" s="145">
        <v>0</v>
      </c>
      <c r="AI894" s="145">
        <v>0</v>
      </c>
      <c r="AJ894" s="145">
        <v>0</v>
      </c>
      <c r="AK894" s="145">
        <f>SUM(Y894:AJ894)</f>
        <v>0</v>
      </c>
      <c r="AL894" s="145">
        <v>0</v>
      </c>
      <c r="AM894" s="145">
        <v>4477629.5</v>
      </c>
      <c r="AN894" s="145">
        <v>6300140.0552693224</v>
      </c>
      <c r="AO894" s="145">
        <v>2754794.1232762067</v>
      </c>
      <c r="AP894" s="145">
        <v>4377954.3214544738</v>
      </c>
      <c r="AQ894" s="145">
        <v>0</v>
      </c>
      <c r="AR894" s="145">
        <v>0</v>
      </c>
      <c r="AS894" s="145">
        <f t="shared" si="270"/>
        <v>17910518.000000004</v>
      </c>
      <c r="AT894" s="145"/>
      <c r="AU894" s="139">
        <f t="shared" si="267"/>
        <v>17910518.000000004</v>
      </c>
      <c r="AV894" s="146">
        <f>IFERROR(VLOOKUP(J894,Maksājumu_pieprasījumu_iesn.!G:BL,57,0),0)</f>
        <v>0</v>
      </c>
      <c r="AW894" s="139">
        <f t="shared" si="256"/>
        <v>-17910518.000000004</v>
      </c>
      <c r="AX894" s="153"/>
      <c r="AY894" s="153"/>
      <c r="AZ894" s="153"/>
      <c r="BA894" s="136"/>
      <c r="BB894" s="145"/>
      <c r="BC894" s="145"/>
      <c r="BD894" s="145"/>
      <c r="BE894" s="145"/>
      <c r="BF894" s="145"/>
      <c r="BG894" s="145"/>
      <c r="BH894" s="138"/>
      <c r="BI894" s="138"/>
      <c r="BJ894" s="138"/>
      <c r="BK894" s="138"/>
      <c r="BL894" s="138"/>
      <c r="BM894" s="138"/>
      <c r="BN894" s="138"/>
    </row>
    <row r="895" spans="1:66" s="91" customFormat="1" ht="25.5" hidden="1" customHeight="1" x14ac:dyDescent="0.2">
      <c r="A895" s="324" t="s">
        <v>1952</v>
      </c>
      <c r="B895" s="18" t="s">
        <v>2017</v>
      </c>
      <c r="C895" s="18" t="s">
        <v>2025</v>
      </c>
      <c r="D895" s="19" t="s">
        <v>2026</v>
      </c>
      <c r="E895" s="55" t="s">
        <v>3</v>
      </c>
      <c r="F895" s="55" t="s">
        <v>29</v>
      </c>
      <c r="G895" s="55" t="s">
        <v>102</v>
      </c>
      <c r="H895" s="55" t="s">
        <v>3</v>
      </c>
      <c r="I895" s="55"/>
      <c r="J895" s="55"/>
      <c r="K895" s="19" t="s">
        <v>2028</v>
      </c>
      <c r="L895" s="19"/>
      <c r="M895" s="19"/>
      <c r="N895" s="19" t="s">
        <v>2036</v>
      </c>
      <c r="O895" s="151">
        <v>43098</v>
      </c>
      <c r="P895" s="151"/>
      <c r="Q895" s="151"/>
      <c r="R895" s="151"/>
      <c r="S895" s="152"/>
      <c r="T895" s="152"/>
      <c r="U895" s="145">
        <v>0</v>
      </c>
      <c r="V895" s="145">
        <v>0</v>
      </c>
      <c r="W895" s="145">
        <v>0</v>
      </c>
      <c r="X895" s="145">
        <f>W895+V895+U895</f>
        <v>0</v>
      </c>
      <c r="Y895" s="145">
        <v>0</v>
      </c>
      <c r="Z895" s="145">
        <v>0</v>
      </c>
      <c r="AA895" s="145">
        <v>0</v>
      </c>
      <c r="AB895" s="145">
        <v>0</v>
      </c>
      <c r="AC895" s="145">
        <v>0</v>
      </c>
      <c r="AD895" s="145">
        <v>0</v>
      </c>
      <c r="AE895" s="145">
        <v>0</v>
      </c>
      <c r="AF895" s="145">
        <v>0</v>
      </c>
      <c r="AG895" s="145">
        <v>0</v>
      </c>
      <c r="AH895" s="145">
        <v>0</v>
      </c>
      <c r="AI895" s="145">
        <v>0</v>
      </c>
      <c r="AJ895" s="145">
        <v>0</v>
      </c>
      <c r="AK895" s="145">
        <f>SUM(Y895:AJ895)</f>
        <v>0</v>
      </c>
      <c r="AL895" s="145">
        <v>0</v>
      </c>
      <c r="AM895" s="145">
        <v>0</v>
      </c>
      <c r="AN895" s="145">
        <v>0</v>
      </c>
      <c r="AO895" s="145">
        <v>0</v>
      </c>
      <c r="AP895" s="145">
        <v>0</v>
      </c>
      <c r="AQ895" s="145">
        <v>0</v>
      </c>
      <c r="AR895" s="145">
        <v>0</v>
      </c>
      <c r="AS895" s="145">
        <f t="shared" si="270"/>
        <v>0</v>
      </c>
      <c r="AT895" s="145"/>
      <c r="AU895" s="139">
        <f t="shared" si="267"/>
        <v>0</v>
      </c>
      <c r="AV895" s="146">
        <f>IFERROR(VLOOKUP(J895,Maksājumu_pieprasījumu_iesn.!G:BL,57,0),0)</f>
        <v>0</v>
      </c>
      <c r="AW895" s="139">
        <f t="shared" si="256"/>
        <v>0</v>
      </c>
      <c r="AX895" s="153"/>
      <c r="AY895" s="153"/>
      <c r="AZ895" s="153"/>
      <c r="BA895" s="136"/>
      <c r="BB895" s="145"/>
      <c r="BC895" s="145"/>
      <c r="BD895" s="145"/>
      <c r="BE895" s="145"/>
      <c r="BF895" s="145"/>
      <c r="BG895" s="145"/>
      <c r="BH895" s="138"/>
      <c r="BI895" s="138"/>
      <c r="BJ895" s="138"/>
      <c r="BK895" s="138"/>
      <c r="BL895" s="138"/>
      <c r="BM895" s="138"/>
      <c r="BN895" s="138"/>
    </row>
    <row r="896" spans="1:66" s="91" customFormat="1" ht="25.5" hidden="1" x14ac:dyDescent="0.2">
      <c r="A896" s="127" t="s">
        <v>1952</v>
      </c>
      <c r="B896" s="127" t="s">
        <v>172</v>
      </c>
      <c r="C896" s="127" t="s">
        <v>1023</v>
      </c>
      <c r="D896" s="128" t="s">
        <v>579</v>
      </c>
      <c r="E896" s="127"/>
      <c r="F896" s="127"/>
      <c r="G896" s="127" t="s">
        <v>5</v>
      </c>
      <c r="H896" s="127"/>
      <c r="I896" s="127"/>
      <c r="J896" s="127"/>
      <c r="K896" s="128"/>
      <c r="L896" s="128"/>
      <c r="M896" s="128"/>
      <c r="N896" s="128"/>
      <c r="O896" s="163"/>
      <c r="P896" s="163"/>
      <c r="Q896" s="163"/>
      <c r="R896" s="163"/>
      <c r="S896" s="164">
        <f>S897</f>
        <v>235477563</v>
      </c>
      <c r="T896" s="164">
        <f>T897</f>
        <v>14363011</v>
      </c>
      <c r="U896" s="164">
        <f>U897</f>
        <v>0</v>
      </c>
      <c r="V896" s="164">
        <f>V897</f>
        <v>0</v>
      </c>
      <c r="W896" s="164">
        <f>W897</f>
        <v>55449905.710000001</v>
      </c>
      <c r="X896" s="129">
        <f>U896+V896+W896</f>
        <v>55449905.710000001</v>
      </c>
      <c r="Y896" s="164">
        <f t="shared" ref="Y896:AT896" si="272">Y897</f>
        <v>7973580.79</v>
      </c>
      <c r="Z896" s="164">
        <f t="shared" si="272"/>
        <v>466168.59</v>
      </c>
      <c r="AA896" s="164">
        <f t="shared" si="272"/>
        <v>4389565.62</v>
      </c>
      <c r="AB896" s="164">
        <f t="shared" si="272"/>
        <v>3697728.76</v>
      </c>
      <c r="AC896" s="164">
        <f t="shared" si="272"/>
        <v>0</v>
      </c>
      <c r="AD896" s="164">
        <f t="shared" si="272"/>
        <v>315990.76</v>
      </c>
      <c r="AE896" s="164">
        <f t="shared" si="272"/>
        <v>14874303.85</v>
      </c>
      <c r="AF896" s="164">
        <f t="shared" si="272"/>
        <v>0</v>
      </c>
      <c r="AG896" s="164">
        <f t="shared" si="272"/>
        <v>10120572.6</v>
      </c>
      <c r="AH896" s="164">
        <f t="shared" si="272"/>
        <v>14603335.27</v>
      </c>
      <c r="AI896" s="164">
        <f t="shared" si="272"/>
        <v>0</v>
      </c>
      <c r="AJ896" s="164">
        <f t="shared" si="272"/>
        <v>9257940.0199999996</v>
      </c>
      <c r="AK896" s="164">
        <f t="shared" si="272"/>
        <v>65699186.259999983</v>
      </c>
      <c r="AL896" s="164">
        <f t="shared" si="272"/>
        <v>76373108.700000003</v>
      </c>
      <c r="AM896" s="164">
        <f t="shared" si="272"/>
        <v>18736154.409999996</v>
      </c>
      <c r="AN896" s="164">
        <f t="shared" si="272"/>
        <v>1772783.31</v>
      </c>
      <c r="AO896" s="164">
        <f t="shared" si="272"/>
        <v>0</v>
      </c>
      <c r="AP896" s="164">
        <f t="shared" si="272"/>
        <v>0</v>
      </c>
      <c r="AQ896" s="164">
        <f t="shared" si="272"/>
        <v>0</v>
      </c>
      <c r="AR896" s="164">
        <f t="shared" si="272"/>
        <v>0</v>
      </c>
      <c r="AS896" s="164">
        <f>AS897</f>
        <v>218031138.38999999</v>
      </c>
      <c r="AT896" s="164">
        <f t="shared" si="272"/>
        <v>0</v>
      </c>
      <c r="AU896" s="183">
        <f t="shared" si="267"/>
        <v>218031138.38999999</v>
      </c>
      <c r="AV896" s="146">
        <f>IFERROR(VLOOKUP(J896,Maksājumu_pieprasījumu_iesn.!G:BL,57,0),0)</f>
        <v>0</v>
      </c>
      <c r="AW896" s="139">
        <f t="shared" si="256"/>
        <v>-218031138.38999999</v>
      </c>
      <c r="AX896" s="164">
        <f>AX897</f>
        <v>3083413.6100000143</v>
      </c>
      <c r="AY896" s="164">
        <f>AY897</f>
        <v>3116010.4499999881</v>
      </c>
      <c r="AZ896" s="164"/>
      <c r="BA896" s="164"/>
      <c r="BB896" s="164">
        <f>BB897</f>
        <v>0</v>
      </c>
      <c r="BC896" s="164">
        <f>BC897</f>
        <v>159335646.31999999</v>
      </c>
      <c r="BD896" s="164">
        <f>BC896*0.86</f>
        <v>137028655.83519998</v>
      </c>
      <c r="BE896" s="129">
        <f>BD896/0.85</f>
        <v>161210183.33552939</v>
      </c>
      <c r="BF896" s="164">
        <f>BF897</f>
        <v>0</v>
      </c>
      <c r="BG896" s="164">
        <f>BG897</f>
        <v>0</v>
      </c>
      <c r="BH896" s="129">
        <f>BH897</f>
        <v>41847598.380000003</v>
      </c>
      <c r="BI896" s="129">
        <f>BI897</f>
        <v>66289317.566</v>
      </c>
      <c r="BJ896" s="129">
        <f>AK896*0.86</f>
        <v>56501300.183599986</v>
      </c>
      <c r="BK896" s="129">
        <f>BJ896-BI896</f>
        <v>-9788017.3824000135</v>
      </c>
      <c r="BL896" s="129">
        <f>BL897</f>
        <v>64558375</v>
      </c>
      <c r="BM896" s="129">
        <f>AL896*0.86</f>
        <v>65680873.482000001</v>
      </c>
      <c r="BN896" s="129">
        <f>BM896-BL896</f>
        <v>1122498.4820000008</v>
      </c>
    </row>
    <row r="897" spans="1:66" s="91" customFormat="1" ht="63.75" hidden="1" customHeight="1" x14ac:dyDescent="0.2">
      <c r="A897" s="131" t="s">
        <v>1952</v>
      </c>
      <c r="B897" s="132" t="s">
        <v>172</v>
      </c>
      <c r="C897" s="132" t="s">
        <v>173</v>
      </c>
      <c r="D897" s="133" t="s">
        <v>579</v>
      </c>
      <c r="E897" s="22" t="s">
        <v>3</v>
      </c>
      <c r="F897" s="22" t="s">
        <v>29</v>
      </c>
      <c r="G897" s="22" t="s">
        <v>5</v>
      </c>
      <c r="H897" s="22" t="s">
        <v>3</v>
      </c>
      <c r="I897" s="22" t="s">
        <v>1022</v>
      </c>
      <c r="J897" s="134" t="s">
        <v>1026</v>
      </c>
      <c r="K897" s="133"/>
      <c r="L897" s="133"/>
      <c r="M897" s="133"/>
      <c r="N897" s="133"/>
      <c r="O897" s="135"/>
      <c r="P897" s="135"/>
      <c r="Q897" s="135"/>
      <c r="R897" s="135"/>
      <c r="S897" s="136">
        <v>235477563</v>
      </c>
      <c r="T897" s="136">
        <v>14363011</v>
      </c>
      <c r="U897" s="137">
        <f>SUM(U898:U957)</f>
        <v>0</v>
      </c>
      <c r="V897" s="137">
        <f>SUM(V898:V957)</f>
        <v>0</v>
      </c>
      <c r="W897" s="137">
        <f>W898+W899+W900+W901+W902+W903+W904+W905+W906+W907+W908+W909+W910+W911+W912+W913+W914+W915+W916+W917+W919+W920+W921+W922+W923+W924+W925+W926+W927+W928+W929+W930+W931+W935+W937+W938+W939+W940+W941+W942+W943+W945+W944+W946+W947+W948+W949+W950+W952+W951+W953+W954+W955+W956+W957</f>
        <v>55449905.710000001</v>
      </c>
      <c r="X897" s="137">
        <f t="shared" ref="X897:AQ897" si="273">X898+X899+X900+X901+X902+X903+X904+X905+X906+X907+X908+X909+X910+X911+X912+X913+X914+X915+X916+X917+X919+X920+X921+X922+X923+X924+X925+X926+X927+X928+X929+X930+X931+X935+X937+X938+X939+X940+X941+X942+X943+X945+X944+X946+X947+X948+X949+X950+X952+X951+X953+X954+X955+X956+X957</f>
        <v>55449905.710000001</v>
      </c>
      <c r="Y897" s="137">
        <f t="shared" si="273"/>
        <v>7973580.79</v>
      </c>
      <c r="Z897" s="137">
        <f t="shared" si="273"/>
        <v>466168.59</v>
      </c>
      <c r="AA897" s="137">
        <f t="shared" si="273"/>
        <v>4389565.62</v>
      </c>
      <c r="AB897" s="137">
        <f t="shared" si="273"/>
        <v>3697728.76</v>
      </c>
      <c r="AC897" s="137">
        <f t="shared" si="273"/>
        <v>0</v>
      </c>
      <c r="AD897" s="137">
        <f t="shared" si="273"/>
        <v>315990.76</v>
      </c>
      <c r="AE897" s="137">
        <f t="shared" si="273"/>
        <v>14874303.85</v>
      </c>
      <c r="AF897" s="137">
        <f t="shared" si="273"/>
        <v>0</v>
      </c>
      <c r="AG897" s="137">
        <f t="shared" si="273"/>
        <v>10120572.6</v>
      </c>
      <c r="AH897" s="137">
        <f t="shared" si="273"/>
        <v>14603335.27</v>
      </c>
      <c r="AI897" s="137">
        <f t="shared" si="273"/>
        <v>0</v>
      </c>
      <c r="AJ897" s="137">
        <f t="shared" si="273"/>
        <v>9257940.0199999996</v>
      </c>
      <c r="AK897" s="137">
        <f>SUM(AK898:AK957)</f>
        <v>65699186.259999983</v>
      </c>
      <c r="AL897" s="137">
        <f t="shared" si="273"/>
        <v>76373108.700000003</v>
      </c>
      <c r="AM897" s="137">
        <f t="shared" si="273"/>
        <v>18736154.409999996</v>
      </c>
      <c r="AN897" s="137">
        <f t="shared" si="273"/>
        <v>1772783.31</v>
      </c>
      <c r="AO897" s="137">
        <f t="shared" si="273"/>
        <v>0</v>
      </c>
      <c r="AP897" s="137">
        <f t="shared" si="273"/>
        <v>0</v>
      </c>
      <c r="AQ897" s="137">
        <f t="shared" si="273"/>
        <v>0</v>
      </c>
      <c r="AR897" s="137">
        <f>AR898+AR899+AR900+AR901+AR902+AR903+AR904+AR905+AR906+AR907+AR908+AR909+AR910+AR911+AR912+AR913+AR914+AR915+AR916+AR917+AR919+AR920+AR921+AR922+AR923+AR924+AR925+AR926+AR927+AR928+AR929+AR930+AR931+AR935+AR937+AR938+AR939+AR940+AR941+AR942+AR943+AR945+AR944+AR946+AR947+AR948+AR949+AR950+AR952+AR951+AR953+AR954+AR955+AR956+AR957</f>
        <v>0</v>
      </c>
      <c r="AS897" s="137">
        <f t="shared" ref="AS897:AS928" si="274">U897+V897+W897+AK897+AL897+AM897+AN897+AO897+AP897+AQ897+AR897</f>
        <v>218031138.38999999</v>
      </c>
      <c r="AT897" s="137">
        <f>SUM(AT898:AT957)</f>
        <v>0</v>
      </c>
      <c r="AU897" s="139">
        <f>AS897-AT897</f>
        <v>218031138.38999999</v>
      </c>
      <c r="AV897" s="146">
        <f>IFERROR(VLOOKUP(J897,Maksājumu_pieprasījumu_iesn.!G:BL,57,0),0)</f>
        <v>0</v>
      </c>
      <c r="AW897" s="139">
        <f t="shared" si="256"/>
        <v>-218031138.38999999</v>
      </c>
      <c r="AX897" s="140">
        <f t="shared" ref="AX897:AX917" si="275">S897-T897-AU897</f>
        <v>3083413.6100000143</v>
      </c>
      <c r="AY897" s="137">
        <f>SUM(AY898:AY958)</f>
        <v>3116010.4499999881</v>
      </c>
      <c r="AZ897" s="137"/>
      <c r="BA897" s="138" t="s">
        <v>2037</v>
      </c>
      <c r="BB897" s="140"/>
      <c r="BC897" s="140">
        <f>X897+AK897+AL897/2</f>
        <v>159335646.31999999</v>
      </c>
      <c r="BD897" s="140"/>
      <c r="BE897" s="140">
        <f>BC897/0.85</f>
        <v>187453701.55294117</v>
      </c>
      <c r="BF897" s="137"/>
      <c r="BG897" s="137"/>
      <c r="BH897" s="138">
        <v>41847598.380000003</v>
      </c>
      <c r="BI897" s="138">
        <v>66289317.566</v>
      </c>
      <c r="BJ897" s="138"/>
      <c r="BK897" s="138"/>
      <c r="BL897" s="138">
        <v>64558375</v>
      </c>
      <c r="BM897" s="138"/>
      <c r="BN897" s="138"/>
    </row>
    <row r="898" spans="1:66" ht="51" hidden="1" customHeight="1" x14ac:dyDescent="0.2">
      <c r="A898" s="322" t="s">
        <v>1952</v>
      </c>
      <c r="B898" s="18" t="s">
        <v>172</v>
      </c>
      <c r="C898" s="18" t="s">
        <v>173</v>
      </c>
      <c r="D898" s="19" t="s">
        <v>579</v>
      </c>
      <c r="E898" s="18" t="s">
        <v>3</v>
      </c>
      <c r="F898" s="18" t="s">
        <v>29</v>
      </c>
      <c r="G898" s="18" t="s">
        <v>5</v>
      </c>
      <c r="H898" s="18" t="s">
        <v>3</v>
      </c>
      <c r="I898" s="18"/>
      <c r="J898" s="18" t="s">
        <v>174</v>
      </c>
      <c r="K898" s="19" t="s">
        <v>98</v>
      </c>
      <c r="L898" s="19"/>
      <c r="M898" s="19"/>
      <c r="N898" s="19" t="s">
        <v>175</v>
      </c>
      <c r="O898" s="143"/>
      <c r="P898" s="143"/>
      <c r="Q898" s="143"/>
      <c r="R898" s="143">
        <v>42522</v>
      </c>
      <c r="S898" s="144">
        <v>3916053.54</v>
      </c>
      <c r="T898" s="144"/>
      <c r="U898" s="145">
        <v>0</v>
      </c>
      <c r="V898" s="145">
        <v>0</v>
      </c>
      <c r="W898" s="145">
        <v>3400304.68</v>
      </c>
      <c r="X898" s="145">
        <f t="shared" ref="X898:X957" si="276">W898+V898+U898</f>
        <v>3400304.68</v>
      </c>
      <c r="Y898" s="145">
        <v>0</v>
      </c>
      <c r="Z898" s="145">
        <v>0</v>
      </c>
      <c r="AA898" s="145">
        <v>9909.7800000000007</v>
      </c>
      <c r="AB898" s="145">
        <v>0</v>
      </c>
      <c r="AC898" s="145">
        <v>0</v>
      </c>
      <c r="AD898" s="145">
        <v>73450.06</v>
      </c>
      <c r="AE898" s="145">
        <v>0</v>
      </c>
      <c r="AF898" s="145">
        <v>0</v>
      </c>
      <c r="AG898" s="145">
        <v>0</v>
      </c>
      <c r="AH898" s="145">
        <v>0</v>
      </c>
      <c r="AI898" s="145">
        <v>0</v>
      </c>
      <c r="AJ898" s="145">
        <v>74288.28</v>
      </c>
      <c r="AK898" s="145">
        <f t="shared" ref="AK898:AK929" si="277">SUM(Y898:AJ898)</f>
        <v>157648.12</v>
      </c>
      <c r="AL898" s="145">
        <v>0</v>
      </c>
      <c r="AM898" s="145">
        <v>0</v>
      </c>
      <c r="AN898" s="145">
        <v>0</v>
      </c>
      <c r="AO898" s="145">
        <v>0</v>
      </c>
      <c r="AP898" s="145">
        <v>0</v>
      </c>
      <c r="AQ898" s="145">
        <v>0</v>
      </c>
      <c r="AR898" s="145">
        <v>0</v>
      </c>
      <c r="AS898" s="144">
        <f t="shared" si="274"/>
        <v>3557952.8000000003</v>
      </c>
      <c r="AT898" s="144">
        <v>0</v>
      </c>
      <c r="AU898" s="146">
        <f t="shared" si="267"/>
        <v>3557952.8000000003</v>
      </c>
      <c r="AV898" s="146">
        <f>IFERROR(VLOOKUP(J898,Maksājumu_pieprasījumu_iesn.!G:BL,57,0),0)</f>
        <v>0</v>
      </c>
      <c r="AW898" s="139">
        <f t="shared" si="256"/>
        <v>-3557952.8000000003</v>
      </c>
      <c r="AX898" s="147">
        <f t="shared" si="275"/>
        <v>358100.73999999976</v>
      </c>
      <c r="AY898" s="147">
        <v>358101</v>
      </c>
      <c r="AZ898" s="147"/>
      <c r="BA898" s="149" t="s">
        <v>2038</v>
      </c>
      <c r="BB898" s="144"/>
      <c r="BC898" s="144"/>
      <c r="BD898" s="144"/>
      <c r="BE898" s="144"/>
      <c r="BF898" s="144"/>
      <c r="BG898" s="144"/>
      <c r="BH898" s="149"/>
      <c r="BI898" s="149"/>
      <c r="BJ898" s="149"/>
      <c r="BK898" s="149"/>
      <c r="BL898" s="149"/>
      <c r="BM898" s="149"/>
      <c r="BN898" s="149"/>
    </row>
    <row r="899" spans="1:66" ht="51" hidden="1" customHeight="1" x14ac:dyDescent="0.2">
      <c r="A899" s="322" t="s">
        <v>1952</v>
      </c>
      <c r="B899" s="18" t="s">
        <v>172</v>
      </c>
      <c r="C899" s="18" t="s">
        <v>173</v>
      </c>
      <c r="D899" s="19" t="s">
        <v>579</v>
      </c>
      <c r="E899" s="18" t="s">
        <v>3</v>
      </c>
      <c r="F899" s="18" t="s">
        <v>29</v>
      </c>
      <c r="G899" s="18" t="s">
        <v>5</v>
      </c>
      <c r="H899" s="18" t="s">
        <v>3</v>
      </c>
      <c r="I899" s="18"/>
      <c r="J899" s="18" t="s">
        <v>176</v>
      </c>
      <c r="K899" s="19" t="s">
        <v>98</v>
      </c>
      <c r="L899" s="19"/>
      <c r="M899" s="19"/>
      <c r="N899" s="19" t="s">
        <v>177</v>
      </c>
      <c r="O899" s="143"/>
      <c r="P899" s="143"/>
      <c r="Q899" s="143"/>
      <c r="R899" s="143">
        <v>42789</v>
      </c>
      <c r="S899" s="144">
        <v>1604865.13</v>
      </c>
      <c r="T899" s="144"/>
      <c r="U899" s="145">
        <v>0</v>
      </c>
      <c r="V899" s="145">
        <v>0</v>
      </c>
      <c r="W899" s="145">
        <v>1573000.3</v>
      </c>
      <c r="X899" s="145">
        <f t="shared" si="276"/>
        <v>1573000.3</v>
      </c>
      <c r="Y899" s="145">
        <v>0</v>
      </c>
      <c r="Z899" s="145">
        <v>31864.83</v>
      </c>
      <c r="AA899" s="145">
        <v>0</v>
      </c>
      <c r="AB899" s="145">
        <v>0</v>
      </c>
      <c r="AC899" s="145">
        <v>0</v>
      </c>
      <c r="AD899" s="145">
        <v>0</v>
      </c>
      <c r="AE899" s="145">
        <v>0</v>
      </c>
      <c r="AF899" s="145">
        <v>0</v>
      </c>
      <c r="AG899" s="145">
        <v>0</v>
      </c>
      <c r="AH899" s="145">
        <v>0</v>
      </c>
      <c r="AI899" s="145">
        <v>0</v>
      </c>
      <c r="AJ899" s="145">
        <v>0</v>
      </c>
      <c r="AK899" s="145">
        <f t="shared" si="277"/>
        <v>31864.83</v>
      </c>
      <c r="AL899" s="145">
        <v>0</v>
      </c>
      <c r="AM899" s="145">
        <v>0</v>
      </c>
      <c r="AN899" s="145">
        <v>0</v>
      </c>
      <c r="AO899" s="145">
        <v>0</v>
      </c>
      <c r="AP899" s="145">
        <v>0</v>
      </c>
      <c r="AQ899" s="145">
        <v>0</v>
      </c>
      <c r="AR899" s="145">
        <v>0</v>
      </c>
      <c r="AS899" s="144">
        <f t="shared" si="274"/>
        <v>1604865.1300000001</v>
      </c>
      <c r="AT899" s="144">
        <v>0</v>
      </c>
      <c r="AU899" s="146">
        <f t="shared" si="267"/>
        <v>1604865.1300000001</v>
      </c>
      <c r="AV899" s="146">
        <f>IFERROR(VLOOKUP(J899,Maksājumu_pieprasījumu_iesn.!G:BL,57,0),0)</f>
        <v>0</v>
      </c>
      <c r="AW899" s="139">
        <f t="shared" si="256"/>
        <v>-1604865.1300000001</v>
      </c>
      <c r="AX899" s="147">
        <f t="shared" si="275"/>
        <v>0</v>
      </c>
      <c r="AY899" s="147"/>
      <c r="AZ899" s="147"/>
      <c r="BA899" s="165"/>
      <c r="BB899" s="144"/>
      <c r="BC899" s="144"/>
      <c r="BD899" s="144"/>
      <c r="BE899" s="144"/>
      <c r="BF899" s="144"/>
      <c r="BG899" s="144"/>
      <c r="BH899" s="149"/>
      <c r="BI899" s="149"/>
      <c r="BJ899" s="149"/>
      <c r="BK899" s="149"/>
      <c r="BL899" s="149"/>
      <c r="BM899" s="149"/>
      <c r="BN899" s="149"/>
    </row>
    <row r="900" spans="1:66" ht="51" hidden="1" customHeight="1" x14ac:dyDescent="0.2">
      <c r="A900" s="322" t="s">
        <v>1952</v>
      </c>
      <c r="B900" s="18" t="s">
        <v>172</v>
      </c>
      <c r="C900" s="18" t="s">
        <v>173</v>
      </c>
      <c r="D900" s="19" t="s">
        <v>579</v>
      </c>
      <c r="E900" s="18" t="s">
        <v>3</v>
      </c>
      <c r="F900" s="18" t="s">
        <v>29</v>
      </c>
      <c r="G900" s="18" t="s">
        <v>5</v>
      </c>
      <c r="H900" s="18" t="s">
        <v>3</v>
      </c>
      <c r="I900" s="18"/>
      <c r="J900" s="18" t="s">
        <v>633</v>
      </c>
      <c r="K900" s="19" t="s">
        <v>98</v>
      </c>
      <c r="L900" s="19"/>
      <c r="M900" s="19"/>
      <c r="N900" s="19" t="s">
        <v>634</v>
      </c>
      <c r="O900" s="143"/>
      <c r="P900" s="143"/>
      <c r="Q900" s="143"/>
      <c r="R900" s="143">
        <v>42522</v>
      </c>
      <c r="S900" s="144">
        <v>5660528.0700000003</v>
      </c>
      <c r="T900" s="144"/>
      <c r="U900" s="145">
        <v>0</v>
      </c>
      <c r="V900" s="145">
        <v>0</v>
      </c>
      <c r="W900" s="145">
        <v>874497.26</v>
      </c>
      <c r="X900" s="145">
        <f t="shared" si="276"/>
        <v>874497.26</v>
      </c>
      <c r="Y900" s="145">
        <v>0</v>
      </c>
      <c r="Z900" s="145">
        <v>0</v>
      </c>
      <c r="AA900" s="145">
        <v>0</v>
      </c>
      <c r="AB900" s="145">
        <v>0</v>
      </c>
      <c r="AC900" s="145">
        <v>0</v>
      </c>
      <c r="AD900" s="145">
        <v>0</v>
      </c>
      <c r="AE900" s="145">
        <v>0</v>
      </c>
      <c r="AF900" s="145">
        <v>0</v>
      </c>
      <c r="AG900" s="145">
        <v>0</v>
      </c>
      <c r="AH900" s="145">
        <v>0</v>
      </c>
      <c r="AI900" s="145">
        <v>0</v>
      </c>
      <c r="AJ900" s="145">
        <v>0</v>
      </c>
      <c r="AK900" s="145">
        <f t="shared" si="277"/>
        <v>0</v>
      </c>
      <c r="AL900" s="145">
        <v>697042.5</v>
      </c>
      <c r="AM900" s="145">
        <v>3067650</v>
      </c>
      <c r="AN900" s="145">
        <v>1021338.31</v>
      </c>
      <c r="AO900" s="145">
        <v>0</v>
      </c>
      <c r="AP900" s="145">
        <v>0</v>
      </c>
      <c r="AQ900" s="145">
        <v>0</v>
      </c>
      <c r="AR900" s="145">
        <v>0</v>
      </c>
      <c r="AS900" s="144">
        <f t="shared" si="274"/>
        <v>5660528.0700000003</v>
      </c>
      <c r="AT900" s="144">
        <v>0</v>
      </c>
      <c r="AU900" s="146">
        <f t="shared" si="267"/>
        <v>5660528.0700000003</v>
      </c>
      <c r="AV900" s="146">
        <f>IFERROR(VLOOKUP(J900,Maksājumu_pieprasījumu_iesn.!G:BL,57,0),0)</f>
        <v>0</v>
      </c>
      <c r="AW900" s="139">
        <f t="shared" si="256"/>
        <v>-5660528.0700000003</v>
      </c>
      <c r="AX900" s="147">
        <f t="shared" si="275"/>
        <v>0</v>
      </c>
      <c r="AY900" s="147"/>
      <c r="AZ900" s="147"/>
      <c r="BA900" s="165"/>
      <c r="BB900" s="144"/>
      <c r="BC900" s="144"/>
      <c r="BD900" s="144"/>
      <c r="BE900" s="144"/>
      <c r="BF900" s="144"/>
      <c r="BG900" s="144"/>
      <c r="BH900" s="149"/>
      <c r="BI900" s="149"/>
      <c r="BJ900" s="149"/>
      <c r="BK900" s="149"/>
      <c r="BL900" s="149"/>
      <c r="BM900" s="149"/>
      <c r="BN900" s="149"/>
    </row>
    <row r="901" spans="1:66" ht="38.25" hidden="1" customHeight="1" x14ac:dyDescent="0.2">
      <c r="A901" s="322" t="s">
        <v>1952</v>
      </c>
      <c r="B901" s="18" t="s">
        <v>172</v>
      </c>
      <c r="C901" s="18" t="s">
        <v>173</v>
      </c>
      <c r="D901" s="19" t="s">
        <v>579</v>
      </c>
      <c r="E901" s="18" t="s">
        <v>3</v>
      </c>
      <c r="F901" s="18" t="s">
        <v>29</v>
      </c>
      <c r="G901" s="18" t="s">
        <v>5</v>
      </c>
      <c r="H901" s="18" t="s">
        <v>3</v>
      </c>
      <c r="I901" s="18"/>
      <c r="J901" s="18" t="s">
        <v>178</v>
      </c>
      <c r="K901" s="19" t="s">
        <v>98</v>
      </c>
      <c r="L901" s="19"/>
      <c r="M901" s="19"/>
      <c r="N901" s="19" t="s">
        <v>179</v>
      </c>
      <c r="O901" s="143"/>
      <c r="P901" s="143"/>
      <c r="Q901" s="143"/>
      <c r="R901" s="143">
        <v>42794</v>
      </c>
      <c r="S901" s="144">
        <v>8275897.5099999998</v>
      </c>
      <c r="T901" s="144"/>
      <c r="U901" s="145">
        <v>0</v>
      </c>
      <c r="V901" s="145">
        <v>0</v>
      </c>
      <c r="W901" s="145">
        <v>7841593.75</v>
      </c>
      <c r="X901" s="145">
        <f t="shared" si="276"/>
        <v>7841593.75</v>
      </c>
      <c r="Y901" s="145">
        <v>0</v>
      </c>
      <c r="Z901" s="145">
        <v>434303.76</v>
      </c>
      <c r="AA901" s="145">
        <v>0</v>
      </c>
      <c r="AB901" s="145">
        <v>0</v>
      </c>
      <c r="AC901" s="145">
        <v>0</v>
      </c>
      <c r="AD901" s="145">
        <v>0</v>
      </c>
      <c r="AE901" s="145">
        <v>0</v>
      </c>
      <c r="AF901" s="145">
        <v>0</v>
      </c>
      <c r="AG901" s="145">
        <v>0</v>
      </c>
      <c r="AH901" s="145">
        <v>0</v>
      </c>
      <c r="AI901" s="145">
        <v>0</v>
      </c>
      <c r="AJ901" s="145">
        <v>0</v>
      </c>
      <c r="AK901" s="145">
        <f t="shared" si="277"/>
        <v>434303.76</v>
      </c>
      <c r="AL901" s="145">
        <v>0</v>
      </c>
      <c r="AM901" s="145">
        <v>0</v>
      </c>
      <c r="AN901" s="145">
        <v>0</v>
      </c>
      <c r="AO901" s="145">
        <v>0</v>
      </c>
      <c r="AP901" s="145">
        <v>0</v>
      </c>
      <c r="AQ901" s="145">
        <v>0</v>
      </c>
      <c r="AR901" s="145">
        <v>0</v>
      </c>
      <c r="AS901" s="144">
        <f t="shared" si="274"/>
        <v>8275897.5099999998</v>
      </c>
      <c r="AT901" s="144">
        <v>0</v>
      </c>
      <c r="AU901" s="146">
        <f t="shared" si="267"/>
        <v>8275897.5099999998</v>
      </c>
      <c r="AV901" s="146">
        <f>IFERROR(VLOOKUP(J901,Maksājumu_pieprasījumu_iesn.!G:BL,57,0),0)</f>
        <v>0</v>
      </c>
      <c r="AW901" s="139">
        <f t="shared" si="256"/>
        <v>-8275897.5099999998</v>
      </c>
      <c r="AX901" s="147">
        <f t="shared" si="275"/>
        <v>0</v>
      </c>
      <c r="AY901" s="147"/>
      <c r="AZ901" s="147"/>
      <c r="BA901" s="165"/>
      <c r="BB901" s="144"/>
      <c r="BC901" s="144"/>
      <c r="BD901" s="144"/>
      <c r="BE901" s="144"/>
      <c r="BF901" s="144"/>
      <c r="BG901" s="144"/>
      <c r="BH901" s="149"/>
      <c r="BI901" s="149"/>
      <c r="BJ901" s="149"/>
      <c r="BK901" s="149"/>
      <c r="BL901" s="149"/>
      <c r="BM901" s="149"/>
      <c r="BN901" s="149"/>
    </row>
    <row r="902" spans="1:66" ht="51" hidden="1" customHeight="1" x14ac:dyDescent="0.2">
      <c r="A902" s="322" t="s">
        <v>1952</v>
      </c>
      <c r="B902" s="18" t="s">
        <v>172</v>
      </c>
      <c r="C902" s="18" t="s">
        <v>173</v>
      </c>
      <c r="D902" s="19" t="s">
        <v>579</v>
      </c>
      <c r="E902" s="18" t="s">
        <v>3</v>
      </c>
      <c r="F902" s="18" t="s">
        <v>29</v>
      </c>
      <c r="G902" s="18" t="s">
        <v>5</v>
      </c>
      <c r="H902" s="18" t="s">
        <v>3</v>
      </c>
      <c r="I902" s="18"/>
      <c r="J902" s="18" t="s">
        <v>180</v>
      </c>
      <c r="K902" s="19" t="s">
        <v>98</v>
      </c>
      <c r="L902" s="19"/>
      <c r="M902" s="19"/>
      <c r="N902" s="19" t="s">
        <v>181</v>
      </c>
      <c r="O902" s="143"/>
      <c r="P902" s="143"/>
      <c r="Q902" s="143"/>
      <c r="R902" s="143">
        <v>42527</v>
      </c>
      <c r="S902" s="144">
        <v>8081718.7199999997</v>
      </c>
      <c r="T902" s="144"/>
      <c r="U902" s="145">
        <v>0</v>
      </c>
      <c r="V902" s="145">
        <v>0</v>
      </c>
      <c r="W902" s="145">
        <v>5149736.75</v>
      </c>
      <c r="X902" s="145">
        <f t="shared" si="276"/>
        <v>5149736.75</v>
      </c>
      <c r="Y902" s="145">
        <v>0</v>
      </c>
      <c r="Z902" s="145">
        <v>0</v>
      </c>
      <c r="AA902" s="145">
        <v>373852.07</v>
      </c>
      <c r="AB902" s="145">
        <v>0</v>
      </c>
      <c r="AC902" s="145">
        <v>0</v>
      </c>
      <c r="AD902" s="145">
        <v>0</v>
      </c>
      <c r="AE902" s="145">
        <v>0</v>
      </c>
      <c r="AF902" s="145">
        <v>0</v>
      </c>
      <c r="AG902" s="145">
        <v>1694520.05</v>
      </c>
      <c r="AH902" s="145">
        <v>0</v>
      </c>
      <c r="AI902" s="145">
        <v>0</v>
      </c>
      <c r="AJ902" s="145">
        <v>361733.65</v>
      </c>
      <c r="AK902" s="145">
        <f t="shared" si="277"/>
        <v>2430105.77</v>
      </c>
      <c r="AL902" s="145">
        <v>501876.2</v>
      </c>
      <c r="AM902" s="145">
        <v>0</v>
      </c>
      <c r="AN902" s="145">
        <v>0</v>
      </c>
      <c r="AO902" s="145">
        <v>0</v>
      </c>
      <c r="AP902" s="145">
        <v>0</v>
      </c>
      <c r="AQ902" s="145">
        <v>0</v>
      </c>
      <c r="AR902" s="145">
        <v>0</v>
      </c>
      <c r="AS902" s="144">
        <f t="shared" si="274"/>
        <v>8081718.7199999997</v>
      </c>
      <c r="AT902" s="144">
        <v>0</v>
      </c>
      <c r="AU902" s="146">
        <f t="shared" si="267"/>
        <v>8081718.7199999997</v>
      </c>
      <c r="AV902" s="146">
        <f>IFERROR(VLOOKUP(J902,Maksājumu_pieprasījumu_iesn.!G:BL,57,0),0)</f>
        <v>0</v>
      </c>
      <c r="AW902" s="139">
        <f t="shared" si="256"/>
        <v>-8081718.7199999997</v>
      </c>
      <c r="AX902" s="147">
        <f t="shared" si="275"/>
        <v>0</v>
      </c>
      <c r="AY902" s="147"/>
      <c r="AZ902" s="147"/>
      <c r="BA902" s="165"/>
      <c r="BB902" s="144"/>
      <c r="BC902" s="144"/>
      <c r="BD902" s="144"/>
      <c r="BE902" s="144"/>
      <c r="BF902" s="144"/>
      <c r="BG902" s="144"/>
      <c r="BH902" s="149"/>
      <c r="BI902" s="149"/>
      <c r="BJ902" s="149"/>
      <c r="BK902" s="149"/>
      <c r="BL902" s="149"/>
      <c r="BM902" s="149"/>
      <c r="BN902" s="149"/>
    </row>
    <row r="903" spans="1:66" ht="51" hidden="1" customHeight="1" x14ac:dyDescent="0.2">
      <c r="A903" s="322" t="s">
        <v>1952</v>
      </c>
      <c r="B903" s="18" t="s">
        <v>172</v>
      </c>
      <c r="C903" s="18" t="s">
        <v>173</v>
      </c>
      <c r="D903" s="19" t="s">
        <v>579</v>
      </c>
      <c r="E903" s="18" t="s">
        <v>3</v>
      </c>
      <c r="F903" s="18" t="s">
        <v>29</v>
      </c>
      <c r="G903" s="18" t="s">
        <v>5</v>
      </c>
      <c r="H903" s="18" t="s">
        <v>3</v>
      </c>
      <c r="I903" s="18"/>
      <c r="J903" s="18" t="s">
        <v>182</v>
      </c>
      <c r="K903" s="19" t="s">
        <v>98</v>
      </c>
      <c r="L903" s="19"/>
      <c r="M903" s="19"/>
      <c r="N903" s="19" t="s">
        <v>183</v>
      </c>
      <c r="O903" s="143"/>
      <c r="P903" s="143"/>
      <c r="Q903" s="143"/>
      <c r="R903" s="143">
        <v>42522</v>
      </c>
      <c r="S903" s="144">
        <v>11358712.060000001</v>
      </c>
      <c r="T903" s="144"/>
      <c r="U903" s="145">
        <v>0</v>
      </c>
      <c r="V903" s="145">
        <v>0</v>
      </c>
      <c r="W903" s="145">
        <v>3402729.03</v>
      </c>
      <c r="X903" s="145">
        <f t="shared" si="276"/>
        <v>3402729.03</v>
      </c>
      <c r="Y903" s="145">
        <v>0</v>
      </c>
      <c r="Z903" s="145">
        <v>0</v>
      </c>
      <c r="AA903" s="145">
        <v>787670.64</v>
      </c>
      <c r="AB903" s="145">
        <v>0</v>
      </c>
      <c r="AC903" s="145">
        <v>0</v>
      </c>
      <c r="AD903" s="145">
        <v>242540.7</v>
      </c>
      <c r="AE903" s="145">
        <v>0</v>
      </c>
      <c r="AF903" s="145">
        <v>0</v>
      </c>
      <c r="AG903" s="145">
        <v>4020845.95</v>
      </c>
      <c r="AH903" s="145">
        <v>0</v>
      </c>
      <c r="AI903" s="145">
        <v>0</v>
      </c>
      <c r="AJ903" s="145">
        <v>1418201.2</v>
      </c>
      <c r="AK903" s="145">
        <f t="shared" si="277"/>
        <v>6469258.4900000002</v>
      </c>
      <c r="AL903" s="145">
        <v>1486724.54</v>
      </c>
      <c r="AM903" s="145">
        <v>0</v>
      </c>
      <c r="AN903" s="145">
        <v>0</v>
      </c>
      <c r="AO903" s="145">
        <v>0</v>
      </c>
      <c r="AP903" s="145">
        <v>0</v>
      </c>
      <c r="AQ903" s="145">
        <v>0</v>
      </c>
      <c r="AR903" s="145">
        <v>0</v>
      </c>
      <c r="AS903" s="144">
        <f t="shared" si="274"/>
        <v>11358712.059999999</v>
      </c>
      <c r="AT903" s="144">
        <v>0</v>
      </c>
      <c r="AU903" s="146">
        <f t="shared" si="267"/>
        <v>11358712.059999999</v>
      </c>
      <c r="AV903" s="146" t="str">
        <f>IFERROR(VLOOKUP(J903,Maksājumu_pieprasījumu_iesn.!G:BL,57,0),0)</f>
        <v>Maksājuma pieprasījums pārcelts uz septembri, jo būvdarbu veikšanas laikā bija tehnoloģiskais pārtraukums un tika atsākti ar kavēšanos tikai 15.05.2017. dēļ nelabvēlīgiem klimatiskie apstākļiem maija sākumā.</v>
      </c>
      <c r="AW903" s="139" t="e">
        <f t="shared" si="256"/>
        <v>#VALUE!</v>
      </c>
      <c r="AX903" s="147">
        <f t="shared" si="275"/>
        <v>0</v>
      </c>
      <c r="AY903" s="147"/>
      <c r="AZ903" s="147"/>
      <c r="BA903" s="165"/>
      <c r="BB903" s="144"/>
      <c r="BC903" s="144"/>
      <c r="BD903" s="144"/>
      <c r="BE903" s="144"/>
      <c r="BF903" s="144"/>
      <c r="BG903" s="144"/>
      <c r="BH903" s="149"/>
      <c r="BI903" s="149"/>
      <c r="BJ903" s="149"/>
      <c r="BK903" s="149"/>
      <c r="BL903" s="149"/>
      <c r="BM903" s="149"/>
      <c r="BN903" s="149"/>
    </row>
    <row r="904" spans="1:66" ht="51" hidden="1" customHeight="1" x14ac:dyDescent="0.2">
      <c r="A904" s="322" t="s">
        <v>1952</v>
      </c>
      <c r="B904" s="18" t="s">
        <v>172</v>
      </c>
      <c r="C904" s="18" t="s">
        <v>173</v>
      </c>
      <c r="D904" s="19" t="s">
        <v>579</v>
      </c>
      <c r="E904" s="18" t="s">
        <v>3</v>
      </c>
      <c r="F904" s="18" t="s">
        <v>29</v>
      </c>
      <c r="G904" s="18" t="s">
        <v>5</v>
      </c>
      <c r="H904" s="18" t="s">
        <v>3</v>
      </c>
      <c r="I904" s="18"/>
      <c r="J904" s="18" t="s">
        <v>184</v>
      </c>
      <c r="K904" s="19" t="s">
        <v>98</v>
      </c>
      <c r="L904" s="19"/>
      <c r="M904" s="19"/>
      <c r="N904" s="19" t="s">
        <v>185</v>
      </c>
      <c r="O904" s="143"/>
      <c r="P904" s="143"/>
      <c r="Q904" s="143"/>
      <c r="R904" s="143">
        <v>42522</v>
      </c>
      <c r="S904" s="144">
        <v>11537007.689999999</v>
      </c>
      <c r="T904" s="144"/>
      <c r="U904" s="145">
        <v>0</v>
      </c>
      <c r="V904" s="145">
        <v>0</v>
      </c>
      <c r="W904" s="145">
        <v>9869613.2200000007</v>
      </c>
      <c r="X904" s="145">
        <f t="shared" si="276"/>
        <v>9869613.2200000007</v>
      </c>
      <c r="Y904" s="145">
        <v>0</v>
      </c>
      <c r="Z904" s="145">
        <v>0</v>
      </c>
      <c r="AA904" s="145">
        <v>205473.04</v>
      </c>
      <c r="AB904" s="145">
        <v>0</v>
      </c>
      <c r="AC904" s="145">
        <v>0</v>
      </c>
      <c r="AD904" s="145">
        <v>0</v>
      </c>
      <c r="AE904" s="145">
        <v>0</v>
      </c>
      <c r="AF904" s="145">
        <v>0</v>
      </c>
      <c r="AG904" s="145">
        <v>0</v>
      </c>
      <c r="AH904" s="145">
        <v>0</v>
      </c>
      <c r="AI904" s="145">
        <v>0</v>
      </c>
      <c r="AJ904" s="145">
        <v>0</v>
      </c>
      <c r="AK904" s="145">
        <f t="shared" si="277"/>
        <v>205473.04</v>
      </c>
      <c r="AL904" s="145">
        <v>0</v>
      </c>
      <c r="AM904" s="145">
        <v>0</v>
      </c>
      <c r="AN904" s="145">
        <v>0</v>
      </c>
      <c r="AO904" s="145">
        <v>0</v>
      </c>
      <c r="AP904" s="145">
        <v>0</v>
      </c>
      <c r="AQ904" s="145">
        <v>0</v>
      </c>
      <c r="AR904" s="145">
        <v>0</v>
      </c>
      <c r="AS904" s="144">
        <f t="shared" si="274"/>
        <v>10075086.26</v>
      </c>
      <c r="AT904" s="144">
        <v>0</v>
      </c>
      <c r="AU904" s="146">
        <f t="shared" si="267"/>
        <v>10075086.26</v>
      </c>
      <c r="AV904" s="146">
        <f>IFERROR(VLOOKUP(J904,Maksājumu_pieprasījumu_iesn.!G:BL,57,0),0)</f>
        <v>0</v>
      </c>
      <c r="AW904" s="139">
        <f t="shared" si="256"/>
        <v>-10075086.26</v>
      </c>
      <c r="AX904" s="147">
        <f t="shared" si="275"/>
        <v>1461921.4299999997</v>
      </c>
      <c r="AY904" s="147">
        <v>1461921</v>
      </c>
      <c r="AZ904" s="147"/>
      <c r="BA904" s="165" t="s">
        <v>2039</v>
      </c>
      <c r="BB904" s="144"/>
      <c r="BC904" s="144"/>
      <c r="BD904" s="144"/>
      <c r="BE904" s="144"/>
      <c r="BF904" s="144"/>
      <c r="BG904" s="144"/>
      <c r="BH904" s="149"/>
      <c r="BI904" s="149"/>
      <c r="BJ904" s="149"/>
      <c r="BK904" s="149"/>
      <c r="BL904" s="149"/>
      <c r="BM904" s="149"/>
      <c r="BN904" s="149"/>
    </row>
    <row r="905" spans="1:66" ht="51" hidden="1" customHeight="1" x14ac:dyDescent="0.2">
      <c r="A905" s="322" t="s">
        <v>1952</v>
      </c>
      <c r="B905" s="18" t="s">
        <v>172</v>
      </c>
      <c r="C905" s="18" t="s">
        <v>173</v>
      </c>
      <c r="D905" s="19" t="s">
        <v>579</v>
      </c>
      <c r="E905" s="18" t="s">
        <v>3</v>
      </c>
      <c r="F905" s="18" t="s">
        <v>29</v>
      </c>
      <c r="G905" s="18" t="s">
        <v>5</v>
      </c>
      <c r="H905" s="18" t="s">
        <v>3</v>
      </c>
      <c r="I905" s="18"/>
      <c r="J905" s="18" t="s">
        <v>186</v>
      </c>
      <c r="K905" s="19" t="s">
        <v>98</v>
      </c>
      <c r="L905" s="19"/>
      <c r="M905" s="19"/>
      <c r="N905" s="19" t="s">
        <v>187</v>
      </c>
      <c r="O905" s="143"/>
      <c r="P905" s="143"/>
      <c r="Q905" s="143"/>
      <c r="R905" s="143">
        <v>42549</v>
      </c>
      <c r="S905" s="144">
        <v>7689153.7000000002</v>
      </c>
      <c r="T905" s="144"/>
      <c r="U905" s="145">
        <v>0</v>
      </c>
      <c r="V905" s="145">
        <v>0</v>
      </c>
      <c r="W905" s="145">
        <v>1522923.67</v>
      </c>
      <c r="X905" s="145">
        <f t="shared" si="276"/>
        <v>1522923.67</v>
      </c>
      <c r="Y905" s="145">
        <v>1802524.51</v>
      </c>
      <c r="Z905" s="145">
        <v>0</v>
      </c>
      <c r="AA905" s="145">
        <v>0</v>
      </c>
      <c r="AB905" s="145">
        <v>979630.3</v>
      </c>
      <c r="AC905" s="145">
        <v>0</v>
      </c>
      <c r="AD905" s="166">
        <v>0</v>
      </c>
      <c r="AE905" s="166">
        <v>206568.7</v>
      </c>
      <c r="AF905" s="145">
        <v>0</v>
      </c>
      <c r="AG905" s="145">
        <v>0</v>
      </c>
      <c r="AH905" s="145">
        <v>2456638.5499999998</v>
      </c>
      <c r="AI905" s="145">
        <v>0</v>
      </c>
      <c r="AJ905" s="145">
        <v>0</v>
      </c>
      <c r="AK905" s="145">
        <f t="shared" si="277"/>
        <v>5445362.0600000005</v>
      </c>
      <c r="AL905" s="145">
        <v>716071.28</v>
      </c>
      <c r="AM905" s="145">
        <v>0</v>
      </c>
      <c r="AN905" s="145">
        <v>0</v>
      </c>
      <c r="AO905" s="145">
        <v>0</v>
      </c>
      <c r="AP905" s="145">
        <v>0</v>
      </c>
      <c r="AQ905" s="145">
        <v>0</v>
      </c>
      <c r="AR905" s="145">
        <v>0</v>
      </c>
      <c r="AS905" s="144">
        <f t="shared" si="274"/>
        <v>7684357.0100000007</v>
      </c>
      <c r="AT905" s="144">
        <v>0</v>
      </c>
      <c r="AU905" s="146">
        <f t="shared" si="267"/>
        <v>7684357.0100000007</v>
      </c>
      <c r="AV905" s="146">
        <f>IFERROR(VLOOKUP(J905,Maksājumu_pieprasījumu_iesn.!G:BL,57,0),0)</f>
        <v>0</v>
      </c>
      <c r="AW905" s="139">
        <f t="shared" si="256"/>
        <v>-7684357.0100000007</v>
      </c>
      <c r="AX905" s="147">
        <f t="shared" si="275"/>
        <v>4796.6899999994785</v>
      </c>
      <c r="AY905" s="147">
        <v>4797</v>
      </c>
      <c r="AZ905" s="147"/>
      <c r="BA905" s="165" t="s">
        <v>2040</v>
      </c>
      <c r="BB905" s="144"/>
      <c r="BC905" s="144"/>
      <c r="BD905" s="144"/>
      <c r="BE905" s="144"/>
      <c r="BF905" s="144"/>
      <c r="BG905" s="144"/>
      <c r="BH905" s="149"/>
      <c r="BI905" s="149"/>
      <c r="BJ905" s="149"/>
      <c r="BK905" s="149"/>
      <c r="BL905" s="149"/>
      <c r="BM905" s="149"/>
      <c r="BN905" s="149"/>
    </row>
    <row r="906" spans="1:66" ht="51" hidden="1" customHeight="1" x14ac:dyDescent="0.2">
      <c r="A906" s="322" t="s">
        <v>1952</v>
      </c>
      <c r="B906" s="18" t="s">
        <v>172</v>
      </c>
      <c r="C906" s="18" t="s">
        <v>173</v>
      </c>
      <c r="D906" s="19" t="s">
        <v>579</v>
      </c>
      <c r="E906" s="18" t="s">
        <v>3</v>
      </c>
      <c r="F906" s="18" t="s">
        <v>29</v>
      </c>
      <c r="G906" s="18" t="s">
        <v>5</v>
      </c>
      <c r="H906" s="18" t="s">
        <v>3</v>
      </c>
      <c r="I906" s="18"/>
      <c r="J906" s="18" t="s">
        <v>188</v>
      </c>
      <c r="K906" s="19" t="s">
        <v>98</v>
      </c>
      <c r="L906" s="19"/>
      <c r="M906" s="19"/>
      <c r="N906" s="19" t="s">
        <v>189</v>
      </c>
      <c r="O906" s="143"/>
      <c r="P906" s="143"/>
      <c r="Q906" s="143"/>
      <c r="R906" s="143">
        <v>42522</v>
      </c>
      <c r="S906" s="144">
        <v>8555481.9900000002</v>
      </c>
      <c r="T906" s="144"/>
      <c r="U906" s="145">
        <v>0</v>
      </c>
      <c r="V906" s="145">
        <v>0</v>
      </c>
      <c r="W906" s="145">
        <v>7322373.2699999996</v>
      </c>
      <c r="X906" s="145">
        <f t="shared" si="276"/>
        <v>7322373.2699999996</v>
      </c>
      <c r="Y906" s="145">
        <v>0</v>
      </c>
      <c r="Z906" s="145">
        <v>0</v>
      </c>
      <c r="AA906" s="145">
        <v>314032.11</v>
      </c>
      <c r="AB906" s="145">
        <v>0</v>
      </c>
      <c r="AC906" s="145">
        <v>0</v>
      </c>
      <c r="AD906" s="145">
        <v>0</v>
      </c>
      <c r="AE906" s="145">
        <v>0</v>
      </c>
      <c r="AF906" s="145">
        <v>0</v>
      </c>
      <c r="AG906" s="145">
        <v>0</v>
      </c>
      <c r="AH906" s="145">
        <v>0</v>
      </c>
      <c r="AI906" s="145">
        <v>0</v>
      </c>
      <c r="AJ906" s="145">
        <v>0</v>
      </c>
      <c r="AK906" s="145">
        <f t="shared" si="277"/>
        <v>314032.11</v>
      </c>
      <c r="AL906" s="145">
        <v>0</v>
      </c>
      <c r="AM906" s="145">
        <v>0</v>
      </c>
      <c r="AN906" s="145">
        <v>0</v>
      </c>
      <c r="AO906" s="145">
        <v>0</v>
      </c>
      <c r="AP906" s="145">
        <v>0</v>
      </c>
      <c r="AQ906" s="145">
        <v>0</v>
      </c>
      <c r="AR906" s="145">
        <v>0</v>
      </c>
      <c r="AS906" s="144">
        <f t="shared" si="274"/>
        <v>7636405.3799999999</v>
      </c>
      <c r="AT906" s="144">
        <v>0</v>
      </c>
      <c r="AU906" s="146">
        <f t="shared" si="267"/>
        <v>7636405.3799999999</v>
      </c>
      <c r="AV906" s="146">
        <f>IFERROR(VLOOKUP(J906,Maksājumu_pieprasījumu_iesn.!G:BL,57,0),0)</f>
        <v>0</v>
      </c>
      <c r="AW906" s="139">
        <f t="shared" si="256"/>
        <v>-7636405.3799999999</v>
      </c>
      <c r="AX906" s="147">
        <f t="shared" si="275"/>
        <v>919076.61000000034</v>
      </c>
      <c r="AY906" s="147">
        <v>919077</v>
      </c>
      <c r="AZ906" s="147"/>
      <c r="BA906" s="165" t="s">
        <v>2041</v>
      </c>
      <c r="BB906" s="144"/>
      <c r="BC906" s="144"/>
      <c r="BD906" s="144"/>
      <c r="BE906" s="144"/>
      <c r="BF906" s="144"/>
      <c r="BG906" s="144"/>
      <c r="BH906" s="149"/>
      <c r="BI906" s="149"/>
      <c r="BJ906" s="149"/>
      <c r="BK906" s="149"/>
      <c r="BL906" s="149"/>
      <c r="BM906" s="149"/>
      <c r="BN906" s="149"/>
    </row>
    <row r="907" spans="1:66" ht="38.25" hidden="1" customHeight="1" x14ac:dyDescent="0.2">
      <c r="A907" s="322" t="s">
        <v>1952</v>
      </c>
      <c r="B907" s="18" t="s">
        <v>172</v>
      </c>
      <c r="C907" s="18" t="s">
        <v>173</v>
      </c>
      <c r="D907" s="19" t="s">
        <v>579</v>
      </c>
      <c r="E907" s="18" t="s">
        <v>3</v>
      </c>
      <c r="F907" s="18" t="s">
        <v>29</v>
      </c>
      <c r="G907" s="18" t="s">
        <v>5</v>
      </c>
      <c r="H907" s="18" t="s">
        <v>3</v>
      </c>
      <c r="I907" s="18"/>
      <c r="J907" s="18" t="s">
        <v>190</v>
      </c>
      <c r="K907" s="19" t="s">
        <v>98</v>
      </c>
      <c r="L907" s="19"/>
      <c r="M907" s="19"/>
      <c r="N907" s="19" t="s">
        <v>191</v>
      </c>
      <c r="O907" s="143"/>
      <c r="P907" s="143"/>
      <c r="Q907" s="143"/>
      <c r="R907" s="143">
        <v>42527</v>
      </c>
      <c r="S907" s="144">
        <v>12151101.76</v>
      </c>
      <c r="T907" s="144"/>
      <c r="U907" s="145">
        <v>0</v>
      </c>
      <c r="V907" s="145">
        <v>0</v>
      </c>
      <c r="W907" s="145">
        <v>6264562.7599999998</v>
      </c>
      <c r="X907" s="145">
        <f t="shared" si="276"/>
        <v>6264562.7599999998</v>
      </c>
      <c r="Y907" s="145">
        <v>0</v>
      </c>
      <c r="Z907" s="145">
        <v>0</v>
      </c>
      <c r="AA907" s="145">
        <v>1944909.51</v>
      </c>
      <c r="AB907" s="145">
        <v>0</v>
      </c>
      <c r="AC907" s="145">
        <v>0</v>
      </c>
      <c r="AD907" s="145">
        <v>0</v>
      </c>
      <c r="AE907" s="145">
        <v>0</v>
      </c>
      <c r="AF907" s="145">
        <v>0</v>
      </c>
      <c r="AG907" s="145">
        <v>2782399.35</v>
      </c>
      <c r="AH907" s="145">
        <v>0</v>
      </c>
      <c r="AI907" s="145">
        <v>0</v>
      </c>
      <c r="AJ907" s="145">
        <v>1159230.1399999999</v>
      </c>
      <c r="AK907" s="145">
        <f t="shared" si="277"/>
        <v>5886539</v>
      </c>
      <c r="AL907" s="145">
        <v>0</v>
      </c>
      <c r="AM907" s="145">
        <v>0</v>
      </c>
      <c r="AN907" s="145">
        <v>0</v>
      </c>
      <c r="AO907" s="145">
        <v>0</v>
      </c>
      <c r="AP907" s="145">
        <v>0</v>
      </c>
      <c r="AQ907" s="145">
        <v>0</v>
      </c>
      <c r="AR907" s="145">
        <v>0</v>
      </c>
      <c r="AS907" s="144">
        <f t="shared" si="274"/>
        <v>12151101.76</v>
      </c>
      <c r="AT907" s="144">
        <v>0</v>
      </c>
      <c r="AU907" s="146">
        <f t="shared" si="267"/>
        <v>12151101.76</v>
      </c>
      <c r="AV907" s="146">
        <f>IFERROR(VLOOKUP(J907,Maksājumu_pieprasījumu_iesn.!G:BL,57,0),0)</f>
        <v>0</v>
      </c>
      <c r="AW907" s="139">
        <f t="shared" si="256"/>
        <v>-12151101.76</v>
      </c>
      <c r="AX907" s="147">
        <f t="shared" si="275"/>
        <v>0</v>
      </c>
      <c r="AY907" s="147"/>
      <c r="AZ907" s="147"/>
      <c r="BA907" s="165"/>
      <c r="BB907" s="144"/>
      <c r="BC907" s="144"/>
      <c r="BD907" s="144"/>
      <c r="BE907" s="144"/>
      <c r="BF907" s="144"/>
      <c r="BG907" s="144"/>
      <c r="BH907" s="149"/>
      <c r="BI907" s="149"/>
      <c r="BJ907" s="149"/>
      <c r="BK907" s="149"/>
      <c r="BL907" s="149"/>
      <c r="BM907" s="149"/>
      <c r="BN907" s="149"/>
    </row>
    <row r="908" spans="1:66" ht="51" hidden="1" customHeight="1" x14ac:dyDescent="0.2">
      <c r="A908" s="322" t="s">
        <v>1952</v>
      </c>
      <c r="B908" s="18" t="s">
        <v>172</v>
      </c>
      <c r="C908" s="18" t="s">
        <v>173</v>
      </c>
      <c r="D908" s="19" t="s">
        <v>579</v>
      </c>
      <c r="E908" s="18" t="s">
        <v>3</v>
      </c>
      <c r="F908" s="18" t="s">
        <v>29</v>
      </c>
      <c r="G908" s="18" t="s">
        <v>5</v>
      </c>
      <c r="H908" s="18" t="s">
        <v>3</v>
      </c>
      <c r="I908" s="18"/>
      <c r="J908" s="18" t="s">
        <v>192</v>
      </c>
      <c r="K908" s="19" t="s">
        <v>98</v>
      </c>
      <c r="L908" s="19"/>
      <c r="M908" s="19"/>
      <c r="N908" s="19" t="s">
        <v>193</v>
      </c>
      <c r="O908" s="143"/>
      <c r="P908" s="143"/>
      <c r="Q908" s="143"/>
      <c r="R908" s="143">
        <v>42530</v>
      </c>
      <c r="S908" s="144">
        <v>6586478.5800000001</v>
      </c>
      <c r="T908" s="144"/>
      <c r="U908" s="145">
        <v>0</v>
      </c>
      <c r="V908" s="145">
        <v>0</v>
      </c>
      <c r="W908" s="145">
        <v>2720576.09</v>
      </c>
      <c r="X908" s="145">
        <f t="shared" si="276"/>
        <v>2720576.09</v>
      </c>
      <c r="Y908" s="145">
        <v>0</v>
      </c>
      <c r="Z908" s="145">
        <v>0</v>
      </c>
      <c r="AA908" s="145">
        <v>753718.47</v>
      </c>
      <c r="AB908" s="145">
        <v>0</v>
      </c>
      <c r="AC908" s="145">
        <v>0</v>
      </c>
      <c r="AD908" s="145">
        <v>0</v>
      </c>
      <c r="AE908" s="145">
        <v>0</v>
      </c>
      <c r="AF908" s="145">
        <v>0</v>
      </c>
      <c r="AG908" s="145">
        <v>1622807.25</v>
      </c>
      <c r="AH908" s="145">
        <v>0</v>
      </c>
      <c r="AI908" s="145">
        <v>0</v>
      </c>
      <c r="AJ908" s="145">
        <v>988426.75</v>
      </c>
      <c r="AK908" s="145">
        <f t="shared" si="277"/>
        <v>3364952.4699999997</v>
      </c>
      <c r="AL908" s="145">
        <v>500950.02</v>
      </c>
      <c r="AM908" s="145">
        <v>0</v>
      </c>
      <c r="AN908" s="145">
        <v>0</v>
      </c>
      <c r="AO908" s="145">
        <v>0</v>
      </c>
      <c r="AP908" s="145">
        <v>0</v>
      </c>
      <c r="AQ908" s="145">
        <v>0</v>
      </c>
      <c r="AR908" s="145">
        <v>0</v>
      </c>
      <c r="AS908" s="144">
        <f t="shared" si="274"/>
        <v>6586478.5800000001</v>
      </c>
      <c r="AT908" s="144">
        <v>0</v>
      </c>
      <c r="AU908" s="146">
        <f t="shared" si="267"/>
        <v>6586478.5800000001</v>
      </c>
      <c r="AV908" s="146">
        <f>IFERROR(VLOOKUP(J908,Maksājumu_pieprasījumu_iesn.!G:BL,57,0),0)</f>
        <v>0</v>
      </c>
      <c r="AW908" s="139">
        <f t="shared" si="256"/>
        <v>-6586478.5800000001</v>
      </c>
      <c r="AX908" s="147">
        <f t="shared" si="275"/>
        <v>0</v>
      </c>
      <c r="AY908" s="147"/>
      <c r="AZ908" s="147"/>
      <c r="BA908" s="165"/>
      <c r="BB908" s="144"/>
      <c r="BC908" s="144"/>
      <c r="BD908" s="144"/>
      <c r="BE908" s="144"/>
      <c r="BF908" s="144"/>
      <c r="BG908" s="144"/>
      <c r="BH908" s="149"/>
      <c r="BI908" s="149"/>
      <c r="BJ908" s="149"/>
      <c r="BK908" s="149"/>
      <c r="BL908" s="149"/>
      <c r="BM908" s="149"/>
      <c r="BN908" s="149"/>
    </row>
    <row r="909" spans="1:66" ht="38.25" hidden="1" customHeight="1" x14ac:dyDescent="0.2">
      <c r="A909" s="322" t="s">
        <v>1952</v>
      </c>
      <c r="B909" s="18" t="s">
        <v>172</v>
      </c>
      <c r="C909" s="18" t="s">
        <v>173</v>
      </c>
      <c r="D909" s="19" t="s">
        <v>579</v>
      </c>
      <c r="E909" s="18" t="s">
        <v>3</v>
      </c>
      <c r="F909" s="18" t="s">
        <v>29</v>
      </c>
      <c r="G909" s="18" t="s">
        <v>5</v>
      </c>
      <c r="H909" s="18" t="s">
        <v>3</v>
      </c>
      <c r="I909" s="18"/>
      <c r="J909" s="18" t="s">
        <v>194</v>
      </c>
      <c r="K909" s="19" t="s">
        <v>98</v>
      </c>
      <c r="L909" s="19"/>
      <c r="M909" s="19"/>
      <c r="N909" s="19" t="s">
        <v>195</v>
      </c>
      <c r="O909" s="143"/>
      <c r="P909" s="143"/>
      <c r="Q909" s="143"/>
      <c r="R909" s="143">
        <v>42549</v>
      </c>
      <c r="S909" s="144">
        <v>7650766.0099999998</v>
      </c>
      <c r="T909" s="144"/>
      <c r="U909" s="145">
        <v>0</v>
      </c>
      <c r="V909" s="145">
        <v>0</v>
      </c>
      <c r="W909" s="145">
        <v>1715140.56</v>
      </c>
      <c r="X909" s="145">
        <f t="shared" si="276"/>
        <v>1715140.56</v>
      </c>
      <c r="Y909" s="145">
        <v>1246672.71</v>
      </c>
      <c r="Z909" s="145">
        <v>0</v>
      </c>
      <c r="AA909" s="145">
        <v>0</v>
      </c>
      <c r="AB909" s="145">
        <v>172266.95</v>
      </c>
      <c r="AC909" s="145">
        <v>0</v>
      </c>
      <c r="AD909" s="166">
        <v>0</v>
      </c>
      <c r="AE909" s="166">
        <v>2160138.15</v>
      </c>
      <c r="AF909" s="145">
        <v>0</v>
      </c>
      <c r="AG909" s="145">
        <v>0</v>
      </c>
      <c r="AH909" s="145">
        <v>1211532.2</v>
      </c>
      <c r="AI909" s="145">
        <v>0</v>
      </c>
      <c r="AJ909" s="145">
        <v>0</v>
      </c>
      <c r="AK909" s="145">
        <f t="shared" si="277"/>
        <v>4790610.01</v>
      </c>
      <c r="AL909" s="145">
        <v>1145015.44</v>
      </c>
      <c r="AM909" s="145">
        <v>0</v>
      </c>
      <c r="AN909" s="145">
        <v>0</v>
      </c>
      <c r="AO909" s="145">
        <v>0</v>
      </c>
      <c r="AP909" s="145">
        <v>0</v>
      </c>
      <c r="AQ909" s="145">
        <v>0</v>
      </c>
      <c r="AR909" s="145">
        <v>0</v>
      </c>
      <c r="AS909" s="144">
        <f t="shared" si="274"/>
        <v>7650766.0099999998</v>
      </c>
      <c r="AT909" s="144">
        <v>0</v>
      </c>
      <c r="AU909" s="146">
        <f t="shared" si="267"/>
        <v>7650766.0099999998</v>
      </c>
      <c r="AV909" s="146" t="str">
        <f>IFERROR(VLOOKUP(J909,Maksājumu_pieprasījumu_iesn.!G:BL,57,0),0)</f>
        <v>Izpilde  atbilstoši paveiktajiem darbiem līdz jūlijam bija mazāka nekā sākotnēji tika plānots. Būvdarbi ir pabeigti. Par iespējamo projektā radušos ietaupījumu precīzāka informācija būs saņemot nākamo starpposma maksājumu - oktobrī.</v>
      </c>
      <c r="AW909" s="139" t="e">
        <f t="shared" si="256"/>
        <v>#VALUE!</v>
      </c>
      <c r="AX909" s="147">
        <f t="shared" si="275"/>
        <v>0</v>
      </c>
      <c r="AY909" s="147"/>
      <c r="AZ909" s="147"/>
      <c r="BA909" s="165"/>
      <c r="BB909" s="144"/>
      <c r="BC909" s="144"/>
      <c r="BD909" s="144"/>
      <c r="BE909" s="144"/>
      <c r="BF909" s="144"/>
      <c r="BG909" s="144"/>
      <c r="BH909" s="149"/>
      <c r="BI909" s="149"/>
      <c r="BJ909" s="149"/>
      <c r="BK909" s="149"/>
      <c r="BL909" s="149"/>
      <c r="BM909" s="149"/>
      <c r="BN909" s="149"/>
    </row>
    <row r="910" spans="1:66" ht="51" hidden="1" customHeight="1" x14ac:dyDescent="0.2">
      <c r="A910" s="322" t="s">
        <v>1952</v>
      </c>
      <c r="B910" s="18" t="s">
        <v>172</v>
      </c>
      <c r="C910" s="18" t="s">
        <v>173</v>
      </c>
      <c r="D910" s="19" t="s">
        <v>579</v>
      </c>
      <c r="E910" s="18" t="s">
        <v>3</v>
      </c>
      <c r="F910" s="18" t="s">
        <v>29</v>
      </c>
      <c r="G910" s="18" t="s">
        <v>5</v>
      </c>
      <c r="H910" s="18" t="s">
        <v>3</v>
      </c>
      <c r="I910" s="18"/>
      <c r="J910" s="18" t="s">
        <v>196</v>
      </c>
      <c r="K910" s="19" t="s">
        <v>98</v>
      </c>
      <c r="L910" s="19"/>
      <c r="M910" s="19"/>
      <c r="N910" s="19" t="s">
        <v>197</v>
      </c>
      <c r="O910" s="143"/>
      <c r="P910" s="143"/>
      <c r="Q910" s="143"/>
      <c r="R910" s="143">
        <v>42549</v>
      </c>
      <c r="S910" s="144">
        <v>3162317.84</v>
      </c>
      <c r="T910" s="144"/>
      <c r="U910" s="145">
        <v>0</v>
      </c>
      <c r="V910" s="145">
        <v>0</v>
      </c>
      <c r="W910" s="145">
        <v>679941.73</v>
      </c>
      <c r="X910" s="145">
        <f t="shared" si="276"/>
        <v>679941.73</v>
      </c>
      <c r="Y910" s="145">
        <v>595647.91</v>
      </c>
      <c r="Z910" s="145">
        <v>0</v>
      </c>
      <c r="AA910" s="145">
        <v>0</v>
      </c>
      <c r="AB910" s="145">
        <v>463975.73</v>
      </c>
      <c r="AC910" s="145">
        <v>0</v>
      </c>
      <c r="AD910" s="166">
        <v>0</v>
      </c>
      <c r="AE910" s="166">
        <v>607847.75</v>
      </c>
      <c r="AF910" s="145">
        <v>0</v>
      </c>
      <c r="AG910" s="145">
        <v>0</v>
      </c>
      <c r="AH910" s="145">
        <v>673500.42</v>
      </c>
      <c r="AI910" s="145">
        <v>0</v>
      </c>
      <c r="AJ910" s="145">
        <v>0</v>
      </c>
      <c r="AK910" s="145">
        <f t="shared" si="277"/>
        <v>2340971.81</v>
      </c>
      <c r="AL910" s="145">
        <v>141404.29999999999</v>
      </c>
      <c r="AM910" s="145">
        <v>0</v>
      </c>
      <c r="AN910" s="145">
        <v>0</v>
      </c>
      <c r="AO910" s="145">
        <v>0</v>
      </c>
      <c r="AP910" s="145">
        <v>0</v>
      </c>
      <c r="AQ910" s="145">
        <v>0</v>
      </c>
      <c r="AR910" s="145">
        <v>0</v>
      </c>
      <c r="AS910" s="144">
        <f t="shared" si="274"/>
        <v>3162317.84</v>
      </c>
      <c r="AT910" s="144">
        <v>0</v>
      </c>
      <c r="AU910" s="146">
        <f t="shared" si="267"/>
        <v>3162317.84</v>
      </c>
      <c r="AV910" s="146">
        <f>IFERROR(VLOOKUP(J910,Maksājumu_pieprasījumu_iesn.!G:BL,57,0),0)</f>
        <v>0</v>
      </c>
      <c r="AW910" s="139">
        <f t="shared" si="256"/>
        <v>-3162317.84</v>
      </c>
      <c r="AX910" s="147">
        <f t="shared" si="275"/>
        <v>0</v>
      </c>
      <c r="AY910" s="147"/>
      <c r="AZ910" s="147"/>
      <c r="BA910" s="165"/>
      <c r="BB910" s="144"/>
      <c r="BC910" s="144"/>
      <c r="BD910" s="144"/>
      <c r="BE910" s="144"/>
      <c r="BF910" s="144"/>
      <c r="BG910" s="144"/>
      <c r="BH910" s="149"/>
      <c r="BI910" s="149"/>
      <c r="BJ910" s="149"/>
      <c r="BK910" s="149"/>
      <c r="BL910" s="149"/>
      <c r="BM910" s="149"/>
      <c r="BN910" s="149"/>
    </row>
    <row r="911" spans="1:66" ht="63.75" hidden="1" customHeight="1" x14ac:dyDescent="0.2">
      <c r="A911" s="322" t="s">
        <v>1952</v>
      </c>
      <c r="B911" s="18" t="s">
        <v>172</v>
      </c>
      <c r="C911" s="18" t="s">
        <v>173</v>
      </c>
      <c r="D911" s="19" t="s">
        <v>579</v>
      </c>
      <c r="E911" s="18" t="s">
        <v>3</v>
      </c>
      <c r="F911" s="18" t="s">
        <v>29</v>
      </c>
      <c r="G911" s="18" t="s">
        <v>5</v>
      </c>
      <c r="H911" s="18" t="s">
        <v>3</v>
      </c>
      <c r="I911" s="18"/>
      <c r="J911" s="18" t="s">
        <v>198</v>
      </c>
      <c r="K911" s="19" t="s">
        <v>98</v>
      </c>
      <c r="L911" s="19"/>
      <c r="M911" s="19"/>
      <c r="N911" s="19" t="s">
        <v>199</v>
      </c>
      <c r="O911" s="143"/>
      <c r="P911" s="143"/>
      <c r="Q911" s="143"/>
      <c r="R911" s="143">
        <v>42549</v>
      </c>
      <c r="S911" s="144">
        <v>3501220.52</v>
      </c>
      <c r="T911" s="144"/>
      <c r="U911" s="145">
        <v>0</v>
      </c>
      <c r="V911" s="145">
        <v>0</v>
      </c>
      <c r="W911" s="145">
        <v>987365</v>
      </c>
      <c r="X911" s="145">
        <f t="shared" si="276"/>
        <v>987365</v>
      </c>
      <c r="Y911" s="145">
        <v>1513527.94</v>
      </c>
      <c r="Z911" s="145">
        <v>0</v>
      </c>
      <c r="AA911" s="145">
        <v>0</v>
      </c>
      <c r="AB911" s="145">
        <v>22355.85</v>
      </c>
      <c r="AC911" s="145">
        <v>0</v>
      </c>
      <c r="AD911" s="166">
        <v>0</v>
      </c>
      <c r="AE911" s="166">
        <v>510249.9</v>
      </c>
      <c r="AF911" s="145">
        <v>0</v>
      </c>
      <c r="AG911" s="145">
        <v>0</v>
      </c>
      <c r="AH911" s="145">
        <v>145981.54999999999</v>
      </c>
      <c r="AI911" s="145">
        <v>0</v>
      </c>
      <c r="AJ911" s="145">
        <v>0</v>
      </c>
      <c r="AK911" s="145">
        <f t="shared" si="277"/>
        <v>2192115.2399999998</v>
      </c>
      <c r="AL911" s="145">
        <v>321740.28000000003</v>
      </c>
      <c r="AM911" s="145">
        <v>0</v>
      </c>
      <c r="AN911" s="145">
        <v>0</v>
      </c>
      <c r="AO911" s="145">
        <v>0</v>
      </c>
      <c r="AP911" s="145">
        <v>0</v>
      </c>
      <c r="AQ911" s="145">
        <v>0</v>
      </c>
      <c r="AR911" s="145">
        <v>0</v>
      </c>
      <c r="AS911" s="144">
        <f t="shared" si="274"/>
        <v>3501220.5199999996</v>
      </c>
      <c r="AT911" s="144">
        <v>0</v>
      </c>
      <c r="AU911" s="146">
        <f t="shared" si="267"/>
        <v>3501220.5199999996</v>
      </c>
      <c r="AV911" s="146">
        <f>IFERROR(VLOOKUP(J911,Maksājumu_pieprasījumu_iesn.!G:BL,57,0),0)</f>
        <v>0</v>
      </c>
      <c r="AW911" s="139">
        <f t="shared" si="256"/>
        <v>-3501220.5199999996</v>
      </c>
      <c r="AX911" s="147">
        <f t="shared" si="275"/>
        <v>0</v>
      </c>
      <c r="AY911" s="147"/>
      <c r="AZ911" s="147"/>
      <c r="BA911" s="165"/>
      <c r="BB911" s="144"/>
      <c r="BC911" s="144"/>
      <c r="BD911" s="144"/>
      <c r="BE911" s="144"/>
      <c r="BF911" s="144"/>
      <c r="BG911" s="144"/>
      <c r="BH911" s="149"/>
      <c r="BI911" s="149"/>
      <c r="BJ911" s="149"/>
      <c r="BK911" s="149"/>
      <c r="BL911" s="149"/>
      <c r="BM911" s="149"/>
      <c r="BN911" s="149"/>
    </row>
    <row r="912" spans="1:66" ht="38.25" hidden="1" customHeight="1" x14ac:dyDescent="0.2">
      <c r="A912" s="322" t="s">
        <v>1952</v>
      </c>
      <c r="B912" s="18" t="s">
        <v>172</v>
      </c>
      <c r="C912" s="18" t="s">
        <v>173</v>
      </c>
      <c r="D912" s="19" t="s">
        <v>579</v>
      </c>
      <c r="E912" s="18" t="s">
        <v>3</v>
      </c>
      <c r="F912" s="18" t="s">
        <v>29</v>
      </c>
      <c r="G912" s="18" t="s">
        <v>5</v>
      </c>
      <c r="H912" s="18" t="s">
        <v>3</v>
      </c>
      <c r="I912" s="18"/>
      <c r="J912" s="18" t="s">
        <v>200</v>
      </c>
      <c r="K912" s="19" t="s">
        <v>98</v>
      </c>
      <c r="L912" s="19"/>
      <c r="M912" s="19"/>
      <c r="N912" s="19" t="s">
        <v>201</v>
      </c>
      <c r="O912" s="143"/>
      <c r="P912" s="143"/>
      <c r="Q912" s="143"/>
      <c r="R912" s="143">
        <v>42549</v>
      </c>
      <c r="S912" s="144">
        <v>7298755.3899999997</v>
      </c>
      <c r="T912" s="144"/>
      <c r="U912" s="145">
        <v>0</v>
      </c>
      <c r="V912" s="145">
        <v>0</v>
      </c>
      <c r="W912" s="145">
        <v>2125547.64</v>
      </c>
      <c r="X912" s="145">
        <f t="shared" si="276"/>
        <v>2125547.64</v>
      </c>
      <c r="Y912" s="145">
        <v>2803078.19</v>
      </c>
      <c r="Z912" s="145">
        <v>0</v>
      </c>
      <c r="AA912" s="145">
        <v>0</v>
      </c>
      <c r="AB912" s="145">
        <v>436640.75</v>
      </c>
      <c r="AC912" s="145">
        <v>0</v>
      </c>
      <c r="AD912" s="166">
        <v>0</v>
      </c>
      <c r="AE912" s="166">
        <v>904127.15</v>
      </c>
      <c r="AF912" s="145">
        <v>0</v>
      </c>
      <c r="AG912" s="145">
        <v>0</v>
      </c>
      <c r="AH912" s="145">
        <v>765623.9</v>
      </c>
      <c r="AI912" s="145">
        <v>0</v>
      </c>
      <c r="AJ912" s="145">
        <v>0</v>
      </c>
      <c r="AK912" s="145">
        <f t="shared" si="277"/>
        <v>4909469.99</v>
      </c>
      <c r="AL912" s="145">
        <v>263737.76</v>
      </c>
      <c r="AM912" s="145">
        <v>0</v>
      </c>
      <c r="AN912" s="145">
        <v>0</v>
      </c>
      <c r="AO912" s="145">
        <v>0</v>
      </c>
      <c r="AP912" s="145">
        <v>0</v>
      </c>
      <c r="AQ912" s="145">
        <v>0</v>
      </c>
      <c r="AR912" s="145">
        <v>0</v>
      </c>
      <c r="AS912" s="144">
        <f t="shared" si="274"/>
        <v>7298755.3900000006</v>
      </c>
      <c r="AT912" s="144">
        <v>0</v>
      </c>
      <c r="AU912" s="146">
        <f t="shared" si="267"/>
        <v>7298755.3900000006</v>
      </c>
      <c r="AV912" s="146" t="str">
        <f>IFERROR(VLOOKUP(J912,Maksājumu_pieprasījumu_iesn.!G:BL,57,0),0)</f>
        <v>Jūlija maksājuma summa ir mazāka salīdzinājumā ar plānoto, saistībā ar faktisko būvdarbu izpildi.
Projekts ir pabeigts, atbilstoši  faktiskajai gala  izpildei projektā varētu būt ietaupījums virs 1 milj. euro.</v>
      </c>
      <c r="AW912" s="139" t="e">
        <f t="shared" ref="AW912:AW975" si="278">AV912-AU912</f>
        <v>#VALUE!</v>
      </c>
      <c r="AX912" s="147">
        <f t="shared" si="275"/>
        <v>0</v>
      </c>
      <c r="AY912" s="147"/>
      <c r="AZ912" s="147"/>
      <c r="BA912" s="165"/>
      <c r="BB912" s="144"/>
      <c r="BC912" s="144"/>
      <c r="BD912" s="144"/>
      <c r="BE912" s="144"/>
      <c r="BF912" s="144"/>
      <c r="BG912" s="144"/>
      <c r="BH912" s="149"/>
      <c r="BI912" s="149"/>
      <c r="BJ912" s="149"/>
      <c r="BK912" s="149"/>
      <c r="BL912" s="149"/>
      <c r="BM912" s="149"/>
      <c r="BN912" s="149"/>
    </row>
    <row r="913" spans="1:66" ht="38.25" hidden="1" customHeight="1" x14ac:dyDescent="0.2">
      <c r="A913" s="322" t="s">
        <v>1952</v>
      </c>
      <c r="B913" s="18" t="s">
        <v>172</v>
      </c>
      <c r="C913" s="18" t="s">
        <v>173</v>
      </c>
      <c r="D913" s="19" t="s">
        <v>579</v>
      </c>
      <c r="E913" s="18" t="s">
        <v>3</v>
      </c>
      <c r="F913" s="18" t="s">
        <v>29</v>
      </c>
      <c r="G913" s="18" t="s">
        <v>5</v>
      </c>
      <c r="H913" s="18" t="s">
        <v>3</v>
      </c>
      <c r="I913" s="18"/>
      <c r="J913" s="18" t="s">
        <v>202</v>
      </c>
      <c r="K913" s="19" t="s">
        <v>98</v>
      </c>
      <c r="L913" s="19"/>
      <c r="M913" s="19"/>
      <c r="N913" s="19" t="s">
        <v>203</v>
      </c>
      <c r="O913" s="143"/>
      <c r="P913" s="143"/>
      <c r="Q913" s="143"/>
      <c r="R913" s="143">
        <v>42636</v>
      </c>
      <c r="S913" s="144">
        <v>6195031.5199999996</v>
      </c>
      <c r="T913" s="144"/>
      <c r="U913" s="145">
        <v>0</v>
      </c>
      <c r="V913" s="145">
        <v>0</v>
      </c>
      <c r="W913" s="145">
        <v>0</v>
      </c>
      <c r="X913" s="145">
        <f t="shared" si="276"/>
        <v>0</v>
      </c>
      <c r="Y913" s="145">
        <v>0</v>
      </c>
      <c r="Z913" s="145">
        <v>0</v>
      </c>
      <c r="AA913" s="145">
        <v>0</v>
      </c>
      <c r="AB913" s="145">
        <v>114.75</v>
      </c>
      <c r="AC913" s="145">
        <v>0</v>
      </c>
      <c r="AD913" s="145">
        <v>0</v>
      </c>
      <c r="AE913" s="145">
        <v>0</v>
      </c>
      <c r="AF913" s="145">
        <v>0</v>
      </c>
      <c r="AG913" s="145">
        <v>0</v>
      </c>
      <c r="AH913" s="145">
        <v>1670703.9</v>
      </c>
      <c r="AI913" s="145">
        <v>0</v>
      </c>
      <c r="AJ913" s="145">
        <v>0</v>
      </c>
      <c r="AK913" s="145">
        <f t="shared" si="277"/>
        <v>1670818.65</v>
      </c>
      <c r="AL913" s="145">
        <v>4033385.4699999997</v>
      </c>
      <c r="AM913" s="145">
        <v>490827.4</v>
      </c>
      <c r="AN913" s="145">
        <v>0</v>
      </c>
      <c r="AO913" s="145">
        <v>0</v>
      </c>
      <c r="AP913" s="145">
        <v>0</v>
      </c>
      <c r="AQ913" s="145">
        <v>0</v>
      </c>
      <c r="AR913" s="145">
        <v>0</v>
      </c>
      <c r="AS913" s="144">
        <f t="shared" si="274"/>
        <v>6195031.5199999996</v>
      </c>
      <c r="AT913" s="144">
        <v>0</v>
      </c>
      <c r="AU913" s="146">
        <f t="shared" si="267"/>
        <v>6195031.5199999996</v>
      </c>
      <c r="AV913" s="146">
        <f>IFERROR(VLOOKUP(J913,Maksājumu_pieprasījumu_iesn.!G:BL,57,0),0)</f>
        <v>0</v>
      </c>
      <c r="AW913" s="139">
        <f t="shared" si="278"/>
        <v>-6195031.5199999996</v>
      </c>
      <c r="AX913" s="147">
        <f t="shared" si="275"/>
        <v>0</v>
      </c>
      <c r="AY913" s="147"/>
      <c r="AZ913" s="147"/>
      <c r="BA913" s="165"/>
      <c r="BB913" s="144"/>
      <c r="BC913" s="144"/>
      <c r="BD913" s="144"/>
      <c r="BE913" s="144"/>
      <c r="BF913" s="144"/>
      <c r="BG913" s="144"/>
      <c r="BH913" s="149"/>
      <c r="BI913" s="149"/>
      <c r="BJ913" s="149"/>
      <c r="BK913" s="149"/>
      <c r="BL913" s="149"/>
      <c r="BM913" s="149"/>
      <c r="BN913" s="149"/>
    </row>
    <row r="914" spans="1:66" ht="38.25" hidden="1" customHeight="1" x14ac:dyDescent="0.2">
      <c r="A914" s="322" t="s">
        <v>1952</v>
      </c>
      <c r="B914" s="18" t="s">
        <v>172</v>
      </c>
      <c r="C914" s="18" t="s">
        <v>173</v>
      </c>
      <c r="D914" s="19" t="s">
        <v>579</v>
      </c>
      <c r="E914" s="18" t="s">
        <v>3</v>
      </c>
      <c r="F914" s="18" t="s">
        <v>29</v>
      </c>
      <c r="G914" s="18" t="s">
        <v>5</v>
      </c>
      <c r="H914" s="18" t="s">
        <v>3</v>
      </c>
      <c r="I914" s="18"/>
      <c r="J914" s="18" t="s">
        <v>204</v>
      </c>
      <c r="K914" s="19" t="s">
        <v>98</v>
      </c>
      <c r="L914" s="19"/>
      <c r="M914" s="19"/>
      <c r="N914" s="19" t="s">
        <v>205</v>
      </c>
      <c r="O914" s="143"/>
      <c r="P914" s="143"/>
      <c r="Q914" s="143"/>
      <c r="R914" s="143">
        <v>42636</v>
      </c>
      <c r="S914" s="144">
        <v>6075674.6900000004</v>
      </c>
      <c r="T914" s="144"/>
      <c r="U914" s="145">
        <v>0</v>
      </c>
      <c r="V914" s="145">
        <v>0</v>
      </c>
      <c r="W914" s="145">
        <v>0</v>
      </c>
      <c r="X914" s="145">
        <f t="shared" si="276"/>
        <v>0</v>
      </c>
      <c r="Y914" s="145">
        <v>11935.73</v>
      </c>
      <c r="Z914" s="145">
        <v>0</v>
      </c>
      <c r="AA914" s="145">
        <v>0</v>
      </c>
      <c r="AB914" s="145"/>
      <c r="AC914" s="145">
        <v>0</v>
      </c>
      <c r="AD914" s="166">
        <v>0</v>
      </c>
      <c r="AE914" s="166">
        <v>1433538.6</v>
      </c>
      <c r="AF914" s="145">
        <v>0</v>
      </c>
      <c r="AG914" s="145">
        <v>0</v>
      </c>
      <c r="AH914" s="145">
        <v>1095854</v>
      </c>
      <c r="AI914" s="145">
        <v>0</v>
      </c>
      <c r="AJ914" s="145">
        <v>0</v>
      </c>
      <c r="AK914" s="145">
        <f t="shared" si="277"/>
        <v>2541328.33</v>
      </c>
      <c r="AL914" s="145">
        <v>2127234.8200000003</v>
      </c>
      <c r="AM914" s="145">
        <v>1407111.54</v>
      </c>
      <c r="AN914" s="145">
        <v>0</v>
      </c>
      <c r="AO914" s="145">
        <v>0</v>
      </c>
      <c r="AP914" s="145">
        <v>0</v>
      </c>
      <c r="AQ914" s="145">
        <v>0</v>
      </c>
      <c r="AR914" s="145">
        <v>0</v>
      </c>
      <c r="AS914" s="144">
        <f t="shared" si="274"/>
        <v>6075674.6900000004</v>
      </c>
      <c r="AT914" s="144">
        <v>0</v>
      </c>
      <c r="AU914" s="146">
        <f t="shared" si="267"/>
        <v>6075674.6900000004</v>
      </c>
      <c r="AV914" s="146" t="str">
        <f>IFERROR(VLOOKUP(J914,Maksājumu_pieprasījumu_iesn.!G:BL,57,0),0)</f>
        <v>Būvdarbu izpilde atbilstoši paveiktajiem darbiem ir mazāka nekā sākotnēji bija plānota. Būvdarbi uzsākti 22.06.2017. 11.07.2017. apstiprinātajā plānoto maksājumu pieprasījumu iesniegšanas grafikā - 2017.gadā samazinātā summa ieplānota  2018.gada janvārī.</v>
      </c>
      <c r="AW914" s="139" t="e">
        <f t="shared" si="278"/>
        <v>#VALUE!</v>
      </c>
      <c r="AX914" s="147">
        <f t="shared" si="275"/>
        <v>0</v>
      </c>
      <c r="AY914" s="147"/>
      <c r="AZ914" s="147"/>
      <c r="BA914" s="165"/>
      <c r="BB914" s="144"/>
      <c r="BC914" s="144"/>
      <c r="BD914" s="144"/>
      <c r="BE914" s="144"/>
      <c r="BF914" s="144"/>
      <c r="BG914" s="144"/>
      <c r="BH914" s="149"/>
      <c r="BI914" s="149"/>
      <c r="BJ914" s="149"/>
      <c r="BK914" s="149"/>
      <c r="BL914" s="149"/>
      <c r="BM914" s="149"/>
      <c r="BN914" s="149"/>
    </row>
    <row r="915" spans="1:66" ht="38.25" hidden="1" customHeight="1" x14ac:dyDescent="0.2">
      <c r="A915" s="322" t="s">
        <v>1952</v>
      </c>
      <c r="B915" s="18" t="s">
        <v>172</v>
      </c>
      <c r="C915" s="18" t="s">
        <v>173</v>
      </c>
      <c r="D915" s="19" t="s">
        <v>579</v>
      </c>
      <c r="E915" s="18" t="s">
        <v>3</v>
      </c>
      <c r="F915" s="18" t="s">
        <v>29</v>
      </c>
      <c r="G915" s="18" t="s">
        <v>5</v>
      </c>
      <c r="H915" s="18" t="s">
        <v>3</v>
      </c>
      <c r="I915" s="18"/>
      <c r="J915" s="18" t="s">
        <v>863</v>
      </c>
      <c r="K915" s="19" t="s">
        <v>98</v>
      </c>
      <c r="L915" s="19"/>
      <c r="M915" s="19"/>
      <c r="N915" s="19" t="s">
        <v>864</v>
      </c>
      <c r="O915" s="143"/>
      <c r="P915" s="143"/>
      <c r="Q915" s="143"/>
      <c r="R915" s="143">
        <v>42647</v>
      </c>
      <c r="S915" s="144">
        <v>4381612.2300000004</v>
      </c>
      <c r="T915" s="144"/>
      <c r="U915" s="145">
        <v>0</v>
      </c>
      <c r="V915" s="145">
        <v>0</v>
      </c>
      <c r="W915" s="145">
        <v>0</v>
      </c>
      <c r="X915" s="145">
        <f t="shared" si="276"/>
        <v>0</v>
      </c>
      <c r="Y915" s="145">
        <v>0</v>
      </c>
      <c r="Z915" s="145">
        <v>0</v>
      </c>
      <c r="AA915" s="145">
        <v>0</v>
      </c>
      <c r="AB915" s="145">
        <v>0</v>
      </c>
      <c r="AC915" s="145">
        <v>0</v>
      </c>
      <c r="AD915" s="145">
        <v>0</v>
      </c>
      <c r="AE915" s="166">
        <v>1020612</v>
      </c>
      <c r="AF915" s="145">
        <v>0</v>
      </c>
      <c r="AG915" s="145">
        <v>0</v>
      </c>
      <c r="AH915" s="145">
        <v>1190495.55</v>
      </c>
      <c r="AI915" s="145">
        <v>0</v>
      </c>
      <c r="AJ915" s="145">
        <v>0</v>
      </c>
      <c r="AK915" s="145">
        <f t="shared" si="277"/>
        <v>2211107.5499999998</v>
      </c>
      <c r="AL915" s="145">
        <v>2170504.6800000002</v>
      </c>
      <c r="AM915" s="145">
        <v>0</v>
      </c>
      <c r="AN915" s="145">
        <v>0</v>
      </c>
      <c r="AO915" s="145">
        <v>0</v>
      </c>
      <c r="AP915" s="145">
        <v>0</v>
      </c>
      <c r="AQ915" s="145">
        <v>0</v>
      </c>
      <c r="AR915" s="145">
        <v>0</v>
      </c>
      <c r="AS915" s="144">
        <f t="shared" si="274"/>
        <v>4381612.2300000004</v>
      </c>
      <c r="AT915" s="144">
        <v>0</v>
      </c>
      <c r="AU915" s="146">
        <f t="shared" si="267"/>
        <v>4381612.2300000004</v>
      </c>
      <c r="AV915" s="146" t="str">
        <f>IFERROR(VLOOKUP(J915,Maksājumu_pieprasījumu_iesn.!G:BL,57,0),0)</f>
        <v xml:space="preserve">Izpilde  atbilstoši paveiktajiem darbiem mazāka nekā sākotnēji tika plānots. Būvdarbi uzsākti 24.05.2017.
Ieildzis iesniegto piedāvājumu izvērtēšanas laiks, aizkavējās  līguma slēgšana un avansa maksājums. </v>
      </c>
      <c r="AW915" s="139" t="e">
        <f t="shared" si="278"/>
        <v>#VALUE!</v>
      </c>
      <c r="AX915" s="147">
        <f t="shared" si="275"/>
        <v>0</v>
      </c>
      <c r="AY915" s="147"/>
      <c r="AZ915" s="147"/>
      <c r="BA915" s="165"/>
      <c r="BB915" s="144"/>
      <c r="BC915" s="144"/>
      <c r="BD915" s="144"/>
      <c r="BE915" s="144"/>
      <c r="BF915" s="144"/>
      <c r="BG915" s="144"/>
      <c r="BH915" s="149"/>
      <c r="BI915" s="149"/>
      <c r="BJ915" s="149"/>
      <c r="BK915" s="149"/>
      <c r="BL915" s="149"/>
      <c r="BM915" s="149"/>
      <c r="BN915" s="149"/>
    </row>
    <row r="916" spans="1:66" s="161" customFormat="1" ht="38.25" hidden="1" customHeight="1" x14ac:dyDescent="0.2">
      <c r="A916" s="173" t="s">
        <v>1952</v>
      </c>
      <c r="B916" s="20" t="s">
        <v>172</v>
      </c>
      <c r="C916" s="20" t="s">
        <v>173</v>
      </c>
      <c r="D916" s="21" t="s">
        <v>579</v>
      </c>
      <c r="E916" s="20" t="s">
        <v>3</v>
      </c>
      <c r="F916" s="20" t="s">
        <v>29</v>
      </c>
      <c r="G916" s="20" t="s">
        <v>5</v>
      </c>
      <c r="H916" s="20" t="s">
        <v>3</v>
      </c>
      <c r="I916" s="20"/>
      <c r="J916" s="20" t="s">
        <v>865</v>
      </c>
      <c r="K916" s="21" t="s">
        <v>98</v>
      </c>
      <c r="L916" s="21"/>
      <c r="M916" s="21"/>
      <c r="N916" s="21" t="s">
        <v>866</v>
      </c>
      <c r="O916" s="159"/>
      <c r="P916" s="159"/>
      <c r="Q916" s="159"/>
      <c r="R916" s="159">
        <v>42647</v>
      </c>
      <c r="S916" s="147">
        <v>13954086.91</v>
      </c>
      <c r="T916" s="147"/>
      <c r="U916" s="153">
        <v>0</v>
      </c>
      <c r="V916" s="153">
        <v>0</v>
      </c>
      <c r="W916" s="153">
        <v>0</v>
      </c>
      <c r="X916" s="153">
        <f t="shared" si="276"/>
        <v>0</v>
      </c>
      <c r="Y916" s="153">
        <v>0</v>
      </c>
      <c r="Z916" s="153">
        <v>0</v>
      </c>
      <c r="AA916" s="153">
        <v>0</v>
      </c>
      <c r="AB916" s="153">
        <v>0</v>
      </c>
      <c r="AC916" s="153">
        <v>0</v>
      </c>
      <c r="AD916" s="153">
        <v>0</v>
      </c>
      <c r="AE916" s="166">
        <v>3389904.55</v>
      </c>
      <c r="AF916" s="153">
        <v>0</v>
      </c>
      <c r="AG916" s="153">
        <v>0</v>
      </c>
      <c r="AH916" s="153">
        <v>2428013.1</v>
      </c>
      <c r="AI916" s="153">
        <v>0</v>
      </c>
      <c r="AJ916" s="153">
        <v>0</v>
      </c>
      <c r="AK916" s="153">
        <f t="shared" si="277"/>
        <v>5817917.6500000004</v>
      </c>
      <c r="AL916" s="153">
        <v>5792863.9000000004</v>
      </c>
      <c r="AM916" s="153">
        <v>2343305.36</v>
      </c>
      <c r="AN916" s="153">
        <v>0</v>
      </c>
      <c r="AO916" s="153">
        <v>0</v>
      </c>
      <c r="AP916" s="153">
        <v>0</v>
      </c>
      <c r="AQ916" s="153">
        <v>0</v>
      </c>
      <c r="AR916" s="153">
        <v>0</v>
      </c>
      <c r="AS916" s="147">
        <f t="shared" si="274"/>
        <v>13954086.91</v>
      </c>
      <c r="AT916" s="147">
        <v>0</v>
      </c>
      <c r="AU916" s="146">
        <f t="shared" si="267"/>
        <v>13954086.91</v>
      </c>
      <c r="AV916" s="146" t="str">
        <f>IFERROR(VLOOKUP(J916,Maksājumu_pieprasījumu_iesn.!G:BL,57,0),0)</f>
        <v xml:space="preserve">Iepirkuma rezultātā piedāvājuma summa pārsniedza plānoto līgumcenu, Satiksmes ministrija vērtēja iespējas nepieciešamo papildus finansējumu novirzīt no kopējās ceļu projektu "aploksnes" (t.sk. citu projektu ietaupījumi), tādēļ  Līgums noslēgts tikai jūlijā un, ņemot vērā, ka  maksājuma pieprasījumos iekļauj finansējumu atbilstoši faktiski paveiktajiem darbiem, iesniegtā maksājuma pieprasījuma summa ir būtiski mazāka salīdzinājumā ar plānoto. </v>
      </c>
      <c r="AW916" s="139" t="e">
        <f t="shared" si="278"/>
        <v>#VALUE!</v>
      </c>
      <c r="AX916" s="147">
        <f t="shared" si="275"/>
        <v>0</v>
      </c>
      <c r="AY916" s="147"/>
      <c r="AZ916" s="147"/>
      <c r="BA916" s="165"/>
      <c r="BB916" s="147"/>
      <c r="BC916" s="147"/>
      <c r="BD916" s="147"/>
      <c r="BE916" s="147"/>
      <c r="BF916" s="147"/>
      <c r="BG916" s="147"/>
      <c r="BH916" s="149"/>
      <c r="BI916" s="149"/>
      <c r="BJ916" s="149"/>
      <c r="BK916" s="149"/>
      <c r="BL916" s="149"/>
      <c r="BM916" s="149"/>
      <c r="BN916" s="149"/>
    </row>
    <row r="917" spans="1:66" s="161" customFormat="1" ht="38.25" hidden="1" customHeight="1" x14ac:dyDescent="0.2">
      <c r="A917" s="173" t="s">
        <v>1952</v>
      </c>
      <c r="B917" s="20" t="s">
        <v>172</v>
      </c>
      <c r="C917" s="20" t="s">
        <v>173</v>
      </c>
      <c r="D917" s="21" t="s">
        <v>579</v>
      </c>
      <c r="E917" s="20" t="s">
        <v>3</v>
      </c>
      <c r="F917" s="20" t="s">
        <v>29</v>
      </c>
      <c r="G917" s="20" t="s">
        <v>5</v>
      </c>
      <c r="H917" s="20" t="s">
        <v>3</v>
      </c>
      <c r="I917" s="20"/>
      <c r="J917" s="20" t="s">
        <v>206</v>
      </c>
      <c r="K917" s="21" t="s">
        <v>98</v>
      </c>
      <c r="L917" s="21"/>
      <c r="M917" s="21"/>
      <c r="N917" s="21" t="s">
        <v>207</v>
      </c>
      <c r="O917" s="159"/>
      <c r="P917" s="159"/>
      <c r="Q917" s="159"/>
      <c r="R917" s="159">
        <v>42647</v>
      </c>
      <c r="S917" s="147">
        <v>8994681</v>
      </c>
      <c r="T917" s="147"/>
      <c r="U917" s="153">
        <v>0</v>
      </c>
      <c r="V917" s="153">
        <v>0</v>
      </c>
      <c r="W917" s="153">
        <v>0</v>
      </c>
      <c r="X917" s="153">
        <f t="shared" si="276"/>
        <v>0</v>
      </c>
      <c r="Y917" s="153">
        <v>193.8</v>
      </c>
      <c r="Z917" s="153">
        <v>0</v>
      </c>
      <c r="AA917" s="153">
        <v>0</v>
      </c>
      <c r="AB917" s="153">
        <v>1622744.43</v>
      </c>
      <c r="AC917" s="153">
        <v>0</v>
      </c>
      <c r="AD917" s="166">
        <v>0</v>
      </c>
      <c r="AE917" s="166">
        <v>2765879.6</v>
      </c>
      <c r="AF917" s="153">
        <v>0</v>
      </c>
      <c r="AG917" s="153">
        <v>0</v>
      </c>
      <c r="AH917" s="153">
        <v>0</v>
      </c>
      <c r="AI917" s="153">
        <v>0</v>
      </c>
      <c r="AJ917" s="153">
        <v>0</v>
      </c>
      <c r="AK917" s="153">
        <f t="shared" si="277"/>
        <v>4388817.83</v>
      </c>
      <c r="AL917" s="153">
        <v>4605863.0500000007</v>
      </c>
      <c r="AM917" s="153">
        <v>0</v>
      </c>
      <c r="AN917" s="153">
        <v>0</v>
      </c>
      <c r="AO917" s="153">
        <v>0</v>
      </c>
      <c r="AP917" s="153">
        <v>0</v>
      </c>
      <c r="AQ917" s="153">
        <v>0</v>
      </c>
      <c r="AR917" s="153">
        <v>0</v>
      </c>
      <c r="AS917" s="147">
        <f t="shared" si="274"/>
        <v>8994680.8800000008</v>
      </c>
      <c r="AT917" s="147">
        <v>0</v>
      </c>
      <c r="AU917" s="146">
        <f t="shared" si="267"/>
        <v>8994680.8800000008</v>
      </c>
      <c r="AV917" s="146">
        <f>IFERROR(VLOOKUP(J917,Maksājumu_pieprasījumu_iesn.!G:BL,57,0),0)</f>
        <v>0</v>
      </c>
      <c r="AW917" s="139">
        <f t="shared" si="278"/>
        <v>-8994680.8800000008</v>
      </c>
      <c r="AX917" s="147">
        <f t="shared" si="275"/>
        <v>0.11999999918043613</v>
      </c>
      <c r="AY917" s="147"/>
      <c r="AZ917" s="147"/>
      <c r="BA917" s="165"/>
      <c r="BB917" s="147"/>
      <c r="BC917" s="147"/>
      <c r="BD917" s="147"/>
      <c r="BE917" s="147"/>
      <c r="BF917" s="147"/>
      <c r="BG917" s="147"/>
      <c r="BH917" s="149"/>
      <c r="BI917" s="149"/>
      <c r="BJ917" s="149"/>
      <c r="BK917" s="149"/>
      <c r="BL917" s="149"/>
      <c r="BM917" s="149"/>
      <c r="BN917" s="149"/>
    </row>
    <row r="918" spans="1:66" s="91" customFormat="1" ht="38.25" hidden="1" customHeight="1" x14ac:dyDescent="0.2">
      <c r="A918" s="324" t="s">
        <v>1952</v>
      </c>
      <c r="B918" s="18" t="s">
        <v>172</v>
      </c>
      <c r="C918" s="18" t="s">
        <v>173</v>
      </c>
      <c r="D918" s="19" t="s">
        <v>579</v>
      </c>
      <c r="E918" s="55" t="s">
        <v>3</v>
      </c>
      <c r="F918" s="55" t="s">
        <v>29</v>
      </c>
      <c r="G918" s="55" t="s">
        <v>5</v>
      </c>
      <c r="H918" s="55" t="s">
        <v>3</v>
      </c>
      <c r="I918" s="55"/>
      <c r="J918" s="55"/>
      <c r="K918" s="19" t="s">
        <v>98</v>
      </c>
      <c r="L918" s="19"/>
      <c r="M918" s="19"/>
      <c r="N918" s="350" t="s">
        <v>2042</v>
      </c>
      <c r="O918" s="151">
        <v>43465</v>
      </c>
      <c r="P918" s="151"/>
      <c r="Q918" s="151"/>
      <c r="R918" s="151"/>
      <c r="S918" s="189"/>
      <c r="T918" s="152"/>
      <c r="U918" s="145">
        <v>0</v>
      </c>
      <c r="V918" s="145">
        <v>0</v>
      </c>
      <c r="W918" s="145">
        <v>0</v>
      </c>
      <c r="X918" s="145">
        <f t="shared" si="276"/>
        <v>0</v>
      </c>
      <c r="Y918" s="145">
        <v>0</v>
      </c>
      <c r="Z918" s="145">
        <v>0</v>
      </c>
      <c r="AA918" s="145">
        <v>0</v>
      </c>
      <c r="AB918" s="145">
        <v>0</v>
      </c>
      <c r="AC918" s="145">
        <v>0</v>
      </c>
      <c r="AD918" s="145">
        <v>0</v>
      </c>
      <c r="AE918" s="145">
        <v>0</v>
      </c>
      <c r="AF918" s="145">
        <v>0</v>
      </c>
      <c r="AG918" s="145">
        <v>0</v>
      </c>
      <c r="AH918" s="145">
        <v>0</v>
      </c>
      <c r="AI918" s="145">
        <v>0</v>
      </c>
      <c r="AJ918" s="145">
        <v>0</v>
      </c>
      <c r="AK918" s="145">
        <f t="shared" si="277"/>
        <v>0</v>
      </c>
      <c r="AL918" s="145">
        <v>0</v>
      </c>
      <c r="AM918" s="145">
        <v>1986603.59</v>
      </c>
      <c r="AN918" s="145">
        <v>0</v>
      </c>
      <c r="AO918" s="145">
        <v>0</v>
      </c>
      <c r="AP918" s="145">
        <v>0</v>
      </c>
      <c r="AQ918" s="145">
        <v>0</v>
      </c>
      <c r="AR918" s="145">
        <v>0</v>
      </c>
      <c r="AS918" s="145">
        <f t="shared" si="274"/>
        <v>1986603.59</v>
      </c>
      <c r="AT918" s="145"/>
      <c r="AU918" s="139">
        <f t="shared" si="267"/>
        <v>1986603.59</v>
      </c>
      <c r="AV918" s="146">
        <f>IFERROR(VLOOKUP(J918,Maksājumu_pieprasījumu_iesn.!G:BL,57,0),0)</f>
        <v>0</v>
      </c>
      <c r="AW918" s="139">
        <f t="shared" si="278"/>
        <v>-1986603.59</v>
      </c>
      <c r="AX918" s="147"/>
      <c r="AY918" s="153"/>
      <c r="AZ918" s="153"/>
      <c r="BA918" s="136"/>
      <c r="BB918" s="145"/>
      <c r="BC918" s="145"/>
      <c r="BD918" s="145"/>
      <c r="BE918" s="145"/>
      <c r="BF918" s="145"/>
      <c r="BG918" s="145"/>
      <c r="BH918" s="138"/>
      <c r="BI918" s="138"/>
      <c r="BJ918" s="138"/>
      <c r="BK918" s="138"/>
      <c r="BL918" s="138"/>
      <c r="BM918" s="138"/>
      <c r="BN918" s="138"/>
    </row>
    <row r="919" spans="1:66" ht="38.25" hidden="1" customHeight="1" x14ac:dyDescent="0.2">
      <c r="A919" s="322" t="s">
        <v>1952</v>
      </c>
      <c r="B919" s="18" t="s">
        <v>172</v>
      </c>
      <c r="C919" s="18" t="s">
        <v>173</v>
      </c>
      <c r="D919" s="19" t="s">
        <v>579</v>
      </c>
      <c r="E919" s="18" t="s">
        <v>3</v>
      </c>
      <c r="F919" s="18" t="s">
        <v>29</v>
      </c>
      <c r="G919" s="18" t="s">
        <v>5</v>
      </c>
      <c r="H919" s="18" t="s">
        <v>3</v>
      </c>
      <c r="I919" s="18"/>
      <c r="J919" s="56" t="s">
        <v>2043</v>
      </c>
      <c r="K919" s="19" t="s">
        <v>98</v>
      </c>
      <c r="L919" s="19"/>
      <c r="M919" s="19"/>
      <c r="N919" s="19" t="s">
        <v>2044</v>
      </c>
      <c r="O919" s="143"/>
      <c r="P919" s="143"/>
      <c r="Q919" s="143"/>
      <c r="R919" s="187">
        <v>42851</v>
      </c>
      <c r="S919" s="144">
        <v>5303556.0599999996</v>
      </c>
      <c r="T919" s="172"/>
      <c r="U919" s="145">
        <v>0</v>
      </c>
      <c r="V919" s="145">
        <v>0</v>
      </c>
      <c r="W919" s="145">
        <v>0</v>
      </c>
      <c r="X919" s="145">
        <f t="shared" si="276"/>
        <v>0</v>
      </c>
      <c r="Y919" s="145">
        <v>0</v>
      </c>
      <c r="Z919" s="145">
        <v>0</v>
      </c>
      <c r="AA919" s="145">
        <v>0</v>
      </c>
      <c r="AB919" s="145">
        <v>0</v>
      </c>
      <c r="AC919" s="145">
        <v>0</v>
      </c>
      <c r="AD919" s="145">
        <v>0</v>
      </c>
      <c r="AE919" s="145">
        <v>0</v>
      </c>
      <c r="AF919" s="145">
        <v>0</v>
      </c>
      <c r="AG919" s="145">
        <v>0</v>
      </c>
      <c r="AH919" s="145">
        <v>0</v>
      </c>
      <c r="AI919" s="145">
        <v>0</v>
      </c>
      <c r="AJ919" s="145">
        <v>0</v>
      </c>
      <c r="AK919" s="145">
        <f t="shared" si="277"/>
        <v>0</v>
      </c>
      <c r="AL919" s="145">
        <v>4773200.46</v>
      </c>
      <c r="AM919" s="145">
        <v>530355.6</v>
      </c>
      <c r="AN919" s="145">
        <v>0</v>
      </c>
      <c r="AO919" s="145">
        <v>0</v>
      </c>
      <c r="AP919" s="145">
        <v>0</v>
      </c>
      <c r="AQ919" s="145">
        <v>0</v>
      </c>
      <c r="AR919" s="145">
        <v>0</v>
      </c>
      <c r="AS919" s="144">
        <f t="shared" si="274"/>
        <v>5303556.0599999996</v>
      </c>
      <c r="AT919" s="144">
        <v>0</v>
      </c>
      <c r="AU919" s="146">
        <f t="shared" si="267"/>
        <v>5303556.0599999996</v>
      </c>
      <c r="AV919" s="146">
        <f>IFERROR(VLOOKUP(J919,Maksājumu_pieprasījumu_iesn.!G:BL,57,0),0)</f>
        <v>0</v>
      </c>
      <c r="AW919" s="139">
        <f t="shared" si="278"/>
        <v>-5303556.0599999996</v>
      </c>
      <c r="AX919" s="147">
        <f t="shared" ref="AX919:AX931" si="279">S919-T919-AU919</f>
        <v>0</v>
      </c>
      <c r="AY919" s="147"/>
      <c r="AZ919" s="147"/>
      <c r="BA919" s="165"/>
      <c r="BB919" s="144"/>
      <c r="BC919" s="144"/>
      <c r="BD919" s="144"/>
      <c r="BE919" s="144"/>
      <c r="BF919" s="144"/>
      <c r="BG919" s="144"/>
      <c r="BH919" s="149"/>
      <c r="BI919" s="149"/>
      <c r="BJ919" s="149"/>
      <c r="BK919" s="149"/>
      <c r="BL919" s="149"/>
      <c r="BM919" s="149"/>
      <c r="BN919" s="149"/>
    </row>
    <row r="920" spans="1:66" ht="38.25" hidden="1" customHeight="1" x14ac:dyDescent="0.2">
      <c r="A920" s="322" t="s">
        <v>1952</v>
      </c>
      <c r="B920" s="18" t="s">
        <v>172</v>
      </c>
      <c r="C920" s="18" t="s">
        <v>173</v>
      </c>
      <c r="D920" s="19" t="s">
        <v>579</v>
      </c>
      <c r="E920" s="18" t="s">
        <v>3</v>
      </c>
      <c r="F920" s="18" t="s">
        <v>29</v>
      </c>
      <c r="G920" s="18" t="s">
        <v>5</v>
      </c>
      <c r="H920" s="18" t="s">
        <v>3</v>
      </c>
      <c r="I920" s="18"/>
      <c r="J920" s="56" t="s">
        <v>2045</v>
      </c>
      <c r="K920" s="19" t="s">
        <v>98</v>
      </c>
      <c r="L920" s="19"/>
      <c r="M920" s="19"/>
      <c r="N920" s="19" t="s">
        <v>867</v>
      </c>
      <c r="O920" s="143"/>
      <c r="P920" s="143"/>
      <c r="Q920" s="143"/>
      <c r="R920" s="143">
        <v>42828</v>
      </c>
      <c r="S920" s="144">
        <v>6792527.0099999998</v>
      </c>
      <c r="T920" s="144"/>
      <c r="U920" s="145">
        <v>0</v>
      </c>
      <c r="V920" s="145">
        <v>0</v>
      </c>
      <c r="W920" s="145">
        <v>0</v>
      </c>
      <c r="X920" s="145">
        <f t="shared" si="276"/>
        <v>0</v>
      </c>
      <c r="Y920" s="145">
        <v>0</v>
      </c>
      <c r="Z920" s="145">
        <v>0</v>
      </c>
      <c r="AA920" s="145">
        <v>0</v>
      </c>
      <c r="AB920" s="145">
        <v>0</v>
      </c>
      <c r="AC920" s="145">
        <v>0</v>
      </c>
      <c r="AD920" s="145">
        <v>0</v>
      </c>
      <c r="AE920" s="166">
        <v>1273054.3500000001</v>
      </c>
      <c r="AF920" s="145">
        <v>0</v>
      </c>
      <c r="AG920" s="145">
        <v>0</v>
      </c>
      <c r="AH920" s="145">
        <v>581343.9</v>
      </c>
      <c r="AI920" s="145">
        <v>0</v>
      </c>
      <c r="AJ920" s="145">
        <v>0</v>
      </c>
      <c r="AK920" s="145">
        <f t="shared" si="277"/>
        <v>1854398.25</v>
      </c>
      <c r="AL920" s="145">
        <v>4345000.25</v>
      </c>
      <c r="AM920" s="145">
        <v>593128.51</v>
      </c>
      <c r="AN920" s="145">
        <v>0</v>
      </c>
      <c r="AO920" s="145">
        <v>0</v>
      </c>
      <c r="AP920" s="145">
        <v>0</v>
      </c>
      <c r="AQ920" s="145">
        <v>0</v>
      </c>
      <c r="AR920" s="145">
        <v>0</v>
      </c>
      <c r="AS920" s="144">
        <f t="shared" si="274"/>
        <v>6792527.0099999998</v>
      </c>
      <c r="AT920" s="144">
        <v>0</v>
      </c>
      <c r="AU920" s="146">
        <f t="shared" si="267"/>
        <v>6792527.0099999998</v>
      </c>
      <c r="AV920" s="146">
        <f>IFERROR(VLOOKUP(J920,Maksājumu_pieprasījumu_iesn.!G:BL,57,0),0)</f>
        <v>0</v>
      </c>
      <c r="AW920" s="139">
        <f t="shared" si="278"/>
        <v>-6792527.0099999998</v>
      </c>
      <c r="AX920" s="147">
        <f t="shared" si="279"/>
        <v>0</v>
      </c>
      <c r="AY920" s="147"/>
      <c r="AZ920" s="147"/>
      <c r="BA920" s="165"/>
      <c r="BB920" s="144"/>
      <c r="BC920" s="144"/>
      <c r="BD920" s="144"/>
      <c r="BE920" s="144"/>
      <c r="BF920" s="144"/>
      <c r="BG920" s="144"/>
      <c r="BH920" s="149"/>
      <c r="BI920" s="149"/>
      <c r="BJ920" s="149"/>
      <c r="BK920" s="149"/>
      <c r="BL920" s="149"/>
      <c r="BM920" s="149"/>
      <c r="BN920" s="149"/>
    </row>
    <row r="921" spans="1:66" ht="25.5" hidden="1" customHeight="1" x14ac:dyDescent="0.2">
      <c r="A921" s="322" t="s">
        <v>1952</v>
      </c>
      <c r="B921" s="18" t="s">
        <v>172</v>
      </c>
      <c r="C921" s="18" t="s">
        <v>173</v>
      </c>
      <c r="D921" s="19" t="s">
        <v>579</v>
      </c>
      <c r="E921" s="18" t="s">
        <v>3</v>
      </c>
      <c r="F921" s="18" t="s">
        <v>29</v>
      </c>
      <c r="G921" s="18" t="s">
        <v>5</v>
      </c>
      <c r="H921" s="18" t="s">
        <v>3</v>
      </c>
      <c r="I921" s="18"/>
      <c r="J921" s="56" t="s">
        <v>2046</v>
      </c>
      <c r="K921" s="19" t="s">
        <v>98</v>
      </c>
      <c r="L921" s="19"/>
      <c r="M921" s="19"/>
      <c r="N921" s="19" t="s">
        <v>868</v>
      </c>
      <c r="O921" s="143"/>
      <c r="P921" s="143"/>
      <c r="Q921" s="143"/>
      <c r="R921" s="143">
        <v>42828</v>
      </c>
      <c r="S921" s="144">
        <v>3976516.05</v>
      </c>
      <c r="T921" s="144"/>
      <c r="U921" s="145">
        <v>0</v>
      </c>
      <c r="V921" s="145">
        <v>0</v>
      </c>
      <c r="W921" s="145">
        <v>0</v>
      </c>
      <c r="X921" s="145">
        <f t="shared" si="276"/>
        <v>0</v>
      </c>
      <c r="Y921" s="145">
        <v>0</v>
      </c>
      <c r="Z921" s="145">
        <v>0</v>
      </c>
      <c r="AA921" s="145">
        <v>0</v>
      </c>
      <c r="AB921" s="145">
        <v>0</v>
      </c>
      <c r="AC921" s="145">
        <v>0</v>
      </c>
      <c r="AD921" s="145">
        <v>0</v>
      </c>
      <c r="AE921" s="166">
        <v>602383.1</v>
      </c>
      <c r="AF921" s="145">
        <v>0</v>
      </c>
      <c r="AG921" s="145">
        <v>0</v>
      </c>
      <c r="AH921" s="145">
        <v>2383648.2000000002</v>
      </c>
      <c r="AI921" s="145">
        <v>0</v>
      </c>
      <c r="AJ921" s="145">
        <v>0</v>
      </c>
      <c r="AK921" s="145">
        <f t="shared" si="277"/>
        <v>2986031.3000000003</v>
      </c>
      <c r="AL921" s="145">
        <v>990484.75</v>
      </c>
      <c r="AM921" s="145">
        <v>0</v>
      </c>
      <c r="AN921" s="145">
        <v>0</v>
      </c>
      <c r="AO921" s="145">
        <v>0</v>
      </c>
      <c r="AP921" s="145">
        <v>0</v>
      </c>
      <c r="AQ921" s="145">
        <v>0</v>
      </c>
      <c r="AR921" s="145">
        <v>0</v>
      </c>
      <c r="AS921" s="144">
        <f t="shared" si="274"/>
        <v>3976516.0500000003</v>
      </c>
      <c r="AT921" s="144">
        <v>0</v>
      </c>
      <c r="AU921" s="146">
        <f t="shared" si="267"/>
        <v>3976516.0500000003</v>
      </c>
      <c r="AV921" s="146">
        <f>IFERROR(VLOOKUP(J921,Maksājumu_pieprasījumu_iesn.!G:BL,57,0),0)</f>
        <v>0</v>
      </c>
      <c r="AW921" s="139">
        <f t="shared" si="278"/>
        <v>-3976516.0500000003</v>
      </c>
      <c r="AX921" s="147">
        <f t="shared" si="279"/>
        <v>0</v>
      </c>
      <c r="AY921" s="147"/>
      <c r="AZ921" s="147"/>
      <c r="BA921" s="165"/>
      <c r="BB921" s="144"/>
      <c r="BC921" s="144"/>
      <c r="BD921" s="144"/>
      <c r="BE921" s="144"/>
      <c r="BF921" s="144"/>
      <c r="BG921" s="144"/>
      <c r="BH921" s="149"/>
      <c r="BI921" s="149"/>
      <c r="BJ921" s="149"/>
      <c r="BK921" s="149"/>
      <c r="BL921" s="149"/>
      <c r="BM921" s="149"/>
      <c r="BN921" s="149"/>
    </row>
    <row r="922" spans="1:66" s="91" customFormat="1" ht="38.25" hidden="1" customHeight="1" x14ac:dyDescent="0.2">
      <c r="A922" s="324" t="s">
        <v>1952</v>
      </c>
      <c r="B922" s="18" t="s">
        <v>172</v>
      </c>
      <c r="C922" s="18" t="s">
        <v>173</v>
      </c>
      <c r="D922" s="19" t="s">
        <v>579</v>
      </c>
      <c r="E922" s="55" t="s">
        <v>3</v>
      </c>
      <c r="F922" s="55" t="s">
        <v>29</v>
      </c>
      <c r="G922" s="55" t="s">
        <v>5</v>
      </c>
      <c r="H922" s="55" t="s">
        <v>3</v>
      </c>
      <c r="I922" s="55"/>
      <c r="J922" s="55"/>
      <c r="K922" s="19" t="s">
        <v>98</v>
      </c>
      <c r="L922" s="19"/>
      <c r="M922" s="19"/>
      <c r="N922" s="19" t="s">
        <v>2047</v>
      </c>
      <c r="O922" s="151"/>
      <c r="P922" s="151"/>
      <c r="Q922" s="151"/>
      <c r="R922" s="151"/>
      <c r="S922" s="152"/>
      <c r="T922" s="152"/>
      <c r="U922" s="145">
        <v>0</v>
      </c>
      <c r="V922" s="145">
        <v>0</v>
      </c>
      <c r="W922" s="145">
        <v>0</v>
      </c>
      <c r="X922" s="145">
        <f t="shared" si="276"/>
        <v>0</v>
      </c>
      <c r="Y922" s="145">
        <v>0</v>
      </c>
      <c r="Z922" s="145">
        <v>0</v>
      </c>
      <c r="AA922" s="145">
        <v>0</v>
      </c>
      <c r="AB922" s="145">
        <v>0</v>
      </c>
      <c r="AC922" s="145">
        <v>0</v>
      </c>
      <c r="AD922" s="145">
        <v>0</v>
      </c>
      <c r="AE922" s="145">
        <v>0</v>
      </c>
      <c r="AF922" s="145">
        <v>0</v>
      </c>
      <c r="AG922" s="145">
        <v>0</v>
      </c>
      <c r="AH922" s="145">
        <v>0</v>
      </c>
      <c r="AI922" s="145">
        <v>0</v>
      </c>
      <c r="AJ922" s="145">
        <v>0</v>
      </c>
      <c r="AK922" s="145">
        <f t="shared" si="277"/>
        <v>0</v>
      </c>
      <c r="AL922" s="145">
        <v>0</v>
      </c>
      <c r="AM922" s="145">
        <v>0</v>
      </c>
      <c r="AN922" s="145">
        <v>0</v>
      </c>
      <c r="AO922" s="145">
        <v>0</v>
      </c>
      <c r="AP922" s="145">
        <v>0</v>
      </c>
      <c r="AQ922" s="145">
        <v>0</v>
      </c>
      <c r="AR922" s="145">
        <v>0</v>
      </c>
      <c r="AS922" s="145">
        <f t="shared" si="274"/>
        <v>0</v>
      </c>
      <c r="AT922" s="145"/>
      <c r="AU922" s="139">
        <f t="shared" si="267"/>
        <v>0</v>
      </c>
      <c r="AV922" s="146">
        <f>IFERROR(VLOOKUP(J922,Maksājumu_pieprasījumu_iesn.!G:BL,57,0),0)</f>
        <v>0</v>
      </c>
      <c r="AW922" s="139">
        <f t="shared" si="278"/>
        <v>0</v>
      </c>
      <c r="AX922" s="147">
        <f t="shared" si="279"/>
        <v>0</v>
      </c>
      <c r="AY922" s="153"/>
      <c r="AZ922" s="153"/>
      <c r="BA922" s="136"/>
      <c r="BB922" s="145"/>
      <c r="BC922" s="145"/>
      <c r="BD922" s="145"/>
      <c r="BE922" s="145"/>
      <c r="BF922" s="145"/>
      <c r="BG922" s="145"/>
      <c r="BH922" s="138"/>
      <c r="BI922" s="138"/>
      <c r="BJ922" s="138"/>
      <c r="BK922" s="138"/>
      <c r="BL922" s="138"/>
      <c r="BM922" s="138"/>
      <c r="BN922" s="138"/>
    </row>
    <row r="923" spans="1:66" ht="38.25" hidden="1" customHeight="1" x14ac:dyDescent="0.2">
      <c r="A923" s="322" t="s">
        <v>1952</v>
      </c>
      <c r="B923" s="18" t="s">
        <v>172</v>
      </c>
      <c r="C923" s="18" t="s">
        <v>173</v>
      </c>
      <c r="D923" s="19" t="s">
        <v>579</v>
      </c>
      <c r="E923" s="18" t="s">
        <v>3</v>
      </c>
      <c r="F923" s="18" t="s">
        <v>29</v>
      </c>
      <c r="G923" s="18" t="s">
        <v>5</v>
      </c>
      <c r="H923" s="18" t="s">
        <v>3</v>
      </c>
      <c r="I923" s="18"/>
      <c r="J923" s="56" t="s">
        <v>2048</v>
      </c>
      <c r="K923" s="19" t="s">
        <v>98</v>
      </c>
      <c r="L923" s="19"/>
      <c r="M923" s="19"/>
      <c r="N923" s="19" t="s">
        <v>2049</v>
      </c>
      <c r="O923" s="143"/>
      <c r="P923" s="143"/>
      <c r="Q923" s="143"/>
      <c r="R923" s="187" t="s">
        <v>2050</v>
      </c>
      <c r="S923" s="144">
        <v>8046854.2000000002</v>
      </c>
      <c r="T923" s="172"/>
      <c r="U923" s="145">
        <v>0</v>
      </c>
      <c r="V923" s="145">
        <v>0</v>
      </c>
      <c r="W923" s="145">
        <v>0</v>
      </c>
      <c r="X923" s="145">
        <f t="shared" si="276"/>
        <v>0</v>
      </c>
      <c r="Y923" s="145">
        <v>0</v>
      </c>
      <c r="Z923" s="145">
        <v>0</v>
      </c>
      <c r="AA923" s="145">
        <v>0</v>
      </c>
      <c r="AB923" s="145">
        <v>0</v>
      </c>
      <c r="AC923" s="145">
        <v>0</v>
      </c>
      <c r="AD923" s="145">
        <v>0</v>
      </c>
      <c r="AE923" s="145">
        <v>0</v>
      </c>
      <c r="AF923" s="145">
        <v>0</v>
      </c>
      <c r="AG923" s="145">
        <v>0</v>
      </c>
      <c r="AH923" s="145">
        <v>0</v>
      </c>
      <c r="AI923" s="145">
        <v>0</v>
      </c>
      <c r="AJ923" s="145">
        <v>1615890</v>
      </c>
      <c r="AK923" s="145">
        <f t="shared" si="277"/>
        <v>1615890</v>
      </c>
      <c r="AL923" s="145">
        <v>6463561</v>
      </c>
      <c r="AM923" s="145">
        <v>0</v>
      </c>
      <c r="AN923" s="145">
        <v>0</v>
      </c>
      <c r="AO923" s="145">
        <v>0</v>
      </c>
      <c r="AP923" s="145">
        <v>0</v>
      </c>
      <c r="AQ923" s="145">
        <v>0</v>
      </c>
      <c r="AR923" s="145">
        <v>0</v>
      </c>
      <c r="AS923" s="144">
        <f t="shared" si="274"/>
        <v>8079451</v>
      </c>
      <c r="AT923" s="144"/>
      <c r="AU923" s="146">
        <f t="shared" si="267"/>
        <v>8079451</v>
      </c>
      <c r="AV923" s="146">
        <f>IFERROR(VLOOKUP(J923,Maksājumu_pieprasījumu_iesn.!G:BL,57,0),0)</f>
        <v>0</v>
      </c>
      <c r="AW923" s="139">
        <f t="shared" si="278"/>
        <v>-8079451</v>
      </c>
      <c r="AX923" s="147">
        <f t="shared" si="279"/>
        <v>-32596.799999999814</v>
      </c>
      <c r="AY923" s="147"/>
      <c r="AZ923" s="149" t="s">
        <v>1630</v>
      </c>
      <c r="BA923" s="149" t="s">
        <v>1630</v>
      </c>
      <c r="BB923" s="144"/>
      <c r="BC923" s="144"/>
      <c r="BD923" s="144"/>
      <c r="BE923" s="144"/>
      <c r="BF923" s="144"/>
      <c r="BG923" s="144"/>
      <c r="BH923" s="149"/>
      <c r="BI923" s="149"/>
      <c r="BJ923" s="149"/>
      <c r="BK923" s="149"/>
      <c r="BL923" s="149"/>
      <c r="BM923" s="149"/>
      <c r="BN923" s="149"/>
    </row>
    <row r="924" spans="1:66" s="91" customFormat="1" ht="63.75" hidden="1" customHeight="1" x14ac:dyDescent="0.2">
      <c r="A924" s="324" t="s">
        <v>1952</v>
      </c>
      <c r="B924" s="18" t="s">
        <v>172</v>
      </c>
      <c r="C924" s="18" t="s">
        <v>173</v>
      </c>
      <c r="D924" s="19" t="s">
        <v>579</v>
      </c>
      <c r="E924" s="55" t="s">
        <v>3</v>
      </c>
      <c r="F924" s="55" t="s">
        <v>29</v>
      </c>
      <c r="G924" s="55" t="s">
        <v>5</v>
      </c>
      <c r="H924" s="55" t="s">
        <v>3</v>
      </c>
      <c r="I924" s="55"/>
      <c r="J924" s="55"/>
      <c r="K924" s="19" t="s">
        <v>98</v>
      </c>
      <c r="L924" s="19"/>
      <c r="M924" s="19"/>
      <c r="N924" s="19" t="s">
        <v>2051</v>
      </c>
      <c r="O924" s="151"/>
      <c r="P924" s="151"/>
      <c r="Q924" s="151"/>
      <c r="R924" s="151"/>
      <c r="S924" s="152"/>
      <c r="T924" s="152"/>
      <c r="U924" s="145">
        <v>0</v>
      </c>
      <c r="V924" s="145">
        <v>0</v>
      </c>
      <c r="W924" s="145">
        <v>0</v>
      </c>
      <c r="X924" s="145">
        <f t="shared" si="276"/>
        <v>0</v>
      </c>
      <c r="Y924" s="145">
        <v>0</v>
      </c>
      <c r="Z924" s="145">
        <v>0</v>
      </c>
      <c r="AA924" s="145">
        <v>0</v>
      </c>
      <c r="AB924" s="145">
        <v>0</v>
      </c>
      <c r="AC924" s="145">
        <v>0</v>
      </c>
      <c r="AD924" s="145">
        <v>0</v>
      </c>
      <c r="AE924" s="145">
        <v>0</v>
      </c>
      <c r="AF924" s="145">
        <v>0</v>
      </c>
      <c r="AG924" s="145">
        <v>0</v>
      </c>
      <c r="AH924" s="145">
        <v>0</v>
      </c>
      <c r="AI924" s="145">
        <v>0</v>
      </c>
      <c r="AJ924" s="145">
        <v>0</v>
      </c>
      <c r="AK924" s="145">
        <f t="shared" si="277"/>
        <v>0</v>
      </c>
      <c r="AL924" s="145">
        <v>0</v>
      </c>
      <c r="AM924" s="145">
        <v>0</v>
      </c>
      <c r="AN924" s="145">
        <v>0</v>
      </c>
      <c r="AO924" s="145">
        <v>0</v>
      </c>
      <c r="AP924" s="145">
        <v>0</v>
      </c>
      <c r="AQ924" s="145">
        <v>0</v>
      </c>
      <c r="AR924" s="145">
        <v>0</v>
      </c>
      <c r="AS924" s="145">
        <f t="shared" si="274"/>
        <v>0</v>
      </c>
      <c r="AT924" s="145"/>
      <c r="AU924" s="139">
        <f t="shared" si="267"/>
        <v>0</v>
      </c>
      <c r="AV924" s="146">
        <f>IFERROR(VLOOKUP(J924,Maksājumu_pieprasījumu_iesn.!G:BL,57,0),0)</f>
        <v>0</v>
      </c>
      <c r="AW924" s="139">
        <f t="shared" si="278"/>
        <v>0</v>
      </c>
      <c r="AX924" s="147">
        <f t="shared" si="279"/>
        <v>0</v>
      </c>
      <c r="AY924" s="153"/>
      <c r="AZ924" s="153"/>
      <c r="BA924" s="136"/>
      <c r="BB924" s="145"/>
      <c r="BC924" s="145"/>
      <c r="BD924" s="145"/>
      <c r="BE924" s="145"/>
      <c r="BF924" s="145"/>
      <c r="BG924" s="145"/>
      <c r="BH924" s="138"/>
      <c r="BI924" s="138"/>
      <c r="BJ924" s="138"/>
      <c r="BK924" s="138"/>
      <c r="BL924" s="138"/>
      <c r="BM924" s="138"/>
      <c r="BN924" s="138"/>
    </row>
    <row r="925" spans="1:66" s="91" customFormat="1" ht="38.25" hidden="1" customHeight="1" x14ac:dyDescent="0.2">
      <c r="A925" s="324" t="s">
        <v>1952</v>
      </c>
      <c r="B925" s="18" t="s">
        <v>172</v>
      </c>
      <c r="C925" s="18" t="s">
        <v>173</v>
      </c>
      <c r="D925" s="19" t="s">
        <v>579</v>
      </c>
      <c r="E925" s="55" t="s">
        <v>3</v>
      </c>
      <c r="F925" s="55" t="s">
        <v>29</v>
      </c>
      <c r="G925" s="55" t="s">
        <v>5</v>
      </c>
      <c r="H925" s="55" t="s">
        <v>3</v>
      </c>
      <c r="I925" s="55"/>
      <c r="J925" s="55"/>
      <c r="K925" s="19" t="s">
        <v>98</v>
      </c>
      <c r="L925" s="19"/>
      <c r="M925" s="19"/>
      <c r="N925" s="19" t="s">
        <v>2052</v>
      </c>
      <c r="O925" s="151">
        <v>43008</v>
      </c>
      <c r="P925" s="151"/>
      <c r="Q925" s="151"/>
      <c r="R925" s="151"/>
      <c r="S925" s="152">
        <v>5413771</v>
      </c>
      <c r="T925" s="152"/>
      <c r="U925" s="145">
        <v>0</v>
      </c>
      <c r="V925" s="145">
        <v>0</v>
      </c>
      <c r="W925" s="145">
        <v>0</v>
      </c>
      <c r="X925" s="145">
        <f t="shared" si="276"/>
        <v>0</v>
      </c>
      <c r="Y925" s="145">
        <v>0</v>
      </c>
      <c r="Z925" s="145">
        <v>0</v>
      </c>
      <c r="AA925" s="145">
        <v>0</v>
      </c>
      <c r="AB925" s="145">
        <v>0</v>
      </c>
      <c r="AC925" s="145">
        <v>0</v>
      </c>
      <c r="AD925" s="145">
        <v>0</v>
      </c>
      <c r="AE925" s="145">
        <v>0</v>
      </c>
      <c r="AF925" s="145">
        <v>0</v>
      </c>
      <c r="AG925" s="145">
        <v>0</v>
      </c>
      <c r="AH925" s="145">
        <v>0</v>
      </c>
      <c r="AI925" s="145">
        <v>0</v>
      </c>
      <c r="AJ925" s="145">
        <v>0</v>
      </c>
      <c r="AK925" s="145">
        <f t="shared" si="277"/>
        <v>0</v>
      </c>
      <c r="AL925" s="145">
        <v>4493430</v>
      </c>
      <c r="AM925" s="145">
        <v>920341</v>
      </c>
      <c r="AN925" s="145">
        <v>0</v>
      </c>
      <c r="AO925" s="145">
        <v>0</v>
      </c>
      <c r="AP925" s="145">
        <v>0</v>
      </c>
      <c r="AQ925" s="145">
        <v>0</v>
      </c>
      <c r="AR925" s="145">
        <v>0</v>
      </c>
      <c r="AS925" s="145">
        <f t="shared" si="274"/>
        <v>5413771</v>
      </c>
      <c r="AT925" s="145"/>
      <c r="AU925" s="139">
        <f t="shared" si="267"/>
        <v>5413771</v>
      </c>
      <c r="AV925" s="146">
        <f>IFERROR(VLOOKUP(J925,Maksājumu_pieprasījumu_iesn.!G:BL,57,0),0)</f>
        <v>0</v>
      </c>
      <c r="AW925" s="139">
        <f t="shared" si="278"/>
        <v>-5413771</v>
      </c>
      <c r="AX925" s="147">
        <f t="shared" si="279"/>
        <v>0</v>
      </c>
      <c r="AY925" s="153"/>
      <c r="AZ925" s="153"/>
      <c r="BA925" s="136"/>
      <c r="BB925" s="145"/>
      <c r="BC925" s="145"/>
      <c r="BD925" s="145"/>
      <c r="BE925" s="145"/>
      <c r="BF925" s="145"/>
      <c r="BG925" s="145"/>
      <c r="BH925" s="138"/>
      <c r="BI925" s="138"/>
      <c r="BJ925" s="138"/>
      <c r="BK925" s="138"/>
      <c r="BL925" s="138"/>
      <c r="BM925" s="138"/>
      <c r="BN925" s="138"/>
    </row>
    <row r="926" spans="1:66" s="91" customFormat="1" ht="38.25" hidden="1" customHeight="1" x14ac:dyDescent="0.2">
      <c r="A926" s="324" t="s">
        <v>1952</v>
      </c>
      <c r="B926" s="18" t="s">
        <v>172</v>
      </c>
      <c r="C926" s="18" t="s">
        <v>173</v>
      </c>
      <c r="D926" s="19" t="s">
        <v>579</v>
      </c>
      <c r="E926" s="55" t="s">
        <v>3</v>
      </c>
      <c r="F926" s="55" t="s">
        <v>29</v>
      </c>
      <c r="G926" s="55" t="s">
        <v>5</v>
      </c>
      <c r="H926" s="55" t="s">
        <v>3</v>
      </c>
      <c r="I926" s="55"/>
      <c r="J926" s="55"/>
      <c r="K926" s="19" t="s">
        <v>98</v>
      </c>
      <c r="L926" s="19"/>
      <c r="M926" s="19"/>
      <c r="N926" s="344" t="s">
        <v>2053</v>
      </c>
      <c r="O926" s="151">
        <v>42916</v>
      </c>
      <c r="P926" s="151"/>
      <c r="Q926" s="151"/>
      <c r="R926" s="151"/>
      <c r="S926" s="152">
        <v>9656505</v>
      </c>
      <c r="T926" s="152"/>
      <c r="U926" s="145">
        <v>0</v>
      </c>
      <c r="V926" s="145">
        <v>0</v>
      </c>
      <c r="W926" s="145">
        <v>0</v>
      </c>
      <c r="X926" s="145">
        <f t="shared" si="276"/>
        <v>0</v>
      </c>
      <c r="Y926" s="145">
        <v>0</v>
      </c>
      <c r="Z926" s="145">
        <v>0</v>
      </c>
      <c r="AA926" s="145">
        <v>0</v>
      </c>
      <c r="AB926" s="145">
        <v>0</v>
      </c>
      <c r="AC926" s="145">
        <v>0</v>
      </c>
      <c r="AD926" s="145">
        <v>0</v>
      </c>
      <c r="AE926" s="145">
        <v>0</v>
      </c>
      <c r="AF926" s="145">
        <v>0</v>
      </c>
      <c r="AG926" s="145">
        <v>0</v>
      </c>
      <c r="AH926" s="145">
        <v>0</v>
      </c>
      <c r="AI926" s="145">
        <v>0</v>
      </c>
      <c r="AJ926" s="145">
        <v>1931301</v>
      </c>
      <c r="AK926" s="145">
        <f t="shared" si="277"/>
        <v>1931301</v>
      </c>
      <c r="AL926" s="145">
        <v>7725204</v>
      </c>
      <c r="AM926" s="145">
        <v>0</v>
      </c>
      <c r="AN926" s="145">
        <v>0</v>
      </c>
      <c r="AO926" s="145">
        <v>0</v>
      </c>
      <c r="AP926" s="145">
        <v>0</v>
      </c>
      <c r="AQ926" s="145">
        <v>0</v>
      </c>
      <c r="AR926" s="145">
        <v>0</v>
      </c>
      <c r="AS926" s="145">
        <f t="shared" si="274"/>
        <v>9656505</v>
      </c>
      <c r="AT926" s="145"/>
      <c r="AU926" s="139">
        <f t="shared" si="267"/>
        <v>9656505</v>
      </c>
      <c r="AV926" s="146">
        <f>IFERROR(VLOOKUP(J926,Maksājumu_pieprasījumu_iesn.!G:BL,57,0),0)</f>
        <v>0</v>
      </c>
      <c r="AW926" s="139">
        <f t="shared" si="278"/>
        <v>-9656505</v>
      </c>
      <c r="AX926" s="147">
        <f t="shared" si="279"/>
        <v>0</v>
      </c>
      <c r="AY926" s="153"/>
      <c r="AZ926" s="153"/>
      <c r="BA926" s="136"/>
      <c r="BB926" s="145"/>
      <c r="BC926" s="145"/>
      <c r="BD926" s="145"/>
      <c r="BE926" s="145"/>
      <c r="BF926" s="145"/>
      <c r="BG926" s="145"/>
      <c r="BH926" s="138"/>
      <c r="BI926" s="138"/>
      <c r="BJ926" s="138"/>
      <c r="BK926" s="138"/>
      <c r="BL926" s="138"/>
      <c r="BM926" s="138"/>
      <c r="BN926" s="138"/>
    </row>
    <row r="927" spans="1:66" s="91" customFormat="1" ht="38.25" hidden="1" customHeight="1" x14ac:dyDescent="0.2">
      <c r="A927" s="324" t="s">
        <v>1952</v>
      </c>
      <c r="B927" s="18" t="s">
        <v>172</v>
      </c>
      <c r="C927" s="18" t="s">
        <v>173</v>
      </c>
      <c r="D927" s="19" t="s">
        <v>579</v>
      </c>
      <c r="E927" s="55" t="s">
        <v>3</v>
      </c>
      <c r="F927" s="55" t="s">
        <v>29</v>
      </c>
      <c r="G927" s="55" t="s">
        <v>5</v>
      </c>
      <c r="H927" s="55" t="s">
        <v>3</v>
      </c>
      <c r="I927" s="55"/>
      <c r="J927" s="55"/>
      <c r="K927" s="19" t="s">
        <v>98</v>
      </c>
      <c r="L927" s="19"/>
      <c r="M927" s="19"/>
      <c r="N927" s="19" t="s">
        <v>2054</v>
      </c>
      <c r="O927" s="151"/>
      <c r="P927" s="151"/>
      <c r="Q927" s="151"/>
      <c r="R927" s="151"/>
      <c r="S927" s="152"/>
      <c r="T927" s="152"/>
      <c r="U927" s="145">
        <v>0</v>
      </c>
      <c r="V927" s="145">
        <v>0</v>
      </c>
      <c r="W927" s="145">
        <v>0</v>
      </c>
      <c r="X927" s="145">
        <f t="shared" si="276"/>
        <v>0</v>
      </c>
      <c r="Y927" s="145">
        <v>0</v>
      </c>
      <c r="Z927" s="145">
        <v>0</v>
      </c>
      <c r="AA927" s="145">
        <v>0</v>
      </c>
      <c r="AB927" s="145">
        <v>0</v>
      </c>
      <c r="AC927" s="145">
        <v>0</v>
      </c>
      <c r="AD927" s="145">
        <v>0</v>
      </c>
      <c r="AE927" s="145">
        <v>0</v>
      </c>
      <c r="AF927" s="145">
        <v>0</v>
      </c>
      <c r="AG927" s="145">
        <v>0</v>
      </c>
      <c r="AH927" s="145">
        <v>0</v>
      </c>
      <c r="AI927" s="145">
        <v>0</v>
      </c>
      <c r="AJ927" s="145">
        <v>0</v>
      </c>
      <c r="AK927" s="145">
        <f t="shared" si="277"/>
        <v>0</v>
      </c>
      <c r="AL927" s="145">
        <v>0</v>
      </c>
      <c r="AM927" s="145">
        <v>0</v>
      </c>
      <c r="AN927" s="145">
        <v>0</v>
      </c>
      <c r="AO927" s="145">
        <v>0</v>
      </c>
      <c r="AP927" s="145">
        <v>0</v>
      </c>
      <c r="AQ927" s="145">
        <v>0</v>
      </c>
      <c r="AR927" s="145">
        <v>0</v>
      </c>
      <c r="AS927" s="145">
        <f t="shared" si="274"/>
        <v>0</v>
      </c>
      <c r="AT927" s="145"/>
      <c r="AU927" s="139">
        <f t="shared" si="267"/>
        <v>0</v>
      </c>
      <c r="AV927" s="146">
        <f>IFERROR(VLOOKUP(J927,Maksājumu_pieprasījumu_iesn.!G:BL,57,0),0)</f>
        <v>0</v>
      </c>
      <c r="AW927" s="139">
        <f t="shared" si="278"/>
        <v>0</v>
      </c>
      <c r="AX927" s="147">
        <f t="shared" si="279"/>
        <v>0</v>
      </c>
      <c r="AY927" s="153"/>
      <c r="AZ927" s="153"/>
      <c r="BA927" s="136"/>
      <c r="BB927" s="145"/>
      <c r="BC927" s="145"/>
      <c r="BD927" s="145"/>
      <c r="BE927" s="145"/>
      <c r="BF927" s="145"/>
      <c r="BG927" s="145"/>
      <c r="BH927" s="138"/>
      <c r="BI927" s="138"/>
      <c r="BJ927" s="138"/>
      <c r="BK927" s="138"/>
      <c r="BL927" s="138"/>
      <c r="BM927" s="138"/>
      <c r="BN927" s="138"/>
    </row>
    <row r="928" spans="1:66" s="91" customFormat="1" ht="38.25" hidden="1" customHeight="1" x14ac:dyDescent="0.2">
      <c r="A928" s="324" t="s">
        <v>1952</v>
      </c>
      <c r="B928" s="18" t="s">
        <v>172</v>
      </c>
      <c r="C928" s="18" t="s">
        <v>173</v>
      </c>
      <c r="D928" s="19" t="s">
        <v>579</v>
      </c>
      <c r="E928" s="55" t="s">
        <v>3</v>
      </c>
      <c r="F928" s="55" t="s">
        <v>29</v>
      </c>
      <c r="G928" s="55" t="s">
        <v>5</v>
      </c>
      <c r="H928" s="55" t="s">
        <v>3</v>
      </c>
      <c r="I928" s="55"/>
      <c r="J928" s="55"/>
      <c r="K928" s="19" t="s">
        <v>98</v>
      </c>
      <c r="L928" s="19"/>
      <c r="M928" s="19"/>
      <c r="N928" s="19" t="s">
        <v>2055</v>
      </c>
      <c r="O928" s="151"/>
      <c r="P928" s="151"/>
      <c r="Q928" s="151"/>
      <c r="R928" s="151"/>
      <c r="S928" s="152"/>
      <c r="T928" s="152"/>
      <c r="U928" s="145">
        <v>0</v>
      </c>
      <c r="V928" s="145">
        <v>0</v>
      </c>
      <c r="W928" s="145">
        <v>0</v>
      </c>
      <c r="X928" s="145">
        <f t="shared" si="276"/>
        <v>0</v>
      </c>
      <c r="Y928" s="145">
        <v>0</v>
      </c>
      <c r="Z928" s="145">
        <v>0</v>
      </c>
      <c r="AA928" s="145">
        <v>0</v>
      </c>
      <c r="AB928" s="145">
        <v>0</v>
      </c>
      <c r="AC928" s="145">
        <v>0</v>
      </c>
      <c r="AD928" s="145">
        <v>0</v>
      </c>
      <c r="AE928" s="145">
        <v>0</v>
      </c>
      <c r="AF928" s="145">
        <v>0</v>
      </c>
      <c r="AG928" s="145">
        <v>0</v>
      </c>
      <c r="AH928" s="145">
        <v>0</v>
      </c>
      <c r="AI928" s="145">
        <v>0</v>
      </c>
      <c r="AJ928" s="145">
        <v>0</v>
      </c>
      <c r="AK928" s="145">
        <f t="shared" si="277"/>
        <v>0</v>
      </c>
      <c r="AL928" s="145">
        <v>0</v>
      </c>
      <c r="AM928" s="145">
        <v>0</v>
      </c>
      <c r="AN928" s="145">
        <v>0</v>
      </c>
      <c r="AO928" s="145">
        <v>0</v>
      </c>
      <c r="AP928" s="145">
        <v>0</v>
      </c>
      <c r="AQ928" s="145">
        <v>0</v>
      </c>
      <c r="AR928" s="145">
        <v>0</v>
      </c>
      <c r="AS928" s="145">
        <f t="shared" si="274"/>
        <v>0</v>
      </c>
      <c r="AT928" s="145"/>
      <c r="AU928" s="139">
        <f t="shared" ref="AU928:AU992" si="280">AS928-AT928</f>
        <v>0</v>
      </c>
      <c r="AV928" s="146">
        <f>IFERROR(VLOOKUP(J928,Maksājumu_pieprasījumu_iesn.!G:BL,57,0),0)</f>
        <v>0</v>
      </c>
      <c r="AW928" s="139">
        <f t="shared" si="278"/>
        <v>0</v>
      </c>
      <c r="AX928" s="147">
        <f t="shared" si="279"/>
        <v>0</v>
      </c>
      <c r="AY928" s="153"/>
      <c r="AZ928" s="153"/>
      <c r="BA928" s="136"/>
      <c r="BB928" s="145"/>
      <c r="BC928" s="145"/>
      <c r="BD928" s="145"/>
      <c r="BE928" s="145"/>
      <c r="BF928" s="145"/>
      <c r="BG928" s="145"/>
      <c r="BH928" s="138"/>
      <c r="BI928" s="138"/>
      <c r="BJ928" s="138"/>
      <c r="BK928" s="138"/>
      <c r="BL928" s="138"/>
      <c r="BM928" s="138"/>
      <c r="BN928" s="138"/>
    </row>
    <row r="929" spans="1:66" s="91" customFormat="1" ht="38.25" hidden="1" customHeight="1" x14ac:dyDescent="0.2">
      <c r="A929" s="324" t="s">
        <v>1952</v>
      </c>
      <c r="B929" s="18" t="s">
        <v>172</v>
      </c>
      <c r="C929" s="18" t="s">
        <v>173</v>
      </c>
      <c r="D929" s="19" t="s">
        <v>579</v>
      </c>
      <c r="E929" s="55" t="s">
        <v>3</v>
      </c>
      <c r="F929" s="55" t="s">
        <v>29</v>
      </c>
      <c r="G929" s="55" t="s">
        <v>5</v>
      </c>
      <c r="H929" s="55" t="s">
        <v>3</v>
      </c>
      <c r="I929" s="55"/>
      <c r="J929" s="55"/>
      <c r="K929" s="19" t="s">
        <v>98</v>
      </c>
      <c r="L929" s="19"/>
      <c r="M929" s="19"/>
      <c r="N929" s="19" t="s">
        <v>2056</v>
      </c>
      <c r="O929" s="151">
        <v>43008</v>
      </c>
      <c r="P929" s="151"/>
      <c r="Q929" s="151"/>
      <c r="R929" s="151"/>
      <c r="S929" s="152">
        <v>6979977</v>
      </c>
      <c r="T929" s="152"/>
      <c r="U929" s="145">
        <v>0</v>
      </c>
      <c r="V929" s="145">
        <v>0</v>
      </c>
      <c r="W929" s="145">
        <v>0</v>
      </c>
      <c r="X929" s="145">
        <f t="shared" si="276"/>
        <v>0</v>
      </c>
      <c r="Y929" s="145">
        <v>0</v>
      </c>
      <c r="Z929" s="145">
        <v>0</v>
      </c>
      <c r="AA929" s="145">
        <v>0</v>
      </c>
      <c r="AB929" s="145">
        <v>0</v>
      </c>
      <c r="AC929" s="145">
        <v>0</v>
      </c>
      <c r="AD929" s="145">
        <v>0</v>
      </c>
      <c r="AE929" s="145">
        <v>0</v>
      </c>
      <c r="AF929" s="145">
        <v>0</v>
      </c>
      <c r="AG929" s="145">
        <v>0</v>
      </c>
      <c r="AH929" s="145">
        <v>0</v>
      </c>
      <c r="AI929" s="145">
        <v>0</v>
      </c>
      <c r="AJ929" s="145">
        <v>0</v>
      </c>
      <c r="AK929" s="145">
        <f t="shared" si="277"/>
        <v>0</v>
      </c>
      <c r="AL929" s="145">
        <v>5793381</v>
      </c>
      <c r="AM929" s="145">
        <v>1186596</v>
      </c>
      <c r="AN929" s="145">
        <v>0</v>
      </c>
      <c r="AO929" s="145">
        <v>0</v>
      </c>
      <c r="AP929" s="145">
        <v>0</v>
      </c>
      <c r="AQ929" s="145">
        <v>0</v>
      </c>
      <c r="AR929" s="145">
        <v>0</v>
      </c>
      <c r="AS929" s="145">
        <f t="shared" ref="AS929:AS957" si="281">U929+V929+W929+AK929+AL929+AM929+AN929+AO929+AP929+AQ929+AR929</f>
        <v>6979977</v>
      </c>
      <c r="AT929" s="145"/>
      <c r="AU929" s="139">
        <f t="shared" si="280"/>
        <v>6979977</v>
      </c>
      <c r="AV929" s="146">
        <f>IFERROR(VLOOKUP(J929,Maksājumu_pieprasījumu_iesn.!G:BL,57,0),0)</f>
        <v>0</v>
      </c>
      <c r="AW929" s="139">
        <f t="shared" si="278"/>
        <v>-6979977</v>
      </c>
      <c r="AX929" s="147">
        <f t="shared" si="279"/>
        <v>0</v>
      </c>
      <c r="AY929" s="153"/>
      <c r="AZ929" s="153"/>
      <c r="BA929" s="136"/>
      <c r="BB929" s="145"/>
      <c r="BC929" s="145"/>
      <c r="BD929" s="145"/>
      <c r="BE929" s="145"/>
      <c r="BF929" s="145"/>
      <c r="BG929" s="145"/>
      <c r="BH929" s="138"/>
      <c r="BI929" s="138"/>
      <c r="BJ929" s="138"/>
      <c r="BK929" s="138"/>
      <c r="BL929" s="138"/>
      <c r="BM929" s="138"/>
      <c r="BN929" s="138"/>
    </row>
    <row r="930" spans="1:66" s="91" customFormat="1" ht="38.25" hidden="1" customHeight="1" x14ac:dyDescent="0.2">
      <c r="A930" s="324" t="s">
        <v>1952</v>
      </c>
      <c r="B930" s="18" t="s">
        <v>172</v>
      </c>
      <c r="C930" s="18" t="s">
        <v>173</v>
      </c>
      <c r="D930" s="19" t="s">
        <v>579</v>
      </c>
      <c r="E930" s="55" t="s">
        <v>3</v>
      </c>
      <c r="F930" s="55" t="s">
        <v>29</v>
      </c>
      <c r="G930" s="55" t="s">
        <v>5</v>
      </c>
      <c r="H930" s="55" t="s">
        <v>3</v>
      </c>
      <c r="I930" s="55"/>
      <c r="J930" s="55"/>
      <c r="K930" s="19" t="s">
        <v>98</v>
      </c>
      <c r="L930" s="19"/>
      <c r="M930" s="19"/>
      <c r="N930" s="19" t="s">
        <v>2057</v>
      </c>
      <c r="O930" s="151">
        <v>43008</v>
      </c>
      <c r="P930" s="151"/>
      <c r="Q930" s="151"/>
      <c r="R930" s="151"/>
      <c r="S930" s="152">
        <v>4368333</v>
      </c>
      <c r="T930" s="152"/>
      <c r="U930" s="145">
        <v>0</v>
      </c>
      <c r="V930" s="145">
        <v>0</v>
      </c>
      <c r="W930" s="145">
        <v>0</v>
      </c>
      <c r="X930" s="145">
        <f t="shared" si="276"/>
        <v>0</v>
      </c>
      <c r="Y930" s="145">
        <v>0</v>
      </c>
      <c r="Z930" s="145">
        <v>0</v>
      </c>
      <c r="AA930" s="145">
        <v>0</v>
      </c>
      <c r="AB930" s="145">
        <v>0</v>
      </c>
      <c r="AC930" s="145">
        <v>0</v>
      </c>
      <c r="AD930" s="145">
        <v>0</v>
      </c>
      <c r="AE930" s="145">
        <v>0</v>
      </c>
      <c r="AF930" s="145">
        <v>0</v>
      </c>
      <c r="AG930" s="145">
        <v>0</v>
      </c>
      <c r="AH930" s="145">
        <v>0</v>
      </c>
      <c r="AI930" s="145">
        <v>0</v>
      </c>
      <c r="AJ930" s="145">
        <v>0</v>
      </c>
      <c r="AK930" s="145">
        <f t="shared" ref="AK930:AK957" si="282">SUM(Y930:AJ930)</f>
        <v>0</v>
      </c>
      <c r="AL930" s="145">
        <v>4149917</v>
      </c>
      <c r="AM930" s="145">
        <v>218416</v>
      </c>
      <c r="AN930" s="145">
        <v>0</v>
      </c>
      <c r="AO930" s="145">
        <v>0</v>
      </c>
      <c r="AP930" s="145">
        <v>0</v>
      </c>
      <c r="AQ930" s="145">
        <v>0</v>
      </c>
      <c r="AR930" s="145">
        <v>0</v>
      </c>
      <c r="AS930" s="145">
        <f t="shared" si="281"/>
        <v>4368333</v>
      </c>
      <c r="AT930" s="145"/>
      <c r="AU930" s="139">
        <f t="shared" si="280"/>
        <v>4368333</v>
      </c>
      <c r="AV930" s="146">
        <f>IFERROR(VLOOKUP(J930,Maksājumu_pieprasījumu_iesn.!G:BL,57,0),0)</f>
        <v>0</v>
      </c>
      <c r="AW930" s="139">
        <f t="shared" si="278"/>
        <v>-4368333</v>
      </c>
      <c r="AX930" s="147">
        <f t="shared" si="279"/>
        <v>0</v>
      </c>
      <c r="AY930" s="153"/>
      <c r="AZ930" s="153"/>
      <c r="BA930" s="136"/>
      <c r="BB930" s="145"/>
      <c r="BC930" s="145"/>
      <c r="BD930" s="145"/>
      <c r="BE930" s="145"/>
      <c r="BF930" s="145"/>
      <c r="BG930" s="145"/>
      <c r="BH930" s="138"/>
      <c r="BI930" s="138"/>
      <c r="BJ930" s="138"/>
      <c r="BK930" s="138"/>
      <c r="BL930" s="138"/>
      <c r="BM930" s="138"/>
      <c r="BN930" s="138"/>
    </row>
    <row r="931" spans="1:66" s="91" customFormat="1" ht="38.25" hidden="1" customHeight="1" x14ac:dyDescent="0.2">
      <c r="A931" s="324" t="s">
        <v>1952</v>
      </c>
      <c r="B931" s="18" t="s">
        <v>172</v>
      </c>
      <c r="C931" s="18" t="s">
        <v>173</v>
      </c>
      <c r="D931" s="19" t="s">
        <v>579</v>
      </c>
      <c r="E931" s="55" t="s">
        <v>3</v>
      </c>
      <c r="F931" s="55" t="s">
        <v>29</v>
      </c>
      <c r="G931" s="55" t="s">
        <v>5</v>
      </c>
      <c r="H931" s="55" t="s">
        <v>3</v>
      </c>
      <c r="I931" s="55"/>
      <c r="J931" s="55"/>
      <c r="K931" s="19" t="s">
        <v>98</v>
      </c>
      <c r="L931" s="19"/>
      <c r="M931" s="19"/>
      <c r="N931" s="19" t="s">
        <v>2058</v>
      </c>
      <c r="O931" s="151">
        <v>43100</v>
      </c>
      <c r="P931" s="151"/>
      <c r="Q931" s="151"/>
      <c r="R931" s="151"/>
      <c r="S931" s="152">
        <v>5584177</v>
      </c>
      <c r="T931" s="152"/>
      <c r="U931" s="145">
        <v>0</v>
      </c>
      <c r="V931" s="145">
        <v>0</v>
      </c>
      <c r="W931" s="145">
        <v>0</v>
      </c>
      <c r="X931" s="145">
        <f t="shared" si="276"/>
        <v>0</v>
      </c>
      <c r="Y931" s="145">
        <v>0</v>
      </c>
      <c r="Z931" s="145">
        <v>0</v>
      </c>
      <c r="AA931" s="145">
        <v>0</v>
      </c>
      <c r="AB931" s="145">
        <v>0</v>
      </c>
      <c r="AC931" s="145">
        <v>0</v>
      </c>
      <c r="AD931" s="145">
        <v>0</v>
      </c>
      <c r="AE931" s="145">
        <v>0</v>
      </c>
      <c r="AF931" s="145">
        <v>0</v>
      </c>
      <c r="AG931" s="145">
        <v>0</v>
      </c>
      <c r="AH931" s="145">
        <v>0</v>
      </c>
      <c r="AI931" s="145">
        <v>0</v>
      </c>
      <c r="AJ931" s="145">
        <v>0</v>
      </c>
      <c r="AK931" s="145">
        <f t="shared" si="282"/>
        <v>0</v>
      </c>
      <c r="AL931" s="145">
        <v>1954462</v>
      </c>
      <c r="AM931" s="145">
        <v>3350506</v>
      </c>
      <c r="AN931" s="145">
        <v>279209</v>
      </c>
      <c r="AO931" s="145">
        <v>0</v>
      </c>
      <c r="AP931" s="145">
        <v>0</v>
      </c>
      <c r="AQ931" s="145">
        <v>0</v>
      </c>
      <c r="AR931" s="145">
        <v>0</v>
      </c>
      <c r="AS931" s="145">
        <f t="shared" si="281"/>
        <v>5584177</v>
      </c>
      <c r="AT931" s="145"/>
      <c r="AU931" s="139">
        <f t="shared" si="280"/>
        <v>5584177</v>
      </c>
      <c r="AV931" s="146">
        <f>IFERROR(VLOOKUP(J931,Maksājumu_pieprasījumu_iesn.!G:BL,57,0),0)</f>
        <v>0</v>
      </c>
      <c r="AW931" s="139">
        <f t="shared" si="278"/>
        <v>-5584177</v>
      </c>
      <c r="AX931" s="147">
        <f t="shared" si="279"/>
        <v>0</v>
      </c>
      <c r="AY931" s="153"/>
      <c r="AZ931" s="153"/>
      <c r="BA931" s="136"/>
      <c r="BB931" s="145"/>
      <c r="BC931" s="145"/>
      <c r="BD931" s="145"/>
      <c r="BE931" s="145"/>
      <c r="BF931" s="145"/>
      <c r="BG931" s="145"/>
      <c r="BH931" s="138"/>
      <c r="BI931" s="138"/>
      <c r="BJ931" s="138"/>
      <c r="BK931" s="138"/>
      <c r="BL931" s="138"/>
      <c r="BM931" s="138"/>
      <c r="BN931" s="138"/>
    </row>
    <row r="932" spans="1:66" s="91" customFormat="1" ht="38.25" hidden="1" customHeight="1" x14ac:dyDescent="0.2">
      <c r="A932" s="324" t="s">
        <v>1952</v>
      </c>
      <c r="B932" s="18" t="s">
        <v>172</v>
      </c>
      <c r="C932" s="18" t="s">
        <v>173</v>
      </c>
      <c r="D932" s="19" t="s">
        <v>579</v>
      </c>
      <c r="E932" s="55" t="s">
        <v>3</v>
      </c>
      <c r="F932" s="55" t="s">
        <v>29</v>
      </c>
      <c r="G932" s="55" t="s">
        <v>5</v>
      </c>
      <c r="H932" s="55" t="s">
        <v>3</v>
      </c>
      <c r="I932" s="55"/>
      <c r="J932" s="55"/>
      <c r="K932" s="19" t="s">
        <v>98</v>
      </c>
      <c r="L932" s="19"/>
      <c r="M932" s="19"/>
      <c r="N932" s="350" t="s">
        <v>2059</v>
      </c>
      <c r="O932" s="151">
        <v>43830</v>
      </c>
      <c r="P932" s="151"/>
      <c r="Q932" s="151"/>
      <c r="R932" s="151"/>
      <c r="S932" s="189"/>
      <c r="T932" s="152"/>
      <c r="U932" s="145">
        <v>0</v>
      </c>
      <c r="V932" s="145">
        <v>0</v>
      </c>
      <c r="W932" s="145">
        <v>0</v>
      </c>
      <c r="X932" s="145">
        <f t="shared" si="276"/>
        <v>0</v>
      </c>
      <c r="Y932" s="145">
        <v>0</v>
      </c>
      <c r="Z932" s="145">
        <v>0</v>
      </c>
      <c r="AA932" s="145">
        <v>0</v>
      </c>
      <c r="AB932" s="145">
        <v>0</v>
      </c>
      <c r="AC932" s="145">
        <v>0</v>
      </c>
      <c r="AD932" s="145">
        <v>0</v>
      </c>
      <c r="AE932" s="145">
        <v>0</v>
      </c>
      <c r="AF932" s="145">
        <v>0</v>
      </c>
      <c r="AG932" s="145">
        <v>0</v>
      </c>
      <c r="AH932" s="145">
        <v>0</v>
      </c>
      <c r="AI932" s="145">
        <v>0</v>
      </c>
      <c r="AJ932" s="145">
        <v>0</v>
      </c>
      <c r="AK932" s="145">
        <f t="shared" si="282"/>
        <v>0</v>
      </c>
      <c r="AL932" s="145">
        <v>0</v>
      </c>
      <c r="AM932" s="145">
        <v>3696489</v>
      </c>
      <c r="AN932" s="145">
        <v>3696490</v>
      </c>
      <c r="AO932" s="145">
        <v>0</v>
      </c>
      <c r="AP932" s="145">
        <v>0</v>
      </c>
      <c r="AQ932" s="145">
        <v>0</v>
      </c>
      <c r="AR932" s="145">
        <v>0</v>
      </c>
      <c r="AS932" s="145">
        <f t="shared" si="281"/>
        <v>7392979</v>
      </c>
      <c r="AT932" s="145"/>
      <c r="AU932" s="139">
        <f t="shared" si="280"/>
        <v>7392979</v>
      </c>
      <c r="AV932" s="146">
        <f>IFERROR(VLOOKUP(J932,Maksājumu_pieprasījumu_iesn.!G:BL,57,0),0)</f>
        <v>0</v>
      </c>
      <c r="AW932" s="139">
        <f t="shared" si="278"/>
        <v>-7392979</v>
      </c>
      <c r="AX932" s="147"/>
      <c r="AY932" s="153"/>
      <c r="AZ932" s="153"/>
      <c r="BA932" s="136"/>
      <c r="BB932" s="145"/>
      <c r="BC932" s="145"/>
      <c r="BD932" s="145"/>
      <c r="BE932" s="145"/>
      <c r="BF932" s="145"/>
      <c r="BG932" s="145"/>
      <c r="BH932" s="138"/>
      <c r="BI932" s="138"/>
      <c r="BJ932" s="138"/>
      <c r="BK932" s="138"/>
      <c r="BL932" s="138"/>
      <c r="BM932" s="138"/>
      <c r="BN932" s="138"/>
    </row>
    <row r="933" spans="1:66" s="91" customFormat="1" ht="38.25" hidden="1" customHeight="1" x14ac:dyDescent="0.2">
      <c r="A933" s="324" t="s">
        <v>1952</v>
      </c>
      <c r="B933" s="18" t="s">
        <v>172</v>
      </c>
      <c r="C933" s="18" t="s">
        <v>173</v>
      </c>
      <c r="D933" s="19" t="s">
        <v>579</v>
      </c>
      <c r="E933" s="55" t="s">
        <v>3</v>
      </c>
      <c r="F933" s="55" t="s">
        <v>29</v>
      </c>
      <c r="G933" s="55" t="s">
        <v>5</v>
      </c>
      <c r="H933" s="55" t="s">
        <v>3</v>
      </c>
      <c r="I933" s="55"/>
      <c r="J933" s="55"/>
      <c r="K933" s="19" t="s">
        <v>98</v>
      </c>
      <c r="L933" s="19"/>
      <c r="M933" s="19"/>
      <c r="N933" s="350" t="s">
        <v>2060</v>
      </c>
      <c r="O933" s="151">
        <v>43830</v>
      </c>
      <c r="P933" s="151"/>
      <c r="Q933" s="151"/>
      <c r="R933" s="151"/>
      <c r="S933" s="189"/>
      <c r="T933" s="152"/>
      <c r="U933" s="145">
        <v>0</v>
      </c>
      <c r="V933" s="145">
        <v>0</v>
      </c>
      <c r="W933" s="145">
        <v>0</v>
      </c>
      <c r="X933" s="145">
        <f t="shared" si="276"/>
        <v>0</v>
      </c>
      <c r="Y933" s="145">
        <v>0</v>
      </c>
      <c r="Z933" s="145">
        <v>0</v>
      </c>
      <c r="AA933" s="145">
        <v>0</v>
      </c>
      <c r="AB933" s="145">
        <v>0</v>
      </c>
      <c r="AC933" s="145">
        <v>0</v>
      </c>
      <c r="AD933" s="145">
        <v>0</v>
      </c>
      <c r="AE933" s="145">
        <v>0</v>
      </c>
      <c r="AF933" s="145">
        <v>0</v>
      </c>
      <c r="AG933" s="145">
        <v>0</v>
      </c>
      <c r="AH933" s="145">
        <v>0</v>
      </c>
      <c r="AI933" s="145">
        <v>0</v>
      </c>
      <c r="AJ933" s="145">
        <v>0</v>
      </c>
      <c r="AK933" s="145">
        <f t="shared" si="282"/>
        <v>0</v>
      </c>
      <c r="AL933" s="145">
        <v>0</v>
      </c>
      <c r="AM933" s="145">
        <v>1870501</v>
      </c>
      <c r="AN933" s="145">
        <v>1870502</v>
      </c>
      <c r="AO933" s="145">
        <v>0</v>
      </c>
      <c r="AP933" s="145">
        <v>0</v>
      </c>
      <c r="AQ933" s="145">
        <v>0</v>
      </c>
      <c r="AR933" s="145">
        <v>0</v>
      </c>
      <c r="AS933" s="145">
        <f t="shared" si="281"/>
        <v>3741003</v>
      </c>
      <c r="AT933" s="145"/>
      <c r="AU933" s="139">
        <f t="shared" si="280"/>
        <v>3741003</v>
      </c>
      <c r="AV933" s="146">
        <f>IFERROR(VLOOKUP(J933,Maksājumu_pieprasījumu_iesn.!G:BL,57,0),0)</f>
        <v>0</v>
      </c>
      <c r="AW933" s="139">
        <f t="shared" si="278"/>
        <v>-3741003</v>
      </c>
      <c r="AX933" s="147"/>
      <c r="AY933" s="153"/>
      <c r="AZ933" s="153"/>
      <c r="BA933" s="136"/>
      <c r="BB933" s="145"/>
      <c r="BC933" s="145"/>
      <c r="BD933" s="145"/>
      <c r="BE933" s="145"/>
      <c r="BF933" s="145"/>
      <c r="BG933" s="145"/>
      <c r="BH933" s="138"/>
      <c r="BI933" s="138"/>
      <c r="BJ933" s="138"/>
      <c r="BK933" s="138"/>
      <c r="BL933" s="138"/>
      <c r="BM933" s="138"/>
      <c r="BN933" s="138"/>
    </row>
    <row r="934" spans="1:66" s="91" customFormat="1" ht="25.5" hidden="1" customHeight="1" x14ac:dyDescent="0.2">
      <c r="A934" s="324" t="s">
        <v>1952</v>
      </c>
      <c r="B934" s="18" t="s">
        <v>172</v>
      </c>
      <c r="C934" s="18" t="s">
        <v>173</v>
      </c>
      <c r="D934" s="19" t="s">
        <v>579</v>
      </c>
      <c r="E934" s="55" t="s">
        <v>3</v>
      </c>
      <c r="F934" s="55" t="s">
        <v>29</v>
      </c>
      <c r="G934" s="55" t="s">
        <v>5</v>
      </c>
      <c r="H934" s="55" t="s">
        <v>3</v>
      </c>
      <c r="I934" s="55"/>
      <c r="J934" s="55"/>
      <c r="K934" s="19" t="s">
        <v>98</v>
      </c>
      <c r="L934" s="19"/>
      <c r="M934" s="19"/>
      <c r="N934" s="350" t="s">
        <v>2061</v>
      </c>
      <c r="O934" s="151">
        <v>43465</v>
      </c>
      <c r="P934" s="151"/>
      <c r="Q934" s="151"/>
      <c r="R934" s="151"/>
      <c r="S934" s="189"/>
      <c r="T934" s="152"/>
      <c r="U934" s="145">
        <v>0</v>
      </c>
      <c r="V934" s="145">
        <v>0</v>
      </c>
      <c r="W934" s="145">
        <v>0</v>
      </c>
      <c r="X934" s="145">
        <f t="shared" si="276"/>
        <v>0</v>
      </c>
      <c r="Y934" s="145">
        <v>0</v>
      </c>
      <c r="Z934" s="145">
        <v>0</v>
      </c>
      <c r="AA934" s="145">
        <v>0</v>
      </c>
      <c r="AB934" s="145">
        <v>0</v>
      </c>
      <c r="AC934" s="145">
        <v>0</v>
      </c>
      <c r="AD934" s="145">
        <v>0</v>
      </c>
      <c r="AE934" s="145">
        <v>0</v>
      </c>
      <c r="AF934" s="145">
        <v>0</v>
      </c>
      <c r="AG934" s="145">
        <v>0</v>
      </c>
      <c r="AH934" s="145">
        <v>0</v>
      </c>
      <c r="AI934" s="145">
        <v>0</v>
      </c>
      <c r="AJ934" s="145">
        <v>0</v>
      </c>
      <c r="AK934" s="145">
        <f t="shared" si="282"/>
        <v>0</v>
      </c>
      <c r="AL934" s="145">
        <v>3688150</v>
      </c>
      <c r="AM934" s="145">
        <v>3688150</v>
      </c>
      <c r="AN934" s="145">
        <v>0</v>
      </c>
      <c r="AO934" s="145">
        <v>0</v>
      </c>
      <c r="AP934" s="145">
        <v>0</v>
      </c>
      <c r="AQ934" s="145">
        <v>0</v>
      </c>
      <c r="AR934" s="145">
        <v>0</v>
      </c>
      <c r="AS934" s="145">
        <f t="shared" si="281"/>
        <v>7376300</v>
      </c>
      <c r="AT934" s="145"/>
      <c r="AU934" s="139">
        <f t="shared" si="280"/>
        <v>7376300</v>
      </c>
      <c r="AV934" s="146">
        <f>IFERROR(VLOOKUP(J934,Maksājumu_pieprasījumu_iesn.!G:BL,57,0),0)</f>
        <v>0</v>
      </c>
      <c r="AW934" s="139">
        <f t="shared" si="278"/>
        <v>-7376300</v>
      </c>
      <c r="AX934" s="147"/>
      <c r="AY934" s="153"/>
      <c r="AZ934" s="153"/>
      <c r="BA934" s="136"/>
      <c r="BB934" s="145"/>
      <c r="BC934" s="145"/>
      <c r="BD934" s="145"/>
      <c r="BE934" s="145"/>
      <c r="BF934" s="145"/>
      <c r="BG934" s="145"/>
      <c r="BH934" s="138"/>
      <c r="BI934" s="138"/>
      <c r="BJ934" s="138"/>
      <c r="BK934" s="138"/>
      <c r="BL934" s="138"/>
      <c r="BM934" s="138"/>
      <c r="BN934" s="138"/>
    </row>
    <row r="935" spans="1:66" s="91" customFormat="1" ht="51" hidden="1" customHeight="1" x14ac:dyDescent="0.2">
      <c r="A935" s="324" t="s">
        <v>1952</v>
      </c>
      <c r="B935" s="18" t="s">
        <v>172</v>
      </c>
      <c r="C935" s="18" t="s">
        <v>173</v>
      </c>
      <c r="D935" s="19" t="s">
        <v>579</v>
      </c>
      <c r="E935" s="55" t="s">
        <v>3</v>
      </c>
      <c r="F935" s="55" t="s">
        <v>29</v>
      </c>
      <c r="G935" s="55" t="s">
        <v>5</v>
      </c>
      <c r="H935" s="55" t="s">
        <v>3</v>
      </c>
      <c r="I935" s="55"/>
      <c r="J935" s="55"/>
      <c r="K935" s="19" t="s">
        <v>98</v>
      </c>
      <c r="L935" s="19"/>
      <c r="M935" s="19"/>
      <c r="N935" s="19" t="s">
        <v>2062</v>
      </c>
      <c r="O935" s="151"/>
      <c r="P935" s="151"/>
      <c r="Q935" s="151"/>
      <c r="R935" s="151"/>
      <c r="S935" s="152"/>
      <c r="T935" s="152"/>
      <c r="U935" s="145">
        <v>0</v>
      </c>
      <c r="V935" s="145">
        <v>0</v>
      </c>
      <c r="W935" s="145">
        <v>0</v>
      </c>
      <c r="X935" s="145">
        <f t="shared" si="276"/>
        <v>0</v>
      </c>
      <c r="Y935" s="145">
        <v>0</v>
      </c>
      <c r="Z935" s="145">
        <v>0</v>
      </c>
      <c r="AA935" s="145">
        <v>0</v>
      </c>
      <c r="AB935" s="145">
        <v>0</v>
      </c>
      <c r="AC935" s="145">
        <v>0</v>
      </c>
      <c r="AD935" s="145">
        <v>0</v>
      </c>
      <c r="AE935" s="145">
        <v>0</v>
      </c>
      <c r="AF935" s="145">
        <v>0</v>
      </c>
      <c r="AG935" s="145">
        <v>0</v>
      </c>
      <c r="AH935" s="145">
        <v>0</v>
      </c>
      <c r="AI935" s="145">
        <v>0</v>
      </c>
      <c r="AJ935" s="145">
        <v>0</v>
      </c>
      <c r="AK935" s="145">
        <f t="shared" si="282"/>
        <v>0</v>
      </c>
      <c r="AL935" s="145">
        <v>0</v>
      </c>
      <c r="AM935" s="145">
        <v>0</v>
      </c>
      <c r="AN935" s="145">
        <v>0</v>
      </c>
      <c r="AO935" s="145">
        <v>0</v>
      </c>
      <c r="AP935" s="145">
        <v>0</v>
      </c>
      <c r="AQ935" s="145">
        <v>0</v>
      </c>
      <c r="AR935" s="145">
        <v>0</v>
      </c>
      <c r="AS935" s="145">
        <f t="shared" si="281"/>
        <v>0</v>
      </c>
      <c r="AT935" s="145"/>
      <c r="AU935" s="139">
        <f t="shared" si="280"/>
        <v>0</v>
      </c>
      <c r="AV935" s="146">
        <f>IFERROR(VLOOKUP(J935,Maksājumu_pieprasījumu_iesn.!G:BL,57,0),0)</f>
        <v>0</v>
      </c>
      <c r="AW935" s="139">
        <f t="shared" si="278"/>
        <v>0</v>
      </c>
      <c r="AX935" s="147">
        <f>S935-T935-AU935</f>
        <v>0</v>
      </c>
      <c r="AY935" s="153"/>
      <c r="AZ935" s="153"/>
      <c r="BA935" s="136"/>
      <c r="BB935" s="145"/>
      <c r="BC935" s="145"/>
      <c r="BD935" s="145"/>
      <c r="BE935" s="145"/>
      <c r="BF935" s="145"/>
      <c r="BG935" s="145"/>
      <c r="BH935" s="138"/>
      <c r="BI935" s="138"/>
      <c r="BJ935" s="138"/>
      <c r="BK935" s="138"/>
      <c r="BL935" s="138"/>
      <c r="BM935" s="138"/>
      <c r="BN935" s="138"/>
    </row>
    <row r="936" spans="1:66" s="91" customFormat="1" ht="38.25" hidden="1" customHeight="1" x14ac:dyDescent="0.2">
      <c r="A936" s="324" t="s">
        <v>1952</v>
      </c>
      <c r="B936" s="18" t="s">
        <v>172</v>
      </c>
      <c r="C936" s="18" t="s">
        <v>173</v>
      </c>
      <c r="D936" s="19" t="s">
        <v>579</v>
      </c>
      <c r="E936" s="55" t="s">
        <v>3</v>
      </c>
      <c r="F936" s="55" t="s">
        <v>29</v>
      </c>
      <c r="G936" s="55" t="s">
        <v>5</v>
      </c>
      <c r="H936" s="55" t="s">
        <v>3</v>
      </c>
      <c r="I936" s="55"/>
      <c r="J936" s="55"/>
      <c r="K936" s="19" t="s">
        <v>98</v>
      </c>
      <c r="L936" s="19"/>
      <c r="M936" s="19"/>
      <c r="N936" s="350" t="s">
        <v>2063</v>
      </c>
      <c r="O936" s="151">
        <v>43830</v>
      </c>
      <c r="P936" s="151"/>
      <c r="Q936" s="151"/>
      <c r="R936" s="151"/>
      <c r="S936" s="189"/>
      <c r="T936" s="152"/>
      <c r="U936" s="145">
        <v>0</v>
      </c>
      <c r="V936" s="145">
        <v>0</v>
      </c>
      <c r="W936" s="145">
        <v>0</v>
      </c>
      <c r="X936" s="145">
        <f t="shared" si="276"/>
        <v>0</v>
      </c>
      <c r="Y936" s="145">
        <v>0</v>
      </c>
      <c r="Z936" s="145">
        <v>0</v>
      </c>
      <c r="AA936" s="145">
        <v>0</v>
      </c>
      <c r="AB936" s="145">
        <v>0</v>
      </c>
      <c r="AC936" s="145">
        <v>0</v>
      </c>
      <c r="AD936" s="145">
        <v>0</v>
      </c>
      <c r="AE936" s="145">
        <v>0</v>
      </c>
      <c r="AF936" s="145">
        <v>0</v>
      </c>
      <c r="AG936" s="145">
        <v>0</v>
      </c>
      <c r="AH936" s="145">
        <v>0</v>
      </c>
      <c r="AI936" s="145">
        <v>0</v>
      </c>
      <c r="AJ936" s="145">
        <v>0</v>
      </c>
      <c r="AK936" s="145">
        <f t="shared" si="282"/>
        <v>0</v>
      </c>
      <c r="AL936" s="145">
        <v>0</v>
      </c>
      <c r="AM936" s="145">
        <v>1874250</v>
      </c>
      <c r="AN936" s="145">
        <v>1874250</v>
      </c>
      <c r="AO936" s="145">
        <v>0</v>
      </c>
      <c r="AP936" s="145">
        <v>0</v>
      </c>
      <c r="AQ936" s="145">
        <v>0</v>
      </c>
      <c r="AR936" s="145">
        <v>0</v>
      </c>
      <c r="AS936" s="145">
        <f t="shared" si="281"/>
        <v>3748500</v>
      </c>
      <c r="AT936" s="145"/>
      <c r="AU936" s="139">
        <f t="shared" si="280"/>
        <v>3748500</v>
      </c>
      <c r="AV936" s="146">
        <f>IFERROR(VLOOKUP(J936,Maksājumu_pieprasījumu_iesn.!G:BL,57,0),0)</f>
        <v>0</v>
      </c>
      <c r="AW936" s="139">
        <f t="shared" si="278"/>
        <v>-3748500</v>
      </c>
      <c r="AX936" s="147"/>
      <c r="AY936" s="153"/>
      <c r="AZ936" s="153"/>
      <c r="BA936" s="136"/>
      <c r="BB936" s="145"/>
      <c r="BC936" s="145"/>
      <c r="BD936" s="145"/>
      <c r="BE936" s="145"/>
      <c r="BF936" s="145"/>
      <c r="BG936" s="145"/>
      <c r="BH936" s="138"/>
      <c r="BI936" s="138"/>
      <c r="BJ936" s="138"/>
      <c r="BK936" s="138"/>
      <c r="BL936" s="138"/>
      <c r="BM936" s="138"/>
      <c r="BN936" s="138"/>
    </row>
    <row r="937" spans="1:66" s="91" customFormat="1" ht="38.25" hidden="1" customHeight="1" x14ac:dyDescent="0.2">
      <c r="A937" s="324" t="s">
        <v>1952</v>
      </c>
      <c r="B937" s="18" t="s">
        <v>172</v>
      </c>
      <c r="C937" s="18" t="s">
        <v>173</v>
      </c>
      <c r="D937" s="19" t="s">
        <v>579</v>
      </c>
      <c r="E937" s="55" t="s">
        <v>3</v>
      </c>
      <c r="F937" s="55" t="s">
        <v>29</v>
      </c>
      <c r="G937" s="55" t="s">
        <v>5</v>
      </c>
      <c r="H937" s="55" t="s">
        <v>3</v>
      </c>
      <c r="I937" s="55"/>
      <c r="J937" s="55"/>
      <c r="K937" s="19" t="s">
        <v>98</v>
      </c>
      <c r="L937" s="19"/>
      <c r="M937" s="19"/>
      <c r="N937" s="19" t="s">
        <v>2064</v>
      </c>
      <c r="O937" s="151"/>
      <c r="P937" s="151"/>
      <c r="Q937" s="151"/>
      <c r="R937" s="151"/>
      <c r="S937" s="152"/>
      <c r="T937" s="152"/>
      <c r="U937" s="145">
        <v>0</v>
      </c>
      <c r="V937" s="145">
        <v>0</v>
      </c>
      <c r="W937" s="145">
        <v>0</v>
      </c>
      <c r="X937" s="145">
        <f t="shared" si="276"/>
        <v>0</v>
      </c>
      <c r="Y937" s="145">
        <v>0</v>
      </c>
      <c r="Z937" s="145">
        <v>0</v>
      </c>
      <c r="AA937" s="145">
        <v>0</v>
      </c>
      <c r="AB937" s="145">
        <v>0</v>
      </c>
      <c r="AC937" s="145">
        <v>0</v>
      </c>
      <c r="AD937" s="145">
        <v>0</v>
      </c>
      <c r="AE937" s="145">
        <v>0</v>
      </c>
      <c r="AF937" s="145">
        <v>0</v>
      </c>
      <c r="AG937" s="145">
        <v>0</v>
      </c>
      <c r="AH937" s="145">
        <v>0</v>
      </c>
      <c r="AI937" s="145">
        <v>0</v>
      </c>
      <c r="AJ937" s="145">
        <v>0</v>
      </c>
      <c r="AK937" s="145">
        <f t="shared" si="282"/>
        <v>0</v>
      </c>
      <c r="AL937" s="145">
        <v>0</v>
      </c>
      <c r="AM937" s="145">
        <v>0</v>
      </c>
      <c r="AN937" s="145">
        <v>0</v>
      </c>
      <c r="AO937" s="145">
        <v>0</v>
      </c>
      <c r="AP937" s="145">
        <v>0</v>
      </c>
      <c r="AQ937" s="145">
        <v>0</v>
      </c>
      <c r="AR937" s="145">
        <v>0</v>
      </c>
      <c r="AS937" s="145">
        <f t="shared" si="281"/>
        <v>0</v>
      </c>
      <c r="AT937" s="145"/>
      <c r="AU937" s="139">
        <f t="shared" si="280"/>
        <v>0</v>
      </c>
      <c r="AV937" s="146">
        <f>IFERROR(VLOOKUP(J937,Maksājumu_pieprasījumu_iesn.!G:BL,57,0),0)</f>
        <v>0</v>
      </c>
      <c r="AW937" s="139">
        <f t="shared" si="278"/>
        <v>0</v>
      </c>
      <c r="AX937" s="147">
        <f t="shared" ref="AX937:AX956" si="283">S937-T937-AU937</f>
        <v>0</v>
      </c>
      <c r="AY937" s="153"/>
      <c r="AZ937" s="153"/>
      <c r="BA937" s="136"/>
      <c r="BB937" s="145"/>
      <c r="BC937" s="145"/>
      <c r="BD937" s="145"/>
      <c r="BE937" s="145"/>
      <c r="BF937" s="145"/>
      <c r="BG937" s="145"/>
      <c r="BH937" s="138"/>
      <c r="BI937" s="138"/>
      <c r="BJ937" s="138"/>
      <c r="BK937" s="138"/>
      <c r="BL937" s="138"/>
      <c r="BM937" s="138"/>
      <c r="BN937" s="138"/>
    </row>
    <row r="938" spans="1:66" s="91" customFormat="1" ht="38.25" hidden="1" customHeight="1" x14ac:dyDescent="0.2">
      <c r="A938" s="324" t="s">
        <v>1952</v>
      </c>
      <c r="B938" s="18" t="s">
        <v>172</v>
      </c>
      <c r="C938" s="18" t="s">
        <v>173</v>
      </c>
      <c r="D938" s="19" t="s">
        <v>579</v>
      </c>
      <c r="E938" s="55" t="s">
        <v>3</v>
      </c>
      <c r="F938" s="55" t="s">
        <v>29</v>
      </c>
      <c r="G938" s="55" t="s">
        <v>5</v>
      </c>
      <c r="H938" s="55" t="s">
        <v>3</v>
      </c>
      <c r="I938" s="55"/>
      <c r="J938" s="55"/>
      <c r="K938" s="19" t="s">
        <v>98</v>
      </c>
      <c r="L938" s="19"/>
      <c r="M938" s="19"/>
      <c r="N938" s="19" t="s">
        <v>2065</v>
      </c>
      <c r="O938" s="151">
        <v>43008</v>
      </c>
      <c r="P938" s="151"/>
      <c r="Q938" s="151"/>
      <c r="R938" s="151"/>
      <c r="S938" s="152">
        <v>9444728</v>
      </c>
      <c r="T938" s="152"/>
      <c r="U938" s="145">
        <v>0</v>
      </c>
      <c r="V938" s="145">
        <v>0</v>
      </c>
      <c r="W938" s="145">
        <v>0</v>
      </c>
      <c r="X938" s="145">
        <f t="shared" si="276"/>
        <v>0</v>
      </c>
      <c r="Y938" s="145">
        <v>0</v>
      </c>
      <c r="Z938" s="145">
        <v>0</v>
      </c>
      <c r="AA938" s="145">
        <v>0</v>
      </c>
      <c r="AB938" s="145">
        <v>0</v>
      </c>
      <c r="AC938" s="145">
        <v>0</v>
      </c>
      <c r="AD938" s="145">
        <v>0</v>
      </c>
      <c r="AE938" s="145">
        <v>0</v>
      </c>
      <c r="AF938" s="145">
        <v>0</v>
      </c>
      <c r="AG938" s="145">
        <v>0</v>
      </c>
      <c r="AH938" s="145">
        <v>0</v>
      </c>
      <c r="AI938" s="145">
        <v>0</v>
      </c>
      <c r="AJ938" s="145">
        <v>0</v>
      </c>
      <c r="AK938" s="145">
        <f t="shared" si="282"/>
        <v>0</v>
      </c>
      <c r="AL938" s="145">
        <v>4816811</v>
      </c>
      <c r="AM938" s="145">
        <v>4155681</v>
      </c>
      <c r="AN938" s="145">
        <v>472236</v>
      </c>
      <c r="AO938" s="145">
        <v>0</v>
      </c>
      <c r="AP938" s="145">
        <v>0</v>
      </c>
      <c r="AQ938" s="145">
        <v>0</v>
      </c>
      <c r="AR938" s="145">
        <v>0</v>
      </c>
      <c r="AS938" s="145">
        <f t="shared" si="281"/>
        <v>9444728</v>
      </c>
      <c r="AT938" s="145"/>
      <c r="AU938" s="139">
        <f t="shared" si="280"/>
        <v>9444728</v>
      </c>
      <c r="AV938" s="146">
        <f>IFERROR(VLOOKUP(J938,Maksājumu_pieprasījumu_iesn.!G:BL,57,0),0)</f>
        <v>0</v>
      </c>
      <c r="AW938" s="139">
        <f t="shared" si="278"/>
        <v>-9444728</v>
      </c>
      <c r="AX938" s="147">
        <f t="shared" si="283"/>
        <v>0</v>
      </c>
      <c r="AY938" s="153"/>
      <c r="AZ938" s="153"/>
      <c r="BA938" s="136"/>
      <c r="BB938" s="145"/>
      <c r="BC938" s="145"/>
      <c r="BD938" s="145"/>
      <c r="BE938" s="145"/>
      <c r="BF938" s="145"/>
      <c r="BG938" s="145"/>
      <c r="BH938" s="138"/>
      <c r="BI938" s="138"/>
      <c r="BJ938" s="138"/>
      <c r="BK938" s="138"/>
      <c r="BL938" s="138"/>
      <c r="BM938" s="138"/>
      <c r="BN938" s="138"/>
    </row>
    <row r="939" spans="1:66" ht="38.25" hidden="1" customHeight="1" x14ac:dyDescent="0.2">
      <c r="A939" s="322" t="s">
        <v>1952</v>
      </c>
      <c r="B939" s="18" t="s">
        <v>172</v>
      </c>
      <c r="C939" s="18" t="s">
        <v>173</v>
      </c>
      <c r="D939" s="19" t="s">
        <v>579</v>
      </c>
      <c r="E939" s="18" t="s">
        <v>3</v>
      </c>
      <c r="F939" s="18" t="s">
        <v>29</v>
      </c>
      <c r="G939" s="18" t="s">
        <v>5</v>
      </c>
      <c r="H939" s="18" t="s">
        <v>3</v>
      </c>
      <c r="I939" s="18"/>
      <c r="J939" s="56" t="s">
        <v>2066</v>
      </c>
      <c r="K939" s="19" t="s">
        <v>98</v>
      </c>
      <c r="L939" s="19"/>
      <c r="M939" s="19"/>
      <c r="N939" s="344" t="s">
        <v>2067</v>
      </c>
      <c r="O939" s="143"/>
      <c r="P939" s="143"/>
      <c r="Q939" s="143"/>
      <c r="R939" s="187" t="s">
        <v>2068</v>
      </c>
      <c r="S939" s="144">
        <v>8544348.3699999992</v>
      </c>
      <c r="T939" s="172"/>
      <c r="U939" s="145">
        <v>0</v>
      </c>
      <c r="V939" s="145">
        <v>0</v>
      </c>
      <c r="W939" s="145">
        <v>0</v>
      </c>
      <c r="X939" s="145">
        <f t="shared" si="276"/>
        <v>0</v>
      </c>
      <c r="Y939" s="145">
        <v>0</v>
      </c>
      <c r="Z939" s="145">
        <v>0</v>
      </c>
      <c r="AA939" s="145">
        <v>0</v>
      </c>
      <c r="AB939" s="145">
        <v>0</v>
      </c>
      <c r="AC939" s="145">
        <v>0</v>
      </c>
      <c r="AD939" s="145">
        <v>0</v>
      </c>
      <c r="AE939" s="145">
        <v>0</v>
      </c>
      <c r="AF939" s="145">
        <v>0</v>
      </c>
      <c r="AG939" s="145">
        <v>0</v>
      </c>
      <c r="AH939" s="145">
        <v>0</v>
      </c>
      <c r="AI939" s="145">
        <v>0</v>
      </c>
      <c r="AJ939" s="145">
        <v>1708869</v>
      </c>
      <c r="AK939" s="145">
        <f t="shared" si="282"/>
        <v>1708869</v>
      </c>
      <c r="AL939" s="145">
        <v>6363243</v>
      </c>
      <c r="AM939" s="145">
        <v>472236</v>
      </c>
      <c r="AN939" s="145">
        <v>0</v>
      </c>
      <c r="AO939" s="145">
        <v>0</v>
      </c>
      <c r="AP939" s="145">
        <v>0</v>
      </c>
      <c r="AQ939" s="145">
        <v>0</v>
      </c>
      <c r="AR939" s="145">
        <v>0</v>
      </c>
      <c r="AS939" s="144">
        <f t="shared" si="281"/>
        <v>8544348</v>
      </c>
      <c r="AT939" s="144"/>
      <c r="AU939" s="146">
        <f t="shared" si="280"/>
        <v>8544348</v>
      </c>
      <c r="AV939" s="146">
        <f>IFERROR(VLOOKUP(J939,Maksājumu_pieprasījumu_iesn.!G:BL,57,0),0)</f>
        <v>0</v>
      </c>
      <c r="AW939" s="139">
        <f t="shared" si="278"/>
        <v>-8544348</v>
      </c>
      <c r="AX939" s="147">
        <f t="shared" si="283"/>
        <v>0.36999999918043613</v>
      </c>
      <c r="AY939" s="147"/>
      <c r="AZ939" s="147"/>
      <c r="BA939" s="165"/>
      <c r="BB939" s="144"/>
      <c r="BC939" s="144"/>
      <c r="BD939" s="144"/>
      <c r="BE939" s="144"/>
      <c r="BF939" s="144"/>
      <c r="BG939" s="144"/>
      <c r="BH939" s="149"/>
      <c r="BI939" s="149"/>
      <c r="BJ939" s="149"/>
      <c r="BK939" s="149"/>
      <c r="BL939" s="149"/>
      <c r="BM939" s="149"/>
      <c r="BN939" s="149"/>
    </row>
    <row r="940" spans="1:66" s="91" customFormat="1" ht="38.25" hidden="1" customHeight="1" x14ac:dyDescent="0.2">
      <c r="A940" s="324" t="s">
        <v>1952</v>
      </c>
      <c r="B940" s="18" t="s">
        <v>172</v>
      </c>
      <c r="C940" s="18" t="s">
        <v>173</v>
      </c>
      <c r="D940" s="19" t="s">
        <v>579</v>
      </c>
      <c r="E940" s="55" t="s">
        <v>3</v>
      </c>
      <c r="F940" s="55" t="s">
        <v>29</v>
      </c>
      <c r="G940" s="55" t="s">
        <v>5</v>
      </c>
      <c r="H940" s="55" t="s">
        <v>3</v>
      </c>
      <c r="I940" s="55"/>
      <c r="J940" s="55"/>
      <c r="K940" s="19" t="s">
        <v>98</v>
      </c>
      <c r="L940" s="19"/>
      <c r="M940" s="19"/>
      <c r="N940" s="19" t="s">
        <v>2069</v>
      </c>
      <c r="O940" s="151"/>
      <c r="P940" s="151"/>
      <c r="Q940" s="151"/>
      <c r="R940" s="151"/>
      <c r="S940" s="152"/>
      <c r="T940" s="152"/>
      <c r="U940" s="145">
        <v>0</v>
      </c>
      <c r="V940" s="145">
        <v>0</v>
      </c>
      <c r="W940" s="145">
        <v>0</v>
      </c>
      <c r="X940" s="145">
        <f t="shared" si="276"/>
        <v>0</v>
      </c>
      <c r="Y940" s="145">
        <v>0</v>
      </c>
      <c r="Z940" s="145">
        <v>0</v>
      </c>
      <c r="AA940" s="145">
        <v>0</v>
      </c>
      <c r="AB940" s="145">
        <v>0</v>
      </c>
      <c r="AC940" s="145">
        <v>0</v>
      </c>
      <c r="AD940" s="145">
        <v>0</v>
      </c>
      <c r="AE940" s="145">
        <v>0</v>
      </c>
      <c r="AF940" s="145">
        <v>0</v>
      </c>
      <c r="AG940" s="145">
        <v>0</v>
      </c>
      <c r="AH940" s="145">
        <v>0</v>
      </c>
      <c r="AI940" s="145">
        <v>0</v>
      </c>
      <c r="AJ940" s="145">
        <v>0</v>
      </c>
      <c r="AK940" s="145">
        <f t="shared" si="282"/>
        <v>0</v>
      </c>
      <c r="AL940" s="145">
        <v>0</v>
      </c>
      <c r="AM940" s="145">
        <v>0</v>
      </c>
      <c r="AN940" s="145">
        <v>0</v>
      </c>
      <c r="AO940" s="145">
        <v>0</v>
      </c>
      <c r="AP940" s="145">
        <v>0</v>
      </c>
      <c r="AQ940" s="145">
        <v>0</v>
      </c>
      <c r="AR940" s="145">
        <v>0</v>
      </c>
      <c r="AS940" s="145">
        <f t="shared" si="281"/>
        <v>0</v>
      </c>
      <c r="AT940" s="145"/>
      <c r="AU940" s="139">
        <f t="shared" si="280"/>
        <v>0</v>
      </c>
      <c r="AV940" s="146">
        <f>IFERROR(VLOOKUP(J940,Maksājumu_pieprasījumu_iesn.!G:BL,57,0),0)</f>
        <v>0</v>
      </c>
      <c r="AW940" s="139">
        <f t="shared" si="278"/>
        <v>0</v>
      </c>
      <c r="AX940" s="147">
        <f t="shared" si="283"/>
        <v>0</v>
      </c>
      <c r="AY940" s="153"/>
      <c r="AZ940" s="153"/>
      <c r="BA940" s="136"/>
      <c r="BB940" s="145"/>
      <c r="BC940" s="145"/>
      <c r="BD940" s="145"/>
      <c r="BE940" s="145"/>
      <c r="BF940" s="145"/>
      <c r="BG940" s="145"/>
      <c r="BH940" s="138"/>
      <c r="BI940" s="138"/>
      <c r="BJ940" s="138"/>
      <c r="BK940" s="138"/>
      <c r="BL940" s="138"/>
      <c r="BM940" s="138"/>
      <c r="BN940" s="138"/>
    </row>
    <row r="941" spans="1:66" s="91" customFormat="1" ht="38.25" hidden="1" customHeight="1" x14ac:dyDescent="0.2">
      <c r="A941" s="324" t="s">
        <v>1952</v>
      </c>
      <c r="B941" s="18" t="s">
        <v>172</v>
      </c>
      <c r="C941" s="18" t="s">
        <v>173</v>
      </c>
      <c r="D941" s="19" t="s">
        <v>579</v>
      </c>
      <c r="E941" s="55" t="s">
        <v>3</v>
      </c>
      <c r="F941" s="55" t="s">
        <v>29</v>
      </c>
      <c r="G941" s="55" t="s">
        <v>5</v>
      </c>
      <c r="H941" s="55" t="s">
        <v>3</v>
      </c>
      <c r="I941" s="55"/>
      <c r="J941" s="55"/>
      <c r="K941" s="19" t="s">
        <v>98</v>
      </c>
      <c r="L941" s="19"/>
      <c r="M941" s="19"/>
      <c r="N941" s="19" t="s">
        <v>2070</v>
      </c>
      <c r="O941" s="151"/>
      <c r="P941" s="151"/>
      <c r="Q941" s="151"/>
      <c r="R941" s="151"/>
      <c r="S941" s="152"/>
      <c r="T941" s="152"/>
      <c r="U941" s="145">
        <v>0</v>
      </c>
      <c r="V941" s="145">
        <v>0</v>
      </c>
      <c r="W941" s="145">
        <v>0</v>
      </c>
      <c r="X941" s="145">
        <f t="shared" si="276"/>
        <v>0</v>
      </c>
      <c r="Y941" s="145">
        <v>0</v>
      </c>
      <c r="Z941" s="145">
        <v>0</v>
      </c>
      <c r="AA941" s="145">
        <v>0</v>
      </c>
      <c r="AB941" s="145">
        <v>0</v>
      </c>
      <c r="AC941" s="145">
        <v>0</v>
      </c>
      <c r="AD941" s="145">
        <v>0</v>
      </c>
      <c r="AE941" s="145">
        <v>0</v>
      </c>
      <c r="AF941" s="145">
        <v>0</v>
      </c>
      <c r="AG941" s="145">
        <v>0</v>
      </c>
      <c r="AH941" s="145">
        <v>0</v>
      </c>
      <c r="AI941" s="145">
        <v>0</v>
      </c>
      <c r="AJ941" s="145">
        <v>0</v>
      </c>
      <c r="AK941" s="145">
        <f t="shared" si="282"/>
        <v>0</v>
      </c>
      <c r="AL941" s="145">
        <v>0</v>
      </c>
      <c r="AM941" s="145">
        <v>0</v>
      </c>
      <c r="AN941" s="145">
        <v>0</v>
      </c>
      <c r="AO941" s="145">
        <v>0</v>
      </c>
      <c r="AP941" s="145">
        <v>0</v>
      </c>
      <c r="AQ941" s="145">
        <v>0</v>
      </c>
      <c r="AR941" s="145">
        <v>0</v>
      </c>
      <c r="AS941" s="145">
        <f t="shared" si="281"/>
        <v>0</v>
      </c>
      <c r="AT941" s="145"/>
      <c r="AU941" s="139">
        <f t="shared" si="280"/>
        <v>0</v>
      </c>
      <c r="AV941" s="146">
        <f>IFERROR(VLOOKUP(J941,Maksājumu_pieprasījumu_iesn.!G:BL,57,0),0)</f>
        <v>0</v>
      </c>
      <c r="AW941" s="139">
        <f t="shared" si="278"/>
        <v>0</v>
      </c>
      <c r="AX941" s="147">
        <f t="shared" si="283"/>
        <v>0</v>
      </c>
      <c r="AY941" s="153"/>
      <c r="AZ941" s="153"/>
      <c r="BA941" s="136"/>
      <c r="BB941" s="145"/>
      <c r="BC941" s="145"/>
      <c r="BD941" s="145"/>
      <c r="BE941" s="145"/>
      <c r="BF941" s="145"/>
      <c r="BG941" s="145"/>
      <c r="BH941" s="138"/>
      <c r="BI941" s="138"/>
      <c r="BJ941" s="138"/>
      <c r="BK941" s="138"/>
      <c r="BL941" s="138"/>
      <c r="BM941" s="138"/>
      <c r="BN941" s="138"/>
    </row>
    <row r="942" spans="1:66" s="91" customFormat="1" ht="63.75" hidden="1" customHeight="1" x14ac:dyDescent="0.2">
      <c r="A942" s="324" t="s">
        <v>1952</v>
      </c>
      <c r="B942" s="18" t="s">
        <v>172</v>
      </c>
      <c r="C942" s="18" t="s">
        <v>173</v>
      </c>
      <c r="D942" s="19" t="s">
        <v>579</v>
      </c>
      <c r="E942" s="55" t="s">
        <v>3</v>
      </c>
      <c r="F942" s="55" t="s">
        <v>29</v>
      </c>
      <c r="G942" s="55" t="s">
        <v>5</v>
      </c>
      <c r="H942" s="55" t="s">
        <v>3</v>
      </c>
      <c r="I942" s="55"/>
      <c r="J942" s="55"/>
      <c r="K942" s="19" t="s">
        <v>98</v>
      </c>
      <c r="L942" s="19"/>
      <c r="M942" s="19"/>
      <c r="N942" s="19" t="s">
        <v>2071</v>
      </c>
      <c r="O942" s="151"/>
      <c r="P942" s="151"/>
      <c r="Q942" s="151"/>
      <c r="R942" s="151"/>
      <c r="S942" s="152"/>
      <c r="T942" s="152"/>
      <c r="U942" s="145">
        <v>0</v>
      </c>
      <c r="V942" s="145">
        <v>0</v>
      </c>
      <c r="W942" s="145">
        <v>0</v>
      </c>
      <c r="X942" s="145">
        <f t="shared" si="276"/>
        <v>0</v>
      </c>
      <c r="Y942" s="145">
        <v>0</v>
      </c>
      <c r="Z942" s="145">
        <v>0</v>
      </c>
      <c r="AA942" s="145">
        <v>0</v>
      </c>
      <c r="AB942" s="145">
        <v>0</v>
      </c>
      <c r="AC942" s="145">
        <v>0</v>
      </c>
      <c r="AD942" s="145">
        <v>0</v>
      </c>
      <c r="AE942" s="145">
        <v>0</v>
      </c>
      <c r="AF942" s="145">
        <v>0</v>
      </c>
      <c r="AG942" s="145">
        <v>0</v>
      </c>
      <c r="AH942" s="145">
        <v>0</v>
      </c>
      <c r="AI942" s="145">
        <v>0</v>
      </c>
      <c r="AJ942" s="145">
        <v>0</v>
      </c>
      <c r="AK942" s="145">
        <f t="shared" si="282"/>
        <v>0</v>
      </c>
      <c r="AL942" s="145">
        <v>0</v>
      </c>
      <c r="AM942" s="145">
        <v>0</v>
      </c>
      <c r="AN942" s="145">
        <v>0</v>
      </c>
      <c r="AO942" s="145">
        <v>0</v>
      </c>
      <c r="AP942" s="145">
        <v>0</v>
      </c>
      <c r="AQ942" s="145">
        <v>0</v>
      </c>
      <c r="AR942" s="145">
        <v>0</v>
      </c>
      <c r="AS942" s="145">
        <f t="shared" si="281"/>
        <v>0</v>
      </c>
      <c r="AT942" s="145"/>
      <c r="AU942" s="139">
        <f t="shared" si="280"/>
        <v>0</v>
      </c>
      <c r="AV942" s="146">
        <f>IFERROR(VLOOKUP(J942,Maksājumu_pieprasījumu_iesn.!G:BL,57,0),0)</f>
        <v>0</v>
      </c>
      <c r="AW942" s="139">
        <f t="shared" si="278"/>
        <v>0</v>
      </c>
      <c r="AX942" s="147">
        <f t="shared" si="283"/>
        <v>0</v>
      </c>
      <c r="AY942" s="153"/>
      <c r="AZ942" s="153"/>
      <c r="BA942" s="136"/>
      <c r="BB942" s="145"/>
      <c r="BC942" s="145"/>
      <c r="BD942" s="145"/>
      <c r="BE942" s="145"/>
      <c r="BF942" s="145"/>
      <c r="BG942" s="145"/>
      <c r="BH942" s="138"/>
      <c r="BI942" s="138"/>
      <c r="BJ942" s="138"/>
      <c r="BK942" s="138"/>
      <c r="BL942" s="138"/>
      <c r="BM942" s="138"/>
      <c r="BN942" s="138"/>
    </row>
    <row r="943" spans="1:66" s="91" customFormat="1" ht="51" hidden="1" customHeight="1" x14ac:dyDescent="0.2">
      <c r="A943" s="324" t="s">
        <v>1952</v>
      </c>
      <c r="B943" s="18" t="s">
        <v>172</v>
      </c>
      <c r="C943" s="18" t="s">
        <v>173</v>
      </c>
      <c r="D943" s="19" t="s">
        <v>579</v>
      </c>
      <c r="E943" s="55" t="s">
        <v>3</v>
      </c>
      <c r="F943" s="55" t="s">
        <v>29</v>
      </c>
      <c r="G943" s="55" t="s">
        <v>5</v>
      </c>
      <c r="H943" s="55" t="s">
        <v>3</v>
      </c>
      <c r="I943" s="55"/>
      <c r="J943" s="55"/>
      <c r="K943" s="19" t="s">
        <v>98</v>
      </c>
      <c r="L943" s="19"/>
      <c r="M943" s="19"/>
      <c r="N943" s="19" t="s">
        <v>2072</v>
      </c>
      <c r="O943" s="151"/>
      <c r="P943" s="151"/>
      <c r="Q943" s="151"/>
      <c r="R943" s="151"/>
      <c r="S943" s="152"/>
      <c r="T943" s="152"/>
      <c r="U943" s="145">
        <v>0</v>
      </c>
      <c r="V943" s="145">
        <v>0</v>
      </c>
      <c r="W943" s="145">
        <v>0</v>
      </c>
      <c r="X943" s="145">
        <f t="shared" si="276"/>
        <v>0</v>
      </c>
      <c r="Y943" s="145">
        <v>0</v>
      </c>
      <c r="Z943" s="145">
        <v>0</v>
      </c>
      <c r="AA943" s="145">
        <v>0</v>
      </c>
      <c r="AB943" s="145">
        <v>0</v>
      </c>
      <c r="AC943" s="145">
        <v>0</v>
      </c>
      <c r="AD943" s="145">
        <v>0</v>
      </c>
      <c r="AE943" s="145">
        <v>0</v>
      </c>
      <c r="AF943" s="145">
        <v>0</v>
      </c>
      <c r="AG943" s="145">
        <v>0</v>
      </c>
      <c r="AH943" s="145">
        <v>0</v>
      </c>
      <c r="AI943" s="145">
        <v>0</v>
      </c>
      <c r="AJ943" s="145">
        <v>0</v>
      </c>
      <c r="AK943" s="145">
        <f t="shared" si="282"/>
        <v>0</v>
      </c>
      <c r="AL943" s="145">
        <v>0</v>
      </c>
      <c r="AM943" s="145">
        <v>0</v>
      </c>
      <c r="AN943" s="145">
        <v>0</v>
      </c>
      <c r="AO943" s="145">
        <v>0</v>
      </c>
      <c r="AP943" s="145">
        <v>0</v>
      </c>
      <c r="AQ943" s="145">
        <v>0</v>
      </c>
      <c r="AR943" s="145">
        <v>0</v>
      </c>
      <c r="AS943" s="145">
        <f t="shared" si="281"/>
        <v>0</v>
      </c>
      <c r="AT943" s="145"/>
      <c r="AU943" s="139">
        <f t="shared" si="280"/>
        <v>0</v>
      </c>
      <c r="AV943" s="146">
        <f>IFERROR(VLOOKUP(J943,Maksājumu_pieprasījumu_iesn.!G:BL,57,0),0)</f>
        <v>0</v>
      </c>
      <c r="AW943" s="139">
        <f t="shared" si="278"/>
        <v>0</v>
      </c>
      <c r="AX943" s="147">
        <f t="shared" si="283"/>
        <v>0</v>
      </c>
      <c r="AY943" s="153"/>
      <c r="AZ943" s="153"/>
      <c r="BA943" s="136"/>
      <c r="BB943" s="145"/>
      <c r="BC943" s="145"/>
      <c r="BD943" s="145"/>
      <c r="BE943" s="145"/>
      <c r="BF943" s="145"/>
      <c r="BG943" s="145"/>
      <c r="BH943" s="138"/>
      <c r="BI943" s="138"/>
      <c r="BJ943" s="138"/>
      <c r="BK943" s="138"/>
      <c r="BL943" s="138"/>
      <c r="BM943" s="138"/>
      <c r="BN943" s="138"/>
    </row>
    <row r="944" spans="1:66" s="91" customFormat="1" ht="63.75" hidden="1" customHeight="1" x14ac:dyDescent="0.2">
      <c r="A944" s="324" t="s">
        <v>1952</v>
      </c>
      <c r="B944" s="18" t="s">
        <v>172</v>
      </c>
      <c r="C944" s="18" t="s">
        <v>173</v>
      </c>
      <c r="D944" s="19" t="s">
        <v>579</v>
      </c>
      <c r="E944" s="55" t="s">
        <v>3</v>
      </c>
      <c r="F944" s="55" t="s">
        <v>29</v>
      </c>
      <c r="G944" s="55" t="s">
        <v>5</v>
      </c>
      <c r="H944" s="55" t="s">
        <v>3</v>
      </c>
      <c r="I944" s="55"/>
      <c r="J944" s="55"/>
      <c r="K944" s="19" t="s">
        <v>98</v>
      </c>
      <c r="L944" s="19"/>
      <c r="M944" s="19"/>
      <c r="N944" s="19" t="s">
        <v>2073</v>
      </c>
      <c r="O944" s="151"/>
      <c r="P944" s="151"/>
      <c r="Q944" s="151"/>
      <c r="R944" s="151"/>
      <c r="S944" s="152"/>
      <c r="T944" s="152"/>
      <c r="U944" s="145">
        <v>0</v>
      </c>
      <c r="V944" s="145">
        <v>0</v>
      </c>
      <c r="W944" s="145">
        <v>0</v>
      </c>
      <c r="X944" s="145">
        <f t="shared" si="276"/>
        <v>0</v>
      </c>
      <c r="Y944" s="145">
        <v>0</v>
      </c>
      <c r="Z944" s="145">
        <v>0</v>
      </c>
      <c r="AA944" s="145">
        <v>0</v>
      </c>
      <c r="AB944" s="145">
        <v>0</v>
      </c>
      <c r="AC944" s="145">
        <v>0</v>
      </c>
      <c r="AD944" s="145">
        <v>0</v>
      </c>
      <c r="AE944" s="145">
        <v>0</v>
      </c>
      <c r="AF944" s="145">
        <v>0</v>
      </c>
      <c r="AG944" s="145">
        <v>0</v>
      </c>
      <c r="AH944" s="145">
        <v>0</v>
      </c>
      <c r="AI944" s="145">
        <v>0</v>
      </c>
      <c r="AJ944" s="145">
        <v>0</v>
      </c>
      <c r="AK944" s="145">
        <f t="shared" si="282"/>
        <v>0</v>
      </c>
      <c r="AL944" s="145">
        <v>0</v>
      </c>
      <c r="AM944" s="145">
        <v>0</v>
      </c>
      <c r="AN944" s="145">
        <v>0</v>
      </c>
      <c r="AO944" s="145">
        <v>0</v>
      </c>
      <c r="AP944" s="145">
        <v>0</v>
      </c>
      <c r="AQ944" s="145">
        <v>0</v>
      </c>
      <c r="AR944" s="145">
        <v>0</v>
      </c>
      <c r="AS944" s="145">
        <f t="shared" si="281"/>
        <v>0</v>
      </c>
      <c r="AT944" s="145"/>
      <c r="AU944" s="139">
        <f t="shared" si="280"/>
        <v>0</v>
      </c>
      <c r="AV944" s="146">
        <f>IFERROR(VLOOKUP(J944,Maksājumu_pieprasījumu_iesn.!G:BL,57,0),0)</f>
        <v>0</v>
      </c>
      <c r="AW944" s="139">
        <f t="shared" si="278"/>
        <v>0</v>
      </c>
      <c r="AX944" s="147">
        <f t="shared" si="283"/>
        <v>0</v>
      </c>
      <c r="AY944" s="153"/>
      <c r="AZ944" s="153"/>
      <c r="BA944" s="136"/>
      <c r="BB944" s="145"/>
      <c r="BC944" s="145"/>
      <c r="BD944" s="145"/>
      <c r="BE944" s="145"/>
      <c r="BF944" s="145"/>
      <c r="BG944" s="145"/>
      <c r="BH944" s="138"/>
      <c r="BI944" s="138"/>
      <c r="BJ944" s="138"/>
      <c r="BK944" s="138"/>
      <c r="BL944" s="138"/>
      <c r="BM944" s="138"/>
      <c r="BN944" s="138"/>
    </row>
    <row r="945" spans="1:66" s="91" customFormat="1" ht="63.75" hidden="1" customHeight="1" x14ac:dyDescent="0.2">
      <c r="A945" s="324" t="s">
        <v>1952</v>
      </c>
      <c r="B945" s="18" t="s">
        <v>172</v>
      </c>
      <c r="C945" s="18" t="s">
        <v>173</v>
      </c>
      <c r="D945" s="19" t="s">
        <v>579</v>
      </c>
      <c r="E945" s="55" t="s">
        <v>3</v>
      </c>
      <c r="F945" s="55" t="s">
        <v>29</v>
      </c>
      <c r="G945" s="55" t="s">
        <v>5</v>
      </c>
      <c r="H945" s="55" t="s">
        <v>3</v>
      </c>
      <c r="I945" s="55"/>
      <c r="J945" s="55"/>
      <c r="K945" s="19" t="s">
        <v>98</v>
      </c>
      <c r="L945" s="19"/>
      <c r="M945" s="19"/>
      <c r="N945" s="19" t="s">
        <v>2074</v>
      </c>
      <c r="O945" s="151"/>
      <c r="P945" s="151"/>
      <c r="Q945" s="151"/>
      <c r="R945" s="151"/>
      <c r="S945" s="152"/>
      <c r="T945" s="152"/>
      <c r="U945" s="145">
        <v>0</v>
      </c>
      <c r="V945" s="145">
        <v>0</v>
      </c>
      <c r="W945" s="145">
        <v>0</v>
      </c>
      <c r="X945" s="145">
        <f t="shared" si="276"/>
        <v>0</v>
      </c>
      <c r="Y945" s="145">
        <v>0</v>
      </c>
      <c r="Z945" s="145">
        <v>0</v>
      </c>
      <c r="AA945" s="145">
        <v>0</v>
      </c>
      <c r="AB945" s="145">
        <v>0</v>
      </c>
      <c r="AC945" s="145">
        <v>0</v>
      </c>
      <c r="AD945" s="145">
        <v>0</v>
      </c>
      <c r="AE945" s="145">
        <v>0</v>
      </c>
      <c r="AF945" s="145">
        <v>0</v>
      </c>
      <c r="AG945" s="145">
        <v>0</v>
      </c>
      <c r="AH945" s="145">
        <v>0</v>
      </c>
      <c r="AI945" s="145">
        <v>0</v>
      </c>
      <c r="AJ945" s="145">
        <v>0</v>
      </c>
      <c r="AK945" s="145">
        <f t="shared" si="282"/>
        <v>0</v>
      </c>
      <c r="AL945" s="145">
        <v>0</v>
      </c>
      <c r="AM945" s="145">
        <v>0</v>
      </c>
      <c r="AN945" s="145">
        <v>0</v>
      </c>
      <c r="AO945" s="145">
        <v>0</v>
      </c>
      <c r="AP945" s="145">
        <v>0</v>
      </c>
      <c r="AQ945" s="145">
        <v>0</v>
      </c>
      <c r="AR945" s="145">
        <v>0</v>
      </c>
      <c r="AS945" s="145">
        <f t="shared" si="281"/>
        <v>0</v>
      </c>
      <c r="AT945" s="145"/>
      <c r="AU945" s="139">
        <f t="shared" si="280"/>
        <v>0</v>
      </c>
      <c r="AV945" s="146">
        <f>IFERROR(VLOOKUP(J945,Maksājumu_pieprasījumu_iesn.!G:BL,57,0),0)</f>
        <v>0</v>
      </c>
      <c r="AW945" s="139">
        <f t="shared" si="278"/>
        <v>0</v>
      </c>
      <c r="AX945" s="147">
        <f t="shared" si="283"/>
        <v>0</v>
      </c>
      <c r="AY945" s="153"/>
      <c r="AZ945" s="153"/>
      <c r="BA945" s="136"/>
      <c r="BB945" s="145"/>
      <c r="BC945" s="145"/>
      <c r="BD945" s="145"/>
      <c r="BE945" s="145"/>
      <c r="BF945" s="145"/>
      <c r="BG945" s="145"/>
      <c r="BH945" s="138"/>
      <c r="BI945" s="138"/>
      <c r="BJ945" s="138"/>
      <c r="BK945" s="138"/>
      <c r="BL945" s="138"/>
      <c r="BM945" s="138"/>
      <c r="BN945" s="138"/>
    </row>
    <row r="946" spans="1:66" s="91" customFormat="1" ht="63.75" hidden="1" customHeight="1" x14ac:dyDescent="0.2">
      <c r="A946" s="324" t="s">
        <v>1952</v>
      </c>
      <c r="B946" s="18" t="s">
        <v>172</v>
      </c>
      <c r="C946" s="18" t="s">
        <v>173</v>
      </c>
      <c r="D946" s="19" t="s">
        <v>579</v>
      </c>
      <c r="E946" s="55" t="s">
        <v>3</v>
      </c>
      <c r="F946" s="55" t="s">
        <v>29</v>
      </c>
      <c r="G946" s="55" t="s">
        <v>5</v>
      </c>
      <c r="H946" s="55" t="s">
        <v>3</v>
      </c>
      <c r="I946" s="55"/>
      <c r="J946" s="55"/>
      <c r="K946" s="19" t="s">
        <v>98</v>
      </c>
      <c r="L946" s="19"/>
      <c r="M946" s="19"/>
      <c r="N946" s="19" t="s">
        <v>2075</v>
      </c>
      <c r="O946" s="151"/>
      <c r="P946" s="151"/>
      <c r="Q946" s="151"/>
      <c r="R946" s="151"/>
      <c r="S946" s="152"/>
      <c r="T946" s="152"/>
      <c r="U946" s="145">
        <v>0</v>
      </c>
      <c r="V946" s="145">
        <v>0</v>
      </c>
      <c r="W946" s="145">
        <v>0</v>
      </c>
      <c r="X946" s="145">
        <f t="shared" si="276"/>
        <v>0</v>
      </c>
      <c r="Y946" s="145">
        <v>0</v>
      </c>
      <c r="Z946" s="145">
        <v>0</v>
      </c>
      <c r="AA946" s="145">
        <v>0</v>
      </c>
      <c r="AB946" s="145">
        <v>0</v>
      </c>
      <c r="AC946" s="145">
        <v>0</v>
      </c>
      <c r="AD946" s="145">
        <v>0</v>
      </c>
      <c r="AE946" s="145">
        <v>0</v>
      </c>
      <c r="AF946" s="145">
        <v>0</v>
      </c>
      <c r="AG946" s="145">
        <v>0</v>
      </c>
      <c r="AH946" s="145">
        <v>0</v>
      </c>
      <c r="AI946" s="145">
        <v>0</v>
      </c>
      <c r="AJ946" s="145">
        <v>0</v>
      </c>
      <c r="AK946" s="145">
        <f t="shared" si="282"/>
        <v>0</v>
      </c>
      <c r="AL946" s="145">
        <v>0</v>
      </c>
      <c r="AM946" s="145">
        <v>0</v>
      </c>
      <c r="AN946" s="145">
        <v>0</v>
      </c>
      <c r="AO946" s="145">
        <v>0</v>
      </c>
      <c r="AP946" s="145">
        <v>0</v>
      </c>
      <c r="AQ946" s="145">
        <v>0</v>
      </c>
      <c r="AR946" s="145">
        <v>0</v>
      </c>
      <c r="AS946" s="145">
        <f t="shared" si="281"/>
        <v>0</v>
      </c>
      <c r="AT946" s="145"/>
      <c r="AU946" s="139">
        <f t="shared" si="280"/>
        <v>0</v>
      </c>
      <c r="AV946" s="146">
        <f>IFERROR(VLOOKUP(J946,Maksājumu_pieprasījumu_iesn.!G:BL,57,0),0)</f>
        <v>0</v>
      </c>
      <c r="AW946" s="139">
        <f t="shared" si="278"/>
        <v>0</v>
      </c>
      <c r="AX946" s="147">
        <f t="shared" si="283"/>
        <v>0</v>
      </c>
      <c r="AY946" s="153"/>
      <c r="AZ946" s="153"/>
      <c r="BA946" s="136"/>
      <c r="BB946" s="145"/>
      <c r="BC946" s="145"/>
      <c r="BD946" s="145"/>
      <c r="BE946" s="145"/>
      <c r="BF946" s="145"/>
      <c r="BG946" s="145"/>
      <c r="BH946" s="138"/>
      <c r="BI946" s="138"/>
      <c r="BJ946" s="138"/>
      <c r="BK946" s="138"/>
      <c r="BL946" s="138"/>
      <c r="BM946" s="138"/>
      <c r="BN946" s="138"/>
    </row>
    <row r="947" spans="1:66" s="91" customFormat="1" ht="51" hidden="1" customHeight="1" x14ac:dyDescent="0.2">
      <c r="A947" s="324" t="s">
        <v>1952</v>
      </c>
      <c r="B947" s="18" t="s">
        <v>172</v>
      </c>
      <c r="C947" s="18" t="s">
        <v>173</v>
      </c>
      <c r="D947" s="19" t="s">
        <v>579</v>
      </c>
      <c r="E947" s="55" t="s">
        <v>3</v>
      </c>
      <c r="F947" s="55" t="s">
        <v>29</v>
      </c>
      <c r="G947" s="55" t="s">
        <v>5</v>
      </c>
      <c r="H947" s="55" t="s">
        <v>3</v>
      </c>
      <c r="I947" s="55"/>
      <c r="J947" s="55"/>
      <c r="K947" s="19" t="s">
        <v>98</v>
      </c>
      <c r="L947" s="19"/>
      <c r="M947" s="19"/>
      <c r="N947" s="19" t="s">
        <v>2076</v>
      </c>
      <c r="O947" s="151"/>
      <c r="P947" s="151"/>
      <c r="Q947" s="151"/>
      <c r="R947" s="151"/>
      <c r="S947" s="152"/>
      <c r="T947" s="152"/>
      <c r="U947" s="145">
        <v>0</v>
      </c>
      <c r="V947" s="145">
        <v>0</v>
      </c>
      <c r="W947" s="145">
        <v>0</v>
      </c>
      <c r="X947" s="145">
        <f t="shared" si="276"/>
        <v>0</v>
      </c>
      <c r="Y947" s="145">
        <v>0</v>
      </c>
      <c r="Z947" s="145">
        <v>0</v>
      </c>
      <c r="AA947" s="145">
        <v>0</v>
      </c>
      <c r="AB947" s="145">
        <v>0</v>
      </c>
      <c r="AC947" s="145">
        <v>0</v>
      </c>
      <c r="AD947" s="145">
        <v>0</v>
      </c>
      <c r="AE947" s="145">
        <v>0</v>
      </c>
      <c r="AF947" s="145">
        <v>0</v>
      </c>
      <c r="AG947" s="145">
        <v>0</v>
      </c>
      <c r="AH947" s="145">
        <v>0</v>
      </c>
      <c r="AI947" s="145">
        <v>0</v>
      </c>
      <c r="AJ947" s="145">
        <v>0</v>
      </c>
      <c r="AK947" s="145">
        <f t="shared" si="282"/>
        <v>0</v>
      </c>
      <c r="AL947" s="145">
        <v>0</v>
      </c>
      <c r="AM947" s="145">
        <v>0</v>
      </c>
      <c r="AN947" s="145">
        <v>0</v>
      </c>
      <c r="AO947" s="145">
        <v>0</v>
      </c>
      <c r="AP947" s="145">
        <v>0</v>
      </c>
      <c r="AQ947" s="145">
        <v>0</v>
      </c>
      <c r="AR947" s="145">
        <v>0</v>
      </c>
      <c r="AS947" s="145">
        <f t="shared" si="281"/>
        <v>0</v>
      </c>
      <c r="AT947" s="145"/>
      <c r="AU947" s="139">
        <f t="shared" si="280"/>
        <v>0</v>
      </c>
      <c r="AV947" s="146">
        <f>IFERROR(VLOOKUP(J947,Maksājumu_pieprasījumu_iesn.!G:BL,57,0),0)</f>
        <v>0</v>
      </c>
      <c r="AW947" s="139">
        <f t="shared" si="278"/>
        <v>0</v>
      </c>
      <c r="AX947" s="147">
        <f t="shared" si="283"/>
        <v>0</v>
      </c>
      <c r="AY947" s="153"/>
      <c r="AZ947" s="153"/>
      <c r="BA947" s="136"/>
      <c r="BB947" s="145"/>
      <c r="BC947" s="145"/>
      <c r="BD947" s="145"/>
      <c r="BE947" s="145"/>
      <c r="BF947" s="145"/>
      <c r="BG947" s="145"/>
      <c r="BH947" s="138"/>
      <c r="BI947" s="138"/>
      <c r="BJ947" s="138"/>
      <c r="BK947" s="138"/>
      <c r="BL947" s="138"/>
      <c r="BM947" s="138"/>
      <c r="BN947" s="138"/>
    </row>
    <row r="948" spans="1:66" s="91" customFormat="1" ht="51" hidden="1" customHeight="1" x14ac:dyDescent="0.2">
      <c r="A948" s="324" t="s">
        <v>1952</v>
      </c>
      <c r="B948" s="18" t="s">
        <v>172</v>
      </c>
      <c r="C948" s="18" t="s">
        <v>173</v>
      </c>
      <c r="D948" s="19" t="s">
        <v>579</v>
      </c>
      <c r="E948" s="55" t="s">
        <v>3</v>
      </c>
      <c r="F948" s="55" t="s">
        <v>29</v>
      </c>
      <c r="G948" s="55" t="s">
        <v>5</v>
      </c>
      <c r="H948" s="55" t="s">
        <v>3</v>
      </c>
      <c r="I948" s="55"/>
      <c r="J948" s="55"/>
      <c r="K948" s="19" t="s">
        <v>98</v>
      </c>
      <c r="L948" s="19"/>
      <c r="M948" s="19"/>
      <c r="N948" s="19" t="s">
        <v>2077</v>
      </c>
      <c r="O948" s="151"/>
      <c r="P948" s="151"/>
      <c r="Q948" s="151"/>
      <c r="R948" s="151"/>
      <c r="S948" s="152"/>
      <c r="T948" s="152"/>
      <c r="U948" s="145">
        <v>0</v>
      </c>
      <c r="V948" s="145">
        <v>0</v>
      </c>
      <c r="W948" s="145">
        <v>0</v>
      </c>
      <c r="X948" s="145">
        <f t="shared" si="276"/>
        <v>0</v>
      </c>
      <c r="Y948" s="145">
        <v>0</v>
      </c>
      <c r="Z948" s="145">
        <v>0</v>
      </c>
      <c r="AA948" s="145">
        <v>0</v>
      </c>
      <c r="AB948" s="145">
        <v>0</v>
      </c>
      <c r="AC948" s="145">
        <v>0</v>
      </c>
      <c r="AD948" s="145">
        <v>0</v>
      </c>
      <c r="AE948" s="145">
        <v>0</v>
      </c>
      <c r="AF948" s="145">
        <v>0</v>
      </c>
      <c r="AG948" s="145">
        <v>0</v>
      </c>
      <c r="AH948" s="145">
        <v>0</v>
      </c>
      <c r="AI948" s="145">
        <v>0</v>
      </c>
      <c r="AJ948" s="145">
        <v>0</v>
      </c>
      <c r="AK948" s="145">
        <f t="shared" si="282"/>
        <v>0</v>
      </c>
      <c r="AL948" s="145">
        <v>0</v>
      </c>
      <c r="AM948" s="145">
        <v>0</v>
      </c>
      <c r="AN948" s="145">
        <v>0</v>
      </c>
      <c r="AO948" s="145">
        <v>0</v>
      </c>
      <c r="AP948" s="145">
        <v>0</v>
      </c>
      <c r="AQ948" s="145">
        <v>0</v>
      </c>
      <c r="AR948" s="145">
        <v>0</v>
      </c>
      <c r="AS948" s="145">
        <f t="shared" si="281"/>
        <v>0</v>
      </c>
      <c r="AT948" s="145"/>
      <c r="AU948" s="139">
        <f t="shared" si="280"/>
        <v>0</v>
      </c>
      <c r="AV948" s="146">
        <f>IFERROR(VLOOKUP(J948,Maksājumu_pieprasījumu_iesn.!G:BL,57,0),0)</f>
        <v>0</v>
      </c>
      <c r="AW948" s="139">
        <f t="shared" si="278"/>
        <v>0</v>
      </c>
      <c r="AX948" s="147">
        <f t="shared" si="283"/>
        <v>0</v>
      </c>
      <c r="AY948" s="153"/>
      <c r="AZ948" s="153"/>
      <c r="BA948" s="136"/>
      <c r="BB948" s="145"/>
      <c r="BC948" s="145"/>
      <c r="BD948" s="145"/>
      <c r="BE948" s="145"/>
      <c r="BF948" s="145"/>
      <c r="BG948" s="145"/>
      <c r="BH948" s="138"/>
      <c r="BI948" s="138"/>
      <c r="BJ948" s="138"/>
      <c r="BK948" s="138"/>
      <c r="BL948" s="138"/>
      <c r="BM948" s="138"/>
      <c r="BN948" s="138"/>
    </row>
    <row r="949" spans="1:66" s="91" customFormat="1" ht="38.25" hidden="1" customHeight="1" x14ac:dyDescent="0.2">
      <c r="A949" s="324" t="s">
        <v>1952</v>
      </c>
      <c r="B949" s="18" t="s">
        <v>172</v>
      </c>
      <c r="C949" s="18" t="s">
        <v>173</v>
      </c>
      <c r="D949" s="19" t="s">
        <v>579</v>
      </c>
      <c r="E949" s="55" t="s">
        <v>3</v>
      </c>
      <c r="F949" s="55" t="s">
        <v>29</v>
      </c>
      <c r="G949" s="55" t="s">
        <v>5</v>
      </c>
      <c r="H949" s="55" t="s">
        <v>3</v>
      </c>
      <c r="I949" s="55"/>
      <c r="J949" s="55"/>
      <c r="K949" s="19" t="s">
        <v>98</v>
      </c>
      <c r="L949" s="19"/>
      <c r="M949" s="19"/>
      <c r="N949" s="19" t="s">
        <v>2078</v>
      </c>
      <c r="O949" s="151"/>
      <c r="P949" s="151"/>
      <c r="Q949" s="151"/>
      <c r="R949" s="151"/>
      <c r="S949" s="152"/>
      <c r="T949" s="152"/>
      <c r="U949" s="145">
        <v>0</v>
      </c>
      <c r="V949" s="145">
        <v>0</v>
      </c>
      <c r="W949" s="145">
        <v>0</v>
      </c>
      <c r="X949" s="145">
        <f t="shared" si="276"/>
        <v>0</v>
      </c>
      <c r="Y949" s="145">
        <v>0</v>
      </c>
      <c r="Z949" s="145">
        <v>0</v>
      </c>
      <c r="AA949" s="145">
        <v>0</v>
      </c>
      <c r="AB949" s="145">
        <v>0</v>
      </c>
      <c r="AC949" s="145">
        <v>0</v>
      </c>
      <c r="AD949" s="145">
        <v>0</v>
      </c>
      <c r="AE949" s="145">
        <v>0</v>
      </c>
      <c r="AF949" s="145">
        <v>0</v>
      </c>
      <c r="AG949" s="145">
        <v>0</v>
      </c>
      <c r="AH949" s="145">
        <v>0</v>
      </c>
      <c r="AI949" s="145">
        <v>0</v>
      </c>
      <c r="AJ949" s="145">
        <v>0</v>
      </c>
      <c r="AK949" s="145">
        <f t="shared" si="282"/>
        <v>0</v>
      </c>
      <c r="AL949" s="145">
        <v>0</v>
      </c>
      <c r="AM949" s="145">
        <v>0</v>
      </c>
      <c r="AN949" s="145">
        <v>0</v>
      </c>
      <c r="AO949" s="145">
        <v>0</v>
      </c>
      <c r="AP949" s="145">
        <v>0</v>
      </c>
      <c r="AQ949" s="145">
        <v>0</v>
      </c>
      <c r="AR949" s="145">
        <v>0</v>
      </c>
      <c r="AS949" s="145">
        <f t="shared" si="281"/>
        <v>0</v>
      </c>
      <c r="AT949" s="145"/>
      <c r="AU949" s="139">
        <f t="shared" si="280"/>
        <v>0</v>
      </c>
      <c r="AV949" s="146">
        <f>IFERROR(VLOOKUP(J949,Maksājumu_pieprasījumu_iesn.!G:BL,57,0),0)</f>
        <v>0</v>
      </c>
      <c r="AW949" s="139">
        <f t="shared" si="278"/>
        <v>0</v>
      </c>
      <c r="AX949" s="147">
        <f t="shared" si="283"/>
        <v>0</v>
      </c>
      <c r="AY949" s="153"/>
      <c r="AZ949" s="153"/>
      <c r="BA949" s="136"/>
      <c r="BB949" s="145"/>
      <c r="BC949" s="145"/>
      <c r="BD949" s="145"/>
      <c r="BE949" s="145"/>
      <c r="BF949" s="145"/>
      <c r="BG949" s="145"/>
      <c r="BH949" s="138"/>
      <c r="BI949" s="138"/>
      <c r="BJ949" s="138"/>
      <c r="BK949" s="138"/>
      <c r="BL949" s="138"/>
      <c r="BM949" s="138"/>
      <c r="BN949" s="138"/>
    </row>
    <row r="950" spans="1:66" s="91" customFormat="1" ht="38.25" hidden="1" customHeight="1" x14ac:dyDescent="0.2">
      <c r="A950" s="324" t="s">
        <v>1952</v>
      </c>
      <c r="B950" s="18" t="s">
        <v>172</v>
      </c>
      <c r="C950" s="18" t="s">
        <v>173</v>
      </c>
      <c r="D950" s="19" t="s">
        <v>579</v>
      </c>
      <c r="E950" s="55" t="s">
        <v>3</v>
      </c>
      <c r="F950" s="55" t="s">
        <v>29</v>
      </c>
      <c r="G950" s="55" t="s">
        <v>5</v>
      </c>
      <c r="H950" s="55" t="s">
        <v>3</v>
      </c>
      <c r="I950" s="55"/>
      <c r="J950" s="55"/>
      <c r="K950" s="19" t="s">
        <v>98</v>
      </c>
      <c r="L950" s="19"/>
      <c r="M950" s="19"/>
      <c r="N950" s="19" t="s">
        <v>2079</v>
      </c>
      <c r="O950" s="151"/>
      <c r="P950" s="151"/>
      <c r="Q950" s="151"/>
      <c r="R950" s="151"/>
      <c r="S950" s="152"/>
      <c r="T950" s="152"/>
      <c r="U950" s="145">
        <v>0</v>
      </c>
      <c r="V950" s="145">
        <v>0</v>
      </c>
      <c r="W950" s="145">
        <v>0</v>
      </c>
      <c r="X950" s="145">
        <f t="shared" si="276"/>
        <v>0</v>
      </c>
      <c r="Y950" s="145">
        <v>0</v>
      </c>
      <c r="Z950" s="145">
        <v>0</v>
      </c>
      <c r="AA950" s="145">
        <v>0</v>
      </c>
      <c r="AB950" s="145">
        <v>0</v>
      </c>
      <c r="AC950" s="145">
        <v>0</v>
      </c>
      <c r="AD950" s="145">
        <v>0</v>
      </c>
      <c r="AE950" s="145">
        <v>0</v>
      </c>
      <c r="AF950" s="145">
        <v>0</v>
      </c>
      <c r="AG950" s="145">
        <v>0</v>
      </c>
      <c r="AH950" s="145">
        <v>0</v>
      </c>
      <c r="AI950" s="145">
        <v>0</v>
      </c>
      <c r="AJ950" s="145">
        <v>0</v>
      </c>
      <c r="AK950" s="145">
        <f t="shared" si="282"/>
        <v>0</v>
      </c>
      <c r="AL950" s="145">
        <v>0</v>
      </c>
      <c r="AM950" s="145">
        <v>0</v>
      </c>
      <c r="AN950" s="145">
        <v>0</v>
      </c>
      <c r="AO950" s="145">
        <v>0</v>
      </c>
      <c r="AP950" s="145">
        <v>0</v>
      </c>
      <c r="AQ950" s="145">
        <v>0</v>
      </c>
      <c r="AR950" s="145">
        <v>0</v>
      </c>
      <c r="AS950" s="145">
        <f t="shared" si="281"/>
        <v>0</v>
      </c>
      <c r="AT950" s="145"/>
      <c r="AU950" s="139">
        <f t="shared" si="280"/>
        <v>0</v>
      </c>
      <c r="AV950" s="146">
        <f>IFERROR(VLOOKUP(J950,Maksājumu_pieprasījumu_iesn.!G:BL,57,0),0)</f>
        <v>0</v>
      </c>
      <c r="AW950" s="139">
        <f t="shared" si="278"/>
        <v>0</v>
      </c>
      <c r="AX950" s="147">
        <f t="shared" si="283"/>
        <v>0</v>
      </c>
      <c r="AY950" s="153"/>
      <c r="AZ950" s="153"/>
      <c r="BA950" s="136"/>
      <c r="BB950" s="145"/>
      <c r="BC950" s="145"/>
      <c r="BD950" s="145"/>
      <c r="BE950" s="145"/>
      <c r="BF950" s="145"/>
      <c r="BG950" s="145"/>
      <c r="BH950" s="138"/>
      <c r="BI950" s="138"/>
      <c r="BJ950" s="138"/>
      <c r="BK950" s="138"/>
      <c r="BL950" s="138"/>
      <c r="BM950" s="138"/>
      <c r="BN950" s="138"/>
    </row>
    <row r="951" spans="1:66" s="91" customFormat="1" ht="51" hidden="1" customHeight="1" x14ac:dyDescent="0.2">
      <c r="A951" s="324" t="s">
        <v>1952</v>
      </c>
      <c r="B951" s="18" t="s">
        <v>172</v>
      </c>
      <c r="C951" s="18" t="s">
        <v>173</v>
      </c>
      <c r="D951" s="19" t="s">
        <v>579</v>
      </c>
      <c r="E951" s="55" t="s">
        <v>3</v>
      </c>
      <c r="F951" s="55" t="s">
        <v>29</v>
      </c>
      <c r="G951" s="55" t="s">
        <v>5</v>
      </c>
      <c r="H951" s="55" t="s">
        <v>3</v>
      </c>
      <c r="I951" s="55"/>
      <c r="J951" s="55"/>
      <c r="K951" s="19" t="s">
        <v>98</v>
      </c>
      <c r="L951" s="19"/>
      <c r="M951" s="19"/>
      <c r="N951" s="19" t="s">
        <v>2080</v>
      </c>
      <c r="O951" s="151"/>
      <c r="P951" s="151"/>
      <c r="Q951" s="151"/>
      <c r="R951" s="151"/>
      <c r="S951" s="152"/>
      <c r="T951" s="152"/>
      <c r="U951" s="145">
        <v>0</v>
      </c>
      <c r="V951" s="145">
        <v>0</v>
      </c>
      <c r="W951" s="145">
        <v>0</v>
      </c>
      <c r="X951" s="145">
        <f t="shared" si="276"/>
        <v>0</v>
      </c>
      <c r="Y951" s="145">
        <v>0</v>
      </c>
      <c r="Z951" s="145">
        <v>0</v>
      </c>
      <c r="AA951" s="145">
        <v>0</v>
      </c>
      <c r="AB951" s="145">
        <v>0</v>
      </c>
      <c r="AC951" s="145">
        <v>0</v>
      </c>
      <c r="AD951" s="145">
        <v>0</v>
      </c>
      <c r="AE951" s="145">
        <v>0</v>
      </c>
      <c r="AF951" s="145">
        <v>0</v>
      </c>
      <c r="AG951" s="145">
        <v>0</v>
      </c>
      <c r="AH951" s="145">
        <v>0</v>
      </c>
      <c r="AI951" s="145">
        <v>0</v>
      </c>
      <c r="AJ951" s="145">
        <v>0</v>
      </c>
      <c r="AK951" s="145">
        <f t="shared" si="282"/>
        <v>0</v>
      </c>
      <c r="AL951" s="145">
        <v>0</v>
      </c>
      <c r="AM951" s="145">
        <v>0</v>
      </c>
      <c r="AN951" s="145">
        <v>0</v>
      </c>
      <c r="AO951" s="145">
        <v>0</v>
      </c>
      <c r="AP951" s="145">
        <v>0</v>
      </c>
      <c r="AQ951" s="145">
        <v>0</v>
      </c>
      <c r="AR951" s="145">
        <v>0</v>
      </c>
      <c r="AS951" s="145">
        <f t="shared" si="281"/>
        <v>0</v>
      </c>
      <c r="AT951" s="145"/>
      <c r="AU951" s="139">
        <f t="shared" si="280"/>
        <v>0</v>
      </c>
      <c r="AV951" s="146">
        <f>IFERROR(VLOOKUP(J951,Maksājumu_pieprasījumu_iesn.!G:BL,57,0),0)</f>
        <v>0</v>
      </c>
      <c r="AW951" s="139">
        <f t="shared" si="278"/>
        <v>0</v>
      </c>
      <c r="AX951" s="147">
        <f t="shared" si="283"/>
        <v>0</v>
      </c>
      <c r="AY951" s="153"/>
      <c r="AZ951" s="153"/>
      <c r="BA951" s="136"/>
      <c r="BB951" s="145"/>
      <c r="BC951" s="145"/>
      <c r="BD951" s="145"/>
      <c r="BE951" s="145"/>
      <c r="BF951" s="145"/>
      <c r="BG951" s="145"/>
      <c r="BH951" s="138"/>
      <c r="BI951" s="138"/>
      <c r="BJ951" s="138"/>
      <c r="BK951" s="138"/>
      <c r="BL951" s="138"/>
      <c r="BM951" s="138"/>
      <c r="BN951" s="138"/>
    </row>
    <row r="952" spans="1:66" s="91" customFormat="1" ht="38.25" hidden="1" customHeight="1" x14ac:dyDescent="0.2">
      <c r="A952" s="324" t="s">
        <v>1952</v>
      </c>
      <c r="B952" s="18" t="s">
        <v>172</v>
      </c>
      <c r="C952" s="18" t="s">
        <v>173</v>
      </c>
      <c r="D952" s="19" t="s">
        <v>579</v>
      </c>
      <c r="E952" s="55" t="s">
        <v>3</v>
      </c>
      <c r="F952" s="55" t="s">
        <v>29</v>
      </c>
      <c r="G952" s="55" t="s">
        <v>5</v>
      </c>
      <c r="H952" s="55" t="s">
        <v>3</v>
      </c>
      <c r="I952" s="55"/>
      <c r="J952" s="55"/>
      <c r="K952" s="19" t="s">
        <v>98</v>
      </c>
      <c r="L952" s="19"/>
      <c r="M952" s="19"/>
      <c r="N952" s="19" t="s">
        <v>2081</v>
      </c>
      <c r="O952" s="151"/>
      <c r="P952" s="151"/>
      <c r="Q952" s="151"/>
      <c r="R952" s="151"/>
      <c r="S952" s="152"/>
      <c r="T952" s="152"/>
      <c r="U952" s="145">
        <v>0</v>
      </c>
      <c r="V952" s="145">
        <v>0</v>
      </c>
      <c r="W952" s="145">
        <v>0</v>
      </c>
      <c r="X952" s="145">
        <f t="shared" si="276"/>
        <v>0</v>
      </c>
      <c r="Y952" s="145">
        <v>0</v>
      </c>
      <c r="Z952" s="145">
        <v>0</v>
      </c>
      <c r="AA952" s="145">
        <v>0</v>
      </c>
      <c r="AB952" s="145">
        <v>0</v>
      </c>
      <c r="AC952" s="145">
        <v>0</v>
      </c>
      <c r="AD952" s="145">
        <v>0</v>
      </c>
      <c r="AE952" s="145">
        <v>0</v>
      </c>
      <c r="AF952" s="145">
        <v>0</v>
      </c>
      <c r="AG952" s="145">
        <v>0</v>
      </c>
      <c r="AH952" s="145">
        <v>0</v>
      </c>
      <c r="AI952" s="145">
        <v>0</v>
      </c>
      <c r="AJ952" s="145">
        <v>0</v>
      </c>
      <c r="AK952" s="145">
        <f t="shared" si="282"/>
        <v>0</v>
      </c>
      <c r="AL952" s="145">
        <v>0</v>
      </c>
      <c r="AM952" s="145">
        <v>0</v>
      </c>
      <c r="AN952" s="145">
        <v>0</v>
      </c>
      <c r="AO952" s="145">
        <v>0</v>
      </c>
      <c r="AP952" s="145">
        <v>0</v>
      </c>
      <c r="AQ952" s="145">
        <v>0</v>
      </c>
      <c r="AR952" s="145">
        <v>0</v>
      </c>
      <c r="AS952" s="145">
        <f t="shared" si="281"/>
        <v>0</v>
      </c>
      <c r="AT952" s="145"/>
      <c r="AU952" s="139">
        <f t="shared" si="280"/>
        <v>0</v>
      </c>
      <c r="AV952" s="146">
        <f>IFERROR(VLOOKUP(J952,Maksājumu_pieprasījumu_iesn.!G:BL,57,0),0)</f>
        <v>0</v>
      </c>
      <c r="AW952" s="139">
        <f t="shared" si="278"/>
        <v>0</v>
      </c>
      <c r="AX952" s="147">
        <f t="shared" si="283"/>
        <v>0</v>
      </c>
      <c r="AY952" s="153"/>
      <c r="AZ952" s="153"/>
      <c r="BA952" s="136"/>
      <c r="BB952" s="145"/>
      <c r="BC952" s="145"/>
      <c r="BD952" s="145"/>
      <c r="BE952" s="145"/>
      <c r="BF952" s="145"/>
      <c r="BG952" s="145"/>
      <c r="BH952" s="138"/>
      <c r="BI952" s="138"/>
      <c r="BJ952" s="138"/>
      <c r="BK952" s="138"/>
      <c r="BL952" s="138"/>
      <c r="BM952" s="138"/>
      <c r="BN952" s="138"/>
    </row>
    <row r="953" spans="1:66" s="91" customFormat="1" ht="38.25" hidden="1" customHeight="1" x14ac:dyDescent="0.2">
      <c r="A953" s="324" t="s">
        <v>1952</v>
      </c>
      <c r="B953" s="18" t="s">
        <v>172</v>
      </c>
      <c r="C953" s="18" t="s">
        <v>173</v>
      </c>
      <c r="D953" s="19" t="s">
        <v>579</v>
      </c>
      <c r="E953" s="55" t="s">
        <v>3</v>
      </c>
      <c r="F953" s="55" t="s">
        <v>29</v>
      </c>
      <c r="G953" s="55" t="s">
        <v>5</v>
      </c>
      <c r="H953" s="55" t="s">
        <v>3</v>
      </c>
      <c r="I953" s="55"/>
      <c r="J953" s="55"/>
      <c r="K953" s="19" t="s">
        <v>98</v>
      </c>
      <c r="L953" s="19"/>
      <c r="M953" s="19"/>
      <c r="N953" s="19" t="s">
        <v>2082</v>
      </c>
      <c r="O953" s="151"/>
      <c r="P953" s="151"/>
      <c r="Q953" s="151"/>
      <c r="R953" s="151"/>
      <c r="S953" s="152"/>
      <c r="T953" s="152"/>
      <c r="U953" s="145">
        <v>0</v>
      </c>
      <c r="V953" s="145">
        <v>0</v>
      </c>
      <c r="W953" s="145">
        <v>0</v>
      </c>
      <c r="X953" s="145">
        <f t="shared" si="276"/>
        <v>0</v>
      </c>
      <c r="Y953" s="145">
        <v>0</v>
      </c>
      <c r="Z953" s="145">
        <v>0</v>
      </c>
      <c r="AA953" s="145">
        <v>0</v>
      </c>
      <c r="AB953" s="145">
        <v>0</v>
      </c>
      <c r="AC953" s="145">
        <v>0</v>
      </c>
      <c r="AD953" s="145">
        <v>0</v>
      </c>
      <c r="AE953" s="145">
        <v>0</v>
      </c>
      <c r="AF953" s="145">
        <v>0</v>
      </c>
      <c r="AG953" s="145">
        <v>0</v>
      </c>
      <c r="AH953" s="145">
        <v>0</v>
      </c>
      <c r="AI953" s="145">
        <v>0</v>
      </c>
      <c r="AJ953" s="145">
        <v>0</v>
      </c>
      <c r="AK953" s="145">
        <f t="shared" si="282"/>
        <v>0</v>
      </c>
      <c r="AL953" s="145">
        <v>0</v>
      </c>
      <c r="AM953" s="145">
        <v>0</v>
      </c>
      <c r="AN953" s="145">
        <v>0</v>
      </c>
      <c r="AO953" s="145">
        <v>0</v>
      </c>
      <c r="AP953" s="145">
        <v>0</v>
      </c>
      <c r="AQ953" s="145">
        <v>0</v>
      </c>
      <c r="AR953" s="145">
        <v>0</v>
      </c>
      <c r="AS953" s="145">
        <f t="shared" si="281"/>
        <v>0</v>
      </c>
      <c r="AT953" s="145"/>
      <c r="AU953" s="139">
        <f t="shared" si="280"/>
        <v>0</v>
      </c>
      <c r="AV953" s="146">
        <f>IFERROR(VLOOKUP(J953,Maksājumu_pieprasījumu_iesn.!G:BL,57,0),0)</f>
        <v>0</v>
      </c>
      <c r="AW953" s="139">
        <f t="shared" si="278"/>
        <v>0</v>
      </c>
      <c r="AX953" s="147">
        <f t="shared" si="283"/>
        <v>0</v>
      </c>
      <c r="AY953" s="153"/>
      <c r="AZ953" s="153"/>
      <c r="BA953" s="136"/>
      <c r="BB953" s="145"/>
      <c r="BC953" s="145"/>
      <c r="BD953" s="145"/>
      <c r="BE953" s="145"/>
      <c r="BF953" s="145"/>
      <c r="BG953" s="145"/>
      <c r="BH953" s="138"/>
      <c r="BI953" s="138"/>
      <c r="BJ953" s="138"/>
      <c r="BK953" s="138"/>
      <c r="BL953" s="138"/>
      <c r="BM953" s="138"/>
      <c r="BN953" s="138"/>
    </row>
    <row r="954" spans="1:66" s="91" customFormat="1" ht="38.25" hidden="1" customHeight="1" x14ac:dyDescent="0.2">
      <c r="A954" s="324" t="s">
        <v>1952</v>
      </c>
      <c r="B954" s="18" t="s">
        <v>172</v>
      </c>
      <c r="C954" s="18" t="s">
        <v>173</v>
      </c>
      <c r="D954" s="19" t="s">
        <v>579</v>
      </c>
      <c r="E954" s="55" t="s">
        <v>3</v>
      </c>
      <c r="F954" s="55" t="s">
        <v>29</v>
      </c>
      <c r="G954" s="55" t="s">
        <v>5</v>
      </c>
      <c r="H954" s="55" t="s">
        <v>3</v>
      </c>
      <c r="I954" s="55"/>
      <c r="J954" s="55"/>
      <c r="K954" s="19" t="s">
        <v>98</v>
      </c>
      <c r="L954" s="19"/>
      <c r="M954" s="19"/>
      <c r="N954" s="19" t="s">
        <v>2083</v>
      </c>
      <c r="O954" s="151"/>
      <c r="P954" s="151"/>
      <c r="Q954" s="151"/>
      <c r="R954" s="151"/>
      <c r="S954" s="152"/>
      <c r="T954" s="152"/>
      <c r="U954" s="145">
        <v>0</v>
      </c>
      <c r="V954" s="145">
        <v>0</v>
      </c>
      <c r="W954" s="145">
        <v>0</v>
      </c>
      <c r="X954" s="145">
        <f t="shared" si="276"/>
        <v>0</v>
      </c>
      <c r="Y954" s="145">
        <v>0</v>
      </c>
      <c r="Z954" s="145">
        <v>0</v>
      </c>
      <c r="AA954" s="145">
        <v>0</v>
      </c>
      <c r="AB954" s="145">
        <v>0</v>
      </c>
      <c r="AC954" s="145">
        <v>0</v>
      </c>
      <c r="AD954" s="145">
        <v>0</v>
      </c>
      <c r="AE954" s="145">
        <v>0</v>
      </c>
      <c r="AF954" s="145">
        <v>0</v>
      </c>
      <c r="AG954" s="145">
        <v>0</v>
      </c>
      <c r="AH954" s="145">
        <v>0</v>
      </c>
      <c r="AI954" s="145">
        <v>0</v>
      </c>
      <c r="AJ954" s="145">
        <v>0</v>
      </c>
      <c r="AK954" s="145">
        <f t="shared" si="282"/>
        <v>0</v>
      </c>
      <c r="AL954" s="145">
        <v>0</v>
      </c>
      <c r="AM954" s="145">
        <v>0</v>
      </c>
      <c r="AN954" s="145">
        <v>0</v>
      </c>
      <c r="AO954" s="145">
        <v>0</v>
      </c>
      <c r="AP954" s="145">
        <v>0</v>
      </c>
      <c r="AQ954" s="145">
        <v>0</v>
      </c>
      <c r="AR954" s="145">
        <v>0</v>
      </c>
      <c r="AS954" s="145">
        <f t="shared" si="281"/>
        <v>0</v>
      </c>
      <c r="AT954" s="145"/>
      <c r="AU954" s="139">
        <f t="shared" si="280"/>
        <v>0</v>
      </c>
      <c r="AV954" s="146">
        <f>IFERROR(VLOOKUP(J954,Maksājumu_pieprasījumu_iesn.!G:BL,57,0),0)</f>
        <v>0</v>
      </c>
      <c r="AW954" s="139">
        <f t="shared" si="278"/>
        <v>0</v>
      </c>
      <c r="AX954" s="147">
        <f t="shared" si="283"/>
        <v>0</v>
      </c>
      <c r="AY954" s="153"/>
      <c r="AZ954" s="153"/>
      <c r="BA954" s="136"/>
      <c r="BB954" s="145"/>
      <c r="BC954" s="145"/>
      <c r="BD954" s="145"/>
      <c r="BE954" s="145"/>
      <c r="BF954" s="145"/>
      <c r="BG954" s="145"/>
      <c r="BH954" s="138"/>
      <c r="BI954" s="138"/>
      <c r="BJ954" s="138"/>
      <c r="BK954" s="138"/>
      <c r="BL954" s="138"/>
      <c r="BM954" s="138"/>
      <c r="BN954" s="138"/>
    </row>
    <row r="955" spans="1:66" s="91" customFormat="1" ht="51" hidden="1" customHeight="1" x14ac:dyDescent="0.2">
      <c r="A955" s="324" t="s">
        <v>1952</v>
      </c>
      <c r="B955" s="18" t="s">
        <v>172</v>
      </c>
      <c r="C955" s="18" t="s">
        <v>173</v>
      </c>
      <c r="D955" s="19" t="s">
        <v>579</v>
      </c>
      <c r="E955" s="55" t="s">
        <v>3</v>
      </c>
      <c r="F955" s="55" t="s">
        <v>29</v>
      </c>
      <c r="G955" s="55" t="s">
        <v>5</v>
      </c>
      <c r="H955" s="55" t="s">
        <v>3</v>
      </c>
      <c r="I955" s="55"/>
      <c r="J955" s="55"/>
      <c r="K955" s="19" t="s">
        <v>98</v>
      </c>
      <c r="L955" s="19"/>
      <c r="M955" s="19"/>
      <c r="N955" s="19" t="s">
        <v>2084</v>
      </c>
      <c r="O955" s="151"/>
      <c r="P955" s="151"/>
      <c r="Q955" s="151"/>
      <c r="R955" s="151"/>
      <c r="S955" s="152"/>
      <c r="T955" s="152"/>
      <c r="U955" s="145">
        <v>0</v>
      </c>
      <c r="V955" s="145">
        <v>0</v>
      </c>
      <c r="W955" s="145">
        <v>0</v>
      </c>
      <c r="X955" s="145">
        <f t="shared" si="276"/>
        <v>0</v>
      </c>
      <c r="Y955" s="145">
        <v>0</v>
      </c>
      <c r="Z955" s="145">
        <v>0</v>
      </c>
      <c r="AA955" s="145">
        <v>0</v>
      </c>
      <c r="AB955" s="145">
        <v>0</v>
      </c>
      <c r="AC955" s="145">
        <v>0</v>
      </c>
      <c r="AD955" s="145">
        <v>0</v>
      </c>
      <c r="AE955" s="145">
        <v>0</v>
      </c>
      <c r="AF955" s="145">
        <v>0</v>
      </c>
      <c r="AG955" s="145">
        <v>0</v>
      </c>
      <c r="AH955" s="145">
        <v>0</v>
      </c>
      <c r="AI955" s="145">
        <v>0</v>
      </c>
      <c r="AJ955" s="145">
        <v>0</v>
      </c>
      <c r="AK955" s="145">
        <f t="shared" si="282"/>
        <v>0</v>
      </c>
      <c r="AL955" s="145">
        <v>0</v>
      </c>
      <c r="AM955" s="145">
        <v>0</v>
      </c>
      <c r="AN955" s="145">
        <v>0</v>
      </c>
      <c r="AO955" s="145">
        <v>0</v>
      </c>
      <c r="AP955" s="145">
        <v>0</v>
      </c>
      <c r="AQ955" s="145">
        <v>0</v>
      </c>
      <c r="AR955" s="145">
        <v>0</v>
      </c>
      <c r="AS955" s="145">
        <f t="shared" si="281"/>
        <v>0</v>
      </c>
      <c r="AT955" s="145"/>
      <c r="AU955" s="139">
        <f t="shared" si="280"/>
        <v>0</v>
      </c>
      <c r="AV955" s="146">
        <f>IFERROR(VLOOKUP(J955,Maksājumu_pieprasījumu_iesn.!G:BL,57,0),0)</f>
        <v>0</v>
      </c>
      <c r="AW955" s="139">
        <f t="shared" si="278"/>
        <v>0</v>
      </c>
      <c r="AX955" s="147">
        <f t="shared" si="283"/>
        <v>0</v>
      </c>
      <c r="AY955" s="153"/>
      <c r="AZ955" s="153"/>
      <c r="BA955" s="136"/>
      <c r="BB955" s="145"/>
      <c r="BC955" s="145"/>
      <c r="BD955" s="145"/>
      <c r="BE955" s="145"/>
      <c r="BF955" s="145"/>
      <c r="BG955" s="145"/>
      <c r="BH955" s="138"/>
      <c r="BI955" s="138"/>
      <c r="BJ955" s="138"/>
      <c r="BK955" s="138"/>
      <c r="BL955" s="138"/>
      <c r="BM955" s="138"/>
      <c r="BN955" s="138"/>
    </row>
    <row r="956" spans="1:66" s="91" customFormat="1" ht="38.25" hidden="1" customHeight="1" x14ac:dyDescent="0.2">
      <c r="A956" s="324" t="s">
        <v>1952</v>
      </c>
      <c r="B956" s="18" t="s">
        <v>172</v>
      </c>
      <c r="C956" s="18" t="s">
        <v>173</v>
      </c>
      <c r="D956" s="19" t="s">
        <v>579</v>
      </c>
      <c r="E956" s="55" t="s">
        <v>3</v>
      </c>
      <c r="F956" s="55" t="s">
        <v>29</v>
      </c>
      <c r="G956" s="55" t="s">
        <v>5</v>
      </c>
      <c r="H956" s="55" t="s">
        <v>3</v>
      </c>
      <c r="I956" s="55"/>
      <c r="J956" s="55"/>
      <c r="K956" s="19" t="s">
        <v>98</v>
      </c>
      <c r="L956" s="19"/>
      <c r="M956" s="19"/>
      <c r="N956" s="19" t="s">
        <v>2085</v>
      </c>
      <c r="O956" s="151"/>
      <c r="P956" s="151"/>
      <c r="Q956" s="151"/>
      <c r="R956" s="151"/>
      <c r="S956" s="152"/>
      <c r="T956" s="152"/>
      <c r="U956" s="145">
        <v>0</v>
      </c>
      <c r="V956" s="145">
        <v>0</v>
      </c>
      <c r="W956" s="145">
        <v>0</v>
      </c>
      <c r="X956" s="145">
        <f t="shared" si="276"/>
        <v>0</v>
      </c>
      <c r="Y956" s="145">
        <v>0</v>
      </c>
      <c r="Z956" s="145">
        <v>0</v>
      </c>
      <c r="AA956" s="145">
        <v>0</v>
      </c>
      <c r="AB956" s="145">
        <v>0</v>
      </c>
      <c r="AC956" s="145">
        <v>0</v>
      </c>
      <c r="AD956" s="145">
        <v>0</v>
      </c>
      <c r="AE956" s="145">
        <v>0</v>
      </c>
      <c r="AF956" s="145">
        <v>0</v>
      </c>
      <c r="AG956" s="145">
        <v>0</v>
      </c>
      <c r="AH956" s="145">
        <v>0</v>
      </c>
      <c r="AI956" s="145">
        <v>0</v>
      </c>
      <c r="AJ956" s="145">
        <v>0</v>
      </c>
      <c r="AK956" s="145">
        <f t="shared" si="282"/>
        <v>0</v>
      </c>
      <c r="AL956" s="145">
        <v>0</v>
      </c>
      <c r="AM956" s="145">
        <v>0</v>
      </c>
      <c r="AN956" s="145">
        <v>0</v>
      </c>
      <c r="AO956" s="145">
        <v>0</v>
      </c>
      <c r="AP956" s="145">
        <v>0</v>
      </c>
      <c r="AQ956" s="145">
        <v>0</v>
      </c>
      <c r="AR956" s="145">
        <v>0</v>
      </c>
      <c r="AS956" s="145">
        <f t="shared" si="281"/>
        <v>0</v>
      </c>
      <c r="AT956" s="145"/>
      <c r="AU956" s="139">
        <f t="shared" si="280"/>
        <v>0</v>
      </c>
      <c r="AV956" s="146">
        <f>IFERROR(VLOOKUP(J956,Maksājumu_pieprasījumu_iesn.!G:BL,57,0),0)</f>
        <v>0</v>
      </c>
      <c r="AW956" s="139">
        <f t="shared" si="278"/>
        <v>0</v>
      </c>
      <c r="AX956" s="147">
        <f t="shared" si="283"/>
        <v>0</v>
      </c>
      <c r="AY956" s="153"/>
      <c r="AZ956" s="153"/>
      <c r="BA956" s="136"/>
      <c r="BB956" s="145"/>
      <c r="BC956" s="145"/>
      <c r="BD956" s="145"/>
      <c r="BE956" s="145"/>
      <c r="BF956" s="145"/>
      <c r="BG956" s="145"/>
      <c r="BH956" s="138"/>
      <c r="BI956" s="138"/>
      <c r="BJ956" s="138"/>
      <c r="BK956" s="138"/>
      <c r="BL956" s="138"/>
      <c r="BM956" s="138"/>
      <c r="BN956" s="138"/>
    </row>
    <row r="957" spans="1:66" s="91" customFormat="1" ht="38.25" hidden="1" customHeight="1" x14ac:dyDescent="0.2">
      <c r="A957" s="324" t="s">
        <v>1952</v>
      </c>
      <c r="B957" s="18" t="s">
        <v>172</v>
      </c>
      <c r="C957" s="18" t="s">
        <v>173</v>
      </c>
      <c r="D957" s="19" t="s">
        <v>579</v>
      </c>
      <c r="E957" s="55" t="s">
        <v>3</v>
      </c>
      <c r="F957" s="55" t="s">
        <v>29</v>
      </c>
      <c r="G957" s="55" t="s">
        <v>5</v>
      </c>
      <c r="H957" s="55" t="s">
        <v>3</v>
      </c>
      <c r="I957" s="55"/>
      <c r="J957" s="55"/>
      <c r="K957" s="19" t="s">
        <v>98</v>
      </c>
      <c r="L957" s="19"/>
      <c r="M957" s="19"/>
      <c r="N957" s="19" t="s">
        <v>2086</v>
      </c>
      <c r="O957" s="151"/>
      <c r="P957" s="151"/>
      <c r="Q957" s="151"/>
      <c r="R957" s="151"/>
      <c r="S957" s="152"/>
      <c r="T957" s="152"/>
      <c r="U957" s="145">
        <v>0</v>
      </c>
      <c r="V957" s="145">
        <v>0</v>
      </c>
      <c r="W957" s="145">
        <v>0</v>
      </c>
      <c r="X957" s="145">
        <f t="shared" si="276"/>
        <v>0</v>
      </c>
      <c r="Y957" s="145">
        <v>0</v>
      </c>
      <c r="Z957" s="145">
        <v>0</v>
      </c>
      <c r="AA957" s="145">
        <v>0</v>
      </c>
      <c r="AB957" s="145">
        <v>0</v>
      </c>
      <c r="AC957" s="145">
        <v>0</v>
      </c>
      <c r="AD957" s="145">
        <v>0</v>
      </c>
      <c r="AE957" s="145">
        <v>0</v>
      </c>
      <c r="AF957" s="145">
        <v>0</v>
      </c>
      <c r="AG957" s="145">
        <v>0</v>
      </c>
      <c r="AH957" s="145">
        <v>0</v>
      </c>
      <c r="AI957" s="145">
        <v>0</v>
      </c>
      <c r="AJ957" s="145">
        <v>0</v>
      </c>
      <c r="AK957" s="145">
        <f t="shared" si="282"/>
        <v>0</v>
      </c>
      <c r="AL957" s="145">
        <v>0</v>
      </c>
      <c r="AM957" s="145">
        <v>0</v>
      </c>
      <c r="AN957" s="145">
        <v>0</v>
      </c>
      <c r="AO957" s="145">
        <v>0</v>
      </c>
      <c r="AP957" s="145">
        <v>0</v>
      </c>
      <c r="AQ957" s="145">
        <v>0</v>
      </c>
      <c r="AR957" s="145">
        <v>0</v>
      </c>
      <c r="AS957" s="145">
        <f t="shared" si="281"/>
        <v>0</v>
      </c>
      <c r="AT957" s="145"/>
      <c r="AU957" s="139">
        <f t="shared" si="280"/>
        <v>0</v>
      </c>
      <c r="AV957" s="146">
        <f>IFERROR(VLOOKUP(J957,Maksājumu_pieprasījumu_iesn.!G:BL,57,0),0)</f>
        <v>0</v>
      </c>
      <c r="AW957" s="139">
        <f t="shared" si="278"/>
        <v>0</v>
      </c>
      <c r="AX957" s="153"/>
      <c r="AY957" s="153"/>
      <c r="AZ957" s="153"/>
      <c r="BA957" s="136"/>
      <c r="BB957" s="145"/>
      <c r="BC957" s="145"/>
      <c r="BD957" s="145"/>
      <c r="BE957" s="145"/>
      <c r="BF957" s="145"/>
      <c r="BG957" s="145"/>
      <c r="BH957" s="138"/>
      <c r="BI957" s="138"/>
      <c r="BJ957" s="138"/>
      <c r="BK957" s="138"/>
      <c r="BL957" s="138"/>
      <c r="BM957" s="138"/>
      <c r="BN957" s="138"/>
    </row>
    <row r="958" spans="1:66" s="91" customFormat="1" ht="25.5" hidden="1" customHeight="1" x14ac:dyDescent="0.2">
      <c r="A958" s="324" t="s">
        <v>1952</v>
      </c>
      <c r="B958" s="18" t="s">
        <v>172</v>
      </c>
      <c r="C958" s="18" t="s">
        <v>173</v>
      </c>
      <c r="D958" s="19" t="s">
        <v>579</v>
      </c>
      <c r="E958" s="55" t="s">
        <v>3</v>
      </c>
      <c r="F958" s="55" t="s">
        <v>29</v>
      </c>
      <c r="G958" s="55" t="s">
        <v>5</v>
      </c>
      <c r="H958" s="55" t="s">
        <v>3</v>
      </c>
      <c r="I958" s="55"/>
      <c r="J958" s="55" t="s">
        <v>1593</v>
      </c>
      <c r="K958" s="19"/>
      <c r="L958" s="19"/>
      <c r="M958" s="19"/>
      <c r="N958" s="19"/>
      <c r="O958" s="151"/>
      <c r="P958" s="151"/>
      <c r="Q958" s="151"/>
      <c r="R958" s="151"/>
      <c r="S958" s="152">
        <f>S897-T897-SUM(S898:S957)</f>
        <v>372114.44999998808</v>
      </c>
      <c r="T958" s="152"/>
      <c r="U958" s="145"/>
      <c r="V958" s="145"/>
      <c r="W958" s="145"/>
      <c r="X958" s="145"/>
      <c r="Y958" s="145"/>
      <c r="Z958" s="145"/>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39"/>
      <c r="AV958" s="146">
        <f>IFERROR(VLOOKUP(J958,Maksājumu_pieprasījumu_iesn.!G:BL,57,0),0)</f>
        <v>0</v>
      </c>
      <c r="AW958" s="139">
        <f t="shared" si="278"/>
        <v>0</v>
      </c>
      <c r="AX958" s="153"/>
      <c r="AY958" s="153">
        <f>S958</f>
        <v>372114.44999998808</v>
      </c>
      <c r="AZ958" s="153"/>
      <c r="BA958" s="136"/>
      <c r="BB958" s="145"/>
      <c r="BC958" s="145"/>
      <c r="BD958" s="145"/>
      <c r="BE958" s="145"/>
      <c r="BF958" s="145"/>
      <c r="BG958" s="145"/>
      <c r="BH958" s="138"/>
      <c r="BI958" s="138"/>
      <c r="BJ958" s="138"/>
      <c r="BK958" s="138"/>
      <c r="BL958" s="138"/>
      <c r="BM958" s="138"/>
      <c r="BN958" s="138"/>
    </row>
    <row r="959" spans="1:66" s="91" customFormat="1" ht="12.75" hidden="1" customHeight="1" x14ac:dyDescent="0.2">
      <c r="A959" s="190" t="s">
        <v>2087</v>
      </c>
      <c r="B959" s="120" t="s">
        <v>1020</v>
      </c>
      <c r="C959" s="121" t="s">
        <v>77</v>
      </c>
      <c r="D959" s="122" t="s">
        <v>2088</v>
      </c>
      <c r="E959" s="121"/>
      <c r="F959" s="121"/>
      <c r="G959" s="121" t="s">
        <v>77</v>
      </c>
      <c r="H959" s="121"/>
      <c r="I959" s="121"/>
      <c r="J959" s="123"/>
      <c r="K959" s="191"/>
      <c r="L959" s="191"/>
      <c r="M959" s="191"/>
      <c r="N959" s="191"/>
      <c r="O959" s="192"/>
      <c r="P959" s="192"/>
      <c r="Q959" s="192"/>
      <c r="R959" s="192"/>
      <c r="S959" s="179">
        <f>S961+S964+S978+S981+S971+S974+S976</f>
        <v>112148340</v>
      </c>
      <c r="T959" s="179">
        <f>T961+T964+T978+T981+T971+T974+T976</f>
        <v>6973974</v>
      </c>
      <c r="U959" s="179">
        <f>U961+U964+U978+U981+U971+U974+U976</f>
        <v>0</v>
      </c>
      <c r="V959" s="179">
        <f>V961+V964+V978+V981+V971+V974+V976</f>
        <v>5004694.0699999994</v>
      </c>
      <c r="W959" s="179">
        <f>W961+W964+W978+W981+W971+W974+W976</f>
        <v>15764782.68</v>
      </c>
      <c r="X959" s="125">
        <f t="shared" ref="X959:X965" si="284">U959+V959+W959</f>
        <v>20769476.75</v>
      </c>
      <c r="Y959" s="179">
        <f t="shared" ref="Y959:AT959" si="285">Y961+Y964+Y978+Y981+Y971+Y974+Y976</f>
        <v>50180.72</v>
      </c>
      <c r="Z959" s="179">
        <f t="shared" si="285"/>
        <v>3495423.31</v>
      </c>
      <c r="AA959" s="179">
        <f t="shared" si="285"/>
        <v>414795.81000000006</v>
      </c>
      <c r="AB959" s="179">
        <f t="shared" si="285"/>
        <v>1734363.2999999998</v>
      </c>
      <c r="AC959" s="179">
        <f t="shared" si="285"/>
        <v>156701.79999999999</v>
      </c>
      <c r="AD959" s="179">
        <f t="shared" si="285"/>
        <v>280080</v>
      </c>
      <c r="AE959" s="179">
        <f t="shared" si="285"/>
        <v>3475412.6400000006</v>
      </c>
      <c r="AF959" s="179">
        <f t="shared" si="285"/>
        <v>53698.98</v>
      </c>
      <c r="AG959" s="179">
        <f t="shared" si="285"/>
        <v>695624.48</v>
      </c>
      <c r="AH959" s="179">
        <f t="shared" si="285"/>
        <v>4195600.9000000004</v>
      </c>
      <c r="AI959" s="179">
        <f t="shared" si="285"/>
        <v>82298.22</v>
      </c>
      <c r="AJ959" s="179">
        <f t="shared" si="285"/>
        <v>708146.07999999961</v>
      </c>
      <c r="AK959" s="179">
        <f>AK961+AK964+AK978+AK981+AK971+AK974+AK976</f>
        <v>15342326.24</v>
      </c>
      <c r="AL959" s="179">
        <f t="shared" si="285"/>
        <v>19984979.68</v>
      </c>
      <c r="AM959" s="179">
        <f t="shared" si="285"/>
        <v>15093642.890000001</v>
      </c>
      <c r="AN959" s="179">
        <f t="shared" si="285"/>
        <v>14584209.840000002</v>
      </c>
      <c r="AO959" s="179">
        <f t="shared" si="285"/>
        <v>12931041.58</v>
      </c>
      <c r="AP959" s="179">
        <f t="shared" si="285"/>
        <v>5958755.8000000007</v>
      </c>
      <c r="AQ959" s="179">
        <f t="shared" si="285"/>
        <v>507177.1</v>
      </c>
      <c r="AR959" s="179">
        <f t="shared" si="285"/>
        <v>0</v>
      </c>
      <c r="AS959" s="179">
        <f>AS961+AS964+AS978+AS981+AS971+AS974+AS976</f>
        <v>105171609.88</v>
      </c>
      <c r="AT959" s="179">
        <f t="shared" si="285"/>
        <v>0</v>
      </c>
      <c r="AU959" s="351">
        <f>AS959-AT959</f>
        <v>105171609.88</v>
      </c>
      <c r="AV959" s="146">
        <f>IFERROR(VLOOKUP(J959,Maksājumu_pieprasījumu_iesn.!G:BL,57,0),0)</f>
        <v>0</v>
      </c>
      <c r="AW959" s="139">
        <f t="shared" si="278"/>
        <v>-105171609.88</v>
      </c>
      <c r="AX959" s="179">
        <f>AX961+AX964+AX978+AX981+AX971+AX974+AX976</f>
        <v>2756.1200000047684</v>
      </c>
      <c r="AY959" s="179">
        <f>AY961+AY964+AY978+AY981+AY971+AY974+AY976</f>
        <v>2756</v>
      </c>
      <c r="AZ959" s="179"/>
      <c r="BA959" s="179"/>
      <c r="BB959" s="179">
        <f>49376694</f>
        <v>49376694</v>
      </c>
      <c r="BC959" s="125">
        <f>BC961+BC964+BC978+BC981+BC971+BC974+BC976</f>
        <v>46104292.829999998</v>
      </c>
      <c r="BD959" s="125">
        <f>BD961+BD964+BD978+BD981+BD971+BD974+BD976</f>
        <v>43338035.260200001</v>
      </c>
      <c r="BE959" s="125">
        <f>BE961+BE964+BE978+BE981+BE971+BE974+BE976</f>
        <v>51368963.408470586</v>
      </c>
      <c r="BF959" s="125">
        <f>BE959-BB959</f>
        <v>1992269.4084705859</v>
      </c>
      <c r="BG959" s="352">
        <f>BE959/BB959</f>
        <v>1.0403483758647467</v>
      </c>
      <c r="BH959" s="125">
        <f t="shared" ref="BH959:BN959" si="286">BH961+BH964+BH978+BH981+BH971+BH974+BH976</f>
        <v>16774225.66</v>
      </c>
      <c r="BI959" s="125">
        <f t="shared" si="286"/>
        <v>16997590.550000001</v>
      </c>
      <c r="BJ959" s="125">
        <f>BJ961+BJ964+BJ978+BJ981+BJ971+BJ974+BJ976</f>
        <v>14421786.6656</v>
      </c>
      <c r="BK959" s="125">
        <f>BK961+BK964+BK978+BK981+BK971+BK974+BK976</f>
        <v>-2574855.3756000008</v>
      </c>
      <c r="BL959" s="125">
        <f t="shared" si="286"/>
        <v>18024295.75</v>
      </c>
      <c r="BM959" s="125">
        <f t="shared" si="286"/>
        <v>17768618.4452</v>
      </c>
      <c r="BN959" s="125">
        <f t="shared" si="286"/>
        <v>826516.7951999997</v>
      </c>
    </row>
    <row r="960" spans="1:66" s="91" customFormat="1" ht="12.75" hidden="1" customHeight="1" x14ac:dyDescent="0.2">
      <c r="A960" s="190" t="s">
        <v>2087</v>
      </c>
      <c r="B960" s="120" t="s">
        <v>1020</v>
      </c>
      <c r="C960" s="121" t="s">
        <v>1001</v>
      </c>
      <c r="D960" s="122" t="s">
        <v>2088</v>
      </c>
      <c r="E960" s="121"/>
      <c r="F960" s="121"/>
      <c r="G960" s="121" t="s">
        <v>1001</v>
      </c>
      <c r="H960" s="121"/>
      <c r="I960" s="121"/>
      <c r="J960" s="123"/>
      <c r="K960" s="191"/>
      <c r="L960" s="191"/>
      <c r="M960" s="191"/>
      <c r="N960" s="191"/>
      <c r="O960" s="192"/>
      <c r="P960" s="192"/>
      <c r="Q960" s="192"/>
      <c r="R960" s="192"/>
      <c r="S960" s="179">
        <f>S972+S975</f>
        <v>58021278</v>
      </c>
      <c r="T960" s="179">
        <f>T972+T975</f>
        <v>0</v>
      </c>
      <c r="U960" s="179">
        <f>U972+U975</f>
        <v>0</v>
      </c>
      <c r="V960" s="179">
        <f>V972+V975</f>
        <v>0</v>
      </c>
      <c r="W960" s="179">
        <f>W972+W975</f>
        <v>25160416</v>
      </c>
      <c r="X960" s="125">
        <f t="shared" si="284"/>
        <v>25160416</v>
      </c>
      <c r="Y960" s="179">
        <f t="shared" ref="Y960:AT960" si="287">Y972+Y975</f>
        <v>0</v>
      </c>
      <c r="Z960" s="179">
        <f t="shared" si="287"/>
        <v>2617244.7599999998</v>
      </c>
      <c r="AA960" s="179">
        <f t="shared" si="287"/>
        <v>1136152.04</v>
      </c>
      <c r="AB960" s="179">
        <f t="shared" si="287"/>
        <v>1552076.4</v>
      </c>
      <c r="AC960" s="179">
        <f t="shared" si="287"/>
        <v>0</v>
      </c>
      <c r="AD960" s="179">
        <f t="shared" si="287"/>
        <v>1305873</v>
      </c>
      <c r="AE960" s="179">
        <f t="shared" si="287"/>
        <v>2702556.8</v>
      </c>
      <c r="AF960" s="179">
        <f t="shared" si="287"/>
        <v>0</v>
      </c>
      <c r="AG960" s="179">
        <f t="shared" si="287"/>
        <v>3243349.08</v>
      </c>
      <c r="AH960" s="179">
        <f t="shared" si="287"/>
        <v>2702556.8</v>
      </c>
      <c r="AI960" s="179">
        <f t="shared" si="287"/>
        <v>0</v>
      </c>
      <c r="AJ960" s="179">
        <f t="shared" si="287"/>
        <v>3301731.1</v>
      </c>
      <c r="AK960" s="179">
        <f t="shared" si="287"/>
        <v>18561539.979999997</v>
      </c>
      <c r="AL960" s="179">
        <f t="shared" si="287"/>
        <v>14299322.020000001</v>
      </c>
      <c r="AM960" s="179">
        <f t="shared" si="287"/>
        <v>0</v>
      </c>
      <c r="AN960" s="179">
        <f t="shared" si="287"/>
        <v>0</v>
      </c>
      <c r="AO960" s="179">
        <f t="shared" si="287"/>
        <v>0</v>
      </c>
      <c r="AP960" s="179">
        <f t="shared" si="287"/>
        <v>0</v>
      </c>
      <c r="AQ960" s="179">
        <f t="shared" si="287"/>
        <v>0</v>
      </c>
      <c r="AR960" s="179">
        <f t="shared" si="287"/>
        <v>0</v>
      </c>
      <c r="AS960" s="179">
        <f t="shared" si="287"/>
        <v>58021278</v>
      </c>
      <c r="AT960" s="179">
        <f t="shared" si="287"/>
        <v>0</v>
      </c>
      <c r="AU960" s="351">
        <f t="shared" si="280"/>
        <v>58021278</v>
      </c>
      <c r="AV960" s="146">
        <f>IFERROR(VLOOKUP(J960,Maksājumu_pieprasījumu_iesn.!G:BL,57,0),0)</f>
        <v>0</v>
      </c>
      <c r="AW960" s="139">
        <f t="shared" si="278"/>
        <v>-58021278</v>
      </c>
      <c r="AX960" s="179">
        <f>AX972+AX975</f>
        <v>0</v>
      </c>
      <c r="AY960" s="179">
        <f>AY972+AY975</f>
        <v>0</v>
      </c>
      <c r="AZ960" s="179"/>
      <c r="BA960" s="179"/>
      <c r="BB960" s="179">
        <v>63140804</v>
      </c>
      <c r="BC960" s="125">
        <f>BC972+BC975</f>
        <v>50871616.990000002</v>
      </c>
      <c r="BD960" s="125">
        <f>BD972+BD975</f>
        <v>50871616.990000002</v>
      </c>
      <c r="BE960" s="125">
        <f>BE972+BE975</f>
        <v>59848961.164705887</v>
      </c>
      <c r="BF960" s="125">
        <f>BE960-BB960</f>
        <v>-3291842.8352941126</v>
      </c>
      <c r="BG960" s="352">
        <f>BE960/BB960</f>
        <v>0.94786504721583664</v>
      </c>
      <c r="BH960" s="125">
        <f t="shared" ref="BH960:BN960" si="288">BH972+BH975</f>
        <v>20546391.68</v>
      </c>
      <c r="BI960" s="125">
        <f t="shared" si="288"/>
        <v>20659544.390000001</v>
      </c>
      <c r="BJ960" s="125">
        <f t="shared" si="288"/>
        <v>17447847.581199996</v>
      </c>
      <c r="BK960" s="125">
        <f t="shared" si="288"/>
        <v>-1879414.7232000008</v>
      </c>
      <c r="BL960" s="125">
        <f t="shared" si="288"/>
        <v>17218398.780000001</v>
      </c>
      <c r="BM960" s="125">
        <f t="shared" si="288"/>
        <v>0</v>
      </c>
      <c r="BN960" s="125">
        <f t="shared" si="288"/>
        <v>0</v>
      </c>
    </row>
    <row r="961" spans="1:66" s="91" customFormat="1" ht="25.5" hidden="1" x14ac:dyDescent="0.2">
      <c r="A961" s="127" t="s">
        <v>2087</v>
      </c>
      <c r="B961" s="127" t="s">
        <v>208</v>
      </c>
      <c r="C961" s="127" t="s">
        <v>1023</v>
      </c>
      <c r="D961" s="128" t="s">
        <v>213</v>
      </c>
      <c r="E961" s="127"/>
      <c r="F961" s="127"/>
      <c r="G961" s="127" t="s">
        <v>77</v>
      </c>
      <c r="H961" s="127"/>
      <c r="I961" s="127"/>
      <c r="J961" s="127"/>
      <c r="K961" s="128"/>
      <c r="L961" s="128"/>
      <c r="M961" s="128"/>
      <c r="N961" s="128"/>
      <c r="O961" s="163"/>
      <c r="P961" s="163"/>
      <c r="Q961" s="163"/>
      <c r="R961" s="163"/>
      <c r="S961" s="164">
        <f>S962</f>
        <v>81963841</v>
      </c>
      <c r="T961" s="164">
        <f>T962</f>
        <v>4203913</v>
      </c>
      <c r="U961" s="164">
        <f>U962</f>
        <v>0</v>
      </c>
      <c r="V961" s="164">
        <f>V962</f>
        <v>4864051.6399999997</v>
      </c>
      <c r="W961" s="164">
        <f>W962</f>
        <v>13006349.909999998</v>
      </c>
      <c r="X961" s="129">
        <f t="shared" si="284"/>
        <v>17870401.549999997</v>
      </c>
      <c r="Y961" s="164">
        <f t="shared" ref="Y961:AT961" si="289">Y962</f>
        <v>0</v>
      </c>
      <c r="Z961" s="164">
        <f t="shared" si="289"/>
        <v>3455343.62</v>
      </c>
      <c r="AA961" s="164">
        <f t="shared" si="289"/>
        <v>0</v>
      </c>
      <c r="AB961" s="164">
        <f t="shared" si="289"/>
        <v>1683885.4</v>
      </c>
      <c r="AC961" s="164">
        <f t="shared" si="289"/>
        <v>0</v>
      </c>
      <c r="AD961" s="164">
        <f t="shared" si="289"/>
        <v>0</v>
      </c>
      <c r="AE961" s="164">
        <f t="shared" si="289"/>
        <v>3158128.7</v>
      </c>
      <c r="AF961" s="164">
        <f t="shared" si="289"/>
        <v>0</v>
      </c>
      <c r="AG961" s="164">
        <f t="shared" si="289"/>
        <v>0</v>
      </c>
      <c r="AH961" s="164">
        <f t="shared" si="289"/>
        <v>3158128.7</v>
      </c>
      <c r="AI961" s="164">
        <f t="shared" si="289"/>
        <v>0</v>
      </c>
      <c r="AJ961" s="164">
        <f t="shared" si="289"/>
        <v>0</v>
      </c>
      <c r="AK961" s="164">
        <f t="shared" si="289"/>
        <v>11455486.42</v>
      </c>
      <c r="AL961" s="164">
        <f t="shared" si="289"/>
        <v>12362969.690000001</v>
      </c>
      <c r="AM961" s="164">
        <f t="shared" si="289"/>
        <v>11931082.07</v>
      </c>
      <c r="AN961" s="164">
        <f t="shared" si="289"/>
        <v>11249549.100000001</v>
      </c>
      <c r="AO961" s="164">
        <f t="shared" si="289"/>
        <v>9707930.4900000002</v>
      </c>
      <c r="AP961" s="164">
        <f t="shared" si="289"/>
        <v>3179752.56</v>
      </c>
      <c r="AQ961" s="164">
        <f t="shared" si="289"/>
        <v>0</v>
      </c>
      <c r="AR961" s="164">
        <f t="shared" si="289"/>
        <v>0</v>
      </c>
      <c r="AS961" s="164">
        <f t="shared" si="289"/>
        <v>77757171.879999995</v>
      </c>
      <c r="AT961" s="164">
        <f t="shared" si="289"/>
        <v>0</v>
      </c>
      <c r="AU961" s="183">
        <f t="shared" si="280"/>
        <v>77757171.879999995</v>
      </c>
      <c r="AV961" s="146">
        <f>IFERROR(VLOOKUP(J961,Maksājumu_pieprasījumu_iesn.!G:BL,57,0),0)</f>
        <v>0</v>
      </c>
      <c r="AW961" s="139">
        <f t="shared" si="278"/>
        <v>-77757171.879999995</v>
      </c>
      <c r="AX961" s="164">
        <f>AX962</f>
        <v>2756.1200000047684</v>
      </c>
      <c r="AY961" s="164">
        <f>AY962</f>
        <v>2756</v>
      </c>
      <c r="AZ961" s="164"/>
      <c r="BA961" s="164"/>
      <c r="BB961" s="164">
        <f>BB962</f>
        <v>0</v>
      </c>
      <c r="BC961" s="164">
        <f>BC962</f>
        <v>35507372.814999998</v>
      </c>
      <c r="BD961" s="164">
        <f>BC961*0.94</f>
        <v>33376930.446099997</v>
      </c>
      <c r="BE961" s="129">
        <f>BD961/0.85</f>
        <v>39266976.995411761</v>
      </c>
      <c r="BF961" s="164">
        <f>BF962</f>
        <v>0</v>
      </c>
      <c r="BG961" s="164">
        <f>BG962</f>
        <v>0</v>
      </c>
      <c r="BH961" s="129">
        <f>BH962</f>
        <v>14305820.15</v>
      </c>
      <c r="BI961" s="129">
        <f>BI962</f>
        <v>13082641</v>
      </c>
      <c r="BJ961" s="129">
        <f>AK961*0.94</f>
        <v>10768157.2348</v>
      </c>
      <c r="BK961" s="129">
        <f>BJ961-BI961</f>
        <v>-2314483.7652000003</v>
      </c>
      <c r="BL961" s="129">
        <f>BL962</f>
        <v>11970885</v>
      </c>
      <c r="BM961" s="129">
        <f>AL961*0.94</f>
        <v>11621191.5086</v>
      </c>
      <c r="BN961" s="129">
        <f>BM961-BL961</f>
        <v>-349693.49139999971</v>
      </c>
    </row>
    <row r="962" spans="1:66" s="91" customFormat="1" ht="38.25" hidden="1" customHeight="1" x14ac:dyDescent="0.2">
      <c r="A962" s="131" t="s">
        <v>2087</v>
      </c>
      <c r="B962" s="132" t="s">
        <v>208</v>
      </c>
      <c r="C962" s="132" t="s">
        <v>209</v>
      </c>
      <c r="D962" s="133" t="s">
        <v>213</v>
      </c>
      <c r="E962" s="22" t="s">
        <v>3</v>
      </c>
      <c r="F962" s="22" t="s">
        <v>210</v>
      </c>
      <c r="G962" s="22" t="s">
        <v>77</v>
      </c>
      <c r="H962" s="22" t="s">
        <v>3</v>
      </c>
      <c r="I962" s="22" t="s">
        <v>1022</v>
      </c>
      <c r="J962" s="134" t="s">
        <v>1026</v>
      </c>
      <c r="K962" s="133"/>
      <c r="L962" s="133"/>
      <c r="M962" s="133"/>
      <c r="N962" s="133"/>
      <c r="O962" s="135"/>
      <c r="P962" s="135"/>
      <c r="Q962" s="135"/>
      <c r="R962" s="135"/>
      <c r="S962" s="136">
        <v>81963841</v>
      </c>
      <c r="T962" s="136">
        <v>4203913</v>
      </c>
      <c r="U962" s="137">
        <f>SUM(U963)</f>
        <v>0</v>
      </c>
      <c r="V962" s="137">
        <f>SUM(V963)</f>
        <v>4864051.6399999997</v>
      </c>
      <c r="W962" s="137">
        <f>SUM(W963)</f>
        <v>13006349.909999998</v>
      </c>
      <c r="X962" s="138">
        <f t="shared" si="284"/>
        <v>17870401.549999997</v>
      </c>
      <c r="Y962" s="137">
        <f t="shared" ref="Y962:AR962" si="290">SUM(Y963)</f>
        <v>0</v>
      </c>
      <c r="Z962" s="137">
        <f t="shared" si="290"/>
        <v>3455343.62</v>
      </c>
      <c r="AA962" s="137">
        <f t="shared" si="290"/>
        <v>0</v>
      </c>
      <c r="AB962" s="137">
        <f t="shared" si="290"/>
        <v>1683885.4</v>
      </c>
      <c r="AC962" s="137">
        <f t="shared" si="290"/>
        <v>0</v>
      </c>
      <c r="AD962" s="137">
        <f t="shared" si="290"/>
        <v>0</v>
      </c>
      <c r="AE962" s="137">
        <f t="shared" si="290"/>
        <v>3158128.7</v>
      </c>
      <c r="AF962" s="137">
        <f t="shared" si="290"/>
        <v>0</v>
      </c>
      <c r="AG962" s="137">
        <f t="shared" si="290"/>
        <v>0</v>
      </c>
      <c r="AH962" s="137">
        <f t="shared" si="290"/>
        <v>3158128.7</v>
      </c>
      <c r="AI962" s="137">
        <f t="shared" si="290"/>
        <v>0</v>
      </c>
      <c r="AJ962" s="137">
        <f t="shared" si="290"/>
        <v>0</v>
      </c>
      <c r="AK962" s="137">
        <f t="shared" si="290"/>
        <v>11455486.42</v>
      </c>
      <c r="AL962" s="137">
        <f t="shared" si="290"/>
        <v>12362969.690000001</v>
      </c>
      <c r="AM962" s="137">
        <f t="shared" si="290"/>
        <v>11931082.07</v>
      </c>
      <c r="AN962" s="137">
        <f t="shared" si="290"/>
        <v>11249549.100000001</v>
      </c>
      <c r="AO962" s="137">
        <f t="shared" si="290"/>
        <v>9707930.4900000002</v>
      </c>
      <c r="AP962" s="137">
        <f t="shared" si="290"/>
        <v>3179752.56</v>
      </c>
      <c r="AQ962" s="137">
        <f t="shared" si="290"/>
        <v>0</v>
      </c>
      <c r="AR962" s="137">
        <f t="shared" si="290"/>
        <v>0</v>
      </c>
      <c r="AS962" s="137">
        <f>U962+V962+W962+AK962+AL962+AM962+AN962+AO962+AP962+AQ962+AR962</f>
        <v>77757171.879999995</v>
      </c>
      <c r="AT962" s="137">
        <f>AT963</f>
        <v>0</v>
      </c>
      <c r="AU962" s="139">
        <f t="shared" si="280"/>
        <v>77757171.879999995</v>
      </c>
      <c r="AV962" s="146">
        <f>IFERROR(VLOOKUP(J962,Maksājumu_pieprasījumu_iesn.!G:BL,57,0),0)</f>
        <v>0</v>
      </c>
      <c r="AW962" s="139">
        <f t="shared" si="278"/>
        <v>-77757171.879999995</v>
      </c>
      <c r="AX962" s="140">
        <f>S962-T962-AU962</f>
        <v>2756.1200000047684</v>
      </c>
      <c r="AY962" s="137">
        <v>2756</v>
      </c>
      <c r="AZ962" s="137"/>
      <c r="BA962" s="138" t="s">
        <v>2089</v>
      </c>
      <c r="BB962" s="140"/>
      <c r="BC962" s="140">
        <f>X962+AK962+AL962/2</f>
        <v>35507372.814999998</v>
      </c>
      <c r="BD962" s="140">
        <f>BC962*0.94</f>
        <v>33376930.446099997</v>
      </c>
      <c r="BE962" s="140">
        <f>BC962/0.85</f>
        <v>41773379.782352939</v>
      </c>
      <c r="BF962" s="137"/>
      <c r="BG962" s="137"/>
      <c r="BH962" s="138">
        <v>14305820.15</v>
      </c>
      <c r="BI962" s="138">
        <v>13082641</v>
      </c>
      <c r="BJ962" s="138">
        <f>AK962*0.94</f>
        <v>10768157.2348</v>
      </c>
      <c r="BK962" s="138">
        <f>BJ962-BI962</f>
        <v>-2314483.7652000003</v>
      </c>
      <c r="BL962" s="138">
        <v>11970885</v>
      </c>
      <c r="BM962" s="138"/>
      <c r="BN962" s="138"/>
    </row>
    <row r="963" spans="1:66" ht="38.25" hidden="1" customHeight="1" x14ac:dyDescent="0.2">
      <c r="A963" s="142" t="s">
        <v>2087</v>
      </c>
      <c r="B963" s="18" t="s">
        <v>208</v>
      </c>
      <c r="C963" s="18" t="s">
        <v>209</v>
      </c>
      <c r="D963" s="19" t="s">
        <v>213</v>
      </c>
      <c r="E963" s="18" t="s">
        <v>3</v>
      </c>
      <c r="F963" s="18" t="s">
        <v>210</v>
      </c>
      <c r="G963" s="18" t="s">
        <v>77</v>
      </c>
      <c r="H963" s="18" t="s">
        <v>3</v>
      </c>
      <c r="I963" s="18"/>
      <c r="J963" s="18" t="s">
        <v>211</v>
      </c>
      <c r="K963" s="19" t="s">
        <v>212</v>
      </c>
      <c r="L963" s="19"/>
      <c r="M963" s="19"/>
      <c r="N963" s="19" t="s">
        <v>213</v>
      </c>
      <c r="O963" s="143"/>
      <c r="P963" s="143"/>
      <c r="Q963" s="143"/>
      <c r="R963" s="143">
        <v>42299</v>
      </c>
      <c r="S963" s="144">
        <v>77759928</v>
      </c>
      <c r="T963" s="144"/>
      <c r="U963" s="145">
        <v>0</v>
      </c>
      <c r="V963" s="145">
        <v>4864051.6399999997</v>
      </c>
      <c r="W963" s="153">
        <v>13006349.909999998</v>
      </c>
      <c r="X963" s="145">
        <f t="shared" si="284"/>
        <v>17870401.549999997</v>
      </c>
      <c r="Y963" s="145">
        <v>0</v>
      </c>
      <c r="Z963" s="153">
        <v>3455343.62</v>
      </c>
      <c r="AA963" s="145">
        <v>0</v>
      </c>
      <c r="AB963" s="153">
        <v>1683885.4</v>
      </c>
      <c r="AC963" s="145">
        <v>0</v>
      </c>
      <c r="AD963" s="166">
        <v>0</v>
      </c>
      <c r="AE963" s="166">
        <v>3158128.7</v>
      </c>
      <c r="AF963" s="145">
        <v>0</v>
      </c>
      <c r="AG963" s="145">
        <v>0</v>
      </c>
      <c r="AH963" s="145">
        <v>3158128.7</v>
      </c>
      <c r="AI963" s="145">
        <v>0</v>
      </c>
      <c r="AJ963" s="145">
        <v>0</v>
      </c>
      <c r="AK963" s="147">
        <f>SUM(Y963:AJ963)</f>
        <v>11455486.42</v>
      </c>
      <c r="AL963" s="153">
        <v>12362969.690000001</v>
      </c>
      <c r="AM963" s="145">
        <v>11931082.07</v>
      </c>
      <c r="AN963" s="145">
        <v>11249549.100000001</v>
      </c>
      <c r="AO963" s="153">
        <v>9707930.4900000002</v>
      </c>
      <c r="AP963" s="153">
        <v>3179752.56</v>
      </c>
      <c r="AQ963" s="145">
        <v>0</v>
      </c>
      <c r="AR963" s="145">
        <v>0</v>
      </c>
      <c r="AS963" s="144">
        <f>U963+V963+W963+AK963+AL963+AM963+AN963+AO963+AP963+AQ963+AR963</f>
        <v>77757171.879999995</v>
      </c>
      <c r="AT963" s="144">
        <v>0</v>
      </c>
      <c r="AU963" s="146">
        <f t="shared" si="280"/>
        <v>77757171.879999995</v>
      </c>
      <c r="AV963" s="146" t="str">
        <f>IFERROR(VLOOKUP(J963,Maksājumu_pieprasījumu_iesn.!G:BL,57,0),0)</f>
        <v>Lai gan augustā maksājuma pieprasījums iesniegts par mazāku summu kā plānots, kopumā gada neizpilde netiek plānota lielāka par 0,1 milj. euro, jo oktobrī plānotais maksājuma pieprasījums nosegs iztrūkstošo summu 0,4 milj. euro. Novirzes no plāniem aizsākās š.g. I un II ceturksnī, kad dēļ tehniskām problēmām IS BURVIS nevarēja uzsākt un reģistrēt apmācības. Šī problēma ir novērsta un norit aktīvs darbs pie apmācību nodrošināšanas.</v>
      </c>
      <c r="AW963" s="139" t="e">
        <f t="shared" si="278"/>
        <v>#VALUE!</v>
      </c>
      <c r="AX963" s="147"/>
      <c r="AY963" s="147"/>
      <c r="AZ963" s="147"/>
      <c r="BA963" s="149" t="s">
        <v>2089</v>
      </c>
      <c r="BB963" s="147"/>
      <c r="BC963" s="147"/>
      <c r="BD963" s="147"/>
      <c r="BE963" s="147"/>
      <c r="BF963" s="147"/>
      <c r="BG963" s="147"/>
      <c r="BH963" s="149"/>
      <c r="BI963" s="149"/>
      <c r="BJ963" s="149"/>
      <c r="BK963" s="149"/>
      <c r="BL963" s="149"/>
      <c r="BM963" s="149"/>
      <c r="BN963" s="149"/>
    </row>
    <row r="964" spans="1:66" s="91" customFormat="1" ht="25.5" hidden="1" x14ac:dyDescent="0.2">
      <c r="A964" s="127" t="s">
        <v>2087</v>
      </c>
      <c r="B964" s="127" t="s">
        <v>214</v>
      </c>
      <c r="C964" s="127" t="s">
        <v>1023</v>
      </c>
      <c r="D964" s="128" t="s">
        <v>2090</v>
      </c>
      <c r="E964" s="127"/>
      <c r="F964" s="127"/>
      <c r="G964" s="127" t="s">
        <v>77</v>
      </c>
      <c r="H964" s="127"/>
      <c r="I964" s="127"/>
      <c r="J964" s="127"/>
      <c r="K964" s="128"/>
      <c r="L964" s="128"/>
      <c r="M964" s="128"/>
      <c r="N964" s="128"/>
      <c r="O964" s="163"/>
      <c r="P964" s="163"/>
      <c r="Q964" s="163"/>
      <c r="R964" s="163"/>
      <c r="S964" s="164">
        <f>S965+S967</f>
        <v>1693217</v>
      </c>
      <c r="T964" s="164">
        <f>T965+T967</f>
        <v>0</v>
      </c>
      <c r="U964" s="164">
        <f>U965+U967</f>
        <v>0</v>
      </c>
      <c r="V964" s="164">
        <f>V965+V967</f>
        <v>20111.060000000001</v>
      </c>
      <c r="W964" s="164">
        <f>W965+W967</f>
        <v>102709.63</v>
      </c>
      <c r="X964" s="129">
        <f t="shared" si="284"/>
        <v>122820.69</v>
      </c>
      <c r="Y964" s="164">
        <f t="shared" ref="Y964:AT964" si="291">Y965+Y967</f>
        <v>270.81</v>
      </c>
      <c r="Z964" s="164">
        <f t="shared" si="291"/>
        <v>40079.69</v>
      </c>
      <c r="AA964" s="164">
        <f t="shared" si="291"/>
        <v>0</v>
      </c>
      <c r="AB964" s="164">
        <f t="shared" si="291"/>
        <v>0</v>
      </c>
      <c r="AC964" s="164">
        <f t="shared" si="291"/>
        <v>156701.79999999999</v>
      </c>
      <c r="AD964" s="164">
        <f t="shared" si="291"/>
        <v>0</v>
      </c>
      <c r="AE964" s="164">
        <f t="shared" si="291"/>
        <v>0</v>
      </c>
      <c r="AF964" s="164">
        <f t="shared" si="291"/>
        <v>53698.98</v>
      </c>
      <c r="AG964" s="164">
        <f t="shared" si="291"/>
        <v>0</v>
      </c>
      <c r="AH964" s="164">
        <f t="shared" si="291"/>
        <v>0</v>
      </c>
      <c r="AI964" s="164">
        <f t="shared" si="291"/>
        <v>82298.22</v>
      </c>
      <c r="AJ964" s="164">
        <f t="shared" si="291"/>
        <v>0</v>
      </c>
      <c r="AK964" s="164">
        <f>AK965+AK967</f>
        <v>333049.5</v>
      </c>
      <c r="AL964" s="164">
        <f t="shared" si="291"/>
        <v>732205.75</v>
      </c>
      <c r="AM964" s="164">
        <f t="shared" si="291"/>
        <v>221334.90000000002</v>
      </c>
      <c r="AN964" s="164">
        <f t="shared" si="291"/>
        <v>173043</v>
      </c>
      <c r="AO964" s="164">
        <f t="shared" si="291"/>
        <v>99590.25</v>
      </c>
      <c r="AP964" s="164">
        <f t="shared" si="291"/>
        <v>11172.91</v>
      </c>
      <c r="AQ964" s="164">
        <f t="shared" si="291"/>
        <v>0</v>
      </c>
      <c r="AR964" s="164">
        <f t="shared" si="291"/>
        <v>0</v>
      </c>
      <c r="AS964" s="164">
        <f>AS965+AS967</f>
        <v>1693216.9999999998</v>
      </c>
      <c r="AT964" s="164">
        <f t="shared" si="291"/>
        <v>0</v>
      </c>
      <c r="AU964" s="183">
        <f>AS964-AT964</f>
        <v>1693216.9999999998</v>
      </c>
      <c r="AV964" s="146">
        <f>IFERROR(VLOOKUP(J964,Maksājumu_pieprasījumu_iesn.!G:BL,57,0),0)</f>
        <v>0</v>
      </c>
      <c r="AW964" s="139">
        <f t="shared" si="278"/>
        <v>-1693216.9999999998</v>
      </c>
      <c r="AX964" s="164">
        <f>AX965+AX967</f>
        <v>0</v>
      </c>
      <c r="AY964" s="164">
        <f>AY965+AY967</f>
        <v>0</v>
      </c>
      <c r="AZ964" s="164"/>
      <c r="BA964" s="164"/>
      <c r="BB964" s="164">
        <f>BB965+BB967</f>
        <v>0</v>
      </c>
      <c r="BC964" s="164">
        <f>BC965+BC967</f>
        <v>821973.06499999994</v>
      </c>
      <c r="BD964" s="164">
        <f>BC964*0.94</f>
        <v>772654.68109999993</v>
      </c>
      <c r="BE964" s="129">
        <f>BD964/0.85</f>
        <v>909005.50717647048</v>
      </c>
      <c r="BF964" s="164">
        <f>BF965+BF967</f>
        <v>0</v>
      </c>
      <c r="BG964" s="164">
        <f>BG965+BG967</f>
        <v>0</v>
      </c>
      <c r="BH964" s="129">
        <f>BH965+BH967</f>
        <v>95689.590000000011</v>
      </c>
      <c r="BI964" s="129">
        <f>BI965+BI967</f>
        <v>323134.81</v>
      </c>
      <c r="BJ964" s="129">
        <f>AK964*0.94</f>
        <v>313066.52999999997</v>
      </c>
      <c r="BK964" s="129">
        <f>BJ964-BI964</f>
        <v>-10068.280000000028</v>
      </c>
      <c r="BL964" s="129">
        <f>BL965+BL967</f>
        <v>498561</v>
      </c>
      <c r="BM964" s="129">
        <f>AL964*0.94</f>
        <v>688273.40499999991</v>
      </c>
      <c r="BN964" s="129">
        <f>BM964-BL964</f>
        <v>189712.40499999991</v>
      </c>
    </row>
    <row r="965" spans="1:66" s="91" customFormat="1" ht="12.75" hidden="1" customHeight="1" x14ac:dyDescent="0.2">
      <c r="A965" s="131" t="s">
        <v>2087</v>
      </c>
      <c r="B965" s="132" t="s">
        <v>214</v>
      </c>
      <c r="C965" s="132" t="s">
        <v>215</v>
      </c>
      <c r="D965" s="133" t="s">
        <v>217</v>
      </c>
      <c r="E965" s="22" t="s">
        <v>3</v>
      </c>
      <c r="F965" s="22" t="s">
        <v>210</v>
      </c>
      <c r="G965" s="22" t="s">
        <v>77</v>
      </c>
      <c r="H965" s="22" t="s">
        <v>3</v>
      </c>
      <c r="I965" s="22" t="s">
        <v>1022</v>
      </c>
      <c r="J965" s="134" t="s">
        <v>1026</v>
      </c>
      <c r="K965" s="133"/>
      <c r="L965" s="133"/>
      <c r="M965" s="133"/>
      <c r="N965" s="133"/>
      <c r="O965" s="135"/>
      <c r="P965" s="135"/>
      <c r="Q965" s="135"/>
      <c r="R965" s="135"/>
      <c r="S965" s="136">
        <v>428655</v>
      </c>
      <c r="T965" s="136">
        <v>0</v>
      </c>
      <c r="U965" s="137">
        <f>SUM(U966)</f>
        <v>0</v>
      </c>
      <c r="V965" s="137">
        <f>SUM(V966)</f>
        <v>20111.060000000001</v>
      </c>
      <c r="W965" s="137">
        <f>SUM(W966)</f>
        <v>77156.800000000003</v>
      </c>
      <c r="X965" s="138">
        <f t="shared" si="284"/>
        <v>97267.86</v>
      </c>
      <c r="Y965" s="137">
        <f t="shared" ref="Y965:AR965" si="292">SUM(Y966)</f>
        <v>270.81</v>
      </c>
      <c r="Z965" s="137">
        <f t="shared" si="292"/>
        <v>20302.349999999999</v>
      </c>
      <c r="AA965" s="137">
        <f t="shared" si="292"/>
        <v>0</v>
      </c>
      <c r="AB965" s="137">
        <f t="shared" si="292"/>
        <v>0</v>
      </c>
      <c r="AC965" s="137">
        <f t="shared" si="292"/>
        <v>19823.27</v>
      </c>
      <c r="AD965" s="137">
        <f t="shared" si="292"/>
        <v>0</v>
      </c>
      <c r="AE965" s="137">
        <f t="shared" si="292"/>
        <v>0</v>
      </c>
      <c r="AF965" s="137">
        <f t="shared" si="292"/>
        <v>18119.68</v>
      </c>
      <c r="AG965" s="137">
        <f t="shared" si="292"/>
        <v>0</v>
      </c>
      <c r="AH965" s="137">
        <f t="shared" si="292"/>
        <v>0</v>
      </c>
      <c r="AI965" s="137">
        <f t="shared" si="292"/>
        <v>21573.279999999999</v>
      </c>
      <c r="AJ965" s="137">
        <f t="shared" si="292"/>
        <v>0</v>
      </c>
      <c r="AK965" s="137">
        <f>SUM(AK966)</f>
        <v>80089.39</v>
      </c>
      <c r="AL965" s="137">
        <f t="shared" si="292"/>
        <v>72309</v>
      </c>
      <c r="AM965" s="137">
        <f t="shared" si="292"/>
        <v>69831.75</v>
      </c>
      <c r="AN965" s="137">
        <f t="shared" si="292"/>
        <v>88068.5</v>
      </c>
      <c r="AO965" s="137">
        <f t="shared" si="292"/>
        <v>21088.5</v>
      </c>
      <c r="AP965" s="137">
        <f t="shared" si="292"/>
        <v>0</v>
      </c>
      <c r="AQ965" s="137">
        <f t="shared" si="292"/>
        <v>0</v>
      </c>
      <c r="AR965" s="137">
        <f t="shared" si="292"/>
        <v>0</v>
      </c>
      <c r="AS965" s="137">
        <f>U965+V965+W965+AK965+AL965+AM965+AN965+AO965+AP965+AQ965+AR965</f>
        <v>428655</v>
      </c>
      <c r="AT965" s="137">
        <f>AT966</f>
        <v>0</v>
      </c>
      <c r="AU965" s="139">
        <f>AS965-AT965</f>
        <v>428655</v>
      </c>
      <c r="AV965" s="146">
        <f>IFERROR(VLOOKUP(J965,Maksājumu_pieprasījumu_iesn.!G:BL,57,0),0)</f>
        <v>0</v>
      </c>
      <c r="AW965" s="139">
        <f t="shared" si="278"/>
        <v>-428655</v>
      </c>
      <c r="AX965" s="140">
        <f>S965-T965-AU965</f>
        <v>0</v>
      </c>
      <c r="AY965" s="137"/>
      <c r="AZ965" s="137"/>
      <c r="BA965" s="138"/>
      <c r="BB965" s="140"/>
      <c r="BC965" s="140">
        <f>X965+AK965+AL965/2</f>
        <v>213511.75</v>
      </c>
      <c r="BD965" s="140">
        <f>BC965*0.94</f>
        <v>200701.04499999998</v>
      </c>
      <c r="BE965" s="140">
        <f>BC965/0.85</f>
        <v>251190.29411764708</v>
      </c>
      <c r="BF965" s="137"/>
      <c r="BG965" s="137"/>
      <c r="BH965" s="138">
        <v>70407.570000000007</v>
      </c>
      <c r="BI965" s="138">
        <v>79381</v>
      </c>
      <c r="BJ965" s="138">
        <f>AK965*0.94</f>
        <v>75284.026599999997</v>
      </c>
      <c r="BK965" s="138">
        <f>BJ965-BI965</f>
        <v>-4096.9734000000026</v>
      </c>
      <c r="BL965" s="138">
        <v>87173</v>
      </c>
      <c r="BM965" s="138"/>
      <c r="BN965" s="138"/>
    </row>
    <row r="966" spans="1:66" ht="25.5" hidden="1" customHeight="1" x14ac:dyDescent="0.2">
      <c r="A966" s="142" t="s">
        <v>2087</v>
      </c>
      <c r="B966" s="18" t="s">
        <v>214</v>
      </c>
      <c r="C966" s="18" t="s">
        <v>215</v>
      </c>
      <c r="D966" s="19" t="s">
        <v>217</v>
      </c>
      <c r="E966" s="18" t="s">
        <v>3</v>
      </c>
      <c r="F966" s="18" t="s">
        <v>210</v>
      </c>
      <c r="G966" s="18" t="s">
        <v>77</v>
      </c>
      <c r="H966" s="18" t="s">
        <v>3</v>
      </c>
      <c r="I966" s="18"/>
      <c r="J966" s="18" t="s">
        <v>216</v>
      </c>
      <c r="K966" s="19" t="s">
        <v>212</v>
      </c>
      <c r="L966" s="19"/>
      <c r="M966" s="19"/>
      <c r="N966" s="19" t="s">
        <v>217</v>
      </c>
      <c r="O966" s="143"/>
      <c r="P966" s="143"/>
      <c r="Q966" s="143"/>
      <c r="R966" s="143">
        <v>42247</v>
      </c>
      <c r="S966" s="144">
        <v>428655</v>
      </c>
      <c r="T966" s="144"/>
      <c r="U966" s="145">
        <v>0</v>
      </c>
      <c r="V966" s="145">
        <v>20111.060000000001</v>
      </c>
      <c r="W966" s="145">
        <v>77156.800000000003</v>
      </c>
      <c r="X966" s="145">
        <f>W966+V966+U966</f>
        <v>97267.86</v>
      </c>
      <c r="Y966" s="145">
        <v>270.81</v>
      </c>
      <c r="Z966" s="145">
        <v>20302.349999999999</v>
      </c>
      <c r="AA966" s="145">
        <v>0</v>
      </c>
      <c r="AB966" s="145">
        <v>0</v>
      </c>
      <c r="AC966" s="145">
        <v>19823.27</v>
      </c>
      <c r="AD966" s="145">
        <v>0</v>
      </c>
      <c r="AE966" s="145">
        <v>0</v>
      </c>
      <c r="AF966" s="420">
        <v>18119.68</v>
      </c>
      <c r="AG966" s="145">
        <v>0</v>
      </c>
      <c r="AH966" s="145">
        <v>0</v>
      </c>
      <c r="AI966" s="145">
        <v>21573.279999999999</v>
      </c>
      <c r="AJ966" s="145">
        <v>0</v>
      </c>
      <c r="AK966" s="145">
        <f>SUM(Y966:AJ966)</f>
        <v>80089.39</v>
      </c>
      <c r="AL966" s="145">
        <v>72309</v>
      </c>
      <c r="AM966" s="145">
        <v>69831.75</v>
      </c>
      <c r="AN966" s="145">
        <v>88068.5</v>
      </c>
      <c r="AO966" s="145">
        <v>21088.5</v>
      </c>
      <c r="AP966" s="145">
        <v>0</v>
      </c>
      <c r="AQ966" s="145">
        <v>0</v>
      </c>
      <c r="AR966" s="145">
        <v>0</v>
      </c>
      <c r="AS966" s="144">
        <f>U966+V966+W966+AK966+AL966+AM966+AN966+AO966+AP966+AQ966+AR966</f>
        <v>428655</v>
      </c>
      <c r="AT966" s="144">
        <v>0</v>
      </c>
      <c r="AU966" s="146">
        <f>AS966-AT966</f>
        <v>428655</v>
      </c>
      <c r="AV966" s="146">
        <f>IFERROR(VLOOKUP(J966,Maksājumu_pieprasījumu_iesn.!G:BL,57,0),0)</f>
        <v>0</v>
      </c>
      <c r="AW966" s="139">
        <f t="shared" si="278"/>
        <v>-428655</v>
      </c>
      <c r="AX966" s="147"/>
      <c r="AY966" s="147"/>
      <c r="AZ966" s="147"/>
      <c r="BA966" s="165"/>
      <c r="BB966" s="144"/>
      <c r="BC966" s="144"/>
      <c r="BD966" s="144"/>
      <c r="BE966" s="144"/>
      <c r="BF966" s="144"/>
      <c r="BG966" s="144"/>
      <c r="BH966" s="149"/>
      <c r="BI966" s="149"/>
      <c r="BJ966" s="149"/>
      <c r="BK966" s="149"/>
      <c r="BL966" s="149"/>
      <c r="BM966" s="149"/>
      <c r="BN966" s="149"/>
    </row>
    <row r="967" spans="1:66" s="91" customFormat="1" ht="25.5" hidden="1" customHeight="1" x14ac:dyDescent="0.2">
      <c r="A967" s="131" t="s">
        <v>2087</v>
      </c>
      <c r="B967" s="132" t="s">
        <v>214</v>
      </c>
      <c r="C967" s="132" t="s">
        <v>218</v>
      </c>
      <c r="D967" s="133" t="s">
        <v>220</v>
      </c>
      <c r="E967" s="22" t="s">
        <v>3</v>
      </c>
      <c r="F967" s="22" t="s">
        <v>210</v>
      </c>
      <c r="G967" s="22" t="s">
        <v>77</v>
      </c>
      <c r="H967" s="22" t="s">
        <v>3</v>
      </c>
      <c r="I967" s="22" t="s">
        <v>1022</v>
      </c>
      <c r="J967" s="134" t="s">
        <v>1026</v>
      </c>
      <c r="K967" s="133"/>
      <c r="L967" s="133"/>
      <c r="M967" s="133"/>
      <c r="N967" s="133"/>
      <c r="O967" s="135"/>
      <c r="P967" s="135"/>
      <c r="Q967" s="135"/>
      <c r="R967" s="135"/>
      <c r="S967" s="136">
        <v>1264562</v>
      </c>
      <c r="T967" s="136">
        <v>0</v>
      </c>
      <c r="U967" s="137">
        <f>SUM(U968)</f>
        <v>0</v>
      </c>
      <c r="V967" s="137">
        <f>SUM(V968)</f>
        <v>0</v>
      </c>
      <c r="W967" s="137">
        <f>SUM(W968)</f>
        <v>25552.83</v>
      </c>
      <c r="X967" s="138">
        <f>U967+V967+W967</f>
        <v>25552.83</v>
      </c>
      <c r="Y967" s="137">
        <f t="shared" ref="Y967:AR967" si="293">SUM(Y968)</f>
        <v>0</v>
      </c>
      <c r="Z967" s="137">
        <f t="shared" si="293"/>
        <v>19777.34</v>
      </c>
      <c r="AA967" s="137">
        <f t="shared" si="293"/>
        <v>0</v>
      </c>
      <c r="AB967" s="137">
        <f t="shared" si="293"/>
        <v>0</v>
      </c>
      <c r="AC967" s="137">
        <f t="shared" si="293"/>
        <v>136878.53</v>
      </c>
      <c r="AD967" s="137">
        <f t="shared" si="293"/>
        <v>0</v>
      </c>
      <c r="AE967" s="137">
        <f t="shared" si="293"/>
        <v>0</v>
      </c>
      <c r="AF967" s="137">
        <f t="shared" si="293"/>
        <v>35579.300000000003</v>
      </c>
      <c r="AG967" s="137">
        <f t="shared" si="293"/>
        <v>0</v>
      </c>
      <c r="AH967" s="137">
        <f t="shared" si="293"/>
        <v>0</v>
      </c>
      <c r="AI967" s="137">
        <f t="shared" si="293"/>
        <v>60724.94</v>
      </c>
      <c r="AJ967" s="137">
        <f t="shared" si="293"/>
        <v>0</v>
      </c>
      <c r="AK967" s="137">
        <f t="shared" si="293"/>
        <v>252960.11</v>
      </c>
      <c r="AL967" s="137">
        <f t="shared" si="293"/>
        <v>659896.75</v>
      </c>
      <c r="AM967" s="137">
        <f t="shared" si="293"/>
        <v>151503.15000000002</v>
      </c>
      <c r="AN967" s="137">
        <f t="shared" si="293"/>
        <v>84974.5</v>
      </c>
      <c r="AO967" s="137">
        <f t="shared" si="293"/>
        <v>78501.75</v>
      </c>
      <c r="AP967" s="137">
        <f t="shared" si="293"/>
        <v>11172.91</v>
      </c>
      <c r="AQ967" s="137">
        <f t="shared" si="293"/>
        <v>0</v>
      </c>
      <c r="AR967" s="137">
        <f t="shared" si="293"/>
        <v>0</v>
      </c>
      <c r="AS967" s="137">
        <f>U967+V967+W967+AK967+AL967+AM967+AN967+AO967+AP967+AQ967+AR967</f>
        <v>1264561.9999999998</v>
      </c>
      <c r="AT967" s="137">
        <f>AT968</f>
        <v>0</v>
      </c>
      <c r="AU967" s="139">
        <f t="shared" si="280"/>
        <v>1264561.9999999998</v>
      </c>
      <c r="AV967" s="146">
        <f>IFERROR(VLOOKUP(J967,Maksājumu_pieprasījumu_iesn.!G:BL,57,0),0)</f>
        <v>0</v>
      </c>
      <c r="AW967" s="139">
        <f t="shared" si="278"/>
        <v>-1264561.9999999998</v>
      </c>
      <c r="AX967" s="140">
        <f>S967-T967-AU967</f>
        <v>0</v>
      </c>
      <c r="AY967" s="137"/>
      <c r="AZ967" s="137"/>
      <c r="BA967" s="138"/>
      <c r="BB967" s="140"/>
      <c r="BC967" s="140">
        <f>X967+AK967+AL967/2</f>
        <v>608461.31499999994</v>
      </c>
      <c r="BD967" s="140">
        <f>BC967*0.94</f>
        <v>571953.63609999989</v>
      </c>
      <c r="BE967" s="140">
        <f>BC967/0.85</f>
        <v>715836.84117647051</v>
      </c>
      <c r="BF967" s="137"/>
      <c r="BG967" s="137"/>
      <c r="BH967" s="138">
        <v>25282.02</v>
      </c>
      <c r="BI967" s="138">
        <v>243753.81</v>
      </c>
      <c r="BJ967" s="138">
        <f>AK967*0.94</f>
        <v>237782.50339999999</v>
      </c>
      <c r="BK967" s="138">
        <f>BJ967-BI967</f>
        <v>-5971.3066000000108</v>
      </c>
      <c r="BL967" s="138">
        <v>411388</v>
      </c>
      <c r="BM967" s="138"/>
      <c r="BN967" s="138"/>
    </row>
    <row r="968" spans="1:66" ht="25.5" hidden="1" customHeight="1" x14ac:dyDescent="0.2">
      <c r="A968" s="142" t="s">
        <v>2087</v>
      </c>
      <c r="B968" s="18" t="s">
        <v>214</v>
      </c>
      <c r="C968" s="18" t="s">
        <v>218</v>
      </c>
      <c r="D968" s="19" t="s">
        <v>220</v>
      </c>
      <c r="E968" s="18" t="s">
        <v>3</v>
      </c>
      <c r="F968" s="18" t="s">
        <v>210</v>
      </c>
      <c r="G968" s="18" t="s">
        <v>77</v>
      </c>
      <c r="H968" s="18" t="s">
        <v>3</v>
      </c>
      <c r="I968" s="18"/>
      <c r="J968" s="18" t="s">
        <v>219</v>
      </c>
      <c r="K968" s="19" t="s">
        <v>212</v>
      </c>
      <c r="L968" s="19"/>
      <c r="M968" s="19"/>
      <c r="N968" s="19" t="s">
        <v>220</v>
      </c>
      <c r="O968" s="143"/>
      <c r="P968" s="143"/>
      <c r="Q968" s="143"/>
      <c r="R968" s="143">
        <v>42599</v>
      </c>
      <c r="S968" s="144">
        <v>1264562</v>
      </c>
      <c r="T968" s="144"/>
      <c r="U968" s="145">
        <v>0</v>
      </c>
      <c r="V968" s="145">
        <v>0</v>
      </c>
      <c r="W968" s="145">
        <v>25552.83</v>
      </c>
      <c r="X968" s="145">
        <f>U968+V968+W968</f>
        <v>25552.83</v>
      </c>
      <c r="Y968" s="145">
        <v>0</v>
      </c>
      <c r="Z968" s="145">
        <v>19777.34</v>
      </c>
      <c r="AA968" s="145">
        <v>0</v>
      </c>
      <c r="AB968" s="145">
        <v>0</v>
      </c>
      <c r="AC968" s="145">
        <v>136878.53</v>
      </c>
      <c r="AD968" s="145">
        <v>0</v>
      </c>
      <c r="AE968" s="145">
        <v>0</v>
      </c>
      <c r="AF968" s="420">
        <v>35579.300000000003</v>
      </c>
      <c r="AG968" s="145">
        <v>0</v>
      </c>
      <c r="AH968" s="145">
        <v>0</v>
      </c>
      <c r="AI968" s="145">
        <v>60724.94</v>
      </c>
      <c r="AJ968" s="145">
        <v>0</v>
      </c>
      <c r="AK968" s="145">
        <v>252960.11</v>
      </c>
      <c r="AL968" s="145">
        <v>659896.75</v>
      </c>
      <c r="AM968" s="145">
        <v>151503.15000000002</v>
      </c>
      <c r="AN968" s="145">
        <v>84974.5</v>
      </c>
      <c r="AO968" s="145">
        <v>78501.75</v>
      </c>
      <c r="AP968" s="145">
        <v>11172.91</v>
      </c>
      <c r="AQ968" s="145">
        <v>0</v>
      </c>
      <c r="AR968" s="145">
        <v>0</v>
      </c>
      <c r="AS968" s="144">
        <f>U968+V968+W968+AK968+AL968+AM968+AN968+AO968+AP968+AQ968+AR968</f>
        <v>1264561.9999999998</v>
      </c>
      <c r="AT968" s="144">
        <v>0</v>
      </c>
      <c r="AU968" s="146">
        <f t="shared" si="280"/>
        <v>1264561.9999999998</v>
      </c>
      <c r="AV968" s="146">
        <f>IFERROR(VLOOKUP(J968,Maksājumu_pieprasījumu_iesn.!G:BL,57,0),0)</f>
        <v>0</v>
      </c>
      <c r="AW968" s="139">
        <f t="shared" si="278"/>
        <v>-1264561.9999999998</v>
      </c>
      <c r="AX968" s="147"/>
      <c r="AY968" s="147"/>
      <c r="AZ968" s="147"/>
      <c r="BA968" s="165"/>
      <c r="BB968" s="144"/>
      <c r="BC968" s="144"/>
      <c r="BD968" s="144"/>
      <c r="BE968" s="144"/>
      <c r="BF968" s="144"/>
      <c r="BG968" s="144"/>
      <c r="BH968" s="149"/>
      <c r="BI968" s="149"/>
      <c r="BJ968" s="149"/>
      <c r="BK968" s="149"/>
      <c r="BL968" s="149"/>
      <c r="BM968" s="149"/>
      <c r="BN968" s="149"/>
    </row>
    <row r="969" spans="1:66" s="91" customFormat="1" hidden="1" x14ac:dyDescent="0.2">
      <c r="A969" s="127" t="s">
        <v>2087</v>
      </c>
      <c r="B969" s="127" t="s">
        <v>221</v>
      </c>
      <c r="C969" s="127" t="s">
        <v>1023</v>
      </c>
      <c r="D969" s="128" t="s">
        <v>580</v>
      </c>
      <c r="E969" s="127"/>
      <c r="F969" s="127"/>
      <c r="G969" s="127" t="s">
        <v>2091</v>
      </c>
      <c r="H969" s="127"/>
      <c r="I969" s="127"/>
      <c r="J969" s="127"/>
      <c r="K969" s="128"/>
      <c r="L969" s="128"/>
      <c r="M969" s="128"/>
      <c r="N969" s="128"/>
      <c r="O969" s="163"/>
      <c r="P969" s="163"/>
      <c r="Q969" s="163"/>
      <c r="R969" s="163"/>
      <c r="S969" s="164">
        <f>S970+S973+S976</f>
        <v>66758830</v>
      </c>
      <c r="T969" s="164">
        <f>T970+T972+T973+T975+T976</f>
        <v>2770061</v>
      </c>
      <c r="U969" s="164">
        <f>U970+U973+U976</f>
        <v>0</v>
      </c>
      <c r="V969" s="164">
        <f>V970+V973+V976</f>
        <v>120531.37</v>
      </c>
      <c r="W969" s="164">
        <f>W970+W973+W976</f>
        <v>27810726.68</v>
      </c>
      <c r="X969" s="129">
        <f>U969+V969+W969</f>
        <v>27931258.050000001</v>
      </c>
      <c r="Y969" s="164">
        <f t="shared" ref="Y969:AT969" si="294">Y970+Y973+Y976</f>
        <v>0</v>
      </c>
      <c r="Z969" s="164">
        <f t="shared" si="294"/>
        <v>2617244.7599999998</v>
      </c>
      <c r="AA969" s="164">
        <f t="shared" si="294"/>
        <v>1550947.85</v>
      </c>
      <c r="AB969" s="164">
        <f t="shared" si="294"/>
        <v>1552076.4</v>
      </c>
      <c r="AC969" s="164">
        <f t="shared" si="294"/>
        <v>0</v>
      </c>
      <c r="AD969" s="164">
        <f t="shared" si="294"/>
        <v>1585953</v>
      </c>
      <c r="AE969" s="164">
        <f t="shared" si="294"/>
        <v>2710461.04</v>
      </c>
      <c r="AF969" s="164">
        <f t="shared" si="294"/>
        <v>0</v>
      </c>
      <c r="AG969" s="164">
        <f t="shared" si="294"/>
        <v>3938973.56</v>
      </c>
      <c r="AH969" s="164">
        <f t="shared" si="294"/>
        <v>2710461.04</v>
      </c>
      <c r="AI969" s="164">
        <f t="shared" si="294"/>
        <v>0</v>
      </c>
      <c r="AJ969" s="164">
        <f t="shared" si="294"/>
        <v>4009877.1799999997</v>
      </c>
      <c r="AK969" s="164">
        <f t="shared" si="294"/>
        <v>20675994.829999998</v>
      </c>
      <c r="AL969" s="164">
        <f t="shared" si="294"/>
        <v>15381516.120000001</v>
      </c>
      <c r="AM969" s="164">
        <f t="shared" si="294"/>
        <v>0</v>
      </c>
      <c r="AN969" s="164">
        <f t="shared" si="294"/>
        <v>0</v>
      </c>
      <c r="AO969" s="164">
        <f t="shared" si="294"/>
        <v>0</v>
      </c>
      <c r="AP969" s="164">
        <f t="shared" si="294"/>
        <v>0</v>
      </c>
      <c r="AQ969" s="164">
        <f t="shared" si="294"/>
        <v>0</v>
      </c>
      <c r="AR969" s="164">
        <f t="shared" si="294"/>
        <v>0</v>
      </c>
      <c r="AS969" s="164">
        <f t="shared" si="294"/>
        <v>63988769</v>
      </c>
      <c r="AT969" s="164">
        <f t="shared" si="294"/>
        <v>0</v>
      </c>
      <c r="AU969" s="183">
        <f t="shared" si="280"/>
        <v>63988769</v>
      </c>
      <c r="AV969" s="146">
        <f>IFERROR(VLOOKUP(J969,Maksājumu_pieprasījumu_iesn.!G:BL,57,0),0)</f>
        <v>0</v>
      </c>
      <c r="AW969" s="139">
        <f t="shared" si="278"/>
        <v>-63988769</v>
      </c>
      <c r="AX969" s="164">
        <f>AX970+AX973+AX976</f>
        <v>0</v>
      </c>
      <c r="AY969" s="164">
        <f>AY970+AY973+AY976</f>
        <v>0</v>
      </c>
      <c r="AZ969" s="164"/>
      <c r="BA969" s="164"/>
      <c r="BB969" s="164">
        <f>BB970+BB973+BB976</f>
        <v>0</v>
      </c>
      <c r="BC969" s="164">
        <f>BC970+BC973+BC976</f>
        <v>56298010.939999998</v>
      </c>
      <c r="BD969" s="164">
        <f>BC969</f>
        <v>56298010.939999998</v>
      </c>
      <c r="BE969" s="129">
        <f>BD969/0.85</f>
        <v>66232954.047058821</v>
      </c>
      <c r="BF969" s="164">
        <f>BF970+BF973+BF976</f>
        <v>0</v>
      </c>
      <c r="BG969" s="164">
        <f>BG970+BG973+BG976</f>
        <v>0</v>
      </c>
      <c r="BH969" s="129">
        <f>BH970+BH973+BH976</f>
        <v>22914176.579999998</v>
      </c>
      <c r="BI969" s="129">
        <f>BI970+BI973+BI976</f>
        <v>22773999.239999998</v>
      </c>
      <c r="BJ969" s="129">
        <f>AK969</f>
        <v>20675994.829999998</v>
      </c>
      <c r="BK969" s="129">
        <f>BJ969-BI969</f>
        <v>-2098004.41</v>
      </c>
      <c r="BL969" s="129">
        <f>BL970+BL973+BL976</f>
        <v>18300592.880000003</v>
      </c>
      <c r="BM969" s="129">
        <f>AL969</f>
        <v>15381516.120000001</v>
      </c>
      <c r="BN969" s="129">
        <f>BM969-BL969</f>
        <v>-2919076.7600000016</v>
      </c>
    </row>
    <row r="970" spans="1:66" s="91" customFormat="1" ht="12.75" hidden="1" customHeight="1" x14ac:dyDescent="0.2">
      <c r="A970" s="131" t="s">
        <v>2087</v>
      </c>
      <c r="B970" s="132" t="s">
        <v>221</v>
      </c>
      <c r="C970" s="132" t="s">
        <v>2092</v>
      </c>
      <c r="D970" s="133" t="s">
        <v>580</v>
      </c>
      <c r="E970" s="22" t="s">
        <v>3</v>
      </c>
      <c r="F970" s="22" t="s">
        <v>210</v>
      </c>
      <c r="G970" s="22" t="s">
        <v>2091</v>
      </c>
      <c r="H970" s="22" t="s">
        <v>3</v>
      </c>
      <c r="I970" s="22" t="s">
        <v>1022</v>
      </c>
      <c r="J970" s="134" t="s">
        <v>1026</v>
      </c>
      <c r="K970" s="133"/>
      <c r="L970" s="133"/>
      <c r="M970" s="133"/>
      <c r="N970" s="133"/>
      <c r="O970" s="135"/>
      <c r="P970" s="135"/>
      <c r="Q970" s="135"/>
      <c r="R970" s="135"/>
      <c r="S970" s="136">
        <f t="shared" ref="S970:AT970" si="295">S971+S972</f>
        <v>31207922</v>
      </c>
      <c r="T970" s="136">
        <f t="shared" si="295"/>
        <v>0</v>
      </c>
      <c r="U970" s="136">
        <f t="shared" si="295"/>
        <v>0</v>
      </c>
      <c r="V970" s="136">
        <f t="shared" si="295"/>
        <v>120531.37</v>
      </c>
      <c r="W970" s="136">
        <f t="shared" si="295"/>
        <v>13513992.23</v>
      </c>
      <c r="X970" s="136">
        <f t="shared" si="295"/>
        <v>13634523.600000001</v>
      </c>
      <c r="Y970" s="136">
        <f t="shared" si="295"/>
        <v>0</v>
      </c>
      <c r="Z970" s="136">
        <f t="shared" si="295"/>
        <v>2617244.7599999998</v>
      </c>
      <c r="AA970" s="136">
        <f t="shared" si="295"/>
        <v>0</v>
      </c>
      <c r="AB970" s="136">
        <f t="shared" si="295"/>
        <v>1552076.4</v>
      </c>
      <c r="AC970" s="136">
        <f t="shared" si="295"/>
        <v>0</v>
      </c>
      <c r="AD970" s="136">
        <f t="shared" si="295"/>
        <v>0</v>
      </c>
      <c r="AE970" s="136">
        <f t="shared" si="295"/>
        <v>2710461.04</v>
      </c>
      <c r="AF970" s="136">
        <f t="shared" si="295"/>
        <v>0</v>
      </c>
      <c r="AG970" s="136">
        <f t="shared" si="295"/>
        <v>0</v>
      </c>
      <c r="AH970" s="136">
        <f t="shared" si="295"/>
        <v>2710461.04</v>
      </c>
      <c r="AI970" s="136">
        <f t="shared" si="295"/>
        <v>0</v>
      </c>
      <c r="AJ970" s="136">
        <f t="shared" si="295"/>
        <v>0</v>
      </c>
      <c r="AK970" s="136">
        <f t="shared" si="295"/>
        <v>9590243.2399999984</v>
      </c>
      <c r="AL970" s="136">
        <f t="shared" si="295"/>
        <v>7983155.1600000011</v>
      </c>
      <c r="AM970" s="136">
        <f t="shared" si="295"/>
        <v>0</v>
      </c>
      <c r="AN970" s="136">
        <f t="shared" si="295"/>
        <v>0</v>
      </c>
      <c r="AO970" s="136">
        <f t="shared" si="295"/>
        <v>0</v>
      </c>
      <c r="AP970" s="136">
        <f t="shared" si="295"/>
        <v>0</v>
      </c>
      <c r="AQ970" s="136">
        <f t="shared" si="295"/>
        <v>0</v>
      </c>
      <c r="AR970" s="136">
        <f t="shared" si="295"/>
        <v>0</v>
      </c>
      <c r="AS970" s="136">
        <f t="shared" si="295"/>
        <v>31207922</v>
      </c>
      <c r="AT970" s="136">
        <f t="shared" si="295"/>
        <v>0</v>
      </c>
      <c r="AU970" s="139">
        <f t="shared" si="280"/>
        <v>31207922</v>
      </c>
      <c r="AV970" s="146">
        <f>IFERROR(VLOOKUP(J970,Maksājumu_pieprasījumu_iesn.!G:BL,57,0),0)</f>
        <v>0</v>
      </c>
      <c r="AW970" s="139">
        <f t="shared" si="278"/>
        <v>-31207922</v>
      </c>
      <c r="AX970" s="140">
        <f>S970-T970-AU970</f>
        <v>0</v>
      </c>
      <c r="AY970" s="136"/>
      <c r="AZ970" s="136"/>
      <c r="BA970" s="138"/>
      <c r="BB970" s="136">
        <f t="shared" ref="BB970:BI970" si="296">BB971+BB972</f>
        <v>0</v>
      </c>
      <c r="BC970" s="136">
        <f t="shared" si="296"/>
        <v>27216344.420000002</v>
      </c>
      <c r="BD970" s="136">
        <f t="shared" si="296"/>
        <v>27206922.056600001</v>
      </c>
      <c r="BE970" s="136">
        <f t="shared" si="296"/>
        <v>32019228.72941177</v>
      </c>
      <c r="BF970" s="136">
        <f t="shared" si="296"/>
        <v>0</v>
      </c>
      <c r="BG970" s="136">
        <f t="shared" si="296"/>
        <v>0</v>
      </c>
      <c r="BH970" s="138">
        <f t="shared" si="296"/>
        <v>11711493.16</v>
      </c>
      <c r="BI970" s="138">
        <f t="shared" si="296"/>
        <v>10348059.239999998</v>
      </c>
      <c r="BJ970" s="138">
        <f t="shared" ref="BJ970:BJ979" si="297">AK970*0.94</f>
        <v>9014828.6455999985</v>
      </c>
      <c r="BK970" s="138">
        <f>BJ970-BI970</f>
        <v>-1333230.5943999998</v>
      </c>
      <c r="BL970" s="138">
        <f>BL971+BL972</f>
        <v>9148369</v>
      </c>
      <c r="BM970" s="138"/>
      <c r="BN970" s="138"/>
    </row>
    <row r="971" spans="1:66" ht="25.5" hidden="1" customHeight="1" x14ac:dyDescent="0.2">
      <c r="A971" s="158" t="s">
        <v>2087</v>
      </c>
      <c r="B971" s="20" t="s">
        <v>221</v>
      </c>
      <c r="C971" s="20" t="s">
        <v>2093</v>
      </c>
      <c r="D971" s="21" t="s">
        <v>580</v>
      </c>
      <c r="E971" s="20" t="s">
        <v>3</v>
      </c>
      <c r="F971" s="20" t="s">
        <v>210</v>
      </c>
      <c r="G971" s="20" t="s">
        <v>77</v>
      </c>
      <c r="H971" s="20" t="s">
        <v>3</v>
      </c>
      <c r="I971" s="20"/>
      <c r="J971" s="20" t="s">
        <v>635</v>
      </c>
      <c r="K971" s="21" t="s">
        <v>212</v>
      </c>
      <c r="L971" s="21"/>
      <c r="M971" s="21"/>
      <c r="N971" s="21" t="s">
        <v>580</v>
      </c>
      <c r="O971" s="159"/>
      <c r="P971" s="159"/>
      <c r="Q971" s="159"/>
      <c r="R971" s="159">
        <v>42335</v>
      </c>
      <c r="S971" s="147">
        <v>176800</v>
      </c>
      <c r="T971" s="147"/>
      <c r="U971" s="153">
        <v>0</v>
      </c>
      <c r="V971" s="153">
        <v>120531.37</v>
      </c>
      <c r="W971" s="153">
        <v>938.93</v>
      </c>
      <c r="X971" s="153">
        <f>W971+V971</f>
        <v>121470.29999999999</v>
      </c>
      <c r="Y971" s="153">
        <v>0</v>
      </c>
      <c r="Z971" s="153">
        <v>0</v>
      </c>
      <c r="AA971" s="153">
        <v>0</v>
      </c>
      <c r="AB971" s="153">
        <v>0</v>
      </c>
      <c r="AC971" s="153">
        <v>0</v>
      </c>
      <c r="AD971" s="153">
        <v>0</v>
      </c>
      <c r="AE971" s="166">
        <v>7904.24</v>
      </c>
      <c r="AF971" s="153">
        <v>0</v>
      </c>
      <c r="AG971" s="153">
        <v>0</v>
      </c>
      <c r="AH971" s="153">
        <v>7904.24</v>
      </c>
      <c r="AI971" s="153">
        <v>0</v>
      </c>
      <c r="AJ971" s="153">
        <v>0</v>
      </c>
      <c r="AK971" s="153">
        <f>SUM(Y971:AJ971)</f>
        <v>15808.48</v>
      </c>
      <c r="AL971" s="153">
        <v>39521.22</v>
      </c>
      <c r="AM971" s="153">
        <v>0</v>
      </c>
      <c r="AN971" s="153">
        <v>0</v>
      </c>
      <c r="AO971" s="153">
        <v>0</v>
      </c>
      <c r="AP971" s="153">
        <v>0</v>
      </c>
      <c r="AQ971" s="153">
        <v>0</v>
      </c>
      <c r="AR971" s="153">
        <v>0</v>
      </c>
      <c r="AS971" s="147">
        <f>U971+V971+W971+AK971+AL971+AM971+AN971+AO971+AP971+AQ971+AR971</f>
        <v>176800</v>
      </c>
      <c r="AT971" s="147"/>
      <c r="AU971" s="146"/>
      <c r="AV971" s="146" t="str">
        <f>IFERROR(VLOOKUP(J971,Maksājumu_pieprasījumu_iesn.!G:BL,57,0),0)</f>
        <v xml:space="preserve">Iesaistes uzsākšanu pasākumos “Subsidētās darba vietas jauniešiem bezdarbniekiem (pasākumi noteiktām mērķa grupā)”, “Pirmā darba pieredze jaunietim” un “Neformālās izglītības programmu īstenošanu” aizkavēja grozījumi MK noteikumos Nr.75 un MK noteikumos par pasākuma īstenošanu Nr.207, kuri stājās spēkā 03.03.2017., kā arī tehniskas problēmas ar NVA sistēmu BURVIS. Izvērtējot šī brīža situāciju, projekts nesaskata risku nesasniegt projekta mērķi, kā arī projekts ir iesniedzis CFLA projekta grozījumus Nr.4 ar priekšlikumu veikt izmaiņas iesaistāmo bezdarbnieku skaitā starp pasākumiem, tādējādi veicinot projekta mērķa sasniegšanu. </v>
      </c>
      <c r="AW971" s="139" t="e">
        <f t="shared" si="278"/>
        <v>#VALUE!</v>
      </c>
      <c r="AX971" s="165">
        <f>S971-T971-AT971-AS971</f>
        <v>0</v>
      </c>
      <c r="AY971" s="165"/>
      <c r="AZ971" s="165"/>
      <c r="BA971" s="165"/>
      <c r="BB971" s="227"/>
      <c r="BC971" s="227">
        <f>X971+AK971+AL971/2</f>
        <v>157039.39000000001</v>
      </c>
      <c r="BD971" s="227">
        <f>BC971*0.94</f>
        <v>147617.02660000001</v>
      </c>
      <c r="BE971" s="227">
        <f t="shared" ref="BE971:BE976" si="298">BC971/0.85</f>
        <v>184752.2235294118</v>
      </c>
      <c r="BF971" s="227"/>
      <c r="BG971" s="227"/>
      <c r="BH971" s="149">
        <v>121470.3</v>
      </c>
      <c r="BI971" s="149">
        <f>AK971</f>
        <v>15808.48</v>
      </c>
      <c r="BJ971" s="149">
        <f t="shared" si="297"/>
        <v>14859.971199999998</v>
      </c>
      <c r="BK971" s="149"/>
      <c r="BL971" s="149">
        <v>39521.22</v>
      </c>
      <c r="BM971" s="149"/>
      <c r="BN971" s="149"/>
    </row>
    <row r="972" spans="1:66" s="221" customFormat="1" ht="15" hidden="1" customHeight="1" x14ac:dyDescent="0.25">
      <c r="A972" s="220" t="s">
        <v>2087</v>
      </c>
      <c r="B972" s="20" t="s">
        <v>221</v>
      </c>
      <c r="C972" s="20" t="s">
        <v>2094</v>
      </c>
      <c r="D972" s="19" t="s">
        <v>580</v>
      </c>
      <c r="E972" s="52" t="s">
        <v>3</v>
      </c>
      <c r="F972" s="52" t="s">
        <v>210</v>
      </c>
      <c r="G972" s="52" t="s">
        <v>1001</v>
      </c>
      <c r="H972" s="52" t="s">
        <v>3</v>
      </c>
      <c r="I972" s="52"/>
      <c r="J972" s="20" t="s">
        <v>635</v>
      </c>
      <c r="K972" s="21"/>
      <c r="L972" s="21"/>
      <c r="M972" s="21"/>
      <c r="N972" s="21"/>
      <c r="O972" s="188"/>
      <c r="P972" s="188"/>
      <c r="Q972" s="188"/>
      <c r="R972" s="188">
        <v>42335</v>
      </c>
      <c r="S972" s="189">
        <v>31031122</v>
      </c>
      <c r="T972" s="189"/>
      <c r="U972" s="153">
        <v>0</v>
      </c>
      <c r="V972" s="153">
        <v>0</v>
      </c>
      <c r="W972" s="353">
        <v>13513053.300000001</v>
      </c>
      <c r="X972" s="153">
        <f>W972</f>
        <v>13513053.300000001</v>
      </c>
      <c r="Y972" s="153">
        <v>0</v>
      </c>
      <c r="Z972" s="153">
        <v>2617244.7599999998</v>
      </c>
      <c r="AA972" s="153">
        <v>0</v>
      </c>
      <c r="AB972" s="153">
        <v>1552076.4</v>
      </c>
      <c r="AC972" s="153">
        <v>0</v>
      </c>
      <c r="AD972" s="166">
        <v>0</v>
      </c>
      <c r="AE972" s="166">
        <v>2702556.8</v>
      </c>
      <c r="AF972" s="153">
        <v>0</v>
      </c>
      <c r="AG972" s="153">
        <v>0</v>
      </c>
      <c r="AH972" s="153">
        <v>2702556.8</v>
      </c>
      <c r="AI972" s="153">
        <v>0</v>
      </c>
      <c r="AJ972" s="153">
        <v>0</v>
      </c>
      <c r="AK972" s="153">
        <f>SUM(Y972:AJ972)</f>
        <v>9574434.7599999979</v>
      </c>
      <c r="AL972" s="153">
        <v>7943633.9400000013</v>
      </c>
      <c r="AM972" s="153">
        <v>0</v>
      </c>
      <c r="AN972" s="153">
        <v>0</v>
      </c>
      <c r="AO972" s="153">
        <v>0</v>
      </c>
      <c r="AP972" s="153">
        <v>0</v>
      </c>
      <c r="AQ972" s="153">
        <v>0</v>
      </c>
      <c r="AR972" s="153">
        <v>0</v>
      </c>
      <c r="AS972" s="153">
        <f>U972+V972+W972+AK972+AL972+AM972+AN972+AO972+AP972+AQ972+AR972</f>
        <v>31031122</v>
      </c>
      <c r="AT972" s="153"/>
      <c r="AU972" s="139"/>
      <c r="AV972" s="146" t="str">
        <f>IFERROR(VLOOKUP(J972,Maksājumu_pieprasījumu_iesn.!G:BL,57,0),0)</f>
        <v xml:space="preserve">Iesaistes uzsākšanu pasākumos “Subsidētās darba vietas jauniešiem bezdarbniekiem (pasākumi noteiktām mērķa grupā)”, “Pirmā darba pieredze jaunietim” un “Neformālās izglītības programmu īstenošanu” aizkavēja grozījumi MK noteikumos Nr.75 un MK noteikumos par pasākuma īstenošanu Nr.207, kuri stājās spēkā 03.03.2017., kā arī tehniskas problēmas ar NVA sistēmu BURVIS. Izvērtējot šī brīža situāciju, projekts nesaskata risku nesasniegt projekta mērķi, kā arī projekts ir iesniedzis CFLA projekta grozījumus Nr.4 ar priekšlikumu veikt izmaiņas iesaistāmo bezdarbnieku skaitā starp pasākumiem, tādējādi veicinot projekta mērķa sasniegšanu. </v>
      </c>
      <c r="AW972" s="139" t="e">
        <f t="shared" si="278"/>
        <v>#VALUE!</v>
      </c>
      <c r="AX972" s="137">
        <f>S972-T972-AT972-AS972</f>
        <v>0</v>
      </c>
      <c r="AY972" s="137"/>
      <c r="AZ972" s="137"/>
      <c r="BA972" s="136"/>
      <c r="BB972" s="336"/>
      <c r="BC972" s="336">
        <f>X972+AK972+AL972/2</f>
        <v>27059305.030000001</v>
      </c>
      <c r="BD972" s="336">
        <f>BC972</f>
        <v>27059305.030000001</v>
      </c>
      <c r="BE972" s="336">
        <f t="shared" si="298"/>
        <v>31834476.505882356</v>
      </c>
      <c r="BF972" s="336"/>
      <c r="BG972" s="336"/>
      <c r="BH972" s="138">
        <v>11590022.859999999</v>
      </c>
      <c r="BI972" s="138">
        <v>10332250.759999998</v>
      </c>
      <c r="BJ972" s="138">
        <f t="shared" si="297"/>
        <v>8999968.674399998</v>
      </c>
      <c r="BK972" s="138"/>
      <c r="BL972" s="138">
        <v>9108847.7799999993</v>
      </c>
      <c r="BM972" s="138"/>
      <c r="BN972" s="138"/>
    </row>
    <row r="973" spans="1:66" s="91" customFormat="1" ht="12.75" hidden="1" customHeight="1" x14ac:dyDescent="0.2">
      <c r="A973" s="131" t="s">
        <v>2087</v>
      </c>
      <c r="B973" s="132" t="s">
        <v>221</v>
      </c>
      <c r="C973" s="132" t="s">
        <v>2095</v>
      </c>
      <c r="D973" s="133" t="s">
        <v>580</v>
      </c>
      <c r="E973" s="22" t="s">
        <v>3</v>
      </c>
      <c r="F973" s="22" t="s">
        <v>210</v>
      </c>
      <c r="G973" s="22" t="s">
        <v>2091</v>
      </c>
      <c r="H973" s="22" t="s">
        <v>3</v>
      </c>
      <c r="I973" s="22" t="s">
        <v>1022</v>
      </c>
      <c r="J973" s="134" t="s">
        <v>1026</v>
      </c>
      <c r="K973" s="133"/>
      <c r="L973" s="133"/>
      <c r="M973" s="133"/>
      <c r="N973" s="133"/>
      <c r="O973" s="135"/>
      <c r="P973" s="135"/>
      <c r="Q973" s="135"/>
      <c r="R973" s="135"/>
      <c r="S973" s="136">
        <f t="shared" ref="S973:AT973" si="299">S974+S975</f>
        <v>32780847</v>
      </c>
      <c r="T973" s="136">
        <f t="shared" si="299"/>
        <v>0</v>
      </c>
      <c r="U973" s="136">
        <f t="shared" si="299"/>
        <v>0</v>
      </c>
      <c r="V973" s="136">
        <f t="shared" si="299"/>
        <v>0</v>
      </c>
      <c r="W973" s="136">
        <f t="shared" si="299"/>
        <v>14296734.449999999</v>
      </c>
      <c r="X973" s="136">
        <f t="shared" si="299"/>
        <v>14296734.449999999</v>
      </c>
      <c r="Y973" s="136">
        <f t="shared" si="299"/>
        <v>0</v>
      </c>
      <c r="Z973" s="136">
        <f t="shared" si="299"/>
        <v>0</v>
      </c>
      <c r="AA973" s="136">
        <f t="shared" si="299"/>
        <v>1550947.85</v>
      </c>
      <c r="AB973" s="136">
        <f t="shared" si="299"/>
        <v>0</v>
      </c>
      <c r="AC973" s="136">
        <f t="shared" si="299"/>
        <v>0</v>
      </c>
      <c r="AD973" s="136">
        <f t="shared" si="299"/>
        <v>1585953</v>
      </c>
      <c r="AE973" s="136">
        <f t="shared" si="299"/>
        <v>0</v>
      </c>
      <c r="AF973" s="136">
        <f t="shared" si="299"/>
        <v>0</v>
      </c>
      <c r="AG973" s="136">
        <f t="shared" si="299"/>
        <v>3938973.56</v>
      </c>
      <c r="AH973" s="136">
        <f t="shared" si="299"/>
        <v>0</v>
      </c>
      <c r="AI973" s="136">
        <f t="shared" si="299"/>
        <v>0</v>
      </c>
      <c r="AJ973" s="136">
        <f t="shared" si="299"/>
        <v>4009877.1799999997</v>
      </c>
      <c r="AK973" s="136">
        <f>AK974+AK975</f>
        <v>11085751.59</v>
      </c>
      <c r="AL973" s="136">
        <f t="shared" si="299"/>
        <v>7398360.9600000009</v>
      </c>
      <c r="AM973" s="136">
        <f t="shared" si="299"/>
        <v>0</v>
      </c>
      <c r="AN973" s="136">
        <f t="shared" si="299"/>
        <v>0</v>
      </c>
      <c r="AO973" s="136">
        <f t="shared" si="299"/>
        <v>0</v>
      </c>
      <c r="AP973" s="136">
        <f t="shared" si="299"/>
        <v>0</v>
      </c>
      <c r="AQ973" s="136">
        <f t="shared" si="299"/>
        <v>0</v>
      </c>
      <c r="AR973" s="136">
        <f t="shared" si="299"/>
        <v>0</v>
      </c>
      <c r="AS973" s="136">
        <f t="shared" si="299"/>
        <v>32780847</v>
      </c>
      <c r="AT973" s="136">
        <f t="shared" si="299"/>
        <v>0</v>
      </c>
      <c r="AU973" s="139">
        <f t="shared" si="280"/>
        <v>32780847</v>
      </c>
      <c r="AV973" s="146">
        <f>IFERROR(VLOOKUP(J973,Maksājumu_pieprasījumu_iesn.!G:BL,57,0),0)</f>
        <v>0</v>
      </c>
      <c r="AW973" s="139">
        <f t="shared" si="278"/>
        <v>-32780847</v>
      </c>
      <c r="AX973" s="140">
        <f>S973-T973-AU973</f>
        <v>0</v>
      </c>
      <c r="AY973" s="136"/>
      <c r="AZ973" s="136"/>
      <c r="BA973" s="138"/>
      <c r="BB973" s="136">
        <f>BB974+BB975</f>
        <v>0</v>
      </c>
      <c r="BC973" s="136">
        <f>BC974+BC975</f>
        <v>29081666.52</v>
      </c>
      <c r="BD973" s="136">
        <f>BD974+BD975</f>
        <v>28765505.246399999</v>
      </c>
      <c r="BE973" s="136">
        <f t="shared" si="298"/>
        <v>34213725.317647062</v>
      </c>
      <c r="BF973" s="136">
        <f>BF974+BF975</f>
        <v>0</v>
      </c>
      <c r="BG973" s="136">
        <f>BG974+BG975</f>
        <v>0</v>
      </c>
      <c r="BH973" s="138">
        <f>BH974+BH975</f>
        <v>11202683.42</v>
      </c>
      <c r="BI973" s="138">
        <f>BI974+BI975</f>
        <v>12425940</v>
      </c>
      <c r="BJ973" s="138">
        <f t="shared" si="297"/>
        <v>10420606.4946</v>
      </c>
      <c r="BK973" s="138">
        <f>BJ973-BI973</f>
        <v>-2005333.5054000001</v>
      </c>
      <c r="BL973" s="138">
        <f>BL974+BL975</f>
        <v>9152223.8800000008</v>
      </c>
      <c r="BM973" s="138"/>
      <c r="BN973" s="138"/>
    </row>
    <row r="974" spans="1:66" ht="38.25" hidden="1" customHeight="1" x14ac:dyDescent="0.2">
      <c r="A974" s="142" t="s">
        <v>2087</v>
      </c>
      <c r="B974" s="18" t="s">
        <v>221</v>
      </c>
      <c r="C974" s="18" t="s">
        <v>2096</v>
      </c>
      <c r="D974" s="19" t="s">
        <v>580</v>
      </c>
      <c r="E974" s="18" t="s">
        <v>3</v>
      </c>
      <c r="F974" s="18" t="s">
        <v>210</v>
      </c>
      <c r="G974" s="18" t="s">
        <v>77</v>
      </c>
      <c r="H974" s="18" t="s">
        <v>3</v>
      </c>
      <c r="I974" s="18"/>
      <c r="J974" s="18" t="s">
        <v>222</v>
      </c>
      <c r="K974" s="19" t="s">
        <v>7</v>
      </c>
      <c r="L974" s="19"/>
      <c r="M974" s="19"/>
      <c r="N974" s="19" t="s">
        <v>223</v>
      </c>
      <c r="O974" s="143"/>
      <c r="P974" s="143"/>
      <c r="Q974" s="143"/>
      <c r="R974" s="143">
        <v>42324</v>
      </c>
      <c r="S974" s="144">
        <v>5790691</v>
      </c>
      <c r="T974" s="144"/>
      <c r="U974" s="145">
        <v>0</v>
      </c>
      <c r="V974" s="145">
        <v>0</v>
      </c>
      <c r="W974" s="153">
        <v>2649371.7499999995</v>
      </c>
      <c r="X974" s="153">
        <f>W974</f>
        <v>2649371.7499999995</v>
      </c>
      <c r="Y974" s="153">
        <v>0</v>
      </c>
      <c r="Z974" s="153">
        <v>0</v>
      </c>
      <c r="AA974" s="153">
        <v>414795.81000000006</v>
      </c>
      <c r="AB974" s="153">
        <v>0</v>
      </c>
      <c r="AC974" s="145">
        <v>0</v>
      </c>
      <c r="AD974" s="153">
        <v>280080</v>
      </c>
      <c r="AE974" s="153">
        <v>0</v>
      </c>
      <c r="AF974" s="153">
        <v>0</v>
      </c>
      <c r="AG974" s="153">
        <v>695624.48</v>
      </c>
      <c r="AH974" s="153">
        <v>0</v>
      </c>
      <c r="AI974" s="153">
        <v>0</v>
      </c>
      <c r="AJ974" s="153">
        <v>708146.07999999961</v>
      </c>
      <c r="AK974" s="153">
        <f>SUM(Y974:AJ974)</f>
        <v>2098646.3699999996</v>
      </c>
      <c r="AL974" s="153">
        <v>1042672.8800000008</v>
      </c>
      <c r="AM974" s="145">
        <v>0</v>
      </c>
      <c r="AN974" s="145">
        <v>0</v>
      </c>
      <c r="AO974" s="145">
        <v>0</v>
      </c>
      <c r="AP974" s="145">
        <v>0</v>
      </c>
      <c r="AQ974" s="145">
        <v>0</v>
      </c>
      <c r="AR974" s="145">
        <v>0</v>
      </c>
      <c r="AS974" s="144">
        <f>U974+V974+W974+AK974+AL974+AM974+AN974+AO974+AP974+AQ974+AR974</f>
        <v>5790691</v>
      </c>
      <c r="AT974" s="144"/>
      <c r="AU974" s="146"/>
      <c r="AV974" s="146">
        <f>IFERROR(VLOOKUP(J974,Maksājumu_pieprasījumu_iesn.!G:BL,57,0),0)</f>
        <v>0</v>
      </c>
      <c r="AW974" s="139">
        <f t="shared" si="278"/>
        <v>0</v>
      </c>
      <c r="AX974" s="165">
        <f>S974-T974-AT974-AS974</f>
        <v>0</v>
      </c>
      <c r="AY974" s="165"/>
      <c r="AZ974" s="165"/>
      <c r="BA974" s="165" t="s">
        <v>2097</v>
      </c>
      <c r="BB974" s="315"/>
      <c r="BC974" s="144">
        <f>X974+AK974+AL974/2</f>
        <v>5269354.5599999996</v>
      </c>
      <c r="BD974" s="144">
        <f>BC974*0.94</f>
        <v>4953193.2863999996</v>
      </c>
      <c r="BE974" s="144">
        <f t="shared" si="298"/>
        <v>6199240.6588235293</v>
      </c>
      <c r="BF974" s="144"/>
      <c r="BG974" s="144"/>
      <c r="BH974" s="149">
        <f>2246314.6</f>
        <v>2246314.6</v>
      </c>
      <c r="BI974" s="149">
        <v>2098646.3699999996</v>
      </c>
      <c r="BJ974" s="149">
        <f t="shared" si="297"/>
        <v>1972727.5877999996</v>
      </c>
      <c r="BK974" s="149">
        <f>BJ974-BI974</f>
        <v>-125918.78220000002</v>
      </c>
      <c r="BL974" s="149">
        <v>1042672.8800000008</v>
      </c>
      <c r="BM974" s="149"/>
      <c r="BN974" s="149"/>
    </row>
    <row r="975" spans="1:66" s="221" customFormat="1" ht="12.75" hidden="1" customHeight="1" x14ac:dyDescent="0.2">
      <c r="A975" s="220" t="s">
        <v>2087</v>
      </c>
      <c r="B975" s="20" t="s">
        <v>221</v>
      </c>
      <c r="C975" s="20" t="s">
        <v>2098</v>
      </c>
      <c r="D975" s="19" t="s">
        <v>580</v>
      </c>
      <c r="E975" s="52" t="s">
        <v>3</v>
      </c>
      <c r="F975" s="52" t="s">
        <v>210</v>
      </c>
      <c r="G975" s="52" t="s">
        <v>1001</v>
      </c>
      <c r="H975" s="52" t="s">
        <v>3</v>
      </c>
      <c r="I975" s="52"/>
      <c r="J975" s="18" t="s">
        <v>222</v>
      </c>
      <c r="K975" s="21"/>
      <c r="L975" s="21"/>
      <c r="M975" s="21"/>
      <c r="N975" s="21"/>
      <c r="O975" s="188"/>
      <c r="P975" s="188"/>
      <c r="Q975" s="188"/>
      <c r="R975" s="188">
        <v>42324</v>
      </c>
      <c r="S975" s="189">
        <v>26990156</v>
      </c>
      <c r="T975" s="189"/>
      <c r="U975" s="153">
        <v>0</v>
      </c>
      <c r="V975" s="153">
        <v>0</v>
      </c>
      <c r="W975" s="153">
        <v>11647362.699999999</v>
      </c>
      <c r="X975" s="153">
        <f>W975</f>
        <v>11647362.699999999</v>
      </c>
      <c r="Y975" s="153">
        <v>0</v>
      </c>
      <c r="Z975" s="153">
        <v>0</v>
      </c>
      <c r="AA975" s="153">
        <v>1136152.04</v>
      </c>
      <c r="AB975" s="153">
        <v>0</v>
      </c>
      <c r="AC975" s="153">
        <v>0</v>
      </c>
      <c r="AD975" s="153">
        <v>1305873</v>
      </c>
      <c r="AE975" s="153">
        <v>0</v>
      </c>
      <c r="AF975" s="153">
        <v>0</v>
      </c>
      <c r="AG975" s="153">
        <v>3243349.08</v>
      </c>
      <c r="AH975" s="153">
        <v>0</v>
      </c>
      <c r="AI975" s="153">
        <v>0</v>
      </c>
      <c r="AJ975" s="153">
        <v>3301731.1</v>
      </c>
      <c r="AK975" s="153">
        <f>SUM(Y975:AJ975)</f>
        <v>8987105.2200000007</v>
      </c>
      <c r="AL975" s="153">
        <v>6355688.0800000001</v>
      </c>
      <c r="AM975" s="153">
        <v>0</v>
      </c>
      <c r="AN975" s="153">
        <v>0</v>
      </c>
      <c r="AO975" s="153">
        <v>0</v>
      </c>
      <c r="AP975" s="153">
        <v>0</v>
      </c>
      <c r="AQ975" s="153">
        <v>0</v>
      </c>
      <c r="AR975" s="153">
        <v>0</v>
      </c>
      <c r="AS975" s="153">
        <f>U975+V975+W975+AK975+AL975+AM975+AN975+AO975+AP975+AQ975+AR975</f>
        <v>26990156</v>
      </c>
      <c r="AT975" s="153"/>
      <c r="AU975" s="139"/>
      <c r="AV975" s="146">
        <f>IFERROR(VLOOKUP(J975,Maksājumu_pieprasījumu_iesn.!G:BL,57,0),0)</f>
        <v>0</v>
      </c>
      <c r="AW975" s="139">
        <f t="shared" si="278"/>
        <v>0</v>
      </c>
      <c r="AX975" s="137">
        <f>S975-T975-AT975-AS975</f>
        <v>0</v>
      </c>
      <c r="AY975" s="137"/>
      <c r="AZ975" s="137"/>
      <c r="BA975" s="136" t="s">
        <v>2099</v>
      </c>
      <c r="BB975" s="354"/>
      <c r="BC975" s="153">
        <f>X975+AK975+AL975/2</f>
        <v>23812311.960000001</v>
      </c>
      <c r="BD975" s="153">
        <f>BC975</f>
        <v>23812311.960000001</v>
      </c>
      <c r="BE975" s="153">
        <f t="shared" si="298"/>
        <v>28014484.658823531</v>
      </c>
      <c r="BF975" s="153"/>
      <c r="BG975" s="153"/>
      <c r="BH975" s="138">
        <f>8956368.82</f>
        <v>8956368.8200000003</v>
      </c>
      <c r="BI975" s="138">
        <v>10327293.630000001</v>
      </c>
      <c r="BJ975" s="138">
        <f t="shared" si="297"/>
        <v>8447878.9068</v>
      </c>
      <c r="BK975" s="138">
        <f>BJ975-BI975</f>
        <v>-1879414.7232000008</v>
      </c>
      <c r="BL975" s="138">
        <v>8109551</v>
      </c>
      <c r="BM975" s="138"/>
      <c r="BN975" s="138"/>
    </row>
    <row r="976" spans="1:66" s="91" customFormat="1" ht="38.25" hidden="1" customHeight="1" x14ac:dyDescent="0.2">
      <c r="A976" s="131" t="s">
        <v>2087</v>
      </c>
      <c r="B976" s="132" t="s">
        <v>221</v>
      </c>
      <c r="C976" s="132" t="s">
        <v>2100</v>
      </c>
      <c r="D976" s="133" t="s">
        <v>2101</v>
      </c>
      <c r="E976" s="22" t="s">
        <v>3</v>
      </c>
      <c r="F976" s="22" t="s">
        <v>210</v>
      </c>
      <c r="G976" s="22" t="s">
        <v>77</v>
      </c>
      <c r="H976" s="22" t="s">
        <v>3</v>
      </c>
      <c r="I976" s="22" t="s">
        <v>1022</v>
      </c>
      <c r="J976" s="134" t="s">
        <v>1026</v>
      </c>
      <c r="K976" s="133"/>
      <c r="L976" s="133"/>
      <c r="M976" s="133"/>
      <c r="N976" s="133"/>
      <c r="O976" s="135"/>
      <c r="P976" s="135"/>
      <c r="Q976" s="135"/>
      <c r="R976" s="135"/>
      <c r="S976" s="136">
        <v>2770061</v>
      </c>
      <c r="T976" s="136">
        <v>2770061</v>
      </c>
      <c r="U976" s="137">
        <f>SUM(U977)</f>
        <v>0</v>
      </c>
      <c r="V976" s="137">
        <f>SUM(V977)</f>
        <v>0</v>
      </c>
      <c r="W976" s="137">
        <f>SUM(W977)</f>
        <v>0</v>
      </c>
      <c r="X976" s="138">
        <f>U976+V976+W976</f>
        <v>0</v>
      </c>
      <c r="Y976" s="137">
        <f t="shared" ref="Y976:AR976" si="300">SUM(Y977)</f>
        <v>0</v>
      </c>
      <c r="Z976" s="137">
        <f t="shared" si="300"/>
        <v>0</v>
      </c>
      <c r="AA976" s="137">
        <f t="shared" si="300"/>
        <v>0</v>
      </c>
      <c r="AB976" s="137">
        <f t="shared" si="300"/>
        <v>0</v>
      </c>
      <c r="AC976" s="137">
        <f t="shared" si="300"/>
        <v>0</v>
      </c>
      <c r="AD976" s="137">
        <f t="shared" si="300"/>
        <v>0</v>
      </c>
      <c r="AE976" s="137">
        <f t="shared" si="300"/>
        <v>0</v>
      </c>
      <c r="AF976" s="137">
        <f t="shared" si="300"/>
        <v>0</v>
      </c>
      <c r="AG976" s="137">
        <f t="shared" si="300"/>
        <v>0</v>
      </c>
      <c r="AH976" s="137">
        <f t="shared" si="300"/>
        <v>0</v>
      </c>
      <c r="AI976" s="137">
        <f t="shared" si="300"/>
        <v>0</v>
      </c>
      <c r="AJ976" s="137">
        <f t="shared" si="300"/>
        <v>0</v>
      </c>
      <c r="AK976" s="137">
        <f t="shared" si="300"/>
        <v>0</v>
      </c>
      <c r="AL976" s="137">
        <f t="shared" si="300"/>
        <v>0</v>
      </c>
      <c r="AM976" s="137">
        <f t="shared" si="300"/>
        <v>0</v>
      </c>
      <c r="AN976" s="137">
        <f t="shared" si="300"/>
        <v>0</v>
      </c>
      <c r="AO976" s="137">
        <f t="shared" si="300"/>
        <v>0</v>
      </c>
      <c r="AP976" s="137">
        <f t="shared" si="300"/>
        <v>0</v>
      </c>
      <c r="AQ976" s="137">
        <f t="shared" si="300"/>
        <v>0</v>
      </c>
      <c r="AR976" s="137">
        <f t="shared" si="300"/>
        <v>0</v>
      </c>
      <c r="AS976" s="137">
        <f>U976+V976+W976+AK976+AL976+AM976+AN976+AO976+AP976+AQ976+AR976</f>
        <v>0</v>
      </c>
      <c r="AT976" s="137">
        <f>AT977</f>
        <v>0</v>
      </c>
      <c r="AU976" s="139">
        <f t="shared" si="280"/>
        <v>0</v>
      </c>
      <c r="AV976" s="146">
        <f>IFERROR(VLOOKUP(J976,Maksājumu_pieprasījumu_iesn.!G:BL,57,0),0)</f>
        <v>0</v>
      </c>
      <c r="AW976" s="139">
        <f t="shared" ref="AW976:AW1039" si="301">AV976-AU976</f>
        <v>0</v>
      </c>
      <c r="AX976" s="140">
        <f>S976-T976-AU976</f>
        <v>0</v>
      </c>
      <c r="AY976" s="137"/>
      <c r="AZ976" s="137"/>
      <c r="BA976" s="138"/>
      <c r="BB976" s="140"/>
      <c r="BC976" s="140">
        <f>X976+AK976+AL976/2</f>
        <v>0</v>
      </c>
      <c r="BD976" s="140">
        <f>BC976*0.94</f>
        <v>0</v>
      </c>
      <c r="BE976" s="140">
        <f t="shared" si="298"/>
        <v>0</v>
      </c>
      <c r="BF976" s="137"/>
      <c r="BG976" s="137"/>
      <c r="BH976" s="138">
        <v>0</v>
      </c>
      <c r="BI976" s="138">
        <v>0</v>
      </c>
      <c r="BJ976" s="138">
        <f t="shared" si="297"/>
        <v>0</v>
      </c>
      <c r="BK976" s="138">
        <f>BJ976-BI976</f>
        <v>0</v>
      </c>
      <c r="BL976" s="138">
        <v>0</v>
      </c>
      <c r="BM976" s="138"/>
      <c r="BN976" s="138"/>
    </row>
    <row r="977" spans="1:66" s="91" customFormat="1" ht="38.25" hidden="1" customHeight="1" x14ac:dyDescent="0.2">
      <c r="A977" s="150" t="s">
        <v>2087</v>
      </c>
      <c r="B977" s="355" t="s">
        <v>221</v>
      </c>
      <c r="C977" s="355" t="s">
        <v>2100</v>
      </c>
      <c r="D977" s="356" t="s">
        <v>2102</v>
      </c>
      <c r="E977" s="114" t="s">
        <v>3</v>
      </c>
      <c r="F977" s="114" t="s">
        <v>210</v>
      </c>
      <c r="G977" s="114" t="s">
        <v>77</v>
      </c>
      <c r="H977" s="114" t="s">
        <v>3</v>
      </c>
      <c r="I977" s="114"/>
      <c r="J977" s="114"/>
      <c r="K977" s="356" t="s">
        <v>212</v>
      </c>
      <c r="L977" s="356"/>
      <c r="M977" s="356"/>
      <c r="N977" s="356"/>
      <c r="O977" s="357"/>
      <c r="P977" s="357"/>
      <c r="Q977" s="357"/>
      <c r="R977" s="357" t="s">
        <v>2103</v>
      </c>
      <c r="S977" s="117"/>
      <c r="T977" s="117"/>
      <c r="U977" s="358">
        <v>0</v>
      </c>
      <c r="V977" s="358">
        <v>0</v>
      </c>
      <c r="W977" s="358">
        <v>0</v>
      </c>
      <c r="X977" s="358">
        <f>U977+V977+W977</f>
        <v>0</v>
      </c>
      <c r="Y977" s="358">
        <v>0</v>
      </c>
      <c r="Z977" s="358">
        <v>0</v>
      </c>
      <c r="AA977" s="358">
        <v>0</v>
      </c>
      <c r="AB977" s="358">
        <v>0</v>
      </c>
      <c r="AC977" s="358">
        <v>0</v>
      </c>
      <c r="AD977" s="358">
        <v>0</v>
      </c>
      <c r="AE977" s="358">
        <v>0</v>
      </c>
      <c r="AF977" s="358">
        <v>0</v>
      </c>
      <c r="AG977" s="358">
        <v>0</v>
      </c>
      <c r="AH977" s="358">
        <v>0</v>
      </c>
      <c r="AI977" s="358">
        <v>0</v>
      </c>
      <c r="AJ977" s="358">
        <v>0</v>
      </c>
      <c r="AK977" s="358">
        <f>SUM(Y977:AJ977)</f>
        <v>0</v>
      </c>
      <c r="AL977" s="358">
        <v>0</v>
      </c>
      <c r="AM977" s="358">
        <v>0</v>
      </c>
      <c r="AN977" s="358">
        <v>0</v>
      </c>
      <c r="AO977" s="358">
        <v>0</v>
      </c>
      <c r="AP977" s="358">
        <v>0</v>
      </c>
      <c r="AQ977" s="358">
        <v>0</v>
      </c>
      <c r="AR977" s="358">
        <v>0</v>
      </c>
      <c r="AS977" s="358">
        <f>U977+V977+W977+AK977+AL977+AM977+AN977+AO977+AP977+AQ977+AR977</f>
        <v>0</v>
      </c>
      <c r="AT977" s="358"/>
      <c r="AU977" s="139">
        <f t="shared" si="280"/>
        <v>0</v>
      </c>
      <c r="AV977" s="146">
        <f>IFERROR(VLOOKUP(J977,Maksājumu_pieprasījumu_iesn.!G:BL,57,0),0)</f>
        <v>0</v>
      </c>
      <c r="AW977" s="139">
        <f t="shared" si="301"/>
        <v>0</v>
      </c>
      <c r="AX977" s="358"/>
      <c r="AY977" s="358"/>
      <c r="AZ977" s="358"/>
      <c r="BA977" s="359"/>
      <c r="BB977" s="358"/>
      <c r="BC977" s="358"/>
      <c r="BD977" s="358"/>
      <c r="BE977" s="358"/>
      <c r="BF977" s="358"/>
      <c r="BG977" s="358"/>
      <c r="BH977" s="360"/>
      <c r="BI977" s="360"/>
      <c r="BJ977" s="360">
        <f t="shared" si="297"/>
        <v>0</v>
      </c>
      <c r="BK977" s="360"/>
      <c r="BL977" s="360"/>
      <c r="BM977" s="360"/>
      <c r="BN977" s="360"/>
    </row>
    <row r="978" spans="1:66" s="91" customFormat="1" hidden="1" x14ac:dyDescent="0.2">
      <c r="A978" s="127" t="s">
        <v>2087</v>
      </c>
      <c r="B978" s="127" t="s">
        <v>224</v>
      </c>
      <c r="C978" s="127" t="s">
        <v>1023</v>
      </c>
      <c r="D978" s="128" t="s">
        <v>581</v>
      </c>
      <c r="E978" s="127"/>
      <c r="F978" s="127"/>
      <c r="G978" s="127" t="s">
        <v>77</v>
      </c>
      <c r="H978" s="127"/>
      <c r="I978" s="127"/>
      <c r="J978" s="127"/>
      <c r="K978" s="128"/>
      <c r="L978" s="128"/>
      <c r="M978" s="128"/>
      <c r="N978" s="128"/>
      <c r="O978" s="163"/>
      <c r="P978" s="163"/>
      <c r="Q978" s="163"/>
      <c r="R978" s="163"/>
      <c r="S978" s="164">
        <f>S979</f>
        <v>10746951</v>
      </c>
      <c r="T978" s="164">
        <f>T979</f>
        <v>0</v>
      </c>
      <c r="U978" s="164">
        <f>U979</f>
        <v>0</v>
      </c>
      <c r="V978" s="164">
        <f>V979</f>
        <v>0</v>
      </c>
      <c r="W978" s="164">
        <f>W979</f>
        <v>5412.46</v>
      </c>
      <c r="X978" s="129">
        <f>U978+V978+W978</f>
        <v>5412.46</v>
      </c>
      <c r="Y978" s="164">
        <f t="shared" ref="Y978:AT978" si="302">Y979</f>
        <v>45698.89</v>
      </c>
      <c r="Z978" s="164">
        <f t="shared" si="302"/>
        <v>0</v>
      </c>
      <c r="AA978" s="164">
        <f t="shared" si="302"/>
        <v>0</v>
      </c>
      <c r="AB978" s="164">
        <f t="shared" si="302"/>
        <v>41095.660000000003</v>
      </c>
      <c r="AC978" s="164">
        <f t="shared" si="302"/>
        <v>0</v>
      </c>
      <c r="AD978" s="164">
        <f t="shared" si="302"/>
        <v>0</v>
      </c>
      <c r="AE978" s="164">
        <f t="shared" si="302"/>
        <v>222475.22</v>
      </c>
      <c r="AF978" s="164">
        <f t="shared" si="302"/>
        <v>0</v>
      </c>
      <c r="AG978" s="164">
        <f t="shared" si="302"/>
        <v>0</v>
      </c>
      <c r="AH978" s="164">
        <f t="shared" si="302"/>
        <v>636744.39</v>
      </c>
      <c r="AI978" s="164">
        <f t="shared" si="302"/>
        <v>0</v>
      </c>
      <c r="AJ978" s="164">
        <f t="shared" si="302"/>
        <v>0</v>
      </c>
      <c r="AK978" s="164">
        <f t="shared" si="302"/>
        <v>946014.16</v>
      </c>
      <c r="AL978" s="164">
        <f t="shared" si="302"/>
        <v>2484276.6800000002</v>
      </c>
      <c r="AM978" s="164">
        <f t="shared" si="302"/>
        <v>1658550.8800000001</v>
      </c>
      <c r="AN978" s="164">
        <f t="shared" si="302"/>
        <v>1828723.8199999998</v>
      </c>
      <c r="AO978" s="164">
        <f t="shared" si="302"/>
        <v>1771023.94</v>
      </c>
      <c r="AP978" s="164">
        <f t="shared" si="302"/>
        <v>1680574.9300000002</v>
      </c>
      <c r="AQ978" s="164">
        <f t="shared" si="302"/>
        <v>372374.13</v>
      </c>
      <c r="AR978" s="164">
        <f t="shared" si="302"/>
        <v>0</v>
      </c>
      <c r="AS978" s="164">
        <f t="shared" si="302"/>
        <v>10746951</v>
      </c>
      <c r="AT978" s="164">
        <f t="shared" si="302"/>
        <v>0</v>
      </c>
      <c r="AU978" s="183">
        <f t="shared" si="280"/>
        <v>10746951</v>
      </c>
      <c r="AV978" s="146">
        <f>IFERROR(VLOOKUP(J978,Maksājumu_pieprasījumu_iesn.!G:BL,57,0),0)</f>
        <v>0</v>
      </c>
      <c r="AW978" s="139">
        <f t="shared" si="301"/>
        <v>-10746951</v>
      </c>
      <c r="AX978" s="164">
        <f>AX979</f>
        <v>0</v>
      </c>
      <c r="AY978" s="164">
        <f>AY979</f>
        <v>0</v>
      </c>
      <c r="AZ978" s="164"/>
      <c r="BA978" s="164"/>
      <c r="BB978" s="164">
        <f>BB979</f>
        <v>0</v>
      </c>
      <c r="BC978" s="164">
        <f>BC979</f>
        <v>2193564.96</v>
      </c>
      <c r="BD978" s="164">
        <f>BC978*0.94</f>
        <v>2061951.0623999999</v>
      </c>
      <c r="BE978" s="129">
        <f>BD978/0.85</f>
        <v>2425824.7792941178</v>
      </c>
      <c r="BF978" s="164">
        <f>BF979</f>
        <v>0</v>
      </c>
      <c r="BG978" s="164">
        <f>BG979</f>
        <v>0</v>
      </c>
      <c r="BH978" s="129">
        <f>BH979</f>
        <v>4931.0200000000004</v>
      </c>
      <c r="BI978" s="129">
        <f>BI979</f>
        <v>786025.89</v>
      </c>
      <c r="BJ978" s="129">
        <f t="shared" si="297"/>
        <v>889253.31039999996</v>
      </c>
      <c r="BK978" s="129">
        <f>BJ978-BI978</f>
        <v>103227.42039999994</v>
      </c>
      <c r="BL978" s="129">
        <f>BL979</f>
        <v>1763740.65</v>
      </c>
      <c r="BM978" s="129">
        <f>AL978*0.94</f>
        <v>2335220.0792</v>
      </c>
      <c r="BN978" s="129">
        <f>BM978-BL978</f>
        <v>571479.42920000013</v>
      </c>
    </row>
    <row r="979" spans="1:66" s="91" customFormat="1" ht="12.75" hidden="1" customHeight="1" x14ac:dyDescent="0.2">
      <c r="A979" s="131" t="s">
        <v>2087</v>
      </c>
      <c r="B979" s="132" t="s">
        <v>224</v>
      </c>
      <c r="C979" s="132" t="s">
        <v>225</v>
      </c>
      <c r="D979" s="133" t="s">
        <v>581</v>
      </c>
      <c r="E979" s="22" t="s">
        <v>3</v>
      </c>
      <c r="F979" s="22" t="s">
        <v>210</v>
      </c>
      <c r="G979" s="22" t="s">
        <v>77</v>
      </c>
      <c r="H979" s="22" t="s">
        <v>3</v>
      </c>
      <c r="I979" s="22" t="s">
        <v>1022</v>
      </c>
      <c r="J979" s="134" t="s">
        <v>1026</v>
      </c>
      <c r="K979" s="133"/>
      <c r="L979" s="133"/>
      <c r="M979" s="133"/>
      <c r="N979" s="133"/>
      <c r="O979" s="135"/>
      <c r="P979" s="135"/>
      <c r="Q979" s="135"/>
      <c r="R979" s="135"/>
      <c r="S979" s="136">
        <v>10746951</v>
      </c>
      <c r="T979" s="136">
        <v>0</v>
      </c>
      <c r="U979" s="137">
        <f>SUM(U980)</f>
        <v>0</v>
      </c>
      <c r="V979" s="137">
        <f>SUM(V980)</f>
        <v>0</v>
      </c>
      <c r="W979" s="137">
        <f>SUM(W980)</f>
        <v>5412.46</v>
      </c>
      <c r="X979" s="138">
        <f>U979+V979+W979</f>
        <v>5412.46</v>
      </c>
      <c r="Y979" s="137">
        <f t="shared" ref="Y979:AR979" si="303">SUM(Y980)</f>
        <v>45698.89</v>
      </c>
      <c r="Z979" s="137">
        <f t="shared" si="303"/>
        <v>0</v>
      </c>
      <c r="AA979" s="137">
        <f t="shared" si="303"/>
        <v>0</v>
      </c>
      <c r="AB979" s="137">
        <f t="shared" si="303"/>
        <v>41095.660000000003</v>
      </c>
      <c r="AC979" s="137">
        <f t="shared" si="303"/>
        <v>0</v>
      </c>
      <c r="AD979" s="137">
        <f t="shared" si="303"/>
        <v>0</v>
      </c>
      <c r="AE979" s="137">
        <f t="shared" si="303"/>
        <v>222475.22</v>
      </c>
      <c r="AF979" s="137">
        <f t="shared" si="303"/>
        <v>0</v>
      </c>
      <c r="AG979" s="137">
        <f t="shared" si="303"/>
        <v>0</v>
      </c>
      <c r="AH979" s="137">
        <f t="shared" si="303"/>
        <v>636744.39</v>
      </c>
      <c r="AI979" s="137">
        <f t="shared" si="303"/>
        <v>0</v>
      </c>
      <c r="AJ979" s="137">
        <f t="shared" si="303"/>
        <v>0</v>
      </c>
      <c r="AK979" s="137">
        <f t="shared" si="303"/>
        <v>946014.16</v>
      </c>
      <c r="AL979" s="137">
        <f t="shared" si="303"/>
        <v>2484276.6800000002</v>
      </c>
      <c r="AM979" s="137">
        <f t="shared" si="303"/>
        <v>1658550.8800000001</v>
      </c>
      <c r="AN979" s="137">
        <f t="shared" si="303"/>
        <v>1828723.8199999998</v>
      </c>
      <c r="AO979" s="137">
        <f t="shared" si="303"/>
        <v>1771023.94</v>
      </c>
      <c r="AP979" s="137">
        <f t="shared" si="303"/>
        <v>1680574.9300000002</v>
      </c>
      <c r="AQ979" s="137">
        <f t="shared" si="303"/>
        <v>372374.13</v>
      </c>
      <c r="AR979" s="137">
        <f t="shared" si="303"/>
        <v>0</v>
      </c>
      <c r="AS979" s="137">
        <f>U979+V979+W979+AK979+AL979+AM979+AN979+AO979+AP979+AQ979+AR979</f>
        <v>10746951</v>
      </c>
      <c r="AT979" s="137">
        <f>AT980</f>
        <v>0</v>
      </c>
      <c r="AU979" s="139">
        <f t="shared" si="280"/>
        <v>10746951</v>
      </c>
      <c r="AV979" s="146">
        <f>IFERROR(VLOOKUP(J979,Maksājumu_pieprasījumu_iesn.!G:BL,57,0),0)</f>
        <v>0</v>
      </c>
      <c r="AW979" s="139">
        <f t="shared" si="301"/>
        <v>-10746951</v>
      </c>
      <c r="AX979" s="140">
        <f>S979-T979-AU979</f>
        <v>0</v>
      </c>
      <c r="AY979" s="137"/>
      <c r="AZ979" s="137"/>
      <c r="BA979" s="138"/>
      <c r="BB979" s="140"/>
      <c r="BC979" s="140">
        <f>X979+AK979+AL979/2</f>
        <v>2193564.96</v>
      </c>
      <c r="BD979" s="140">
        <f>BC979*0.94</f>
        <v>2061951.0623999999</v>
      </c>
      <c r="BE979" s="140">
        <f>BC979/0.85</f>
        <v>2580664.6588235293</v>
      </c>
      <c r="BF979" s="137"/>
      <c r="BG979" s="137"/>
      <c r="BH979" s="138">
        <v>4931.0200000000004</v>
      </c>
      <c r="BI979" s="138">
        <v>786025.89</v>
      </c>
      <c r="BJ979" s="138">
        <f t="shared" si="297"/>
        <v>889253.31039999996</v>
      </c>
      <c r="BK979" s="138">
        <f>BJ979-BI979</f>
        <v>103227.42039999994</v>
      </c>
      <c r="BL979" s="138">
        <v>1763740.65</v>
      </c>
      <c r="BM979" s="138"/>
      <c r="BN979" s="138"/>
    </row>
    <row r="980" spans="1:66" ht="38.25" hidden="1" customHeight="1" x14ac:dyDescent="0.2">
      <c r="A980" s="142" t="s">
        <v>2087</v>
      </c>
      <c r="B980" s="18" t="s">
        <v>224</v>
      </c>
      <c r="C980" s="18" t="s">
        <v>225</v>
      </c>
      <c r="D980" s="19" t="s">
        <v>581</v>
      </c>
      <c r="E980" s="18" t="s">
        <v>3</v>
      </c>
      <c r="F980" s="18" t="s">
        <v>210</v>
      </c>
      <c r="G980" s="18" t="s">
        <v>77</v>
      </c>
      <c r="H980" s="18" t="s">
        <v>3</v>
      </c>
      <c r="I980" s="18"/>
      <c r="J980" s="18" t="s">
        <v>226</v>
      </c>
      <c r="K980" s="19" t="s">
        <v>227</v>
      </c>
      <c r="L980" s="19"/>
      <c r="M980" s="19"/>
      <c r="N980" s="19" t="s">
        <v>228</v>
      </c>
      <c r="O980" s="143"/>
      <c r="P980" s="143"/>
      <c r="Q980" s="143"/>
      <c r="R980" s="143">
        <v>42669</v>
      </c>
      <c r="S980" s="144">
        <v>10746951</v>
      </c>
      <c r="T980" s="144"/>
      <c r="U980" s="145">
        <v>0</v>
      </c>
      <c r="V980" s="145">
        <v>0</v>
      </c>
      <c r="W980" s="145">
        <v>5412.46</v>
      </c>
      <c r="X980" s="145">
        <f>W980+V980+U980</f>
        <v>5412.46</v>
      </c>
      <c r="Y980" s="145">
        <v>45698.89</v>
      </c>
      <c r="Z980" s="145">
        <v>0</v>
      </c>
      <c r="AA980" s="145">
        <v>0</v>
      </c>
      <c r="AB980" s="145">
        <v>41095.660000000003</v>
      </c>
      <c r="AC980" s="145">
        <v>0</v>
      </c>
      <c r="AD980" s="166">
        <v>0</v>
      </c>
      <c r="AE980" s="166">
        <v>222475.22</v>
      </c>
      <c r="AF980" s="145">
        <v>0</v>
      </c>
      <c r="AG980" s="145">
        <v>0</v>
      </c>
      <c r="AH980" s="145">
        <v>636744.39</v>
      </c>
      <c r="AI980" s="145">
        <v>0</v>
      </c>
      <c r="AJ980" s="145">
        <v>0</v>
      </c>
      <c r="AK980" s="145">
        <f>SUM(Y980:AJ980)</f>
        <v>946014.16</v>
      </c>
      <c r="AL980" s="145">
        <v>2484276.6800000002</v>
      </c>
      <c r="AM980" s="145">
        <v>1658550.8800000001</v>
      </c>
      <c r="AN980" s="145">
        <v>1828723.8199999998</v>
      </c>
      <c r="AO980" s="145">
        <v>1771023.94</v>
      </c>
      <c r="AP980" s="145">
        <v>1680574.9300000002</v>
      </c>
      <c r="AQ980" s="145">
        <v>372374.13</v>
      </c>
      <c r="AR980" s="145">
        <v>0</v>
      </c>
      <c r="AS980" s="144">
        <f>U980+V980+W980+AK980+AL980+AM980+AN980+AO980+AP980+AQ980+AR980</f>
        <v>10746951</v>
      </c>
      <c r="AT980" s="144">
        <v>0</v>
      </c>
      <c r="AU980" s="146">
        <f t="shared" si="280"/>
        <v>10746951</v>
      </c>
      <c r="AV980" s="146">
        <f>IFERROR(VLOOKUP(J980,Maksājumu_pieprasījumu_iesn.!G:BL,57,0),0)</f>
        <v>0</v>
      </c>
      <c r="AW980" s="139">
        <f t="shared" si="301"/>
        <v>-10746951</v>
      </c>
      <c r="AX980" s="147"/>
      <c r="AY980" s="147"/>
      <c r="AZ980" s="147"/>
      <c r="BA980" s="165"/>
      <c r="BB980" s="144"/>
      <c r="BC980" s="144"/>
      <c r="BD980" s="144"/>
      <c r="BE980" s="144"/>
      <c r="BF980" s="144"/>
      <c r="BG980" s="144"/>
      <c r="BH980" s="149"/>
      <c r="BI980" s="149"/>
      <c r="BJ980" s="149"/>
      <c r="BK980" s="149"/>
      <c r="BL980" s="149"/>
      <c r="BM980" s="149"/>
      <c r="BN980" s="149"/>
    </row>
    <row r="981" spans="1:66" s="91" customFormat="1" ht="25.5" hidden="1" x14ac:dyDescent="0.2">
      <c r="A981" s="127" t="s">
        <v>2087</v>
      </c>
      <c r="B981" s="127" t="s">
        <v>229</v>
      </c>
      <c r="C981" s="127" t="s">
        <v>1023</v>
      </c>
      <c r="D981" s="128" t="s">
        <v>582</v>
      </c>
      <c r="E981" s="127"/>
      <c r="F981" s="127"/>
      <c r="G981" s="127" t="s">
        <v>77</v>
      </c>
      <c r="H981" s="127"/>
      <c r="I981" s="127"/>
      <c r="J981" s="127"/>
      <c r="K981" s="128"/>
      <c r="L981" s="128"/>
      <c r="M981" s="128"/>
      <c r="N981" s="128"/>
      <c r="O981" s="163"/>
      <c r="P981" s="163"/>
      <c r="Q981" s="163"/>
      <c r="R981" s="163"/>
      <c r="S981" s="164">
        <f>S982</f>
        <v>9006779</v>
      </c>
      <c r="T981" s="164">
        <f>T982</f>
        <v>0</v>
      </c>
      <c r="U981" s="164">
        <f>U982</f>
        <v>0</v>
      </c>
      <c r="V981" s="164">
        <f>V982</f>
        <v>0</v>
      </c>
      <c r="W981" s="164">
        <f>W982</f>
        <v>0</v>
      </c>
      <c r="X981" s="129">
        <f>U981+V981+W981</f>
        <v>0</v>
      </c>
      <c r="Y981" s="164">
        <f t="shared" ref="Y981:AT981" si="304">Y982</f>
        <v>4211.0200000000004</v>
      </c>
      <c r="Z981" s="164">
        <f t="shared" si="304"/>
        <v>0</v>
      </c>
      <c r="AA981" s="164">
        <f t="shared" si="304"/>
        <v>0</v>
      </c>
      <c r="AB981" s="164">
        <f t="shared" si="304"/>
        <v>9382.24</v>
      </c>
      <c r="AC981" s="164">
        <f t="shared" si="304"/>
        <v>0</v>
      </c>
      <c r="AD981" s="164">
        <f t="shared" si="304"/>
        <v>0</v>
      </c>
      <c r="AE981" s="164">
        <f t="shared" si="304"/>
        <v>86904.48</v>
      </c>
      <c r="AF981" s="164">
        <f t="shared" si="304"/>
        <v>0</v>
      </c>
      <c r="AG981" s="164">
        <f t="shared" si="304"/>
        <v>0</v>
      </c>
      <c r="AH981" s="164">
        <f t="shared" si="304"/>
        <v>392823.57</v>
      </c>
      <c r="AI981" s="164">
        <f t="shared" si="304"/>
        <v>0</v>
      </c>
      <c r="AJ981" s="164">
        <f t="shared" si="304"/>
        <v>0</v>
      </c>
      <c r="AK981" s="164">
        <f t="shared" si="304"/>
        <v>493321.31</v>
      </c>
      <c r="AL981" s="164">
        <f t="shared" si="304"/>
        <v>3323333.4599999995</v>
      </c>
      <c r="AM981" s="164">
        <f t="shared" si="304"/>
        <v>1282675.04</v>
      </c>
      <c r="AN981" s="164">
        <f t="shared" si="304"/>
        <v>1332893.92</v>
      </c>
      <c r="AO981" s="164">
        <f t="shared" si="304"/>
        <v>1352496.9</v>
      </c>
      <c r="AP981" s="164">
        <f t="shared" si="304"/>
        <v>1087255.3999999999</v>
      </c>
      <c r="AQ981" s="164">
        <f t="shared" si="304"/>
        <v>134802.97</v>
      </c>
      <c r="AR981" s="164">
        <f t="shared" si="304"/>
        <v>0</v>
      </c>
      <c r="AS981" s="164">
        <f t="shared" si="304"/>
        <v>9006779</v>
      </c>
      <c r="AT981" s="164">
        <f t="shared" si="304"/>
        <v>0</v>
      </c>
      <c r="AU981" s="183">
        <f t="shared" si="280"/>
        <v>9006779</v>
      </c>
      <c r="AV981" s="146">
        <f>IFERROR(VLOOKUP(J981,Maksājumu_pieprasījumu_iesn.!G:BL,57,0),0)</f>
        <v>0</v>
      </c>
      <c r="AW981" s="139">
        <f t="shared" si="301"/>
        <v>-9006779</v>
      </c>
      <c r="AX981" s="164">
        <f>AX982</f>
        <v>0</v>
      </c>
      <c r="AY981" s="164">
        <f>AY982</f>
        <v>0</v>
      </c>
      <c r="AZ981" s="164"/>
      <c r="BA981" s="164"/>
      <c r="BB981" s="164">
        <f>BB982</f>
        <v>0</v>
      </c>
      <c r="BC981" s="164">
        <f>BC982</f>
        <v>2154988.0399999996</v>
      </c>
      <c r="BD981" s="164">
        <f>BC981*0.94</f>
        <v>2025688.7575999994</v>
      </c>
      <c r="BE981" s="129">
        <f>BD981/0.85</f>
        <v>2383163.2442352935</v>
      </c>
      <c r="BF981" s="164">
        <f>BF982</f>
        <v>0</v>
      </c>
      <c r="BG981" s="164">
        <f>BG982</f>
        <v>0</v>
      </c>
      <c r="BH981" s="129">
        <f>BH982</f>
        <v>0</v>
      </c>
      <c r="BI981" s="129">
        <f>BI982</f>
        <v>691334</v>
      </c>
      <c r="BJ981" s="129">
        <f>AK981*0.94</f>
        <v>463722.03139999998</v>
      </c>
      <c r="BK981" s="129">
        <f>BJ981-BI981</f>
        <v>-227611.96860000002</v>
      </c>
      <c r="BL981" s="129">
        <f>BL982</f>
        <v>2708915</v>
      </c>
      <c r="BM981" s="129">
        <f>AL981*0.94</f>
        <v>3123933.4523999994</v>
      </c>
      <c r="BN981" s="129">
        <f>BM981-BL981</f>
        <v>415018.45239999937</v>
      </c>
    </row>
    <row r="982" spans="1:66" s="91" customFormat="1" ht="25.5" hidden="1" customHeight="1" x14ac:dyDescent="0.2">
      <c r="A982" s="131" t="s">
        <v>2087</v>
      </c>
      <c r="B982" s="132" t="s">
        <v>229</v>
      </c>
      <c r="C982" s="132" t="s">
        <v>230</v>
      </c>
      <c r="D982" s="133" t="s">
        <v>582</v>
      </c>
      <c r="E982" s="22" t="s">
        <v>3</v>
      </c>
      <c r="F982" s="22" t="s">
        <v>210</v>
      </c>
      <c r="G982" s="22" t="s">
        <v>77</v>
      </c>
      <c r="H982" s="22" t="s">
        <v>3</v>
      </c>
      <c r="I982" s="22" t="s">
        <v>1022</v>
      </c>
      <c r="J982" s="134" t="s">
        <v>1026</v>
      </c>
      <c r="K982" s="133"/>
      <c r="L982" s="133"/>
      <c r="M982" s="133"/>
      <c r="N982" s="133"/>
      <c r="O982" s="135"/>
      <c r="P982" s="135"/>
      <c r="Q982" s="135"/>
      <c r="R982" s="135"/>
      <c r="S982" s="136">
        <v>9006779</v>
      </c>
      <c r="T982" s="136">
        <v>0</v>
      </c>
      <c r="U982" s="137">
        <f>SUM(U983)</f>
        <v>0</v>
      </c>
      <c r="V982" s="137">
        <f>SUM(V983)</f>
        <v>0</v>
      </c>
      <c r="W982" s="137">
        <f>SUM(W983)</f>
        <v>0</v>
      </c>
      <c r="X982" s="138">
        <f>U982+V982+W982</f>
        <v>0</v>
      </c>
      <c r="Y982" s="137">
        <f t="shared" ref="Y982:AR982" si="305">SUM(Y983)</f>
        <v>4211.0200000000004</v>
      </c>
      <c r="Z982" s="137">
        <f t="shared" si="305"/>
        <v>0</v>
      </c>
      <c r="AA982" s="137">
        <f t="shared" si="305"/>
        <v>0</v>
      </c>
      <c r="AB982" s="137">
        <f t="shared" si="305"/>
        <v>9382.24</v>
      </c>
      <c r="AC982" s="137">
        <f t="shared" si="305"/>
        <v>0</v>
      </c>
      <c r="AD982" s="137">
        <f t="shared" si="305"/>
        <v>0</v>
      </c>
      <c r="AE982" s="137">
        <f t="shared" si="305"/>
        <v>86904.48</v>
      </c>
      <c r="AF982" s="137">
        <f t="shared" si="305"/>
        <v>0</v>
      </c>
      <c r="AG982" s="137">
        <f t="shared" si="305"/>
        <v>0</v>
      </c>
      <c r="AH982" s="137">
        <f t="shared" si="305"/>
        <v>392823.57</v>
      </c>
      <c r="AI982" s="137">
        <f t="shared" si="305"/>
        <v>0</v>
      </c>
      <c r="AJ982" s="137">
        <f t="shared" si="305"/>
        <v>0</v>
      </c>
      <c r="AK982" s="137">
        <f t="shared" si="305"/>
        <v>493321.31</v>
      </c>
      <c r="AL982" s="137">
        <f t="shared" si="305"/>
        <v>3323333.4599999995</v>
      </c>
      <c r="AM982" s="137">
        <f t="shared" si="305"/>
        <v>1282675.04</v>
      </c>
      <c r="AN982" s="137">
        <f t="shared" si="305"/>
        <v>1332893.92</v>
      </c>
      <c r="AO982" s="137">
        <f t="shared" si="305"/>
        <v>1352496.9</v>
      </c>
      <c r="AP982" s="137">
        <f t="shared" si="305"/>
        <v>1087255.3999999999</v>
      </c>
      <c r="AQ982" s="137">
        <f t="shared" si="305"/>
        <v>134802.97</v>
      </c>
      <c r="AR982" s="137">
        <f t="shared" si="305"/>
        <v>0</v>
      </c>
      <c r="AS982" s="137">
        <f>U982+V982+W982+AK982+AL982+AM982+AN982+AO982+AP982+AQ982+AR982</f>
        <v>9006779</v>
      </c>
      <c r="AT982" s="137">
        <f>AT983</f>
        <v>0</v>
      </c>
      <c r="AU982" s="139">
        <f t="shared" si="280"/>
        <v>9006779</v>
      </c>
      <c r="AV982" s="146">
        <f>IFERROR(VLOOKUP(J982,Maksājumu_pieprasījumu_iesn.!G:BL,57,0),0)</f>
        <v>0</v>
      </c>
      <c r="AW982" s="139">
        <f t="shared" si="301"/>
        <v>-9006779</v>
      </c>
      <c r="AX982" s="140">
        <f>S982-T982-AU982</f>
        <v>0</v>
      </c>
      <c r="AY982" s="137"/>
      <c r="AZ982" s="137"/>
      <c r="BA982" s="138"/>
      <c r="BB982" s="140"/>
      <c r="BC982" s="140">
        <f>X982+AK982+AL982/2</f>
        <v>2154988.0399999996</v>
      </c>
      <c r="BD982" s="140">
        <f>BC982*0.94</f>
        <v>2025688.7575999994</v>
      </c>
      <c r="BE982" s="140">
        <f>BC982/0.85</f>
        <v>2535280.0470588231</v>
      </c>
      <c r="BF982" s="137"/>
      <c r="BG982" s="137"/>
      <c r="BH982" s="138">
        <v>0</v>
      </c>
      <c r="BI982" s="138">
        <v>691334</v>
      </c>
      <c r="BJ982" s="138">
        <f>AK982*0.94</f>
        <v>463722.03139999998</v>
      </c>
      <c r="BK982" s="138">
        <f>BJ982-BI982</f>
        <v>-227611.96860000002</v>
      </c>
      <c r="BL982" s="138">
        <v>2708915</v>
      </c>
      <c r="BM982" s="138"/>
      <c r="BN982" s="138"/>
    </row>
    <row r="983" spans="1:66" ht="25.5" hidden="1" customHeight="1" x14ac:dyDescent="0.2">
      <c r="A983" s="142" t="s">
        <v>2087</v>
      </c>
      <c r="B983" s="18" t="s">
        <v>229</v>
      </c>
      <c r="C983" s="18" t="s">
        <v>230</v>
      </c>
      <c r="D983" s="19" t="s">
        <v>582</v>
      </c>
      <c r="E983" s="18" t="s">
        <v>3</v>
      </c>
      <c r="F983" s="18" t="s">
        <v>210</v>
      </c>
      <c r="G983" s="18" t="s">
        <v>77</v>
      </c>
      <c r="H983" s="18" t="s">
        <v>3</v>
      </c>
      <c r="I983" s="18"/>
      <c r="J983" s="18" t="s">
        <v>231</v>
      </c>
      <c r="K983" s="19" t="s">
        <v>212</v>
      </c>
      <c r="L983" s="19"/>
      <c r="M983" s="19"/>
      <c r="N983" s="19" t="s">
        <v>232</v>
      </c>
      <c r="O983" s="143"/>
      <c r="P983" s="143"/>
      <c r="Q983" s="143"/>
      <c r="R983" s="143">
        <v>42739</v>
      </c>
      <c r="S983" s="144">
        <v>9006779</v>
      </c>
      <c r="T983" s="144"/>
      <c r="U983" s="224">
        <v>0</v>
      </c>
      <c r="V983" s="224">
        <v>0</v>
      </c>
      <c r="W983" s="224">
        <v>0</v>
      </c>
      <c r="X983" s="145">
        <f>W983+V983+U983</f>
        <v>0</v>
      </c>
      <c r="Y983" s="224">
        <v>4211.0200000000004</v>
      </c>
      <c r="Z983" s="224">
        <v>0</v>
      </c>
      <c r="AA983" s="224">
        <v>0</v>
      </c>
      <c r="AB983" s="224">
        <v>9382.24</v>
      </c>
      <c r="AC983" s="224">
        <v>0</v>
      </c>
      <c r="AD983" s="225">
        <v>0</v>
      </c>
      <c r="AE983" s="225">
        <v>86904.48</v>
      </c>
      <c r="AF983" s="224">
        <v>0</v>
      </c>
      <c r="AG983" s="224">
        <v>0</v>
      </c>
      <c r="AH983" s="224">
        <v>392823.57</v>
      </c>
      <c r="AI983" s="224">
        <v>0</v>
      </c>
      <c r="AJ983" s="224">
        <v>0</v>
      </c>
      <c r="AK983" s="224">
        <f>SUM(Y983:AJ983)</f>
        <v>493321.31</v>
      </c>
      <c r="AL983" s="224">
        <v>3323333.4599999995</v>
      </c>
      <c r="AM983" s="224">
        <v>1282675.04</v>
      </c>
      <c r="AN983" s="224">
        <v>1332893.92</v>
      </c>
      <c r="AO983" s="224">
        <v>1352496.9</v>
      </c>
      <c r="AP983" s="224">
        <v>1087255.3999999999</v>
      </c>
      <c r="AQ983" s="224">
        <v>134802.97</v>
      </c>
      <c r="AR983" s="224">
        <v>0</v>
      </c>
      <c r="AS983" s="144">
        <f>U983+V983+W983+AK983+AL983+AM983+AN983+AO983+AP983+AQ983+AR983</f>
        <v>9006779</v>
      </c>
      <c r="AT983" s="226">
        <v>0</v>
      </c>
      <c r="AU983" s="146">
        <f t="shared" si="280"/>
        <v>9006779</v>
      </c>
      <c r="AV983" s="146">
        <f>IFERROR(VLOOKUP(J983,Maksājumu_pieprasījumu_iesn.!G:BL,57,0),0)</f>
        <v>0</v>
      </c>
      <c r="AW983" s="139">
        <f t="shared" si="301"/>
        <v>-9006779</v>
      </c>
      <c r="AX983" s="227"/>
      <c r="AY983" s="227"/>
      <c r="AZ983" s="227"/>
      <c r="BA983" s="165"/>
      <c r="BB983" s="226"/>
      <c r="BC983" s="226"/>
      <c r="BD983" s="226"/>
      <c r="BE983" s="226"/>
      <c r="BF983" s="226"/>
      <c r="BG983" s="226"/>
      <c r="BH983" s="149"/>
      <c r="BI983" s="149"/>
      <c r="BJ983" s="149"/>
      <c r="BK983" s="149"/>
      <c r="BL983" s="149"/>
      <c r="BM983" s="149"/>
      <c r="BN983" s="149"/>
    </row>
    <row r="984" spans="1:66" s="91" customFormat="1" ht="12.75" hidden="1" customHeight="1" x14ac:dyDescent="0.2">
      <c r="A984" s="190" t="s">
        <v>2104</v>
      </c>
      <c r="B984" s="120" t="s">
        <v>1020</v>
      </c>
      <c r="C984" s="121" t="s">
        <v>5</v>
      </c>
      <c r="D984" s="122" t="s">
        <v>2105</v>
      </c>
      <c r="E984" s="121"/>
      <c r="F984" s="121"/>
      <c r="G984" s="121" t="s">
        <v>5</v>
      </c>
      <c r="H984" s="121"/>
      <c r="I984" s="121"/>
      <c r="J984" s="123"/>
      <c r="K984" s="191"/>
      <c r="L984" s="191"/>
      <c r="M984" s="191"/>
      <c r="N984" s="191"/>
      <c r="O984" s="192"/>
      <c r="P984" s="192"/>
      <c r="Q984" s="192"/>
      <c r="R984" s="192"/>
      <c r="S984" s="179">
        <f>S988+S1004+S1056+S1085</f>
        <v>281556220</v>
      </c>
      <c r="T984" s="179">
        <f>T988+T1004+T1056+T1085</f>
        <v>16924212.794051096</v>
      </c>
      <c r="U984" s="179">
        <f>U988+U1004+U1056+U1085</f>
        <v>0</v>
      </c>
      <c r="V984" s="179">
        <f>V988+V1004+V1056+V1085</f>
        <v>0</v>
      </c>
      <c r="W984" s="179">
        <f>W988+W1004+W1056+W1085</f>
        <v>0</v>
      </c>
      <c r="X984" s="125">
        <f>U984+V984+W984</f>
        <v>0</v>
      </c>
      <c r="Y984" s="179">
        <f t="shared" ref="Y984:AT984" si="306">Y988+Y1004+Y1056+Y1085</f>
        <v>27651.39</v>
      </c>
      <c r="Z984" s="179">
        <f t="shared" si="306"/>
        <v>78631.710000000006</v>
      </c>
      <c r="AA984" s="179">
        <f t="shared" si="306"/>
        <v>28213.829999999998</v>
      </c>
      <c r="AB984" s="179">
        <f t="shared" si="306"/>
        <v>2055556.4</v>
      </c>
      <c r="AC984" s="179">
        <f t="shared" si="306"/>
        <v>74794.900000000009</v>
      </c>
      <c r="AD984" s="179">
        <f t="shared" si="306"/>
        <v>76474.31</v>
      </c>
      <c r="AE984" s="179">
        <f t="shared" si="306"/>
        <v>310450.52</v>
      </c>
      <c r="AF984" s="179">
        <f t="shared" si="306"/>
        <v>386148.64999999997</v>
      </c>
      <c r="AG984" s="179">
        <f t="shared" si="306"/>
        <v>1771509.76</v>
      </c>
      <c r="AH984" s="179">
        <f t="shared" si="306"/>
        <v>2510038.1900000004</v>
      </c>
      <c r="AI984" s="179">
        <f t="shared" si="306"/>
        <v>1797085.97</v>
      </c>
      <c r="AJ984" s="179">
        <f t="shared" si="306"/>
        <v>6791479.0350000001</v>
      </c>
      <c r="AK984" s="179">
        <f>AK988+AK1004+AK1056+AK1085</f>
        <v>15908034.664999999</v>
      </c>
      <c r="AL984" s="179">
        <f t="shared" si="306"/>
        <v>147248256.69865516</v>
      </c>
      <c r="AM984" s="179">
        <f t="shared" si="306"/>
        <v>73939986.813446462</v>
      </c>
      <c r="AN984" s="179">
        <f t="shared" si="306"/>
        <v>24299849.923851762</v>
      </c>
      <c r="AO984" s="179">
        <f t="shared" si="306"/>
        <v>1767755.75</v>
      </c>
      <c r="AP984" s="179">
        <f t="shared" si="306"/>
        <v>0</v>
      </c>
      <c r="AQ984" s="179">
        <f t="shared" si="306"/>
        <v>0</v>
      </c>
      <c r="AR984" s="179">
        <f t="shared" si="306"/>
        <v>0</v>
      </c>
      <c r="AS984" s="179">
        <f>AS988+AS1004+AS1056+AS1085</f>
        <v>263163883.85095337</v>
      </c>
      <c r="AT984" s="179">
        <f t="shared" si="306"/>
        <v>0</v>
      </c>
      <c r="AU984" s="351">
        <f>AS984-AT984</f>
        <v>263163883.85095337</v>
      </c>
      <c r="AV984" s="146">
        <f>IFERROR(VLOOKUP(J984,Maksājumu_pieprasījumu_iesn.!G:BL,57,0),0)</f>
        <v>0</v>
      </c>
      <c r="AW984" s="139">
        <f t="shared" si="301"/>
        <v>-263163883.85095337</v>
      </c>
      <c r="AX984" s="179">
        <f>AX988+AX1004+AX1056+AX1085</f>
        <v>1468123.3549955282</v>
      </c>
      <c r="AY984" s="179">
        <f>AY988+AY1004+AY1056+AY1085</f>
        <v>1909047.45</v>
      </c>
      <c r="AZ984" s="179"/>
      <c r="BA984" s="125"/>
      <c r="BB984" s="179">
        <v>123635102</v>
      </c>
      <c r="BC984" s="125">
        <f>X984+AK984+AL984/2</f>
        <v>89532163.014327586</v>
      </c>
      <c r="BD984" s="179">
        <f>BD988+BD1004+BD1056+BD1085</f>
        <v>76997660.192321703</v>
      </c>
      <c r="BE984" s="179">
        <f>BE988+BE1004+BE1056+BE1085</f>
        <v>90585482.579202011</v>
      </c>
      <c r="BF984" s="125">
        <f>BE984-BB984</f>
        <v>-33049619.420797989</v>
      </c>
      <c r="BG984" s="352">
        <f>BE984/BB984</f>
        <v>0.7326841739427854</v>
      </c>
      <c r="BH984" s="125">
        <f t="shared" ref="BH984:BN984" si="307">BH988+BH1004+BH1056+BH1085</f>
        <v>0</v>
      </c>
      <c r="BI984" s="125">
        <f t="shared" si="307"/>
        <v>19216670.223955512</v>
      </c>
      <c r="BJ984" s="125">
        <f>BJ988+BJ1004+BJ1056+BJ1085</f>
        <v>13680909.811900001</v>
      </c>
      <c r="BK984" s="125">
        <f>BK988+BK1004+BK1056+BK1085</f>
        <v>-5535760.4120555129</v>
      </c>
      <c r="BL984" s="125">
        <f t="shared" si="307"/>
        <v>68041864.740757316</v>
      </c>
      <c r="BM984" s="125">
        <f t="shared" si="307"/>
        <v>126633500.76084344</v>
      </c>
      <c r="BN984" s="125">
        <f t="shared" si="307"/>
        <v>58591636.020086117</v>
      </c>
    </row>
    <row r="985" spans="1:66" s="91" customFormat="1" ht="12.75" hidden="1" customHeight="1" x14ac:dyDescent="0.2">
      <c r="A985" s="190" t="s">
        <v>2104</v>
      </c>
      <c r="B985" s="120" t="s">
        <v>1020</v>
      </c>
      <c r="C985" s="121" t="s">
        <v>77</v>
      </c>
      <c r="D985" s="122" t="s">
        <v>2105</v>
      </c>
      <c r="E985" s="121"/>
      <c r="F985" s="121"/>
      <c r="G985" s="121" t="s">
        <v>77</v>
      </c>
      <c r="H985" s="121"/>
      <c r="I985" s="121"/>
      <c r="J985" s="123"/>
      <c r="K985" s="191"/>
      <c r="L985" s="191"/>
      <c r="M985" s="191"/>
      <c r="N985" s="191"/>
      <c r="O985" s="192"/>
      <c r="P985" s="192"/>
      <c r="Q985" s="192"/>
      <c r="R985" s="192"/>
      <c r="S985" s="179">
        <f>S1096+S1100+S1103+S1108+S1111+S1114+S1117+S1124+S1127+S1131+S1134</f>
        <v>173781960</v>
      </c>
      <c r="T985" s="179">
        <f>T1096+T1100+T1103+T1108+T1111+T1114+T1117+T1124+T1127+T1131+T1134</f>
        <v>9989452.9934765603</v>
      </c>
      <c r="U985" s="179">
        <f>U1096+U1100+U1103+U1108+U1111+U1114+U1117+U1124+U1127+U1131+U1134</f>
        <v>0</v>
      </c>
      <c r="V985" s="179">
        <f>V1096+V1100+V1103+V1108+V1111+V1114+V1117+V1124+V1127+V1131+V1134</f>
        <v>0</v>
      </c>
      <c r="W985" s="179">
        <f>W1096+W1100+W1103+W1108+W1111+W1114+W1117+W1124+W1127+W1131+W1134</f>
        <v>554175.79</v>
      </c>
      <c r="X985" s="125">
        <f>U985+V985+W985</f>
        <v>554175.79</v>
      </c>
      <c r="Y985" s="179">
        <f t="shared" ref="Y985:AT985" si="308">Y1096+Y1100+Y1103+Y1108+Y1111+Y1114+Y1117+Y1124+Y1127+Y1131+Y1134</f>
        <v>79709.570000000007</v>
      </c>
      <c r="Z985" s="179">
        <f t="shared" si="308"/>
        <v>557937.79</v>
      </c>
      <c r="AA985" s="179">
        <f t="shared" si="308"/>
        <v>94929.43</v>
      </c>
      <c r="AB985" s="179">
        <f t="shared" si="308"/>
        <v>913240.88</v>
      </c>
      <c r="AC985" s="179">
        <f t="shared" si="308"/>
        <v>854195.86999999988</v>
      </c>
      <c r="AD985" s="179">
        <f t="shared" si="308"/>
        <v>2493496.4400000004</v>
      </c>
      <c r="AE985" s="179">
        <f t="shared" si="308"/>
        <v>1444550.98</v>
      </c>
      <c r="AF985" s="179">
        <f t="shared" si="308"/>
        <v>1603641.19</v>
      </c>
      <c r="AG985" s="179">
        <f t="shared" si="308"/>
        <v>2388585.09</v>
      </c>
      <c r="AH985" s="179">
        <f t="shared" si="308"/>
        <v>2595183.69</v>
      </c>
      <c r="AI985" s="179">
        <f t="shared" si="308"/>
        <v>2457800.59</v>
      </c>
      <c r="AJ985" s="179">
        <f t="shared" si="308"/>
        <v>983819.1</v>
      </c>
      <c r="AK985" s="179">
        <f>AK1096+AK1100+AK1103+AK1108+AK1111+AK1114+AK1117+AK1124+AK1127+AK1131+AK1134</f>
        <v>16467090.620000001</v>
      </c>
      <c r="AL985" s="179">
        <f t="shared" si="308"/>
        <v>40590430.63000001</v>
      </c>
      <c r="AM985" s="179">
        <f t="shared" si="308"/>
        <v>37162699.519999996</v>
      </c>
      <c r="AN985" s="179">
        <f t="shared" si="308"/>
        <v>30686132.609999996</v>
      </c>
      <c r="AO985" s="179">
        <f t="shared" si="308"/>
        <v>18148928.300000001</v>
      </c>
      <c r="AP985" s="179">
        <f t="shared" si="308"/>
        <v>12750196.350000001</v>
      </c>
      <c r="AQ985" s="179">
        <f t="shared" si="308"/>
        <v>4160332.1699999995</v>
      </c>
      <c r="AR985" s="179">
        <f t="shared" si="308"/>
        <v>0</v>
      </c>
      <c r="AS985" s="179">
        <f>AS1096+AS1100+AS1103+AS1108+AS1111+AS1114+AS1117+AS1124+AS1127+AS1131+AS1134</f>
        <v>160519985.99000001</v>
      </c>
      <c r="AT985" s="179">
        <f t="shared" si="308"/>
        <v>0</v>
      </c>
      <c r="AU985" s="351">
        <f>AS985-AT985</f>
        <v>160519985.99000001</v>
      </c>
      <c r="AV985" s="146">
        <f>IFERROR(VLOOKUP(J985,Maksājumu_pieprasījumu_iesn.!G:BL,57,0),0)</f>
        <v>0</v>
      </c>
      <c r="AW985" s="139">
        <f t="shared" si="301"/>
        <v>-160519985.99000001</v>
      </c>
      <c r="AX985" s="179">
        <f>AX1096+AX1100+AX1103+AX1108+AX1111+AX1114+AX1117+AX1124+AX1127+AX1131+AX1134</f>
        <v>3272521.0165234474</v>
      </c>
      <c r="AY985" s="179">
        <f>AY1096+AY1100+AY1103+AY1108+AY1111+AY1114+AY1117+AY1124+AY1127+AY1131+AY1134</f>
        <v>3272521</v>
      </c>
      <c r="AZ985" s="179"/>
      <c r="BA985" s="125"/>
      <c r="BB985" s="179">
        <v>63652675</v>
      </c>
      <c r="BC985" s="125">
        <f>X985+AK985+AL985/2</f>
        <v>37316481.725000009</v>
      </c>
      <c r="BD985" s="179">
        <f>BD1096+BD1100+BD1103+BD1108+BD1111+BD1114+BD1117+BD1124+BD1127+BD1131+BD1134</f>
        <v>30081940.188199993</v>
      </c>
      <c r="BE985" s="179">
        <f>BE1096+BE1100+BE1103+BE1108+BE1111+BE1114+BE1117+BE1124+BE1127+BE1131+BE1134</f>
        <v>41642773.980235294</v>
      </c>
      <c r="BF985" s="125">
        <f>BE985-BB985</f>
        <v>-22009901.019764706</v>
      </c>
      <c r="BG985" s="352">
        <f>BE985/BB985</f>
        <v>0.65421875797419815</v>
      </c>
      <c r="BH985" s="125">
        <f t="shared" ref="BH985:BN985" si="309">BH1096+BH1100+BH1103+BH1108+BH1111+BH1114+BH1117+BH1124+BH1127+BH1131+BH1134</f>
        <v>419092.70999999996</v>
      </c>
      <c r="BI985" s="125">
        <f t="shared" si="309"/>
        <v>14483168.523499999</v>
      </c>
      <c r="BJ985" s="125">
        <f>BJ1096+BJ1100+BJ1103+BJ1108+BJ1111+BJ1114+BJ1117+BJ1124+BJ1127+BJ1131+BJ1134</f>
        <v>12279192.627199998</v>
      </c>
      <c r="BK985" s="125">
        <f>BK1096+BK1100+BK1103+BK1108+BK1111+BK1114+BK1117+BK1124+BK1127+BK1131+BK1134</f>
        <v>278864.73619999888</v>
      </c>
      <c r="BL985" s="125">
        <f t="shared" si="309"/>
        <v>30898235.20657368</v>
      </c>
      <c r="BM985" s="125">
        <f t="shared" si="309"/>
        <v>34563644.636799999</v>
      </c>
      <c r="BN985" s="125">
        <f t="shared" si="309"/>
        <v>6417028.8983080918</v>
      </c>
    </row>
    <row r="986" spans="1:66" s="91" customFormat="1" ht="12.75" hidden="1" customHeight="1" x14ac:dyDescent="0.2">
      <c r="A986" s="190" t="s">
        <v>2106</v>
      </c>
      <c r="B986" s="120" t="s">
        <v>1020</v>
      </c>
      <c r="C986" s="121" t="s">
        <v>5</v>
      </c>
      <c r="D986" s="122" t="s">
        <v>2105</v>
      </c>
      <c r="E986" s="121"/>
      <c r="F986" s="121"/>
      <c r="G986" s="121" t="s">
        <v>5</v>
      </c>
      <c r="H986" s="121"/>
      <c r="I986" s="121"/>
      <c r="J986" s="123"/>
      <c r="K986" s="191"/>
      <c r="L986" s="191"/>
      <c r="M986" s="191"/>
      <c r="N986" s="191"/>
      <c r="O986" s="192"/>
      <c r="P986" s="192"/>
      <c r="Q986" s="192"/>
      <c r="R986" s="192"/>
      <c r="S986" s="179">
        <f t="shared" ref="S986:AT986" si="310">S988+S1004+S1056+S1085</f>
        <v>281556220</v>
      </c>
      <c r="T986" s="179">
        <f t="shared" si="310"/>
        <v>16924212.794051096</v>
      </c>
      <c r="U986" s="179">
        <f t="shared" si="310"/>
        <v>0</v>
      </c>
      <c r="V986" s="179">
        <f t="shared" si="310"/>
        <v>0</v>
      </c>
      <c r="W986" s="179">
        <f t="shared" si="310"/>
        <v>0</v>
      </c>
      <c r="X986" s="179">
        <f t="shared" si="310"/>
        <v>0</v>
      </c>
      <c r="Y986" s="179">
        <f t="shared" si="310"/>
        <v>27651.39</v>
      </c>
      <c r="Z986" s="179">
        <f t="shared" si="310"/>
        <v>78631.710000000006</v>
      </c>
      <c r="AA986" s="179">
        <f t="shared" si="310"/>
        <v>28213.829999999998</v>
      </c>
      <c r="AB986" s="179">
        <f t="shared" si="310"/>
        <v>2055556.4</v>
      </c>
      <c r="AC986" s="179">
        <f t="shared" si="310"/>
        <v>74794.900000000009</v>
      </c>
      <c r="AD986" s="179">
        <f t="shared" si="310"/>
        <v>76474.31</v>
      </c>
      <c r="AE986" s="179">
        <f t="shared" si="310"/>
        <v>310450.52</v>
      </c>
      <c r="AF986" s="179">
        <f t="shared" si="310"/>
        <v>386148.64999999997</v>
      </c>
      <c r="AG986" s="179">
        <f t="shared" si="310"/>
        <v>1771509.76</v>
      </c>
      <c r="AH986" s="179">
        <f t="shared" si="310"/>
        <v>2510038.1900000004</v>
      </c>
      <c r="AI986" s="179">
        <f t="shared" si="310"/>
        <v>1797085.97</v>
      </c>
      <c r="AJ986" s="179">
        <f t="shared" si="310"/>
        <v>6791479.0350000001</v>
      </c>
      <c r="AK986" s="179">
        <f>AK988+AK1004+AK1056+AK1085</f>
        <v>15908034.664999999</v>
      </c>
      <c r="AL986" s="179">
        <f t="shared" si="310"/>
        <v>147248256.69865516</v>
      </c>
      <c r="AM986" s="179">
        <f t="shared" si="310"/>
        <v>73939986.813446462</v>
      </c>
      <c r="AN986" s="179">
        <f t="shared" si="310"/>
        <v>24299849.923851762</v>
      </c>
      <c r="AO986" s="179">
        <f t="shared" si="310"/>
        <v>1767755.75</v>
      </c>
      <c r="AP986" s="179">
        <f t="shared" si="310"/>
        <v>0</v>
      </c>
      <c r="AQ986" s="179">
        <f t="shared" si="310"/>
        <v>0</v>
      </c>
      <c r="AR986" s="179">
        <f t="shared" si="310"/>
        <v>0</v>
      </c>
      <c r="AS986" s="179">
        <f>AS988+AS1004+AS1056+AS1085</f>
        <v>263163883.85095337</v>
      </c>
      <c r="AT986" s="179">
        <f t="shared" si="310"/>
        <v>0</v>
      </c>
      <c r="AU986" s="351">
        <f>AS986-AT986</f>
        <v>263163883.85095337</v>
      </c>
      <c r="AV986" s="146">
        <f>IFERROR(VLOOKUP(J986,Maksājumu_pieprasījumu_iesn.!G:BL,57,0),0)</f>
        <v>0</v>
      </c>
      <c r="AW986" s="139">
        <f t="shared" si="301"/>
        <v>-263163883.85095337</v>
      </c>
      <c r="AX986" s="179">
        <f>AX988+AX1004+AX1056+AX1085</f>
        <v>1468123.3549955282</v>
      </c>
      <c r="AY986" s="179">
        <f>AY988+AY1004+AY1056+AY1085</f>
        <v>1909047.45</v>
      </c>
      <c r="AZ986" s="179"/>
      <c r="BA986" s="125"/>
      <c r="BB986" s="179">
        <v>106809079</v>
      </c>
      <c r="BC986" s="125">
        <f>X986+AK986+AL986/2</f>
        <v>89532163.014327586</v>
      </c>
      <c r="BD986" s="179">
        <f>BD988+BD1004+BD1056+BD1085</f>
        <v>76997660.192321703</v>
      </c>
      <c r="BE986" s="179">
        <f>BE988+BE1004+BE1056+BE1085</f>
        <v>90585482.579202011</v>
      </c>
      <c r="BF986" s="125">
        <f>BE986-BB986</f>
        <v>-16223596.420797989</v>
      </c>
      <c r="BG986" s="352">
        <f>BE986/BB986</f>
        <v>0.848106578834951</v>
      </c>
      <c r="BH986" s="125">
        <f t="shared" ref="BH986:BN986" si="311">BH988+BH1004+BH1056+BH1085</f>
        <v>0</v>
      </c>
      <c r="BI986" s="125">
        <f t="shared" si="311"/>
        <v>19216670.223955512</v>
      </c>
      <c r="BJ986" s="125">
        <f>BJ988+BJ1004+BJ1056+BJ1085</f>
        <v>13680909.811900001</v>
      </c>
      <c r="BK986" s="125">
        <f>BK988+BK1004+BK1056+BK1085</f>
        <v>-5535760.4120555129</v>
      </c>
      <c r="BL986" s="125">
        <f t="shared" si="311"/>
        <v>68041864.740757316</v>
      </c>
      <c r="BM986" s="125">
        <f t="shared" si="311"/>
        <v>126633500.76084344</v>
      </c>
      <c r="BN986" s="125">
        <f t="shared" si="311"/>
        <v>58591636.020086117</v>
      </c>
    </row>
    <row r="987" spans="1:66" s="91" customFormat="1" ht="12.75" hidden="1" customHeight="1" x14ac:dyDescent="0.2">
      <c r="A987" s="190" t="s">
        <v>2106</v>
      </c>
      <c r="B987" s="120" t="s">
        <v>1020</v>
      </c>
      <c r="C987" s="121" t="s">
        <v>77</v>
      </c>
      <c r="D987" s="122" t="s">
        <v>2105</v>
      </c>
      <c r="E987" s="121"/>
      <c r="F987" s="121"/>
      <c r="G987" s="121" t="s">
        <v>77</v>
      </c>
      <c r="H987" s="121"/>
      <c r="I987" s="121"/>
      <c r="J987" s="123"/>
      <c r="K987" s="191"/>
      <c r="L987" s="191"/>
      <c r="M987" s="191"/>
      <c r="N987" s="191"/>
      <c r="O987" s="192"/>
      <c r="P987" s="192"/>
      <c r="Q987" s="192"/>
      <c r="R987" s="192"/>
      <c r="S987" s="179">
        <f>S1096+S1100+S1103+S1108+S1111+S1114+S1117+S1124+S1127+S1131+S1134</f>
        <v>173781960</v>
      </c>
      <c r="T987" s="179">
        <f t="shared" ref="T987:BN987" si="312">T1096+T1100+T1103+T1108+T1111+T1114+T1117+T1124+T1127+T1131+T1134</f>
        <v>9989452.9934765603</v>
      </c>
      <c r="U987" s="179">
        <f t="shared" si="312"/>
        <v>0</v>
      </c>
      <c r="V987" s="179">
        <f t="shared" si="312"/>
        <v>0</v>
      </c>
      <c r="W987" s="179">
        <f t="shared" si="312"/>
        <v>554175.79</v>
      </c>
      <c r="X987" s="179">
        <f t="shared" si="312"/>
        <v>554175.79</v>
      </c>
      <c r="Y987" s="179">
        <f t="shared" si="312"/>
        <v>79709.570000000007</v>
      </c>
      <c r="Z987" s="179">
        <f t="shared" si="312"/>
        <v>557937.79</v>
      </c>
      <c r="AA987" s="179">
        <f t="shared" si="312"/>
        <v>94929.43</v>
      </c>
      <c r="AB987" s="179">
        <f t="shared" si="312"/>
        <v>913240.88</v>
      </c>
      <c r="AC987" s="179">
        <f t="shared" si="312"/>
        <v>854195.86999999988</v>
      </c>
      <c r="AD987" s="179">
        <f t="shared" si="312"/>
        <v>2493496.4400000004</v>
      </c>
      <c r="AE987" s="179">
        <f t="shared" si="312"/>
        <v>1444550.98</v>
      </c>
      <c r="AF987" s="179">
        <f t="shared" si="312"/>
        <v>1603641.19</v>
      </c>
      <c r="AG987" s="179">
        <f t="shared" si="312"/>
        <v>2388585.09</v>
      </c>
      <c r="AH987" s="179">
        <f t="shared" si="312"/>
        <v>2595183.69</v>
      </c>
      <c r="AI987" s="179">
        <f t="shared" si="312"/>
        <v>2457800.59</v>
      </c>
      <c r="AJ987" s="179">
        <f t="shared" si="312"/>
        <v>983819.1</v>
      </c>
      <c r="AK987" s="179">
        <f>AK1096+AK1100+AK1103+AK1108+AK1111+AK1114+AK1117+AK1124+AK1127+AK1131+AK1134</f>
        <v>16467090.620000001</v>
      </c>
      <c r="AL987" s="179">
        <f t="shared" si="312"/>
        <v>40590430.63000001</v>
      </c>
      <c r="AM987" s="179">
        <f t="shared" si="312"/>
        <v>37162699.519999996</v>
      </c>
      <c r="AN987" s="179">
        <f t="shared" si="312"/>
        <v>30686132.609999996</v>
      </c>
      <c r="AO987" s="179">
        <f t="shared" si="312"/>
        <v>18148928.300000001</v>
      </c>
      <c r="AP987" s="179">
        <f t="shared" si="312"/>
        <v>12750196.350000001</v>
      </c>
      <c r="AQ987" s="179">
        <f t="shared" si="312"/>
        <v>4160332.1699999995</v>
      </c>
      <c r="AR987" s="179">
        <f t="shared" si="312"/>
        <v>0</v>
      </c>
      <c r="AS987" s="179">
        <f>AS1096+AS1100+AS1103+AS1108+AS1111+AS1114+AS1117+AS1124+AS1127+AS1131+AS1134</f>
        <v>160519985.99000001</v>
      </c>
      <c r="AT987" s="179">
        <f t="shared" si="312"/>
        <v>0</v>
      </c>
      <c r="AU987" s="179">
        <f>AU1096+AU1100+AU1103+AU1108+AU1111+AU1114+AU1117+AU1124+AU1127+AU1131+AU1134</f>
        <v>160519985.99000001</v>
      </c>
      <c r="AV987" s="146">
        <f>IFERROR(VLOOKUP(J987,Maksājumu_pieprasījumu_iesn.!G:BL,57,0),0)</f>
        <v>0</v>
      </c>
      <c r="AW987" s="139">
        <f t="shared" si="301"/>
        <v>-160519985.99000001</v>
      </c>
      <c r="AX987" s="179">
        <f>AX1096+AX1100+AX1103+AX1108+AX1111+AX1114+AX1117+AX1124+AX1127+AX1131+AX1134</f>
        <v>3272521.0165234474</v>
      </c>
      <c r="AY987" s="179">
        <f t="shared" si="312"/>
        <v>3272521</v>
      </c>
      <c r="AZ987" s="179"/>
      <c r="BA987" s="179">
        <f t="shared" si="312"/>
        <v>0</v>
      </c>
      <c r="BB987" s="179">
        <f t="shared" si="312"/>
        <v>0</v>
      </c>
      <c r="BC987" s="179">
        <f>BC1096+BC1100+BC1103+BC1108+BC1111+BC1114+BC1117+BC1124+BC1127+BC1131+BC1134</f>
        <v>37316481.725000001</v>
      </c>
      <c r="BD987" s="179">
        <f>BD1096+BD1100+BD1103+BD1108+BD1111+BD1114+BD1117+BD1124+BD1127+BD1131+BD1134</f>
        <v>30081940.188199993</v>
      </c>
      <c r="BE987" s="179">
        <f>BE1096+BE1100+BE1103+BE1108+BE1111+BE1114+BE1117+BE1124+BE1127+BE1131+BE1134</f>
        <v>41642773.980235294</v>
      </c>
      <c r="BF987" s="179">
        <f t="shared" si="312"/>
        <v>0</v>
      </c>
      <c r="BG987" s="179">
        <f t="shared" si="312"/>
        <v>0</v>
      </c>
      <c r="BH987" s="179">
        <f t="shared" si="312"/>
        <v>419092.70999999996</v>
      </c>
      <c r="BI987" s="179">
        <f t="shared" si="312"/>
        <v>14483168.523499999</v>
      </c>
      <c r="BJ987" s="179">
        <f>BJ1096+BJ1100+BJ1103+BJ1108+BJ1111+BJ1114+BJ1117+BJ1124+BJ1127+BJ1131+BJ1134</f>
        <v>12279192.627199998</v>
      </c>
      <c r="BK987" s="179">
        <f>BK1096+BK1100+BK1103+BK1108+BK1111+BK1114+BK1117+BK1124+BK1127+BK1131+BK1134</f>
        <v>278864.73619999888</v>
      </c>
      <c r="BL987" s="179">
        <f t="shared" si="312"/>
        <v>30898235.20657368</v>
      </c>
      <c r="BM987" s="179">
        <f t="shared" si="312"/>
        <v>34563644.636799999</v>
      </c>
      <c r="BN987" s="179">
        <f t="shared" si="312"/>
        <v>6417028.8983080918</v>
      </c>
    </row>
    <row r="988" spans="1:66" s="91" customFormat="1" ht="25.5" hidden="1" x14ac:dyDescent="0.2">
      <c r="A988" s="127" t="s">
        <v>2104</v>
      </c>
      <c r="B988" s="127" t="s">
        <v>2107</v>
      </c>
      <c r="C988" s="127" t="s">
        <v>1023</v>
      </c>
      <c r="D988" s="128" t="s">
        <v>2108</v>
      </c>
      <c r="E988" s="127"/>
      <c r="F988" s="127"/>
      <c r="G988" s="127" t="s">
        <v>5</v>
      </c>
      <c r="H988" s="127"/>
      <c r="I988" s="127"/>
      <c r="J988" s="127"/>
      <c r="K988" s="128"/>
      <c r="L988" s="128"/>
      <c r="M988" s="128"/>
      <c r="N988" s="128"/>
      <c r="O988" s="163"/>
      <c r="P988" s="163"/>
      <c r="Q988" s="163"/>
      <c r="R988" s="163"/>
      <c r="S988" s="164">
        <f>S989</f>
        <v>37945407</v>
      </c>
      <c r="T988" s="164">
        <f>T989</f>
        <v>2314490</v>
      </c>
      <c r="U988" s="164">
        <f>U989</f>
        <v>0</v>
      </c>
      <c r="V988" s="164">
        <f>V989</f>
        <v>0</v>
      </c>
      <c r="W988" s="164">
        <f>W989</f>
        <v>0</v>
      </c>
      <c r="X988" s="129">
        <f>U988+V988+W988</f>
        <v>0</v>
      </c>
      <c r="Y988" s="164">
        <f t="shared" ref="Y988:AT988" si="313">Y989</f>
        <v>0</v>
      </c>
      <c r="Z988" s="164">
        <f t="shared" si="313"/>
        <v>0</v>
      </c>
      <c r="AA988" s="164">
        <f t="shared" si="313"/>
        <v>0</v>
      </c>
      <c r="AB988" s="164">
        <f t="shared" si="313"/>
        <v>0</v>
      </c>
      <c r="AC988" s="164">
        <f t="shared" si="313"/>
        <v>0</v>
      </c>
      <c r="AD988" s="164">
        <f t="shared" si="313"/>
        <v>0</v>
      </c>
      <c r="AE988" s="164">
        <f t="shared" si="313"/>
        <v>0</v>
      </c>
      <c r="AF988" s="164">
        <f t="shared" si="313"/>
        <v>0</v>
      </c>
      <c r="AG988" s="164">
        <f t="shared" si="313"/>
        <v>77106.05</v>
      </c>
      <c r="AH988" s="164">
        <f t="shared" si="313"/>
        <v>787394.42</v>
      </c>
      <c r="AI988" s="164">
        <f t="shared" si="313"/>
        <v>810910.69</v>
      </c>
      <c r="AJ988" s="164">
        <f t="shared" si="313"/>
        <v>318205.66249999998</v>
      </c>
      <c r="AK988" s="164">
        <f t="shared" si="313"/>
        <v>1993616.8225</v>
      </c>
      <c r="AL988" s="164">
        <f t="shared" si="313"/>
        <v>20587999.065000001</v>
      </c>
      <c r="AM988" s="164">
        <f t="shared" si="313"/>
        <v>8004817.192499999</v>
      </c>
      <c r="AN988" s="164">
        <f t="shared" si="313"/>
        <v>4301957.87</v>
      </c>
      <c r="AO988" s="164">
        <f t="shared" si="313"/>
        <v>742526.25</v>
      </c>
      <c r="AP988" s="164">
        <f t="shared" si="313"/>
        <v>0</v>
      </c>
      <c r="AQ988" s="164">
        <f t="shared" si="313"/>
        <v>0</v>
      </c>
      <c r="AR988" s="164">
        <f t="shared" si="313"/>
        <v>0</v>
      </c>
      <c r="AS988" s="164">
        <f t="shared" si="313"/>
        <v>35630917.200000003</v>
      </c>
      <c r="AT988" s="164">
        <f t="shared" si="313"/>
        <v>0</v>
      </c>
      <c r="AU988" s="183">
        <f t="shared" si="280"/>
        <v>35630917.200000003</v>
      </c>
      <c r="AV988" s="146">
        <f>IFERROR(VLOOKUP(J988,Maksājumu_pieprasījumu_iesn.!G:BL,57,0),0)</f>
        <v>0</v>
      </c>
      <c r="AW988" s="139">
        <f t="shared" si="301"/>
        <v>-35630917.200000003</v>
      </c>
      <c r="AX988" s="164">
        <f>AX989</f>
        <v>-0.20000000298023224</v>
      </c>
      <c r="AY988" s="164">
        <f>AY989</f>
        <v>0</v>
      </c>
      <c r="AZ988" s="164"/>
      <c r="BA988" s="164"/>
      <c r="BB988" s="164">
        <f>BB989</f>
        <v>0</v>
      </c>
      <c r="BC988" s="164">
        <f>BC989</f>
        <v>12287616.355</v>
      </c>
      <c r="BD988" s="164">
        <f>BC988*0.86</f>
        <v>10567350.065300001</v>
      </c>
      <c r="BE988" s="129">
        <f>BD988/0.85</f>
        <v>12432176.547411766</v>
      </c>
      <c r="BF988" s="164">
        <f>BF989</f>
        <v>0</v>
      </c>
      <c r="BG988" s="164">
        <f>BG989</f>
        <v>0</v>
      </c>
      <c r="BH988" s="129">
        <f>BH989</f>
        <v>0</v>
      </c>
      <c r="BI988" s="129">
        <f>BI989</f>
        <v>6030980.7599999998</v>
      </c>
      <c r="BJ988" s="129">
        <f>AK988*0.86</f>
        <v>1714510.46735</v>
      </c>
      <c r="BK988" s="129">
        <f>BJ988-BI988</f>
        <v>-4316470.2926499993</v>
      </c>
      <c r="BL988" s="129">
        <f>BL989</f>
        <v>10939023.6462154</v>
      </c>
      <c r="BM988" s="129">
        <f>AL988*0.86</f>
        <v>17705679.195900001</v>
      </c>
      <c r="BN988" s="129">
        <f>BM988-BL988</f>
        <v>6766655.5496846009</v>
      </c>
    </row>
    <row r="989" spans="1:66" s="91" customFormat="1" ht="25.5" hidden="1" customHeight="1" x14ac:dyDescent="0.2">
      <c r="A989" s="131" t="s">
        <v>2104</v>
      </c>
      <c r="B989" s="132" t="s">
        <v>2107</v>
      </c>
      <c r="C989" s="132" t="s">
        <v>2109</v>
      </c>
      <c r="D989" s="133" t="s">
        <v>2108</v>
      </c>
      <c r="E989" s="22" t="s">
        <v>3</v>
      </c>
      <c r="F989" s="22" t="s">
        <v>4</v>
      </c>
      <c r="G989" s="22" t="s">
        <v>5</v>
      </c>
      <c r="H989" s="22" t="s">
        <v>3</v>
      </c>
      <c r="I989" s="22" t="s">
        <v>1022</v>
      </c>
      <c r="J989" s="134" t="s">
        <v>1026</v>
      </c>
      <c r="K989" s="133"/>
      <c r="L989" s="133"/>
      <c r="M989" s="133"/>
      <c r="N989" s="133"/>
      <c r="O989" s="135"/>
      <c r="P989" s="135"/>
      <c r="Q989" s="135"/>
      <c r="R989" s="135"/>
      <c r="S989" s="136">
        <v>37945407</v>
      </c>
      <c r="T989" s="136">
        <v>2314490</v>
      </c>
      <c r="U989" s="137">
        <f>SUM(U990:U1003)</f>
        <v>0</v>
      </c>
      <c r="V989" s="137">
        <f>SUM(V990:V1003)</f>
        <v>0</v>
      </c>
      <c r="W989" s="137">
        <f>SUM(W990:W1003)</f>
        <v>0</v>
      </c>
      <c r="X989" s="138">
        <f>U989+V989+W989</f>
        <v>0</v>
      </c>
      <c r="Y989" s="137">
        <f t="shared" ref="Y989:AR989" si="314">SUM(Y990:Y1003)</f>
        <v>0</v>
      </c>
      <c r="Z989" s="137">
        <f t="shared" si="314"/>
        <v>0</v>
      </c>
      <c r="AA989" s="137">
        <f t="shared" si="314"/>
        <v>0</v>
      </c>
      <c r="AB989" s="137">
        <f t="shared" si="314"/>
        <v>0</v>
      </c>
      <c r="AC989" s="137">
        <f t="shared" si="314"/>
        <v>0</v>
      </c>
      <c r="AD989" s="137">
        <f t="shared" si="314"/>
        <v>0</v>
      </c>
      <c r="AE989" s="137">
        <f t="shared" si="314"/>
        <v>0</v>
      </c>
      <c r="AF989" s="137">
        <f t="shared" si="314"/>
        <v>0</v>
      </c>
      <c r="AG989" s="137">
        <f t="shared" si="314"/>
        <v>77106.05</v>
      </c>
      <c r="AH989" s="137">
        <f t="shared" si="314"/>
        <v>787394.42</v>
      </c>
      <c r="AI989" s="137">
        <f t="shared" si="314"/>
        <v>810910.69</v>
      </c>
      <c r="AJ989" s="137">
        <f t="shared" si="314"/>
        <v>318205.66249999998</v>
      </c>
      <c r="AK989" s="137">
        <f t="shared" si="314"/>
        <v>1993616.8225</v>
      </c>
      <c r="AL989" s="137">
        <f t="shared" si="314"/>
        <v>20587999.065000001</v>
      </c>
      <c r="AM989" s="137">
        <f t="shared" si="314"/>
        <v>8004817.192499999</v>
      </c>
      <c r="AN989" s="137">
        <f t="shared" si="314"/>
        <v>4301957.87</v>
      </c>
      <c r="AO989" s="137">
        <f t="shared" si="314"/>
        <v>742526.25</v>
      </c>
      <c r="AP989" s="137">
        <f t="shared" si="314"/>
        <v>0</v>
      </c>
      <c r="AQ989" s="137">
        <f t="shared" si="314"/>
        <v>0</v>
      </c>
      <c r="AR989" s="137">
        <f t="shared" si="314"/>
        <v>0</v>
      </c>
      <c r="AS989" s="137">
        <f t="shared" ref="AS989:AS1003" si="315">U989+V989+W989+AK989+AL989+AM989+AN989+AO989+AP989+AQ989+AR989</f>
        <v>35630917.200000003</v>
      </c>
      <c r="AT989" s="137">
        <f>SUM(AT990:AT1003)</f>
        <v>0</v>
      </c>
      <c r="AU989" s="139">
        <f t="shared" si="280"/>
        <v>35630917.200000003</v>
      </c>
      <c r="AV989" s="146">
        <f>IFERROR(VLOOKUP(J989,Maksājumu_pieprasījumu_iesn.!G:BL,57,0),0)</f>
        <v>0</v>
      </c>
      <c r="AW989" s="139">
        <f t="shared" si="301"/>
        <v>-35630917.200000003</v>
      </c>
      <c r="AX989" s="140">
        <f>S989-T989-AU989</f>
        <v>-0.20000000298023224</v>
      </c>
      <c r="AY989" s="137"/>
      <c r="AZ989" s="137"/>
      <c r="BA989" s="138" t="s">
        <v>2110</v>
      </c>
      <c r="BB989" s="140"/>
      <c r="BC989" s="140">
        <f>X989+AK989+AL989/2</f>
        <v>12287616.355</v>
      </c>
      <c r="BD989" s="140"/>
      <c r="BE989" s="140">
        <f>BC989/0.85</f>
        <v>14456019.241176471</v>
      </c>
      <c r="BF989" s="137"/>
      <c r="BG989" s="137"/>
      <c r="BH989" s="138">
        <v>0</v>
      </c>
      <c r="BI989" s="138">
        <v>6030980.7599999998</v>
      </c>
      <c r="BJ989" s="138"/>
      <c r="BK989" s="138"/>
      <c r="BL989" s="138">
        <v>10939023.6462154</v>
      </c>
      <c r="BM989" s="138"/>
      <c r="BN989" s="138"/>
    </row>
    <row r="990" spans="1:66" s="91" customFormat="1" ht="25.5" hidden="1" customHeight="1" x14ac:dyDescent="0.2">
      <c r="A990" s="150" t="s">
        <v>2104</v>
      </c>
      <c r="B990" s="18" t="s">
        <v>2107</v>
      </c>
      <c r="C990" s="18" t="s">
        <v>2109</v>
      </c>
      <c r="D990" s="19" t="s">
        <v>2108</v>
      </c>
      <c r="E990" s="55" t="s">
        <v>3</v>
      </c>
      <c r="F990" s="55" t="s">
        <v>4</v>
      </c>
      <c r="G990" s="55" t="s">
        <v>5</v>
      </c>
      <c r="H990" s="55" t="s">
        <v>3</v>
      </c>
      <c r="I990" s="55"/>
      <c r="J990" s="55"/>
      <c r="K990" s="19" t="s">
        <v>1030</v>
      </c>
      <c r="L990" s="19"/>
      <c r="M990" s="19"/>
      <c r="N990" s="19" t="s">
        <v>2111</v>
      </c>
      <c r="O990" s="151">
        <v>42901</v>
      </c>
      <c r="P990" s="151"/>
      <c r="Q990" s="151"/>
      <c r="R990" s="151"/>
      <c r="S990" s="152">
        <v>1211367.3</v>
      </c>
      <c r="T990" s="152"/>
      <c r="U990" s="145">
        <v>0</v>
      </c>
      <c r="V990" s="145">
        <v>0</v>
      </c>
      <c r="W990" s="145">
        <v>0</v>
      </c>
      <c r="X990" s="145">
        <f t="shared" ref="X990:X1003" si="316">W990+V990+U990</f>
        <v>0</v>
      </c>
      <c r="Y990" s="145">
        <v>0</v>
      </c>
      <c r="Z990" s="145">
        <v>0</v>
      </c>
      <c r="AA990" s="145">
        <v>0</v>
      </c>
      <c r="AB990" s="145">
        <v>0</v>
      </c>
      <c r="AC990" s="145">
        <v>0</v>
      </c>
      <c r="AD990" s="145">
        <v>0</v>
      </c>
      <c r="AE990" s="145">
        <v>0</v>
      </c>
      <c r="AF990" s="145">
        <v>0</v>
      </c>
      <c r="AG990" s="145">
        <v>0</v>
      </c>
      <c r="AH990" s="145">
        <v>0</v>
      </c>
      <c r="AI990" s="145">
        <v>0</v>
      </c>
      <c r="AJ990" s="145">
        <v>0</v>
      </c>
      <c r="AK990" s="361">
        <f t="shared" ref="AK990:AK1003" si="317">SUM(Y990:AJ990)</f>
        <v>0</v>
      </c>
      <c r="AL990" s="145">
        <v>1068096.3999999999</v>
      </c>
      <c r="AM990" s="145">
        <v>69382.95</v>
      </c>
      <c r="AN990" s="145">
        <v>0</v>
      </c>
      <c r="AO990" s="145">
        <v>0</v>
      </c>
      <c r="AP990" s="145">
        <v>0</v>
      </c>
      <c r="AQ990" s="145">
        <v>0</v>
      </c>
      <c r="AR990" s="145">
        <v>0</v>
      </c>
      <c r="AS990" s="145">
        <f t="shared" si="315"/>
        <v>1137479.3499999999</v>
      </c>
      <c r="AT990" s="145"/>
      <c r="AU990" s="139">
        <f t="shared" si="280"/>
        <v>1137479.3499999999</v>
      </c>
      <c r="AV990" s="146">
        <f>IFERROR(VLOOKUP(J990,Maksājumu_pieprasījumu_iesn.!G:BL,57,0),0)</f>
        <v>0</v>
      </c>
      <c r="AW990" s="139">
        <f t="shared" si="301"/>
        <v>-1137479.3499999999</v>
      </c>
      <c r="AX990" s="153"/>
      <c r="AY990" s="153"/>
      <c r="AZ990" s="153"/>
      <c r="BA990" s="138"/>
      <c r="BB990" s="145"/>
      <c r="BC990" s="145"/>
      <c r="BD990" s="145"/>
      <c r="BE990" s="145"/>
      <c r="BF990" s="145"/>
      <c r="BG990" s="145"/>
      <c r="BH990" s="138"/>
      <c r="BI990" s="138"/>
      <c r="BJ990" s="138"/>
      <c r="BK990" s="138"/>
      <c r="BL990" s="138"/>
      <c r="BM990" s="138"/>
      <c r="BN990" s="138"/>
    </row>
    <row r="991" spans="1:66" s="91" customFormat="1" ht="25.5" hidden="1" customHeight="1" x14ac:dyDescent="0.2">
      <c r="A991" s="150" t="s">
        <v>2104</v>
      </c>
      <c r="B991" s="18" t="s">
        <v>2107</v>
      </c>
      <c r="C991" s="18" t="s">
        <v>2109</v>
      </c>
      <c r="D991" s="19" t="s">
        <v>2108</v>
      </c>
      <c r="E991" s="55" t="s">
        <v>3</v>
      </c>
      <c r="F991" s="55" t="s">
        <v>4</v>
      </c>
      <c r="G991" s="55" t="s">
        <v>5</v>
      </c>
      <c r="H991" s="55" t="s">
        <v>3</v>
      </c>
      <c r="I991" s="55"/>
      <c r="J991" s="55"/>
      <c r="K991" s="19" t="s">
        <v>2112</v>
      </c>
      <c r="L991" s="19"/>
      <c r="M991" s="19"/>
      <c r="N991" s="19" t="s">
        <v>2113</v>
      </c>
      <c r="O991" s="151">
        <v>42901</v>
      </c>
      <c r="P991" s="151"/>
      <c r="Q991" s="151"/>
      <c r="R991" s="151"/>
      <c r="S991" s="152">
        <v>448509.3</v>
      </c>
      <c r="T991" s="152"/>
      <c r="U991" s="145">
        <v>0</v>
      </c>
      <c r="V991" s="145">
        <v>0</v>
      </c>
      <c r="W991" s="145">
        <v>0</v>
      </c>
      <c r="X991" s="145">
        <f t="shared" si="316"/>
        <v>0</v>
      </c>
      <c r="Y991" s="145">
        <v>0</v>
      </c>
      <c r="Z991" s="145">
        <v>0</v>
      </c>
      <c r="AA991" s="145">
        <v>0</v>
      </c>
      <c r="AB991" s="145">
        <v>0</v>
      </c>
      <c r="AC991" s="145">
        <v>0</v>
      </c>
      <c r="AD991" s="145">
        <v>0</v>
      </c>
      <c r="AE991" s="145">
        <v>0</v>
      </c>
      <c r="AF991" s="145">
        <v>0</v>
      </c>
      <c r="AG991" s="145">
        <v>0</v>
      </c>
      <c r="AH991" s="145">
        <v>0</v>
      </c>
      <c r="AI991" s="145">
        <v>23882</v>
      </c>
      <c r="AJ991" s="145">
        <v>8500</v>
      </c>
      <c r="AK991" s="361">
        <f t="shared" si="317"/>
        <v>32382</v>
      </c>
      <c r="AL991" s="145">
        <v>315125</v>
      </c>
      <c r="AM991" s="145">
        <v>73645</v>
      </c>
      <c r="AN991" s="145">
        <v>0</v>
      </c>
      <c r="AO991" s="145">
        <v>0</v>
      </c>
      <c r="AP991" s="145">
        <v>0</v>
      </c>
      <c r="AQ991" s="145">
        <v>0</v>
      </c>
      <c r="AR991" s="145">
        <v>0</v>
      </c>
      <c r="AS991" s="145">
        <f t="shared" si="315"/>
        <v>421152</v>
      </c>
      <c r="AT991" s="145"/>
      <c r="AU991" s="139">
        <f t="shared" si="280"/>
        <v>421152</v>
      </c>
      <c r="AV991" s="146">
        <f>IFERROR(VLOOKUP(J991,Maksājumu_pieprasījumu_iesn.!G:BL,57,0),0)</f>
        <v>0</v>
      </c>
      <c r="AW991" s="139">
        <f t="shared" si="301"/>
        <v>-421152</v>
      </c>
      <c r="AX991" s="153"/>
      <c r="AY991" s="153"/>
      <c r="AZ991" s="153"/>
      <c r="BA991" s="138"/>
      <c r="BB991" s="145"/>
      <c r="BC991" s="145"/>
      <c r="BD991" s="145"/>
      <c r="BE991" s="145"/>
      <c r="BF991" s="145"/>
      <c r="BG991" s="145"/>
      <c r="BH991" s="138"/>
      <c r="BI991" s="138"/>
      <c r="BJ991" s="138"/>
      <c r="BK991" s="138"/>
      <c r="BL991" s="138"/>
      <c r="BM991" s="138"/>
      <c r="BN991" s="138"/>
    </row>
    <row r="992" spans="1:66" s="91" customFormat="1" ht="25.5" hidden="1" customHeight="1" x14ac:dyDescent="0.2">
      <c r="A992" s="150" t="s">
        <v>2104</v>
      </c>
      <c r="B992" s="18" t="s">
        <v>2107</v>
      </c>
      <c r="C992" s="18" t="s">
        <v>2109</v>
      </c>
      <c r="D992" s="19" t="s">
        <v>2108</v>
      </c>
      <c r="E992" s="55" t="s">
        <v>3</v>
      </c>
      <c r="F992" s="55" t="s">
        <v>4</v>
      </c>
      <c r="G992" s="55" t="s">
        <v>5</v>
      </c>
      <c r="H992" s="55" t="s">
        <v>3</v>
      </c>
      <c r="I992" s="55"/>
      <c r="J992" s="55"/>
      <c r="K992" s="19" t="s">
        <v>2114</v>
      </c>
      <c r="L992" s="19"/>
      <c r="M992" s="19"/>
      <c r="N992" s="155" t="s">
        <v>2115</v>
      </c>
      <c r="O992" s="162" t="s">
        <v>2116</v>
      </c>
      <c r="P992" s="162"/>
      <c r="Q992" s="162"/>
      <c r="R992" s="151"/>
      <c r="S992" s="152">
        <v>878577</v>
      </c>
      <c r="T992" s="152"/>
      <c r="U992" s="145">
        <v>0</v>
      </c>
      <c r="V992" s="145">
        <v>0</v>
      </c>
      <c r="W992" s="145">
        <v>0</v>
      </c>
      <c r="X992" s="145">
        <f t="shared" si="316"/>
        <v>0</v>
      </c>
      <c r="Y992" s="145">
        <v>0</v>
      </c>
      <c r="Z992" s="145">
        <v>0</v>
      </c>
      <c r="AA992" s="145">
        <v>0</v>
      </c>
      <c r="AB992" s="145">
        <v>0</v>
      </c>
      <c r="AC992" s="145">
        <v>0</v>
      </c>
      <c r="AD992" s="145">
        <v>0</v>
      </c>
      <c r="AE992" s="145">
        <v>0</v>
      </c>
      <c r="AF992" s="145">
        <v>0</v>
      </c>
      <c r="AG992" s="145">
        <v>77106.05</v>
      </c>
      <c r="AH992" s="145">
        <v>115892.40000000001</v>
      </c>
      <c r="AI992" s="145">
        <v>96237</v>
      </c>
      <c r="AJ992" s="145">
        <v>119770.09999999999</v>
      </c>
      <c r="AK992" s="361">
        <f t="shared" si="317"/>
        <v>409005.55</v>
      </c>
      <c r="AL992" s="362">
        <v>415982.35</v>
      </c>
      <c r="AM992" s="145">
        <v>0</v>
      </c>
      <c r="AN992" s="145">
        <v>0</v>
      </c>
      <c r="AO992" s="145">
        <v>0</v>
      </c>
      <c r="AP992" s="145">
        <v>0</v>
      </c>
      <c r="AQ992" s="145">
        <v>0</v>
      </c>
      <c r="AR992" s="145">
        <v>0</v>
      </c>
      <c r="AS992" s="145">
        <f t="shared" si="315"/>
        <v>824987.89999999991</v>
      </c>
      <c r="AT992" s="145"/>
      <c r="AU992" s="139">
        <f t="shared" si="280"/>
        <v>824987.89999999991</v>
      </c>
      <c r="AV992" s="146">
        <f>IFERROR(VLOOKUP(J992,Maksājumu_pieprasījumu_iesn.!G:BL,57,0),0)</f>
        <v>0</v>
      </c>
      <c r="AW992" s="139">
        <f t="shared" si="301"/>
        <v>-824987.89999999991</v>
      </c>
      <c r="AX992" s="153"/>
      <c r="AY992" s="153"/>
      <c r="AZ992" s="153"/>
      <c r="BA992" s="138"/>
      <c r="BB992" s="362"/>
      <c r="BC992" s="362"/>
      <c r="BD992" s="362"/>
      <c r="BE992" s="362"/>
      <c r="BF992" s="362"/>
      <c r="BG992" s="362"/>
      <c r="BH992" s="138"/>
      <c r="BI992" s="138"/>
      <c r="BJ992" s="138"/>
      <c r="BK992" s="138"/>
      <c r="BL992" s="138"/>
      <c r="BM992" s="138"/>
      <c r="BN992" s="138"/>
    </row>
    <row r="993" spans="1:66" s="91" customFormat="1" ht="25.5" hidden="1" customHeight="1" x14ac:dyDescent="0.2">
      <c r="A993" s="150" t="s">
        <v>2104</v>
      </c>
      <c r="B993" s="18" t="s">
        <v>2107</v>
      </c>
      <c r="C993" s="18" t="s">
        <v>2109</v>
      </c>
      <c r="D993" s="19" t="s">
        <v>2108</v>
      </c>
      <c r="E993" s="55" t="s">
        <v>3</v>
      </c>
      <c r="F993" s="55" t="s">
        <v>4</v>
      </c>
      <c r="G993" s="55" t="s">
        <v>5</v>
      </c>
      <c r="H993" s="55" t="s">
        <v>3</v>
      </c>
      <c r="I993" s="55"/>
      <c r="J993" s="55"/>
      <c r="K993" s="19" t="s">
        <v>2117</v>
      </c>
      <c r="L993" s="19"/>
      <c r="M993" s="19"/>
      <c r="N993" s="155" t="s">
        <v>2118</v>
      </c>
      <c r="O993" s="162">
        <v>42838</v>
      </c>
      <c r="P993" s="162"/>
      <c r="Q993" s="162"/>
      <c r="R993" s="151"/>
      <c r="S993" s="152">
        <v>607224.69999999995</v>
      </c>
      <c r="T993" s="152"/>
      <c r="U993" s="145">
        <v>0</v>
      </c>
      <c r="V993" s="145">
        <v>0</v>
      </c>
      <c r="W993" s="145">
        <v>0</v>
      </c>
      <c r="X993" s="145">
        <f t="shared" si="316"/>
        <v>0</v>
      </c>
      <c r="Y993" s="145">
        <v>0</v>
      </c>
      <c r="Z993" s="145">
        <v>0</v>
      </c>
      <c r="AA993" s="145">
        <v>0</v>
      </c>
      <c r="AB993" s="145">
        <v>0</v>
      </c>
      <c r="AC993" s="145">
        <v>0</v>
      </c>
      <c r="AD993" s="145">
        <v>0</v>
      </c>
      <c r="AE993" s="145">
        <v>0</v>
      </c>
      <c r="AF993" s="145">
        <v>0</v>
      </c>
      <c r="AG993" s="145">
        <v>0</v>
      </c>
      <c r="AH993" s="145">
        <v>0</v>
      </c>
      <c r="AI993" s="145">
        <v>0</v>
      </c>
      <c r="AJ993" s="145">
        <v>301.75</v>
      </c>
      <c r="AK993" s="361">
        <f t="shared" si="317"/>
        <v>301.75</v>
      </c>
      <c r="AL993" s="145">
        <v>569885.04999999993</v>
      </c>
      <c r="AM993" s="145">
        <v>0</v>
      </c>
      <c r="AN993" s="145">
        <v>0</v>
      </c>
      <c r="AO993" s="145">
        <v>0</v>
      </c>
      <c r="AP993" s="145">
        <v>0</v>
      </c>
      <c r="AQ993" s="145">
        <v>0</v>
      </c>
      <c r="AR993" s="145">
        <v>0</v>
      </c>
      <c r="AS993" s="145">
        <f t="shared" si="315"/>
        <v>570186.79999999993</v>
      </c>
      <c r="AT993" s="145"/>
      <c r="AU993" s="139">
        <f t="shared" ref="AU993:AU1055" si="318">AS993-AT993</f>
        <v>570186.79999999993</v>
      </c>
      <c r="AV993" s="146">
        <f>IFERROR(VLOOKUP(J993,Maksājumu_pieprasījumu_iesn.!G:BL,57,0),0)</f>
        <v>0</v>
      </c>
      <c r="AW993" s="139">
        <f t="shared" si="301"/>
        <v>-570186.79999999993</v>
      </c>
      <c r="AX993" s="153"/>
      <c r="AY993" s="153"/>
      <c r="AZ993" s="153"/>
      <c r="BA993" s="138"/>
      <c r="BB993" s="145"/>
      <c r="BC993" s="145"/>
      <c r="BD993" s="145"/>
      <c r="BE993" s="145"/>
      <c r="BF993" s="145"/>
      <c r="BG993" s="145"/>
      <c r="BH993" s="138"/>
      <c r="BI993" s="138"/>
      <c r="BJ993" s="138"/>
      <c r="BK993" s="138"/>
      <c r="BL993" s="138"/>
      <c r="BM993" s="138"/>
      <c r="BN993" s="138"/>
    </row>
    <row r="994" spans="1:66" s="91" customFormat="1" ht="38.25" hidden="1" customHeight="1" x14ac:dyDescent="0.2">
      <c r="A994" s="150" t="s">
        <v>2104</v>
      </c>
      <c r="B994" s="18" t="s">
        <v>2107</v>
      </c>
      <c r="C994" s="18" t="s">
        <v>2109</v>
      </c>
      <c r="D994" s="19" t="s">
        <v>2108</v>
      </c>
      <c r="E994" s="55" t="s">
        <v>3</v>
      </c>
      <c r="F994" s="55" t="s">
        <v>4</v>
      </c>
      <c r="G994" s="55" t="s">
        <v>5</v>
      </c>
      <c r="H994" s="55" t="s">
        <v>3</v>
      </c>
      <c r="I994" s="55"/>
      <c r="J994" s="55"/>
      <c r="K994" s="19" t="s">
        <v>2119</v>
      </c>
      <c r="L994" s="19"/>
      <c r="M994" s="19"/>
      <c r="N994" s="344" t="s">
        <v>2120</v>
      </c>
      <c r="O994" s="162">
        <v>42856</v>
      </c>
      <c r="P994" s="162"/>
      <c r="Q994" s="162"/>
      <c r="R994" s="151"/>
      <c r="S994" s="152">
        <v>3064753.1999999997</v>
      </c>
      <c r="T994" s="152"/>
      <c r="U994" s="145">
        <v>0</v>
      </c>
      <c r="V994" s="145">
        <v>0</v>
      </c>
      <c r="W994" s="145">
        <v>0</v>
      </c>
      <c r="X994" s="145">
        <f t="shared" si="316"/>
        <v>0</v>
      </c>
      <c r="Y994" s="145">
        <v>0</v>
      </c>
      <c r="Z994" s="145">
        <v>0</v>
      </c>
      <c r="AA994" s="145">
        <v>0</v>
      </c>
      <c r="AB994" s="145">
        <v>0</v>
      </c>
      <c r="AC994" s="145">
        <v>0</v>
      </c>
      <c r="AD994" s="145">
        <v>0</v>
      </c>
      <c r="AE994" s="145">
        <v>0</v>
      </c>
      <c r="AF994" s="145">
        <v>0</v>
      </c>
      <c r="AG994" s="145">
        <v>0</v>
      </c>
      <c r="AH994" s="145">
        <v>0</v>
      </c>
      <c r="AI994" s="145">
        <v>13332.25</v>
      </c>
      <c r="AJ994" s="145">
        <v>3557.25</v>
      </c>
      <c r="AK994" s="361">
        <f t="shared" si="317"/>
        <v>16889.5</v>
      </c>
      <c r="AL994" s="145">
        <v>1372871.55</v>
      </c>
      <c r="AM994" s="145">
        <v>637893</v>
      </c>
      <c r="AN994" s="145">
        <v>617098</v>
      </c>
      <c r="AO994" s="145">
        <v>233066</v>
      </c>
      <c r="AP994" s="145">
        <v>0</v>
      </c>
      <c r="AQ994" s="145">
        <v>0</v>
      </c>
      <c r="AR994" s="145">
        <v>0</v>
      </c>
      <c r="AS994" s="145">
        <f t="shared" si="315"/>
        <v>2877818.05</v>
      </c>
      <c r="AT994" s="145"/>
      <c r="AU994" s="139">
        <f t="shared" si="318"/>
        <v>2877818.05</v>
      </c>
      <c r="AV994" s="146">
        <f>IFERROR(VLOOKUP(J994,Maksājumu_pieprasījumu_iesn.!G:BL,57,0),0)</f>
        <v>0</v>
      </c>
      <c r="AW994" s="139">
        <f t="shared" si="301"/>
        <v>-2877818.05</v>
      </c>
      <c r="AX994" s="153"/>
      <c r="AY994" s="153"/>
      <c r="AZ994" s="153"/>
      <c r="BA994" s="138"/>
      <c r="BB994" s="145"/>
      <c r="BC994" s="145"/>
      <c r="BD994" s="145"/>
      <c r="BE994" s="145"/>
      <c r="BF994" s="145"/>
      <c r="BG994" s="145"/>
      <c r="BH994" s="138"/>
      <c r="BI994" s="138"/>
      <c r="BJ994" s="138"/>
      <c r="BK994" s="138"/>
      <c r="BL994" s="138"/>
      <c r="BM994" s="138"/>
      <c r="BN994" s="138"/>
    </row>
    <row r="995" spans="1:66" s="91" customFormat="1" ht="25.5" hidden="1" customHeight="1" x14ac:dyDescent="0.2">
      <c r="A995" s="150" t="s">
        <v>2104</v>
      </c>
      <c r="B995" s="18" t="s">
        <v>2107</v>
      </c>
      <c r="C995" s="18" t="s">
        <v>2109</v>
      </c>
      <c r="D995" s="19" t="s">
        <v>2108</v>
      </c>
      <c r="E995" s="55" t="s">
        <v>3</v>
      </c>
      <c r="F995" s="55" t="s">
        <v>4</v>
      </c>
      <c r="G995" s="55" t="s">
        <v>5</v>
      </c>
      <c r="H995" s="55" t="s">
        <v>3</v>
      </c>
      <c r="I995" s="55"/>
      <c r="J995" s="55"/>
      <c r="K995" s="19" t="s">
        <v>2121</v>
      </c>
      <c r="L995" s="19"/>
      <c r="M995" s="19"/>
      <c r="N995" s="155" t="s">
        <v>2122</v>
      </c>
      <c r="O995" s="363">
        <v>42901</v>
      </c>
      <c r="P995" s="363"/>
      <c r="Q995" s="363"/>
      <c r="R995" s="151"/>
      <c r="S995" s="152">
        <v>581625.25</v>
      </c>
      <c r="T995" s="152"/>
      <c r="U995" s="145">
        <v>0</v>
      </c>
      <c r="V995" s="145">
        <v>0</v>
      </c>
      <c r="W995" s="145">
        <v>0</v>
      </c>
      <c r="X995" s="145">
        <f t="shared" si="316"/>
        <v>0</v>
      </c>
      <c r="Y995" s="145">
        <v>0</v>
      </c>
      <c r="Z995" s="145">
        <v>0</v>
      </c>
      <c r="AA995" s="145">
        <v>0</v>
      </c>
      <c r="AB995" s="145">
        <v>0</v>
      </c>
      <c r="AC995" s="145">
        <v>0</v>
      </c>
      <c r="AD995" s="145">
        <v>0</v>
      </c>
      <c r="AE995" s="145">
        <v>0</v>
      </c>
      <c r="AF995" s="145">
        <v>0</v>
      </c>
      <c r="AG995" s="145">
        <v>0</v>
      </c>
      <c r="AH995" s="145">
        <v>0</v>
      </c>
      <c r="AI995" s="145">
        <v>0</v>
      </c>
      <c r="AJ995" s="145">
        <v>0</v>
      </c>
      <c r="AK995" s="361">
        <f t="shared" si="317"/>
        <v>0</v>
      </c>
      <c r="AL995" s="145">
        <v>239445.85</v>
      </c>
      <c r="AM995" s="145">
        <v>151649.35</v>
      </c>
      <c r="AN995" s="145">
        <v>79815.850000000006</v>
      </c>
      <c r="AO995" s="145">
        <v>75237.75</v>
      </c>
      <c r="AP995" s="145">
        <v>0</v>
      </c>
      <c r="AQ995" s="145">
        <v>0</v>
      </c>
      <c r="AR995" s="145">
        <v>0</v>
      </c>
      <c r="AS995" s="145">
        <f t="shared" si="315"/>
        <v>546148.80000000005</v>
      </c>
      <c r="AT995" s="145"/>
      <c r="AU995" s="139">
        <f t="shared" si="318"/>
        <v>546148.80000000005</v>
      </c>
      <c r="AV995" s="146">
        <f>IFERROR(VLOOKUP(J995,Maksājumu_pieprasījumu_iesn.!G:BL,57,0),0)</f>
        <v>0</v>
      </c>
      <c r="AW995" s="139">
        <f t="shared" si="301"/>
        <v>-546148.80000000005</v>
      </c>
      <c r="AX995" s="153"/>
      <c r="AY995" s="153"/>
      <c r="AZ995" s="153"/>
      <c r="BA995" s="138"/>
      <c r="BB995" s="145"/>
      <c r="BC995" s="145"/>
      <c r="BD995" s="145"/>
      <c r="BE995" s="145"/>
      <c r="BF995" s="145"/>
      <c r="BG995" s="145"/>
      <c r="BH995" s="138"/>
      <c r="BI995" s="138"/>
      <c r="BJ995" s="138"/>
      <c r="BK995" s="138"/>
      <c r="BL995" s="138"/>
      <c r="BM995" s="138"/>
      <c r="BN995" s="138"/>
    </row>
    <row r="996" spans="1:66" s="91" customFormat="1" ht="25.5" hidden="1" customHeight="1" x14ac:dyDescent="0.2">
      <c r="A996" s="150" t="s">
        <v>2104</v>
      </c>
      <c r="B996" s="18" t="s">
        <v>2107</v>
      </c>
      <c r="C996" s="18" t="s">
        <v>2109</v>
      </c>
      <c r="D996" s="19" t="s">
        <v>2108</v>
      </c>
      <c r="E996" s="55" t="s">
        <v>3</v>
      </c>
      <c r="F996" s="55" t="s">
        <v>4</v>
      </c>
      <c r="G996" s="55" t="s">
        <v>5</v>
      </c>
      <c r="H996" s="55" t="s">
        <v>3</v>
      </c>
      <c r="I996" s="55"/>
      <c r="J996" s="55"/>
      <c r="K996" s="19" t="s">
        <v>2123</v>
      </c>
      <c r="L996" s="19"/>
      <c r="M996" s="19"/>
      <c r="N996" s="155" t="s">
        <v>2124</v>
      </c>
      <c r="O996" s="363">
        <v>42902</v>
      </c>
      <c r="P996" s="363"/>
      <c r="Q996" s="363"/>
      <c r="R996" s="151"/>
      <c r="S996" s="152">
        <v>755700.15</v>
      </c>
      <c r="T996" s="152"/>
      <c r="U996" s="145">
        <v>0</v>
      </c>
      <c r="V996" s="145">
        <v>0</v>
      </c>
      <c r="W996" s="145">
        <v>0</v>
      </c>
      <c r="X996" s="145">
        <f t="shared" si="316"/>
        <v>0</v>
      </c>
      <c r="Y996" s="145">
        <v>0</v>
      </c>
      <c r="Z996" s="145">
        <v>0</v>
      </c>
      <c r="AA996" s="145">
        <v>0</v>
      </c>
      <c r="AB996" s="145">
        <v>0</v>
      </c>
      <c r="AC996" s="145">
        <v>0</v>
      </c>
      <c r="AD996" s="145">
        <v>0</v>
      </c>
      <c r="AE996" s="145">
        <v>0</v>
      </c>
      <c r="AF996" s="145">
        <v>0</v>
      </c>
      <c r="AG996" s="145">
        <v>0</v>
      </c>
      <c r="AH996" s="145">
        <v>0</v>
      </c>
      <c r="AI996" s="145">
        <v>19125</v>
      </c>
      <c r="AJ996" s="145">
        <v>2125</v>
      </c>
      <c r="AK996" s="361">
        <f t="shared" si="317"/>
        <v>21250</v>
      </c>
      <c r="AL996" s="145">
        <v>671356.35</v>
      </c>
      <c r="AM996" s="145">
        <v>17000</v>
      </c>
      <c r="AN996" s="145">
        <v>0</v>
      </c>
      <c r="AO996" s="145">
        <v>0</v>
      </c>
      <c r="AP996" s="145">
        <v>0</v>
      </c>
      <c r="AQ996" s="145">
        <v>0</v>
      </c>
      <c r="AR996" s="145">
        <v>0</v>
      </c>
      <c r="AS996" s="145">
        <f t="shared" si="315"/>
        <v>709606.35</v>
      </c>
      <c r="AT996" s="145"/>
      <c r="AU996" s="139">
        <f t="shared" si="318"/>
        <v>709606.35</v>
      </c>
      <c r="AV996" s="146">
        <f>IFERROR(VLOOKUP(J996,Maksājumu_pieprasījumu_iesn.!G:BL,57,0),0)</f>
        <v>0</v>
      </c>
      <c r="AW996" s="139">
        <f t="shared" si="301"/>
        <v>-709606.35</v>
      </c>
      <c r="AX996" s="153"/>
      <c r="AY996" s="153"/>
      <c r="AZ996" s="153"/>
      <c r="BA996" s="138"/>
      <c r="BB996" s="145"/>
      <c r="BC996" s="145"/>
      <c r="BD996" s="145"/>
      <c r="BE996" s="145"/>
      <c r="BF996" s="145"/>
      <c r="BG996" s="145"/>
      <c r="BH996" s="138"/>
      <c r="BI996" s="138"/>
      <c r="BJ996" s="138"/>
      <c r="BK996" s="138"/>
      <c r="BL996" s="138"/>
      <c r="BM996" s="138"/>
      <c r="BN996" s="138"/>
    </row>
    <row r="997" spans="1:66" s="91" customFormat="1" ht="25.5" hidden="1" customHeight="1" x14ac:dyDescent="0.2">
      <c r="A997" s="150" t="s">
        <v>2104</v>
      </c>
      <c r="B997" s="18" t="s">
        <v>2107</v>
      </c>
      <c r="C997" s="18" t="s">
        <v>2109</v>
      </c>
      <c r="D997" s="19" t="s">
        <v>2108</v>
      </c>
      <c r="E997" s="55" t="s">
        <v>3</v>
      </c>
      <c r="F997" s="55" t="s">
        <v>4</v>
      </c>
      <c r="G997" s="55" t="s">
        <v>5</v>
      </c>
      <c r="H997" s="55" t="s">
        <v>3</v>
      </c>
      <c r="I997" s="55"/>
      <c r="J997" s="55"/>
      <c r="K997" s="19" t="s">
        <v>2125</v>
      </c>
      <c r="L997" s="19"/>
      <c r="M997" s="19"/>
      <c r="N997" s="155" t="s">
        <v>2126</v>
      </c>
      <c r="O997" s="363">
        <v>42886</v>
      </c>
      <c r="P997" s="363"/>
      <c r="Q997" s="363"/>
      <c r="R997" s="151"/>
      <c r="S997" s="152">
        <v>11072199.449999999</v>
      </c>
      <c r="T997" s="152"/>
      <c r="U997" s="145">
        <v>0</v>
      </c>
      <c r="V997" s="145">
        <v>0</v>
      </c>
      <c r="W997" s="145">
        <v>0</v>
      </c>
      <c r="X997" s="145">
        <f t="shared" si="316"/>
        <v>0</v>
      </c>
      <c r="Y997" s="145">
        <v>0</v>
      </c>
      <c r="Z997" s="145">
        <v>0</v>
      </c>
      <c r="AA997" s="145">
        <v>0</v>
      </c>
      <c r="AB997" s="145">
        <v>0</v>
      </c>
      <c r="AC997" s="145">
        <v>0</v>
      </c>
      <c r="AD997" s="145">
        <v>0</v>
      </c>
      <c r="AE997" s="145">
        <v>0</v>
      </c>
      <c r="AF997" s="145">
        <v>0</v>
      </c>
      <c r="AG997" s="145">
        <v>0</v>
      </c>
      <c r="AH997" s="145">
        <v>527849</v>
      </c>
      <c r="AI997" s="145">
        <v>108906</v>
      </c>
      <c r="AJ997" s="145">
        <v>82231</v>
      </c>
      <c r="AK997" s="361">
        <f t="shared" si="317"/>
        <v>718986</v>
      </c>
      <c r="AL997" s="145">
        <v>8543687</v>
      </c>
      <c r="AM997" s="145">
        <v>1134174</v>
      </c>
      <c r="AN997" s="145">
        <v>0</v>
      </c>
      <c r="AO997" s="145">
        <v>0</v>
      </c>
      <c r="AP997" s="145">
        <v>0</v>
      </c>
      <c r="AQ997" s="145">
        <v>0</v>
      </c>
      <c r="AR997" s="145">
        <v>0</v>
      </c>
      <c r="AS997" s="361">
        <f t="shared" si="315"/>
        <v>10396847</v>
      </c>
      <c r="AT997" s="145"/>
      <c r="AU997" s="139">
        <f t="shared" si="318"/>
        <v>10396847</v>
      </c>
      <c r="AV997" s="146">
        <f>IFERROR(VLOOKUP(J997,Maksājumu_pieprasījumu_iesn.!G:BL,57,0),0)</f>
        <v>0</v>
      </c>
      <c r="AW997" s="139">
        <f t="shared" si="301"/>
        <v>-10396847</v>
      </c>
      <c r="AX997" s="153"/>
      <c r="AY997" s="153"/>
      <c r="AZ997" s="153"/>
      <c r="BA997" s="138"/>
      <c r="BB997" s="145"/>
      <c r="BC997" s="145"/>
      <c r="BD997" s="145"/>
      <c r="BE997" s="145"/>
      <c r="BF997" s="145"/>
      <c r="BG997" s="145"/>
      <c r="BH997" s="138"/>
      <c r="BI997" s="138"/>
      <c r="BJ997" s="138"/>
      <c r="BK997" s="138"/>
      <c r="BL997" s="138"/>
      <c r="BM997" s="138"/>
      <c r="BN997" s="138"/>
    </row>
    <row r="998" spans="1:66" s="91" customFormat="1" ht="25.5" hidden="1" customHeight="1" x14ac:dyDescent="0.2">
      <c r="A998" s="150" t="s">
        <v>2104</v>
      </c>
      <c r="B998" s="18" t="s">
        <v>2107</v>
      </c>
      <c r="C998" s="18" t="s">
        <v>2107</v>
      </c>
      <c r="D998" s="19" t="s">
        <v>2108</v>
      </c>
      <c r="E998" s="55" t="s">
        <v>3</v>
      </c>
      <c r="F998" s="55" t="s">
        <v>4</v>
      </c>
      <c r="G998" s="55" t="s">
        <v>5</v>
      </c>
      <c r="H998" s="55" t="s">
        <v>3</v>
      </c>
      <c r="I998" s="55"/>
      <c r="J998" s="55"/>
      <c r="K998" s="19" t="s">
        <v>1051</v>
      </c>
      <c r="L998" s="19"/>
      <c r="M998" s="19"/>
      <c r="N998" s="155" t="s">
        <v>2127</v>
      </c>
      <c r="O998" s="363">
        <v>42887</v>
      </c>
      <c r="P998" s="363"/>
      <c r="Q998" s="363"/>
      <c r="R998" s="151"/>
      <c r="S998" s="152">
        <v>5307247.8499999996</v>
      </c>
      <c r="T998" s="152"/>
      <c r="U998" s="145">
        <v>0</v>
      </c>
      <c r="V998" s="145">
        <v>0</v>
      </c>
      <c r="W998" s="145">
        <v>0</v>
      </c>
      <c r="X998" s="145">
        <f t="shared" si="316"/>
        <v>0</v>
      </c>
      <c r="Y998" s="145">
        <v>0</v>
      </c>
      <c r="Z998" s="145">
        <v>0</v>
      </c>
      <c r="AA998" s="145">
        <v>0</v>
      </c>
      <c r="AB998" s="145">
        <v>0</v>
      </c>
      <c r="AC998" s="145">
        <v>0</v>
      </c>
      <c r="AD998" s="145">
        <v>0</v>
      </c>
      <c r="AE998" s="145">
        <v>0</v>
      </c>
      <c r="AF998" s="145">
        <v>0</v>
      </c>
      <c r="AG998" s="145">
        <v>0</v>
      </c>
      <c r="AH998" s="145">
        <v>0</v>
      </c>
      <c r="AI998" s="145">
        <v>0</v>
      </c>
      <c r="AJ998" s="145">
        <v>0</v>
      </c>
      <c r="AK998" s="361">
        <f t="shared" si="317"/>
        <v>0</v>
      </c>
      <c r="AL998" s="145">
        <v>1569769.8</v>
      </c>
      <c r="AM998" s="145">
        <v>2086201.75</v>
      </c>
      <c r="AN998" s="145">
        <v>1327559.75</v>
      </c>
      <c r="AO998" s="145">
        <v>0</v>
      </c>
      <c r="AP998" s="145">
        <v>0</v>
      </c>
      <c r="AQ998" s="145">
        <v>0</v>
      </c>
      <c r="AR998" s="145">
        <v>0</v>
      </c>
      <c r="AS998" s="361">
        <f t="shared" si="315"/>
        <v>4983531.3</v>
      </c>
      <c r="AT998" s="145"/>
      <c r="AU998" s="139">
        <f t="shared" si="318"/>
        <v>4983531.3</v>
      </c>
      <c r="AV998" s="146">
        <f>IFERROR(VLOOKUP(J998,Maksājumu_pieprasījumu_iesn.!G:BL,57,0),0)</f>
        <v>0</v>
      </c>
      <c r="AW998" s="139">
        <f t="shared" si="301"/>
        <v>-4983531.3</v>
      </c>
      <c r="AX998" s="153"/>
      <c r="AY998" s="153"/>
      <c r="AZ998" s="153"/>
      <c r="BA998" s="138"/>
      <c r="BB998" s="145"/>
      <c r="BC998" s="145"/>
      <c r="BD998" s="145"/>
      <c r="BE998" s="145"/>
      <c r="BF998" s="145"/>
      <c r="BG998" s="145"/>
      <c r="BH998" s="138"/>
      <c r="BI998" s="138"/>
      <c r="BJ998" s="138"/>
      <c r="BK998" s="138"/>
      <c r="BL998" s="138"/>
      <c r="BM998" s="138"/>
      <c r="BN998" s="138"/>
    </row>
    <row r="999" spans="1:66" s="91" customFormat="1" ht="25.5" hidden="1" customHeight="1" x14ac:dyDescent="0.2">
      <c r="A999" s="150" t="s">
        <v>2104</v>
      </c>
      <c r="B999" s="18" t="s">
        <v>2107</v>
      </c>
      <c r="C999" s="18" t="s">
        <v>2109</v>
      </c>
      <c r="D999" s="19" t="s">
        <v>2108</v>
      </c>
      <c r="E999" s="55" t="s">
        <v>3</v>
      </c>
      <c r="F999" s="55" t="s">
        <v>4</v>
      </c>
      <c r="G999" s="55" t="s">
        <v>5</v>
      </c>
      <c r="H999" s="55" t="s">
        <v>3</v>
      </c>
      <c r="I999" s="55"/>
      <c r="J999" s="55"/>
      <c r="K999" s="19" t="s">
        <v>1073</v>
      </c>
      <c r="L999" s="19"/>
      <c r="M999" s="19"/>
      <c r="N999" s="155" t="s">
        <v>2128</v>
      </c>
      <c r="O999" s="363">
        <v>42901</v>
      </c>
      <c r="P999" s="363"/>
      <c r="Q999" s="363"/>
      <c r="R999" s="151"/>
      <c r="S999" s="152">
        <v>873456.6</v>
      </c>
      <c r="T999" s="152"/>
      <c r="U999" s="145">
        <v>0</v>
      </c>
      <c r="V999" s="145">
        <v>0</v>
      </c>
      <c r="W999" s="145">
        <v>0</v>
      </c>
      <c r="X999" s="145">
        <f t="shared" si="316"/>
        <v>0</v>
      </c>
      <c r="Y999" s="145">
        <v>0</v>
      </c>
      <c r="Z999" s="145">
        <v>0</v>
      </c>
      <c r="AA999" s="145">
        <v>0</v>
      </c>
      <c r="AB999" s="145">
        <v>0</v>
      </c>
      <c r="AC999" s="145">
        <v>0</v>
      </c>
      <c r="AD999" s="145">
        <v>0</v>
      </c>
      <c r="AE999" s="145">
        <v>0</v>
      </c>
      <c r="AF999" s="145">
        <v>0</v>
      </c>
      <c r="AG999" s="145">
        <v>0</v>
      </c>
      <c r="AH999" s="145">
        <v>0</v>
      </c>
      <c r="AI999" s="145">
        <v>0</v>
      </c>
      <c r="AJ999" s="145">
        <v>0</v>
      </c>
      <c r="AK999" s="361">
        <f t="shared" si="317"/>
        <v>0</v>
      </c>
      <c r="AL999" s="145">
        <v>820179.45</v>
      </c>
      <c r="AM999" s="145">
        <v>0</v>
      </c>
      <c r="AN999" s="145">
        <v>0</v>
      </c>
      <c r="AO999" s="145">
        <v>0</v>
      </c>
      <c r="AP999" s="145">
        <v>0</v>
      </c>
      <c r="AQ999" s="145">
        <v>0</v>
      </c>
      <c r="AR999" s="145">
        <v>0</v>
      </c>
      <c r="AS999" s="361">
        <f t="shared" si="315"/>
        <v>820179.45</v>
      </c>
      <c r="AT999" s="145"/>
      <c r="AU999" s="139">
        <f t="shared" si="318"/>
        <v>820179.45</v>
      </c>
      <c r="AV999" s="146">
        <f>IFERROR(VLOOKUP(J999,Maksājumu_pieprasījumu_iesn.!G:BL,57,0),0)</f>
        <v>0</v>
      </c>
      <c r="AW999" s="139">
        <f t="shared" si="301"/>
        <v>-820179.45</v>
      </c>
      <c r="AX999" s="153"/>
      <c r="AY999" s="153"/>
      <c r="AZ999" s="153"/>
      <c r="BA999" s="138"/>
      <c r="BB999" s="145"/>
      <c r="BC999" s="145"/>
      <c r="BD999" s="145"/>
      <c r="BE999" s="145"/>
      <c r="BF999" s="145"/>
      <c r="BG999" s="145"/>
      <c r="BH999" s="138"/>
      <c r="BI999" s="138"/>
      <c r="BJ999" s="138"/>
      <c r="BK999" s="138"/>
      <c r="BL999" s="138"/>
      <c r="BM999" s="138"/>
      <c r="BN999" s="138"/>
    </row>
    <row r="1000" spans="1:66" s="91" customFormat="1" ht="25.5" hidden="1" customHeight="1" x14ac:dyDescent="0.2">
      <c r="A1000" s="150" t="s">
        <v>2104</v>
      </c>
      <c r="B1000" s="18" t="s">
        <v>2107</v>
      </c>
      <c r="C1000" s="18" t="s">
        <v>2109</v>
      </c>
      <c r="D1000" s="19" t="s">
        <v>2108</v>
      </c>
      <c r="E1000" s="55" t="s">
        <v>3</v>
      </c>
      <c r="F1000" s="55" t="s">
        <v>4</v>
      </c>
      <c r="G1000" s="55" t="s">
        <v>5</v>
      </c>
      <c r="H1000" s="55" t="s">
        <v>3</v>
      </c>
      <c r="I1000" s="55"/>
      <c r="J1000" s="55"/>
      <c r="K1000" s="19" t="s">
        <v>1053</v>
      </c>
      <c r="L1000" s="19"/>
      <c r="M1000" s="19"/>
      <c r="N1000" s="155" t="s">
        <v>2129</v>
      </c>
      <c r="O1000" s="363">
        <v>42901</v>
      </c>
      <c r="P1000" s="363"/>
      <c r="Q1000" s="363"/>
      <c r="R1000" s="151"/>
      <c r="S1000" s="152">
        <v>9966312.0499999989</v>
      </c>
      <c r="T1000" s="152"/>
      <c r="U1000" s="145">
        <v>0</v>
      </c>
      <c r="V1000" s="145">
        <v>0</v>
      </c>
      <c r="W1000" s="145">
        <v>0</v>
      </c>
      <c r="X1000" s="145">
        <f t="shared" si="316"/>
        <v>0</v>
      </c>
      <c r="Y1000" s="145">
        <v>0</v>
      </c>
      <c r="Z1000" s="145">
        <v>0</v>
      </c>
      <c r="AA1000" s="145">
        <v>0</v>
      </c>
      <c r="AB1000" s="145">
        <v>0</v>
      </c>
      <c r="AC1000" s="145">
        <v>0</v>
      </c>
      <c r="AD1000" s="145">
        <v>0</v>
      </c>
      <c r="AE1000" s="145">
        <v>0</v>
      </c>
      <c r="AF1000" s="145">
        <v>0</v>
      </c>
      <c r="AG1000" s="145">
        <v>0</v>
      </c>
      <c r="AH1000" s="145">
        <v>0</v>
      </c>
      <c r="AI1000" s="145">
        <v>519444.35</v>
      </c>
      <c r="AJ1000" s="145">
        <v>62406.15</v>
      </c>
      <c r="AK1000" s="361">
        <f t="shared" si="317"/>
        <v>581850.5</v>
      </c>
      <c r="AL1000" s="145">
        <v>3311919.6</v>
      </c>
      <c r="AM1000" s="145">
        <v>3039420.65</v>
      </c>
      <c r="AN1000" s="145">
        <v>1991000.9000000001</v>
      </c>
      <c r="AO1000" s="145">
        <v>434222.5</v>
      </c>
      <c r="AP1000" s="145">
        <v>0</v>
      </c>
      <c r="AQ1000" s="145">
        <v>0</v>
      </c>
      <c r="AR1000" s="145">
        <v>0</v>
      </c>
      <c r="AS1000" s="361">
        <f t="shared" si="315"/>
        <v>9358414.1500000004</v>
      </c>
      <c r="AT1000" s="145"/>
      <c r="AU1000" s="139">
        <f t="shared" si="318"/>
        <v>9358414.1500000004</v>
      </c>
      <c r="AV1000" s="146">
        <f>IFERROR(VLOOKUP(J1000,Maksājumu_pieprasījumu_iesn.!G:BL,57,0),0)</f>
        <v>0</v>
      </c>
      <c r="AW1000" s="139">
        <f t="shared" si="301"/>
        <v>-9358414.1500000004</v>
      </c>
      <c r="AX1000" s="153"/>
      <c r="AY1000" s="153"/>
      <c r="AZ1000" s="153"/>
      <c r="BA1000" s="138"/>
      <c r="BB1000" s="145"/>
      <c r="BC1000" s="145"/>
      <c r="BD1000" s="145"/>
      <c r="BE1000" s="145"/>
      <c r="BF1000" s="145"/>
      <c r="BG1000" s="145"/>
      <c r="BH1000" s="138"/>
      <c r="BI1000" s="138"/>
      <c r="BJ1000" s="138"/>
      <c r="BK1000" s="138"/>
      <c r="BL1000" s="138"/>
      <c r="BM1000" s="138"/>
      <c r="BN1000" s="138"/>
    </row>
    <row r="1001" spans="1:66" s="91" customFormat="1" ht="25.5" hidden="1" customHeight="1" x14ac:dyDescent="0.2">
      <c r="A1001" s="150" t="s">
        <v>2104</v>
      </c>
      <c r="B1001" s="18" t="s">
        <v>2107</v>
      </c>
      <c r="C1001" s="18" t="s">
        <v>2109</v>
      </c>
      <c r="D1001" s="19" t="s">
        <v>2108</v>
      </c>
      <c r="E1001" s="55" t="s">
        <v>3</v>
      </c>
      <c r="F1001" s="55" t="s">
        <v>4</v>
      </c>
      <c r="G1001" s="55" t="s">
        <v>5</v>
      </c>
      <c r="H1001" s="55" t="s">
        <v>3</v>
      </c>
      <c r="I1001" s="55"/>
      <c r="J1001" s="55"/>
      <c r="K1001" s="19" t="s">
        <v>2130</v>
      </c>
      <c r="L1001" s="19"/>
      <c r="M1001" s="19"/>
      <c r="N1001" s="19" t="s">
        <v>2131</v>
      </c>
      <c r="O1001" s="363">
        <v>42901</v>
      </c>
      <c r="P1001" s="363"/>
      <c r="Q1001" s="363"/>
      <c r="R1001" s="151"/>
      <c r="S1001" s="152">
        <v>1062891.8499999999</v>
      </c>
      <c r="T1001" s="152"/>
      <c r="U1001" s="145">
        <v>0</v>
      </c>
      <c r="V1001" s="145">
        <v>0</v>
      </c>
      <c r="W1001" s="145">
        <v>0</v>
      </c>
      <c r="X1001" s="145">
        <f t="shared" si="316"/>
        <v>0</v>
      </c>
      <c r="Y1001" s="145">
        <v>0</v>
      </c>
      <c r="Z1001" s="145">
        <v>0</v>
      </c>
      <c r="AA1001" s="145">
        <v>0</v>
      </c>
      <c r="AB1001" s="145">
        <v>0</v>
      </c>
      <c r="AC1001" s="145">
        <v>0</v>
      </c>
      <c r="AD1001" s="145">
        <v>0</v>
      </c>
      <c r="AE1001" s="145">
        <v>0</v>
      </c>
      <c r="AF1001" s="145">
        <v>0</v>
      </c>
      <c r="AG1001" s="145">
        <v>0</v>
      </c>
      <c r="AH1001" s="145">
        <v>0</v>
      </c>
      <c r="AI1001" s="145">
        <v>29984.089999999997</v>
      </c>
      <c r="AJ1001" s="145">
        <v>39314.412499999999</v>
      </c>
      <c r="AK1001" s="361">
        <f t="shared" si="317"/>
        <v>69298.502500000002</v>
      </c>
      <c r="AL1001" s="145">
        <v>596238.875</v>
      </c>
      <c r="AM1001" s="145">
        <v>332523.27250000002</v>
      </c>
      <c r="AN1001" s="145">
        <v>0</v>
      </c>
      <c r="AO1001" s="145">
        <v>0</v>
      </c>
      <c r="AP1001" s="145">
        <v>0</v>
      </c>
      <c r="AQ1001" s="145">
        <v>0</v>
      </c>
      <c r="AR1001" s="145">
        <v>0</v>
      </c>
      <c r="AS1001" s="361">
        <f t="shared" si="315"/>
        <v>998060.64999999991</v>
      </c>
      <c r="AT1001" s="145"/>
      <c r="AU1001" s="139">
        <f t="shared" si="318"/>
        <v>998060.64999999991</v>
      </c>
      <c r="AV1001" s="146">
        <f>IFERROR(VLOOKUP(J1001,Maksājumu_pieprasījumu_iesn.!G:BL,57,0),0)</f>
        <v>0</v>
      </c>
      <c r="AW1001" s="139">
        <f t="shared" si="301"/>
        <v>-998060.64999999991</v>
      </c>
      <c r="AX1001" s="153"/>
      <c r="AY1001" s="153"/>
      <c r="AZ1001" s="153"/>
      <c r="BA1001" s="138"/>
      <c r="BB1001" s="145"/>
      <c r="BC1001" s="145"/>
      <c r="BD1001" s="145"/>
      <c r="BE1001" s="145"/>
      <c r="BF1001" s="145"/>
      <c r="BG1001" s="145"/>
      <c r="BH1001" s="138"/>
      <c r="BI1001" s="138"/>
      <c r="BJ1001" s="138"/>
      <c r="BK1001" s="138"/>
      <c r="BL1001" s="138"/>
      <c r="BM1001" s="138"/>
      <c r="BN1001" s="138"/>
    </row>
    <row r="1002" spans="1:66" s="91" customFormat="1" ht="25.5" hidden="1" customHeight="1" x14ac:dyDescent="0.2">
      <c r="A1002" s="150" t="s">
        <v>2104</v>
      </c>
      <c r="B1002" s="18" t="s">
        <v>2107</v>
      </c>
      <c r="C1002" s="18" t="s">
        <v>2109</v>
      </c>
      <c r="D1002" s="19" t="s">
        <v>2108</v>
      </c>
      <c r="E1002" s="55" t="s">
        <v>3</v>
      </c>
      <c r="F1002" s="55" t="s">
        <v>4</v>
      </c>
      <c r="G1002" s="55" t="s">
        <v>5</v>
      </c>
      <c r="H1002" s="55" t="s">
        <v>3</v>
      </c>
      <c r="I1002" s="55"/>
      <c r="J1002" s="55"/>
      <c r="K1002" s="19" t="s">
        <v>1055</v>
      </c>
      <c r="L1002" s="19"/>
      <c r="M1002" s="19"/>
      <c r="N1002" s="155" t="s">
        <v>2132</v>
      </c>
      <c r="O1002" s="363">
        <v>42886</v>
      </c>
      <c r="P1002" s="363"/>
      <c r="Q1002" s="363"/>
      <c r="R1002" s="151"/>
      <c r="S1002" s="152">
        <v>1605595.5999999999</v>
      </c>
      <c r="T1002" s="152"/>
      <c r="U1002" s="145">
        <v>0</v>
      </c>
      <c r="V1002" s="145">
        <v>0</v>
      </c>
      <c r="W1002" s="145">
        <v>0</v>
      </c>
      <c r="X1002" s="145">
        <f t="shared" si="316"/>
        <v>0</v>
      </c>
      <c r="Y1002" s="145">
        <v>0</v>
      </c>
      <c r="Z1002" s="145">
        <v>0</v>
      </c>
      <c r="AA1002" s="145">
        <v>0</v>
      </c>
      <c r="AB1002" s="145">
        <v>0</v>
      </c>
      <c r="AC1002" s="145">
        <v>0</v>
      </c>
      <c r="AD1002" s="145">
        <v>0</v>
      </c>
      <c r="AE1002" s="145">
        <v>0</v>
      </c>
      <c r="AF1002" s="145">
        <v>0</v>
      </c>
      <c r="AG1002" s="145">
        <v>0</v>
      </c>
      <c r="AH1002" s="145">
        <v>0</v>
      </c>
      <c r="AI1002" s="145">
        <v>0</v>
      </c>
      <c r="AJ1002" s="145">
        <v>0</v>
      </c>
      <c r="AK1002" s="361">
        <f t="shared" si="317"/>
        <v>0</v>
      </c>
      <c r="AL1002" s="145">
        <v>806135.75000000012</v>
      </c>
      <c r="AM1002" s="145">
        <v>438985.05</v>
      </c>
      <c r="AN1002" s="145">
        <v>262541.2</v>
      </c>
      <c r="AO1002" s="145">
        <v>0</v>
      </c>
      <c r="AP1002" s="145">
        <v>0</v>
      </c>
      <c r="AQ1002" s="145">
        <v>0</v>
      </c>
      <c r="AR1002" s="145">
        <v>0</v>
      </c>
      <c r="AS1002" s="361">
        <f t="shared" si="315"/>
        <v>1507662</v>
      </c>
      <c r="AT1002" s="145"/>
      <c r="AU1002" s="139">
        <f t="shared" si="318"/>
        <v>1507662</v>
      </c>
      <c r="AV1002" s="146">
        <f>IFERROR(VLOOKUP(J1002,Maksājumu_pieprasījumu_iesn.!G:BL,57,0),0)</f>
        <v>0</v>
      </c>
      <c r="AW1002" s="139">
        <f t="shared" si="301"/>
        <v>-1507662</v>
      </c>
      <c r="AX1002" s="153"/>
      <c r="AY1002" s="153"/>
      <c r="AZ1002" s="153"/>
      <c r="BA1002" s="138"/>
      <c r="BB1002" s="145"/>
      <c r="BC1002" s="145"/>
      <c r="BD1002" s="145"/>
      <c r="BE1002" s="145"/>
      <c r="BF1002" s="145"/>
      <c r="BG1002" s="145"/>
      <c r="BH1002" s="138"/>
      <c r="BI1002" s="138"/>
      <c r="BJ1002" s="138"/>
      <c r="BK1002" s="138"/>
      <c r="BL1002" s="138"/>
      <c r="BM1002" s="138"/>
      <c r="BN1002" s="138"/>
    </row>
    <row r="1003" spans="1:66" s="91" customFormat="1" ht="25.5" hidden="1" customHeight="1" x14ac:dyDescent="0.2">
      <c r="A1003" s="150" t="s">
        <v>2104</v>
      </c>
      <c r="B1003" s="18" t="s">
        <v>2107</v>
      </c>
      <c r="C1003" s="18" t="s">
        <v>2109</v>
      </c>
      <c r="D1003" s="19" t="s">
        <v>2108</v>
      </c>
      <c r="E1003" s="55" t="s">
        <v>3</v>
      </c>
      <c r="F1003" s="55" t="s">
        <v>4</v>
      </c>
      <c r="G1003" s="55" t="s">
        <v>5</v>
      </c>
      <c r="H1003" s="55" t="s">
        <v>3</v>
      </c>
      <c r="I1003" s="55"/>
      <c r="J1003" s="55"/>
      <c r="K1003" s="19" t="s">
        <v>1057</v>
      </c>
      <c r="L1003" s="19"/>
      <c r="M1003" s="19"/>
      <c r="N1003" s="155" t="s">
        <v>2133</v>
      </c>
      <c r="O1003" s="162">
        <v>42846</v>
      </c>
      <c r="P1003" s="162"/>
      <c r="Q1003" s="162"/>
      <c r="R1003" s="151"/>
      <c r="S1003" s="152">
        <v>509947.3</v>
      </c>
      <c r="T1003" s="152"/>
      <c r="U1003" s="145">
        <v>0</v>
      </c>
      <c r="V1003" s="145">
        <v>0</v>
      </c>
      <c r="W1003" s="145">
        <v>0</v>
      </c>
      <c r="X1003" s="145">
        <f t="shared" si="316"/>
        <v>0</v>
      </c>
      <c r="Y1003" s="145">
        <v>0</v>
      </c>
      <c r="Z1003" s="145">
        <v>0</v>
      </c>
      <c r="AA1003" s="145">
        <v>0</v>
      </c>
      <c r="AB1003" s="145">
        <v>0</v>
      </c>
      <c r="AC1003" s="145">
        <v>0</v>
      </c>
      <c r="AD1003" s="145">
        <v>0</v>
      </c>
      <c r="AE1003" s="145">
        <v>0</v>
      </c>
      <c r="AF1003" s="145">
        <v>0</v>
      </c>
      <c r="AG1003" s="145">
        <v>0</v>
      </c>
      <c r="AH1003" s="145">
        <v>143653.01999999999</v>
      </c>
      <c r="AI1003" s="145">
        <v>0</v>
      </c>
      <c r="AJ1003" s="145">
        <v>0</v>
      </c>
      <c r="AK1003" s="361">
        <f t="shared" si="317"/>
        <v>143653.01999999999</v>
      </c>
      <c r="AL1003" s="145">
        <v>287306.03999999998</v>
      </c>
      <c r="AM1003" s="145">
        <v>23942.17</v>
      </c>
      <c r="AN1003" s="145">
        <v>23942.17</v>
      </c>
      <c r="AO1003" s="145">
        <v>0</v>
      </c>
      <c r="AP1003" s="145">
        <v>0</v>
      </c>
      <c r="AQ1003" s="145">
        <v>0</v>
      </c>
      <c r="AR1003" s="145">
        <v>0</v>
      </c>
      <c r="AS1003" s="361">
        <f t="shared" si="315"/>
        <v>478843.39999999991</v>
      </c>
      <c r="AT1003" s="145"/>
      <c r="AU1003" s="139">
        <f t="shared" si="318"/>
        <v>478843.39999999991</v>
      </c>
      <c r="AV1003" s="146">
        <f>IFERROR(VLOOKUP(J1003,Maksājumu_pieprasījumu_iesn.!G:BL,57,0),0)</f>
        <v>0</v>
      </c>
      <c r="AW1003" s="139">
        <f t="shared" si="301"/>
        <v>-478843.39999999991</v>
      </c>
      <c r="AX1003" s="153"/>
      <c r="AY1003" s="153"/>
      <c r="AZ1003" s="153"/>
      <c r="BA1003" s="138"/>
      <c r="BB1003" s="145"/>
      <c r="BC1003" s="145"/>
      <c r="BD1003" s="145"/>
      <c r="BE1003" s="145"/>
      <c r="BF1003" s="145"/>
      <c r="BG1003" s="145"/>
      <c r="BH1003" s="138"/>
      <c r="BI1003" s="138"/>
      <c r="BJ1003" s="138"/>
      <c r="BK1003" s="138"/>
      <c r="BL1003" s="138"/>
      <c r="BM1003" s="138"/>
      <c r="BN1003" s="138"/>
    </row>
    <row r="1004" spans="1:66" s="91" customFormat="1" ht="25.5" hidden="1" x14ac:dyDescent="0.2">
      <c r="A1004" s="127" t="s">
        <v>2104</v>
      </c>
      <c r="B1004" s="127" t="s">
        <v>2134</v>
      </c>
      <c r="C1004" s="127" t="s">
        <v>1023</v>
      </c>
      <c r="D1004" s="128" t="s">
        <v>2135</v>
      </c>
      <c r="E1004" s="127"/>
      <c r="F1004" s="127"/>
      <c r="G1004" s="127" t="s">
        <v>5</v>
      </c>
      <c r="H1004" s="127"/>
      <c r="I1004" s="127"/>
      <c r="J1004" s="127"/>
      <c r="K1004" s="128"/>
      <c r="L1004" s="128"/>
      <c r="M1004" s="128"/>
      <c r="N1004" s="128"/>
      <c r="O1004" s="186"/>
      <c r="P1004" s="186"/>
      <c r="Q1004" s="186"/>
      <c r="R1004" s="163"/>
      <c r="S1004" s="164">
        <f>S1005+S1023+S1045+S1054</f>
        <v>142962247</v>
      </c>
      <c r="T1004" s="164">
        <f>T1005+T1023+T1045+T1054</f>
        <v>8470217.7940510958</v>
      </c>
      <c r="U1004" s="164">
        <f>U1005+U1023+U1045+U1054</f>
        <v>0</v>
      </c>
      <c r="V1004" s="164">
        <f>V1005+V1023+V1045+V1054</f>
        <v>0</v>
      </c>
      <c r="W1004" s="164">
        <f>W1005+W1023+W1045+W1054</f>
        <v>0</v>
      </c>
      <c r="X1004" s="129">
        <f>U1004+V1004+W1004</f>
        <v>0</v>
      </c>
      <c r="Y1004" s="164">
        <f t="shared" ref="Y1004:AT1004" si="319">Y1005+Y1023+Y1045+Y1054</f>
        <v>0</v>
      </c>
      <c r="Z1004" s="164">
        <f t="shared" si="319"/>
        <v>0</v>
      </c>
      <c r="AA1004" s="164">
        <f t="shared" si="319"/>
        <v>0</v>
      </c>
      <c r="AB1004" s="164">
        <f t="shared" si="319"/>
        <v>0</v>
      </c>
      <c r="AC1004" s="164">
        <f t="shared" si="319"/>
        <v>0</v>
      </c>
      <c r="AD1004" s="164">
        <f t="shared" si="319"/>
        <v>0</v>
      </c>
      <c r="AE1004" s="164">
        <f t="shared" si="319"/>
        <v>0</v>
      </c>
      <c r="AF1004" s="164">
        <f t="shared" si="319"/>
        <v>0</v>
      </c>
      <c r="AG1004" s="164">
        <f t="shared" si="319"/>
        <v>560000</v>
      </c>
      <c r="AH1004" s="164">
        <f t="shared" si="319"/>
        <v>594330.80000000005</v>
      </c>
      <c r="AI1004" s="164">
        <f t="shared" si="319"/>
        <v>500000</v>
      </c>
      <c r="AJ1004" s="164">
        <f t="shared" si="319"/>
        <v>4345420.5625</v>
      </c>
      <c r="AK1004" s="164">
        <f t="shared" si="319"/>
        <v>5999751.3625000007</v>
      </c>
      <c r="AL1004" s="164">
        <f t="shared" si="319"/>
        <v>82845926.073655158</v>
      </c>
      <c r="AM1004" s="164">
        <f t="shared" si="319"/>
        <v>35071562.990946472</v>
      </c>
      <c r="AN1004" s="164">
        <f t="shared" si="319"/>
        <v>8935324.8338517621</v>
      </c>
      <c r="AO1004" s="164">
        <f t="shared" si="319"/>
        <v>1011127.3</v>
      </c>
      <c r="AP1004" s="164">
        <f t="shared" si="319"/>
        <v>0</v>
      </c>
      <c r="AQ1004" s="164">
        <f t="shared" si="319"/>
        <v>0</v>
      </c>
      <c r="AR1004" s="164">
        <f t="shared" si="319"/>
        <v>0</v>
      </c>
      <c r="AS1004" s="164">
        <f t="shared" si="319"/>
        <v>133863692.56095338</v>
      </c>
      <c r="AT1004" s="164">
        <f t="shared" si="319"/>
        <v>0</v>
      </c>
      <c r="AU1004" s="183">
        <f t="shared" si="318"/>
        <v>133863692.56095338</v>
      </c>
      <c r="AV1004" s="146">
        <f>IFERROR(VLOOKUP(J1004,Maksājumu_pieprasījumu_iesn.!G:BL,57,0),0)</f>
        <v>0</v>
      </c>
      <c r="AW1004" s="139">
        <f t="shared" si="301"/>
        <v>-133863692.56095338</v>
      </c>
      <c r="AX1004" s="164">
        <f>AX1005+AX1023+AX1045+AX1054</f>
        <v>628336.64499552548</v>
      </c>
      <c r="AY1004" s="164">
        <f>AY1005+AY1023+AY1045+AY1054</f>
        <v>628335.64999999991</v>
      </c>
      <c r="AZ1004" s="164"/>
      <c r="BA1004" s="164"/>
      <c r="BB1004" s="164">
        <f>BB1005+BB1023+BB1045+BB1054</f>
        <v>0</v>
      </c>
      <c r="BC1004" s="164">
        <f>BC1005+BC1023+BC1045+BC1054</f>
        <v>47422714.399327576</v>
      </c>
      <c r="BD1004" s="164">
        <f>BC1004*0.86</f>
        <v>40783534.383421712</v>
      </c>
      <c r="BE1004" s="129">
        <f>BD1004/0.85</f>
        <v>47980628.686378486</v>
      </c>
      <c r="BF1004" s="164">
        <f>BF1005+BF1023+BF1045+BF1054</f>
        <v>0</v>
      </c>
      <c r="BG1004" s="164">
        <f>BG1005+BG1023+BG1045+BG1054</f>
        <v>0</v>
      </c>
      <c r="BH1004" s="129">
        <f>BH1005+BH1023+BH1045+BH1054</f>
        <v>0</v>
      </c>
      <c r="BI1004" s="129">
        <f>BI1005+BI1023+BI1045+BI1054</f>
        <v>6641462.1803475041</v>
      </c>
      <c r="BJ1004" s="129">
        <f>AK1004*0.86</f>
        <v>5159786.1717500007</v>
      </c>
      <c r="BK1004" s="129">
        <f>BJ1004-BI1004</f>
        <v>-1481676.0085975034</v>
      </c>
      <c r="BL1004" s="129">
        <f>BL1005+BL1023+BL1045+BL1054</f>
        <v>34494596.704352029</v>
      </c>
      <c r="BM1004" s="129">
        <f>AL1004*0.86</f>
        <v>71247496.423343435</v>
      </c>
      <c r="BN1004" s="129">
        <f>BM1004-BL1004</f>
        <v>36752899.718991406</v>
      </c>
    </row>
    <row r="1005" spans="1:66" s="91" customFormat="1" ht="51" hidden="1" customHeight="1" x14ac:dyDescent="0.2">
      <c r="A1005" s="131" t="s">
        <v>2104</v>
      </c>
      <c r="B1005" s="132" t="s">
        <v>2134</v>
      </c>
      <c r="C1005" s="132" t="s">
        <v>2136</v>
      </c>
      <c r="D1005" s="133" t="s">
        <v>2135</v>
      </c>
      <c r="E1005" s="22">
        <v>1</v>
      </c>
      <c r="F1005" s="22" t="s">
        <v>4</v>
      </c>
      <c r="G1005" s="22" t="s">
        <v>5</v>
      </c>
      <c r="H1005" s="22" t="s">
        <v>960</v>
      </c>
      <c r="I1005" s="22" t="s">
        <v>1022</v>
      </c>
      <c r="J1005" s="134" t="s">
        <v>1026</v>
      </c>
      <c r="K1005" s="133"/>
      <c r="L1005" s="133"/>
      <c r="M1005" s="133"/>
      <c r="N1005" s="133"/>
      <c r="O1005" s="135"/>
      <c r="P1005" s="135"/>
      <c r="Q1005" s="135"/>
      <c r="R1005" s="135"/>
      <c r="S1005" s="136">
        <v>62704434</v>
      </c>
      <c r="T1005" s="136">
        <f>SUM(T1006:T1022)</f>
        <v>3574871.7940510954</v>
      </c>
      <c r="U1005" s="137">
        <f>SUM(U1006:U1022)</f>
        <v>0</v>
      </c>
      <c r="V1005" s="137">
        <f>SUM(V1006:V1022)</f>
        <v>0</v>
      </c>
      <c r="W1005" s="137">
        <f>SUM(W1006:W1022)</f>
        <v>0</v>
      </c>
      <c r="X1005" s="138">
        <f>U1005+V1005+W1005</f>
        <v>0</v>
      </c>
      <c r="Y1005" s="137">
        <f t="shared" ref="Y1005:AR1005" si="320">SUM(Y1006:Y1022)</f>
        <v>0</v>
      </c>
      <c r="Z1005" s="137">
        <f t="shared" si="320"/>
        <v>0</v>
      </c>
      <c r="AA1005" s="137">
        <f t="shared" si="320"/>
        <v>0</v>
      </c>
      <c r="AB1005" s="137">
        <f t="shared" si="320"/>
        <v>0</v>
      </c>
      <c r="AC1005" s="137">
        <f t="shared" si="320"/>
        <v>0</v>
      </c>
      <c r="AD1005" s="137">
        <f t="shared" si="320"/>
        <v>0</v>
      </c>
      <c r="AE1005" s="137">
        <f t="shared" si="320"/>
        <v>0</v>
      </c>
      <c r="AF1005" s="137">
        <f t="shared" si="320"/>
        <v>0</v>
      </c>
      <c r="AG1005" s="137">
        <f t="shared" si="320"/>
        <v>0</v>
      </c>
      <c r="AH1005" s="137">
        <f t="shared" si="320"/>
        <v>294330.8</v>
      </c>
      <c r="AI1005" s="137">
        <f t="shared" si="320"/>
        <v>150000</v>
      </c>
      <c r="AJ1005" s="137">
        <f t="shared" si="320"/>
        <v>2807244.7324999999</v>
      </c>
      <c r="AK1005" s="137">
        <f>SUM(AK1006:AK1022)</f>
        <v>3251575.5325000002</v>
      </c>
      <c r="AL1005" s="137">
        <f t="shared" si="320"/>
        <v>36293476.453655154</v>
      </c>
      <c r="AM1005" s="137">
        <f>SUM(AM1006:AM1022)</f>
        <v>14372879.99094647</v>
      </c>
      <c r="AN1005" s="137">
        <f t="shared" si="320"/>
        <v>4981934.8038517609</v>
      </c>
      <c r="AO1005" s="137">
        <f t="shared" si="320"/>
        <v>0</v>
      </c>
      <c r="AP1005" s="137">
        <f t="shared" si="320"/>
        <v>0</v>
      </c>
      <c r="AQ1005" s="137">
        <f t="shared" si="320"/>
        <v>0</v>
      </c>
      <c r="AR1005" s="137">
        <f t="shared" si="320"/>
        <v>0</v>
      </c>
      <c r="AS1005" s="137">
        <f t="shared" ref="AS1005:AS1036" si="321">U1005+V1005+W1005+AK1005+AL1005+AM1005+AN1005+AO1005+AP1005+AQ1005+AR1005</f>
        <v>58899866.780953385</v>
      </c>
      <c r="AT1005" s="137">
        <f>SUM(AT1006:AT1022)</f>
        <v>0</v>
      </c>
      <c r="AU1005" s="139">
        <f>AS1005-AT1005</f>
        <v>58899866.780953385</v>
      </c>
      <c r="AV1005" s="146">
        <f>IFERROR(VLOOKUP(J1005,Maksājumu_pieprasījumu_iesn.!G:BL,57,0),0)</f>
        <v>0</v>
      </c>
      <c r="AW1005" s="139">
        <f t="shared" si="301"/>
        <v>-58899866.780953385</v>
      </c>
      <c r="AX1005" s="140">
        <f t="shared" ref="AX1005:AX1036" si="322">S1005-T1005-AU1005</f>
        <v>229695.42499551922</v>
      </c>
      <c r="AY1005" s="137">
        <f>SUM(AY1006:AY1022)</f>
        <v>229694</v>
      </c>
      <c r="AZ1005" s="137"/>
      <c r="BA1005" s="138" t="s">
        <v>2137</v>
      </c>
      <c r="BB1005" s="140"/>
      <c r="BC1005" s="140">
        <f>X1005+AK1005+AL1005/2</f>
        <v>21398313.759327576</v>
      </c>
      <c r="BD1005" s="140"/>
      <c r="BE1005" s="140">
        <f>BC1005/0.85</f>
        <v>25174486.775679503</v>
      </c>
      <c r="BF1005" s="137"/>
      <c r="BG1005" s="137"/>
      <c r="BH1005" s="138">
        <v>0</v>
      </c>
      <c r="BI1005" s="138">
        <v>2988657.9811563799</v>
      </c>
      <c r="BJ1005" s="138"/>
      <c r="BK1005" s="138"/>
      <c r="BL1005" s="138">
        <v>14957462.6299858</v>
      </c>
      <c r="BM1005" s="138"/>
      <c r="BN1005" s="138"/>
    </row>
    <row r="1006" spans="1:66" s="91" customFormat="1" ht="38.25" hidden="1" customHeight="1" x14ac:dyDescent="0.2">
      <c r="A1006" s="150" t="s">
        <v>2104</v>
      </c>
      <c r="B1006" s="18" t="s">
        <v>2134</v>
      </c>
      <c r="C1006" s="18" t="s">
        <v>2136</v>
      </c>
      <c r="D1006" s="19" t="s">
        <v>2135</v>
      </c>
      <c r="E1006" s="55">
        <v>1</v>
      </c>
      <c r="F1006" s="55" t="s">
        <v>4</v>
      </c>
      <c r="G1006" s="55" t="s">
        <v>5</v>
      </c>
      <c r="H1006" s="55" t="s">
        <v>960</v>
      </c>
      <c r="I1006" s="55"/>
      <c r="J1006" s="55"/>
      <c r="K1006" s="19" t="s">
        <v>893</v>
      </c>
      <c r="L1006" s="19"/>
      <c r="M1006" s="19"/>
      <c r="N1006" s="19" t="s">
        <v>2138</v>
      </c>
      <c r="O1006" s="151">
        <v>42916</v>
      </c>
      <c r="P1006" s="151"/>
      <c r="Q1006" s="151"/>
      <c r="R1006" s="151"/>
      <c r="S1006" s="152">
        <v>1471656</v>
      </c>
      <c r="T1006" s="152">
        <v>0</v>
      </c>
      <c r="U1006" s="145">
        <v>0</v>
      </c>
      <c r="V1006" s="145">
        <v>0</v>
      </c>
      <c r="W1006" s="145">
        <v>0</v>
      </c>
      <c r="X1006" s="145">
        <f t="shared" ref="X1006:X1022" si="323">W1006+V1006+U1006</f>
        <v>0</v>
      </c>
      <c r="Y1006" s="145">
        <v>0</v>
      </c>
      <c r="Z1006" s="145">
        <v>0</v>
      </c>
      <c r="AA1006" s="145">
        <v>0</v>
      </c>
      <c r="AB1006" s="145">
        <v>0</v>
      </c>
      <c r="AC1006" s="145">
        <v>0</v>
      </c>
      <c r="AD1006" s="145">
        <v>0</v>
      </c>
      <c r="AE1006" s="145">
        <v>0</v>
      </c>
      <c r="AF1006" s="145">
        <v>0</v>
      </c>
      <c r="AG1006" s="145">
        <v>0</v>
      </c>
      <c r="AH1006" s="145">
        <v>0</v>
      </c>
      <c r="AI1006" s="145">
        <v>0</v>
      </c>
      <c r="AJ1006" s="145">
        <v>0</v>
      </c>
      <c r="AK1006" s="145">
        <f t="shared" ref="AK1006:AK1022" si="324">SUM(Y1006:AJ1006)</f>
        <v>0</v>
      </c>
      <c r="AL1006" s="145">
        <v>1471656</v>
      </c>
      <c r="AM1006" s="145">
        <v>0</v>
      </c>
      <c r="AN1006" s="145">
        <v>0</v>
      </c>
      <c r="AO1006" s="145">
        <v>0</v>
      </c>
      <c r="AP1006" s="145">
        <v>0</v>
      </c>
      <c r="AQ1006" s="145">
        <v>0</v>
      </c>
      <c r="AR1006" s="145">
        <v>0</v>
      </c>
      <c r="AS1006" s="145">
        <f t="shared" si="321"/>
        <v>1471656</v>
      </c>
      <c r="AT1006" s="145"/>
      <c r="AU1006" s="139">
        <f t="shared" si="318"/>
        <v>1471656</v>
      </c>
      <c r="AV1006" s="146">
        <f>IFERROR(VLOOKUP(J1006,Maksājumu_pieprasījumu_iesn.!G:BL,57,0),0)</f>
        <v>0</v>
      </c>
      <c r="AW1006" s="139">
        <f t="shared" si="301"/>
        <v>-1471656</v>
      </c>
      <c r="AX1006" s="140">
        <f t="shared" si="322"/>
        <v>0</v>
      </c>
      <c r="AY1006" s="137"/>
      <c r="AZ1006" s="137"/>
      <c r="BA1006" s="138"/>
      <c r="BB1006" s="145"/>
      <c r="BC1006" s="145"/>
      <c r="BD1006" s="145"/>
      <c r="BE1006" s="145"/>
      <c r="BF1006" s="145"/>
      <c r="BG1006" s="145"/>
      <c r="BH1006" s="138"/>
      <c r="BI1006" s="138"/>
      <c r="BJ1006" s="138"/>
      <c r="BK1006" s="138"/>
      <c r="BL1006" s="138"/>
      <c r="BM1006" s="138"/>
      <c r="BN1006" s="138"/>
    </row>
    <row r="1007" spans="1:66" s="91" customFormat="1" ht="76.5" hidden="1" customHeight="1" x14ac:dyDescent="0.2">
      <c r="A1007" s="150" t="s">
        <v>2104</v>
      </c>
      <c r="B1007" s="18" t="s">
        <v>2134</v>
      </c>
      <c r="C1007" s="18" t="s">
        <v>2136</v>
      </c>
      <c r="D1007" s="19" t="s">
        <v>2135</v>
      </c>
      <c r="E1007" s="55">
        <v>1</v>
      </c>
      <c r="F1007" s="55" t="s">
        <v>4</v>
      </c>
      <c r="G1007" s="55" t="s">
        <v>5</v>
      </c>
      <c r="H1007" s="55" t="s">
        <v>960</v>
      </c>
      <c r="I1007" s="55"/>
      <c r="J1007" s="55"/>
      <c r="K1007" s="19" t="s">
        <v>893</v>
      </c>
      <c r="L1007" s="19"/>
      <c r="M1007" s="19"/>
      <c r="N1007" s="19" t="s">
        <v>2139</v>
      </c>
      <c r="O1007" s="151">
        <v>42916</v>
      </c>
      <c r="P1007" s="151"/>
      <c r="Q1007" s="151"/>
      <c r="R1007" s="151"/>
      <c r="S1007" s="152">
        <v>3053343.65</v>
      </c>
      <c r="T1007" s="152">
        <v>257838.43364484594</v>
      </c>
      <c r="U1007" s="145">
        <v>0</v>
      </c>
      <c r="V1007" s="145">
        <v>0</v>
      </c>
      <c r="W1007" s="145">
        <v>0</v>
      </c>
      <c r="X1007" s="145">
        <f t="shared" si="323"/>
        <v>0</v>
      </c>
      <c r="Y1007" s="145">
        <v>0</v>
      </c>
      <c r="Z1007" s="145">
        <v>0</v>
      </c>
      <c r="AA1007" s="145">
        <v>0</v>
      </c>
      <c r="AB1007" s="145">
        <v>0</v>
      </c>
      <c r="AC1007" s="145">
        <v>0</v>
      </c>
      <c r="AD1007" s="145">
        <v>0</v>
      </c>
      <c r="AE1007" s="145">
        <v>0</v>
      </c>
      <c r="AF1007" s="145">
        <v>0</v>
      </c>
      <c r="AG1007" s="145">
        <v>0</v>
      </c>
      <c r="AH1007" s="145">
        <v>0</v>
      </c>
      <c r="AI1007" s="145">
        <v>0</v>
      </c>
      <c r="AJ1007" s="145">
        <v>0</v>
      </c>
      <c r="AK1007" s="145">
        <f t="shared" si="324"/>
        <v>0</v>
      </c>
      <c r="AL1007" s="145">
        <v>2795505.2163551538</v>
      </c>
      <c r="AM1007" s="145">
        <v>0</v>
      </c>
      <c r="AN1007" s="145">
        <v>0</v>
      </c>
      <c r="AO1007" s="145">
        <v>0</v>
      </c>
      <c r="AP1007" s="145">
        <v>0</v>
      </c>
      <c r="AQ1007" s="145">
        <v>0</v>
      </c>
      <c r="AR1007" s="145">
        <v>0</v>
      </c>
      <c r="AS1007" s="145">
        <f t="shared" si="321"/>
        <v>2795505.2163551538</v>
      </c>
      <c r="AT1007" s="145"/>
      <c r="AU1007" s="139">
        <f t="shared" si="318"/>
        <v>2795505.2163551538</v>
      </c>
      <c r="AV1007" s="146">
        <f>IFERROR(VLOOKUP(J1007,Maksājumu_pieprasījumu_iesn.!G:BL,57,0),0)</f>
        <v>0</v>
      </c>
      <c r="AW1007" s="139">
        <f t="shared" si="301"/>
        <v>-2795505.2163551538</v>
      </c>
      <c r="AX1007" s="140">
        <f t="shared" si="322"/>
        <v>0</v>
      </c>
      <c r="AY1007" s="137" t="s">
        <v>1085</v>
      </c>
      <c r="AZ1007" s="137"/>
      <c r="BA1007" s="138" t="s">
        <v>1086</v>
      </c>
      <c r="BB1007" s="145"/>
      <c r="BC1007" s="145"/>
      <c r="BD1007" s="145"/>
      <c r="BE1007" s="145"/>
      <c r="BF1007" s="145"/>
      <c r="BG1007" s="145"/>
      <c r="BH1007" s="138"/>
      <c r="BI1007" s="138"/>
      <c r="BJ1007" s="138"/>
      <c r="BK1007" s="138"/>
      <c r="BL1007" s="138"/>
      <c r="BM1007" s="138"/>
      <c r="BN1007" s="138"/>
    </row>
    <row r="1008" spans="1:66" s="91" customFormat="1" ht="38.25" hidden="1" customHeight="1" x14ac:dyDescent="0.2">
      <c r="A1008" s="150" t="s">
        <v>2104</v>
      </c>
      <c r="B1008" s="18" t="s">
        <v>2134</v>
      </c>
      <c r="C1008" s="18" t="s">
        <v>2136</v>
      </c>
      <c r="D1008" s="19" t="s">
        <v>2135</v>
      </c>
      <c r="E1008" s="55">
        <v>1</v>
      </c>
      <c r="F1008" s="55" t="s">
        <v>4</v>
      </c>
      <c r="G1008" s="55" t="s">
        <v>5</v>
      </c>
      <c r="H1008" s="55" t="s">
        <v>960</v>
      </c>
      <c r="I1008" s="55"/>
      <c r="J1008" s="55"/>
      <c r="K1008" s="19" t="s">
        <v>2140</v>
      </c>
      <c r="L1008" s="19"/>
      <c r="M1008" s="19"/>
      <c r="N1008" s="19" t="s">
        <v>2141</v>
      </c>
      <c r="O1008" s="151">
        <v>42916</v>
      </c>
      <c r="P1008" s="151"/>
      <c r="Q1008" s="151"/>
      <c r="R1008" s="151"/>
      <c r="S1008" s="152">
        <v>6696748</v>
      </c>
      <c r="T1008" s="152">
        <v>381586.52261530492</v>
      </c>
      <c r="U1008" s="145">
        <v>0</v>
      </c>
      <c r="V1008" s="145">
        <v>0</v>
      </c>
      <c r="W1008" s="145">
        <v>0</v>
      </c>
      <c r="X1008" s="145">
        <f t="shared" si="323"/>
        <v>0</v>
      </c>
      <c r="Y1008" s="145">
        <v>0</v>
      </c>
      <c r="Z1008" s="145">
        <v>0</v>
      </c>
      <c r="AA1008" s="145">
        <v>0</v>
      </c>
      <c r="AB1008" s="145">
        <v>0</v>
      </c>
      <c r="AC1008" s="145">
        <v>0</v>
      </c>
      <c r="AD1008" s="145">
        <v>0</v>
      </c>
      <c r="AE1008" s="145">
        <v>0</v>
      </c>
      <c r="AF1008" s="145">
        <v>0</v>
      </c>
      <c r="AG1008" s="145">
        <v>0</v>
      </c>
      <c r="AH1008" s="145">
        <v>0</v>
      </c>
      <c r="AI1008" s="145">
        <v>150000</v>
      </c>
      <c r="AJ1008" s="145">
        <v>200000</v>
      </c>
      <c r="AK1008" s="145">
        <f t="shared" si="324"/>
        <v>350000</v>
      </c>
      <c r="AL1008" s="145">
        <v>3000000</v>
      </c>
      <c r="AM1008" s="145">
        <v>2100000</v>
      </c>
      <c r="AN1008" s="145">
        <v>865161.47738469508</v>
      </c>
      <c r="AO1008" s="145">
        <v>0</v>
      </c>
      <c r="AP1008" s="145">
        <v>0</v>
      </c>
      <c r="AQ1008" s="145">
        <v>0</v>
      </c>
      <c r="AR1008" s="145">
        <v>0</v>
      </c>
      <c r="AS1008" s="145">
        <f t="shared" si="321"/>
        <v>6315161.4773846949</v>
      </c>
      <c r="AT1008" s="145"/>
      <c r="AU1008" s="139">
        <f t="shared" si="318"/>
        <v>6315161.4773846949</v>
      </c>
      <c r="AV1008" s="146">
        <f>IFERROR(VLOOKUP(J1008,Maksājumu_pieprasījumu_iesn.!G:BL,57,0),0)</f>
        <v>0</v>
      </c>
      <c r="AW1008" s="139">
        <f t="shared" si="301"/>
        <v>-6315161.4773846949</v>
      </c>
      <c r="AX1008" s="140">
        <f t="shared" si="322"/>
        <v>0</v>
      </c>
      <c r="AY1008" s="137" t="s">
        <v>1085</v>
      </c>
      <c r="AZ1008" s="137"/>
      <c r="BA1008" s="138" t="s">
        <v>1086</v>
      </c>
      <c r="BB1008" s="145"/>
      <c r="BC1008" s="145"/>
      <c r="BD1008" s="145"/>
      <c r="BE1008" s="145"/>
      <c r="BF1008" s="145"/>
      <c r="BG1008" s="145"/>
      <c r="BH1008" s="138"/>
      <c r="BI1008" s="138"/>
      <c r="BJ1008" s="138"/>
      <c r="BK1008" s="138"/>
      <c r="BL1008" s="138"/>
      <c r="BM1008" s="138"/>
      <c r="BN1008" s="138"/>
    </row>
    <row r="1009" spans="1:66" s="91" customFormat="1" ht="38.25" hidden="1" customHeight="1" x14ac:dyDescent="0.2">
      <c r="A1009" s="150" t="s">
        <v>2104</v>
      </c>
      <c r="B1009" s="18" t="s">
        <v>2134</v>
      </c>
      <c r="C1009" s="18" t="s">
        <v>2136</v>
      </c>
      <c r="D1009" s="19" t="s">
        <v>2135</v>
      </c>
      <c r="E1009" s="55">
        <v>1</v>
      </c>
      <c r="F1009" s="55" t="s">
        <v>4</v>
      </c>
      <c r="G1009" s="55" t="s">
        <v>5</v>
      </c>
      <c r="H1009" s="55" t="s">
        <v>960</v>
      </c>
      <c r="I1009" s="55"/>
      <c r="J1009" s="55"/>
      <c r="K1009" s="19" t="s">
        <v>1198</v>
      </c>
      <c r="L1009" s="19"/>
      <c r="M1009" s="19"/>
      <c r="N1009" s="19" t="s">
        <v>2142</v>
      </c>
      <c r="O1009" s="151">
        <v>43281</v>
      </c>
      <c r="P1009" s="151"/>
      <c r="Q1009" s="151"/>
      <c r="R1009" s="151"/>
      <c r="S1009" s="152">
        <v>6000000</v>
      </c>
      <c r="T1009" s="152">
        <v>341885.21588266862</v>
      </c>
      <c r="U1009" s="145">
        <v>0</v>
      </c>
      <c r="V1009" s="145">
        <v>0</v>
      </c>
      <c r="W1009" s="145">
        <v>0</v>
      </c>
      <c r="X1009" s="145">
        <f t="shared" si="323"/>
        <v>0</v>
      </c>
      <c r="Y1009" s="145">
        <v>0</v>
      </c>
      <c r="Z1009" s="145">
        <v>0</v>
      </c>
      <c r="AA1009" s="145">
        <v>0</v>
      </c>
      <c r="AB1009" s="145">
        <v>0</v>
      </c>
      <c r="AC1009" s="145">
        <v>0</v>
      </c>
      <c r="AD1009" s="145">
        <v>0</v>
      </c>
      <c r="AE1009" s="145">
        <v>0</v>
      </c>
      <c r="AF1009" s="145">
        <v>0</v>
      </c>
      <c r="AG1009" s="145">
        <v>0</v>
      </c>
      <c r="AH1009" s="145">
        <v>0</v>
      </c>
      <c r="AI1009" s="145">
        <v>0</v>
      </c>
      <c r="AJ1009" s="145">
        <v>0</v>
      </c>
      <c r="AK1009" s="145">
        <f t="shared" si="324"/>
        <v>0</v>
      </c>
      <c r="AL1009" s="145">
        <v>5000000</v>
      </c>
      <c r="AM1009" s="145">
        <v>658114.78411733173</v>
      </c>
      <c r="AN1009" s="145">
        <v>0</v>
      </c>
      <c r="AO1009" s="145">
        <v>0</v>
      </c>
      <c r="AP1009" s="145">
        <v>0</v>
      </c>
      <c r="AQ1009" s="145">
        <v>0</v>
      </c>
      <c r="AR1009" s="145">
        <v>0</v>
      </c>
      <c r="AS1009" s="145">
        <f t="shared" si="321"/>
        <v>5658114.7841173317</v>
      </c>
      <c r="AT1009" s="145"/>
      <c r="AU1009" s="139">
        <f t="shared" si="318"/>
        <v>5658114.7841173317</v>
      </c>
      <c r="AV1009" s="146">
        <f>IFERROR(VLOOKUP(J1009,Maksājumu_pieprasījumu_iesn.!G:BL,57,0),0)</f>
        <v>0</v>
      </c>
      <c r="AW1009" s="139">
        <f t="shared" si="301"/>
        <v>-5658114.7841173317</v>
      </c>
      <c r="AX1009" s="140">
        <f t="shared" si="322"/>
        <v>0</v>
      </c>
      <c r="AY1009" s="137" t="s">
        <v>1085</v>
      </c>
      <c r="AZ1009" s="137"/>
      <c r="BA1009" s="138" t="s">
        <v>1086</v>
      </c>
      <c r="BB1009" s="145"/>
      <c r="BC1009" s="145"/>
      <c r="BD1009" s="145"/>
      <c r="BE1009" s="145"/>
      <c r="BF1009" s="145"/>
      <c r="BG1009" s="145"/>
      <c r="BH1009" s="138"/>
      <c r="BI1009" s="138"/>
      <c r="BJ1009" s="138"/>
      <c r="BK1009" s="138"/>
      <c r="BL1009" s="138"/>
      <c r="BM1009" s="138"/>
      <c r="BN1009" s="138"/>
    </row>
    <row r="1010" spans="1:66" s="91" customFormat="1" ht="38.25" hidden="1" customHeight="1" x14ac:dyDescent="0.2">
      <c r="A1010" s="150" t="s">
        <v>2104</v>
      </c>
      <c r="B1010" s="18" t="s">
        <v>2134</v>
      </c>
      <c r="C1010" s="18" t="s">
        <v>2136</v>
      </c>
      <c r="D1010" s="19" t="s">
        <v>2135</v>
      </c>
      <c r="E1010" s="55">
        <v>1</v>
      </c>
      <c r="F1010" s="55" t="s">
        <v>4</v>
      </c>
      <c r="G1010" s="55" t="s">
        <v>5</v>
      </c>
      <c r="H1010" s="55" t="s">
        <v>960</v>
      </c>
      <c r="I1010" s="55"/>
      <c r="J1010" s="55"/>
      <c r="K1010" s="19" t="s">
        <v>1200</v>
      </c>
      <c r="L1010" s="19"/>
      <c r="M1010" s="19"/>
      <c r="N1010" s="19" t="s">
        <v>2143</v>
      </c>
      <c r="O1010" s="151">
        <v>43010</v>
      </c>
      <c r="P1010" s="151"/>
      <c r="Q1010" s="151"/>
      <c r="R1010" s="151"/>
      <c r="S1010" s="152">
        <v>5802893.5300000003</v>
      </c>
      <c r="T1010" s="91">
        <v>0</v>
      </c>
      <c r="U1010" s="145">
        <v>0</v>
      </c>
      <c r="V1010" s="145">
        <v>0</v>
      </c>
      <c r="W1010" s="145">
        <v>0</v>
      </c>
      <c r="X1010" s="145">
        <f t="shared" si="323"/>
        <v>0</v>
      </c>
      <c r="Y1010" s="145">
        <v>0</v>
      </c>
      <c r="Z1010" s="145">
        <v>0</v>
      </c>
      <c r="AA1010" s="145">
        <v>0</v>
      </c>
      <c r="AB1010" s="145">
        <v>0</v>
      </c>
      <c r="AC1010" s="145">
        <v>0</v>
      </c>
      <c r="AD1010" s="145">
        <v>0</v>
      </c>
      <c r="AE1010" s="145">
        <v>0</v>
      </c>
      <c r="AF1010" s="145">
        <v>0</v>
      </c>
      <c r="AG1010" s="145">
        <v>0</v>
      </c>
      <c r="AH1010" s="145">
        <v>0</v>
      </c>
      <c r="AI1010" s="145">
        <v>0</v>
      </c>
      <c r="AJ1010" s="145">
        <v>0</v>
      </c>
      <c r="AK1010" s="145">
        <f t="shared" si="324"/>
        <v>0</v>
      </c>
      <c r="AL1010" s="145">
        <v>2915763.37</v>
      </c>
      <c r="AM1010" s="145">
        <v>2887130.16</v>
      </c>
      <c r="AN1010" s="145">
        <v>0</v>
      </c>
      <c r="AO1010" s="145">
        <v>0</v>
      </c>
      <c r="AP1010" s="145">
        <v>0</v>
      </c>
      <c r="AQ1010" s="145">
        <v>0</v>
      </c>
      <c r="AR1010" s="145">
        <v>0</v>
      </c>
      <c r="AS1010" s="145">
        <f t="shared" si="321"/>
        <v>5802893.5300000003</v>
      </c>
      <c r="AT1010" s="145"/>
      <c r="AU1010" s="139">
        <f t="shared" si="318"/>
        <v>5802893.5300000003</v>
      </c>
      <c r="AV1010" s="146">
        <f>IFERROR(VLOOKUP(J1010,Maksājumu_pieprasījumu_iesn.!G:BL,57,0),0)</f>
        <v>0</v>
      </c>
      <c r="AW1010" s="139">
        <f t="shared" si="301"/>
        <v>-5802893.5300000003</v>
      </c>
      <c r="AX1010" s="140">
        <f t="shared" si="322"/>
        <v>0</v>
      </c>
      <c r="AY1010" s="137"/>
      <c r="AZ1010" s="137"/>
      <c r="BA1010" s="138"/>
      <c r="BB1010" s="145"/>
      <c r="BC1010" s="145"/>
      <c r="BD1010" s="145"/>
      <c r="BE1010" s="145"/>
      <c r="BF1010" s="145"/>
      <c r="BG1010" s="145"/>
      <c r="BH1010" s="138"/>
      <c r="BI1010" s="138"/>
      <c r="BJ1010" s="138"/>
      <c r="BK1010" s="138"/>
      <c r="BL1010" s="138"/>
      <c r="BM1010" s="138"/>
      <c r="BN1010" s="138"/>
    </row>
    <row r="1011" spans="1:66" s="91" customFormat="1" ht="25.5" hidden="1" customHeight="1" x14ac:dyDescent="0.2">
      <c r="A1011" s="150" t="s">
        <v>2104</v>
      </c>
      <c r="B1011" s="18" t="s">
        <v>2134</v>
      </c>
      <c r="C1011" s="18" t="s">
        <v>2136</v>
      </c>
      <c r="D1011" s="19" t="s">
        <v>2135</v>
      </c>
      <c r="E1011" s="55">
        <v>1</v>
      </c>
      <c r="F1011" s="55" t="s">
        <v>4</v>
      </c>
      <c r="G1011" s="55" t="s">
        <v>5</v>
      </c>
      <c r="H1011" s="55" t="s">
        <v>960</v>
      </c>
      <c r="I1011" s="55"/>
      <c r="J1011" s="55"/>
      <c r="K1011" s="19" t="s">
        <v>1200</v>
      </c>
      <c r="L1011" s="19"/>
      <c r="M1011" s="19"/>
      <c r="N1011" s="19" t="s">
        <v>2144</v>
      </c>
      <c r="O1011" s="151">
        <v>43190</v>
      </c>
      <c r="P1011" s="151"/>
      <c r="Q1011" s="151"/>
      <c r="R1011" s="151"/>
      <c r="S1011" s="152">
        <v>300000</v>
      </c>
      <c r="T1011" s="152">
        <v>0</v>
      </c>
      <c r="U1011" s="145">
        <v>0</v>
      </c>
      <c r="V1011" s="145">
        <v>0</v>
      </c>
      <c r="W1011" s="145">
        <v>0</v>
      </c>
      <c r="X1011" s="145">
        <f t="shared" si="323"/>
        <v>0</v>
      </c>
      <c r="Y1011" s="145">
        <v>0</v>
      </c>
      <c r="Z1011" s="145">
        <v>0</v>
      </c>
      <c r="AA1011" s="145">
        <v>0</v>
      </c>
      <c r="AB1011" s="145">
        <v>0</v>
      </c>
      <c r="AC1011" s="145">
        <v>0</v>
      </c>
      <c r="AD1011" s="145">
        <v>0</v>
      </c>
      <c r="AE1011" s="145">
        <v>0</v>
      </c>
      <c r="AF1011" s="145">
        <v>0</v>
      </c>
      <c r="AG1011" s="145">
        <v>0</v>
      </c>
      <c r="AH1011" s="145">
        <v>0</v>
      </c>
      <c r="AI1011" s="145">
        <v>0</v>
      </c>
      <c r="AJ1011" s="145">
        <v>0</v>
      </c>
      <c r="AK1011" s="145">
        <f t="shared" si="324"/>
        <v>0</v>
      </c>
      <c r="AL1011" s="145">
        <v>60000</v>
      </c>
      <c r="AM1011" s="145">
        <v>240000</v>
      </c>
      <c r="AN1011" s="145">
        <v>0</v>
      </c>
      <c r="AO1011" s="145">
        <v>0</v>
      </c>
      <c r="AP1011" s="145">
        <v>0</v>
      </c>
      <c r="AQ1011" s="145">
        <v>0</v>
      </c>
      <c r="AR1011" s="145">
        <v>0</v>
      </c>
      <c r="AS1011" s="145">
        <f t="shared" si="321"/>
        <v>300000</v>
      </c>
      <c r="AT1011" s="145"/>
      <c r="AU1011" s="139">
        <f t="shared" si="318"/>
        <v>300000</v>
      </c>
      <c r="AV1011" s="146">
        <f>IFERROR(VLOOKUP(J1011,Maksājumu_pieprasījumu_iesn.!G:BL,57,0),0)</f>
        <v>0</v>
      </c>
      <c r="AW1011" s="139">
        <f t="shared" si="301"/>
        <v>-300000</v>
      </c>
      <c r="AX1011" s="140">
        <f t="shared" si="322"/>
        <v>0</v>
      </c>
      <c r="AY1011" s="137"/>
      <c r="AZ1011" s="137"/>
      <c r="BA1011" s="138"/>
      <c r="BB1011" s="145"/>
      <c r="BC1011" s="145"/>
      <c r="BD1011" s="145"/>
      <c r="BE1011" s="145"/>
      <c r="BF1011" s="145"/>
      <c r="BG1011" s="145"/>
      <c r="BH1011" s="138"/>
      <c r="BI1011" s="138"/>
      <c r="BJ1011" s="138"/>
      <c r="BK1011" s="138"/>
      <c r="BL1011" s="138"/>
      <c r="BM1011" s="138"/>
      <c r="BN1011" s="138"/>
    </row>
    <row r="1012" spans="1:66" s="91" customFormat="1" ht="30" hidden="1" customHeight="1" x14ac:dyDescent="0.2">
      <c r="A1012" s="150" t="s">
        <v>2104</v>
      </c>
      <c r="B1012" s="18" t="s">
        <v>2134</v>
      </c>
      <c r="C1012" s="18" t="s">
        <v>2136</v>
      </c>
      <c r="D1012" s="19" t="s">
        <v>2135</v>
      </c>
      <c r="E1012" s="55">
        <v>1</v>
      </c>
      <c r="F1012" s="55" t="s">
        <v>4</v>
      </c>
      <c r="G1012" s="55" t="s">
        <v>5</v>
      </c>
      <c r="H1012" s="55" t="s">
        <v>960</v>
      </c>
      <c r="I1012" s="55"/>
      <c r="J1012" s="55"/>
      <c r="K1012" s="19" t="s">
        <v>1200</v>
      </c>
      <c r="L1012" s="19"/>
      <c r="M1012" s="19"/>
      <c r="N1012" s="19" t="s">
        <v>2145</v>
      </c>
      <c r="O1012" s="151">
        <v>43444</v>
      </c>
      <c r="P1012" s="151"/>
      <c r="Q1012" s="151"/>
      <c r="R1012" s="151"/>
      <c r="S1012" s="152">
        <v>368760.47</v>
      </c>
      <c r="T1012" s="152">
        <v>368760.47081798932</v>
      </c>
      <c r="U1012" s="145">
        <v>0</v>
      </c>
      <c r="V1012" s="145">
        <v>0</v>
      </c>
      <c r="W1012" s="145">
        <v>0</v>
      </c>
      <c r="X1012" s="145">
        <f t="shared" si="323"/>
        <v>0</v>
      </c>
      <c r="Y1012" s="145">
        <v>0</v>
      </c>
      <c r="Z1012" s="145">
        <v>0</v>
      </c>
      <c r="AA1012" s="145">
        <v>0</v>
      </c>
      <c r="AB1012" s="145">
        <v>0</v>
      </c>
      <c r="AC1012" s="145">
        <v>0</v>
      </c>
      <c r="AD1012" s="145">
        <v>0</v>
      </c>
      <c r="AE1012" s="145">
        <v>0</v>
      </c>
      <c r="AF1012" s="145">
        <v>0</v>
      </c>
      <c r="AG1012" s="145">
        <v>0</v>
      </c>
      <c r="AH1012" s="145">
        <v>0</v>
      </c>
      <c r="AI1012" s="145">
        <v>0</v>
      </c>
      <c r="AJ1012" s="145">
        <v>0</v>
      </c>
      <c r="AK1012" s="145">
        <f t="shared" si="324"/>
        <v>0</v>
      </c>
      <c r="AL1012" s="145">
        <v>0</v>
      </c>
      <c r="AM1012" s="145">
        <v>0</v>
      </c>
      <c r="AN1012" s="145">
        <v>0</v>
      </c>
      <c r="AO1012" s="145">
        <v>0</v>
      </c>
      <c r="AP1012" s="145">
        <v>0</v>
      </c>
      <c r="AQ1012" s="145">
        <v>0</v>
      </c>
      <c r="AR1012" s="145">
        <v>0</v>
      </c>
      <c r="AS1012" s="145">
        <f t="shared" si="321"/>
        <v>0</v>
      </c>
      <c r="AT1012" s="145"/>
      <c r="AU1012" s="139">
        <f t="shared" si="318"/>
        <v>0</v>
      </c>
      <c r="AV1012" s="146">
        <f>IFERROR(VLOOKUP(J1012,Maksājumu_pieprasījumu_iesn.!G:BL,57,0),0)</f>
        <v>0</v>
      </c>
      <c r="AW1012" s="139">
        <f t="shared" si="301"/>
        <v>0</v>
      </c>
      <c r="AX1012" s="140">
        <f t="shared" si="322"/>
        <v>-8.179893484339118E-4</v>
      </c>
      <c r="AY1012" s="137" t="s">
        <v>1085</v>
      </c>
      <c r="AZ1012" s="137"/>
      <c r="BA1012" s="138" t="s">
        <v>2146</v>
      </c>
      <c r="BB1012" s="145"/>
      <c r="BC1012" s="145"/>
      <c r="BD1012" s="145"/>
      <c r="BE1012" s="145"/>
      <c r="BF1012" s="145"/>
      <c r="BG1012" s="145"/>
      <c r="BH1012" s="138"/>
      <c r="BI1012" s="138"/>
      <c r="BJ1012" s="138"/>
      <c r="BK1012" s="138"/>
      <c r="BL1012" s="138"/>
      <c r="BM1012" s="138"/>
      <c r="BN1012" s="138"/>
    </row>
    <row r="1013" spans="1:66" s="91" customFormat="1" ht="38.25" hidden="1" customHeight="1" x14ac:dyDescent="0.2">
      <c r="A1013" s="150" t="s">
        <v>2104</v>
      </c>
      <c r="B1013" s="18" t="s">
        <v>2134</v>
      </c>
      <c r="C1013" s="18" t="s">
        <v>2136</v>
      </c>
      <c r="D1013" s="19" t="s">
        <v>2135</v>
      </c>
      <c r="E1013" s="55">
        <v>1</v>
      </c>
      <c r="F1013" s="55" t="s">
        <v>4</v>
      </c>
      <c r="G1013" s="55" t="s">
        <v>5</v>
      </c>
      <c r="H1013" s="55" t="s">
        <v>960</v>
      </c>
      <c r="I1013" s="55"/>
      <c r="J1013" s="55"/>
      <c r="K1013" s="19" t="s">
        <v>1207</v>
      </c>
      <c r="L1013" s="19"/>
      <c r="M1013" s="19"/>
      <c r="N1013" s="19" t="s">
        <v>2147</v>
      </c>
      <c r="O1013" s="151">
        <v>42885</v>
      </c>
      <c r="P1013" s="151"/>
      <c r="Q1013" s="151"/>
      <c r="R1013" s="151"/>
      <c r="S1013" s="152">
        <v>1471654</v>
      </c>
      <c r="T1013" s="152">
        <v>0</v>
      </c>
      <c r="U1013" s="145">
        <v>0</v>
      </c>
      <c r="V1013" s="145">
        <v>0</v>
      </c>
      <c r="W1013" s="145">
        <v>0</v>
      </c>
      <c r="X1013" s="145">
        <f t="shared" si="323"/>
        <v>0</v>
      </c>
      <c r="Y1013" s="145">
        <v>0</v>
      </c>
      <c r="Z1013" s="145">
        <v>0</v>
      </c>
      <c r="AA1013" s="145">
        <v>0</v>
      </c>
      <c r="AB1013" s="145">
        <v>0</v>
      </c>
      <c r="AC1013" s="145">
        <v>0</v>
      </c>
      <c r="AD1013" s="145">
        <v>0</v>
      </c>
      <c r="AE1013" s="145">
        <v>0</v>
      </c>
      <c r="AF1013" s="145">
        <v>0</v>
      </c>
      <c r="AG1013" s="145">
        <v>0</v>
      </c>
      <c r="AH1013" s="145">
        <v>294330.8</v>
      </c>
      <c r="AI1013" s="145">
        <v>0</v>
      </c>
      <c r="AJ1013" s="145">
        <v>294330.8</v>
      </c>
      <c r="AK1013" s="145">
        <f t="shared" si="324"/>
        <v>588661.6</v>
      </c>
      <c r="AL1013" s="145">
        <v>882992.4</v>
      </c>
      <c r="AM1013" s="145">
        <v>0</v>
      </c>
      <c r="AN1013" s="145">
        <v>0</v>
      </c>
      <c r="AO1013" s="145">
        <v>0</v>
      </c>
      <c r="AP1013" s="145">
        <v>0</v>
      </c>
      <c r="AQ1013" s="145">
        <v>0</v>
      </c>
      <c r="AR1013" s="145">
        <v>0</v>
      </c>
      <c r="AS1013" s="145">
        <f t="shared" si="321"/>
        <v>1471654</v>
      </c>
      <c r="AT1013" s="145"/>
      <c r="AU1013" s="139">
        <f t="shared" si="318"/>
        <v>1471654</v>
      </c>
      <c r="AV1013" s="146">
        <f>IFERROR(VLOOKUP(J1013,Maksājumu_pieprasījumu_iesn.!G:BL,57,0),0)</f>
        <v>0</v>
      </c>
      <c r="AW1013" s="139">
        <f t="shared" si="301"/>
        <v>-1471654</v>
      </c>
      <c r="AX1013" s="140">
        <f t="shared" si="322"/>
        <v>0</v>
      </c>
      <c r="AY1013" s="137"/>
      <c r="AZ1013" s="137"/>
      <c r="BA1013" s="138"/>
      <c r="BB1013" s="145"/>
      <c r="BC1013" s="145"/>
      <c r="BD1013" s="145"/>
      <c r="BE1013" s="145"/>
      <c r="BF1013" s="145"/>
      <c r="BG1013" s="145"/>
      <c r="BH1013" s="138"/>
      <c r="BI1013" s="138"/>
      <c r="BJ1013" s="138"/>
      <c r="BK1013" s="138"/>
      <c r="BL1013" s="138"/>
      <c r="BM1013" s="138"/>
      <c r="BN1013" s="138"/>
    </row>
    <row r="1014" spans="1:66" s="91" customFormat="1" ht="25.5" hidden="1" customHeight="1" x14ac:dyDescent="0.2">
      <c r="A1014" s="150" t="s">
        <v>2104</v>
      </c>
      <c r="B1014" s="18" t="s">
        <v>2134</v>
      </c>
      <c r="C1014" s="18" t="s">
        <v>2136</v>
      </c>
      <c r="D1014" s="19" t="s">
        <v>2135</v>
      </c>
      <c r="E1014" s="55">
        <v>1</v>
      </c>
      <c r="F1014" s="55" t="s">
        <v>4</v>
      </c>
      <c r="G1014" s="55" t="s">
        <v>5</v>
      </c>
      <c r="H1014" s="55" t="s">
        <v>960</v>
      </c>
      <c r="I1014" s="55"/>
      <c r="J1014" s="55"/>
      <c r="K1014" s="19" t="s">
        <v>1207</v>
      </c>
      <c r="L1014" s="19"/>
      <c r="M1014" s="19"/>
      <c r="N1014" s="19" t="s">
        <v>2148</v>
      </c>
      <c r="O1014" s="151">
        <v>42947</v>
      </c>
      <c r="P1014" s="151"/>
      <c r="Q1014" s="151"/>
      <c r="R1014" s="151"/>
      <c r="S1014" s="152">
        <v>5382000</v>
      </c>
      <c r="T1014" s="152">
        <v>0</v>
      </c>
      <c r="U1014" s="145">
        <v>0</v>
      </c>
      <c r="V1014" s="145">
        <v>0</v>
      </c>
      <c r="W1014" s="145">
        <v>0</v>
      </c>
      <c r="X1014" s="145">
        <f t="shared" si="323"/>
        <v>0</v>
      </c>
      <c r="Y1014" s="145">
        <v>0</v>
      </c>
      <c r="Z1014" s="145">
        <v>0</v>
      </c>
      <c r="AA1014" s="145">
        <v>0</v>
      </c>
      <c r="AB1014" s="145">
        <v>0</v>
      </c>
      <c r="AC1014" s="145">
        <v>0</v>
      </c>
      <c r="AD1014" s="145">
        <v>0</v>
      </c>
      <c r="AE1014" s="145">
        <v>0</v>
      </c>
      <c r="AF1014" s="145">
        <v>0</v>
      </c>
      <c r="AG1014" s="145">
        <v>0</v>
      </c>
      <c r="AH1014" s="145">
        <v>0</v>
      </c>
      <c r="AI1014" s="145">
        <v>0</v>
      </c>
      <c r="AJ1014" s="145">
        <v>1076400</v>
      </c>
      <c r="AK1014" s="145">
        <f t="shared" si="324"/>
        <v>1076400</v>
      </c>
      <c r="AL1014" s="145">
        <v>4305600</v>
      </c>
      <c r="AM1014" s="145">
        <v>0</v>
      </c>
      <c r="AN1014" s="145">
        <v>0</v>
      </c>
      <c r="AO1014" s="145">
        <v>0</v>
      </c>
      <c r="AP1014" s="145">
        <v>0</v>
      </c>
      <c r="AQ1014" s="145">
        <v>0</v>
      </c>
      <c r="AR1014" s="145">
        <v>0</v>
      </c>
      <c r="AS1014" s="145">
        <f t="shared" si="321"/>
        <v>5382000</v>
      </c>
      <c r="AT1014" s="145"/>
      <c r="AU1014" s="139">
        <f t="shared" si="318"/>
        <v>5382000</v>
      </c>
      <c r="AV1014" s="146">
        <f>IFERROR(VLOOKUP(J1014,Maksājumu_pieprasījumu_iesn.!G:BL,57,0),0)</f>
        <v>0</v>
      </c>
      <c r="AW1014" s="139">
        <f t="shared" si="301"/>
        <v>-5382000</v>
      </c>
      <c r="AX1014" s="140">
        <f t="shared" si="322"/>
        <v>0</v>
      </c>
      <c r="AY1014" s="137"/>
      <c r="AZ1014" s="137"/>
      <c r="BA1014" s="138"/>
      <c r="BB1014" s="145"/>
      <c r="BC1014" s="145"/>
      <c r="BD1014" s="145"/>
      <c r="BE1014" s="145"/>
      <c r="BF1014" s="145"/>
      <c r="BG1014" s="145"/>
      <c r="BH1014" s="138"/>
      <c r="BI1014" s="138"/>
      <c r="BJ1014" s="138"/>
      <c r="BK1014" s="138"/>
      <c r="BL1014" s="138"/>
      <c r="BM1014" s="138"/>
      <c r="BN1014" s="138"/>
    </row>
    <row r="1015" spans="1:66" s="91" customFormat="1" ht="25.5" hidden="1" customHeight="1" x14ac:dyDescent="0.2">
      <c r="A1015" s="150" t="s">
        <v>2104</v>
      </c>
      <c r="B1015" s="18" t="s">
        <v>2134</v>
      </c>
      <c r="C1015" s="18" t="s">
        <v>2136</v>
      </c>
      <c r="D1015" s="19" t="s">
        <v>2135</v>
      </c>
      <c r="E1015" s="55">
        <v>1</v>
      </c>
      <c r="F1015" s="55" t="s">
        <v>4</v>
      </c>
      <c r="G1015" s="55" t="s">
        <v>5</v>
      </c>
      <c r="H1015" s="55" t="s">
        <v>960</v>
      </c>
      <c r="I1015" s="55"/>
      <c r="J1015" s="55"/>
      <c r="K1015" s="19" t="s">
        <v>1207</v>
      </c>
      <c r="L1015" s="19"/>
      <c r="M1015" s="19"/>
      <c r="N1015" s="19" t="s">
        <v>2149</v>
      </c>
      <c r="O1015" s="151">
        <v>43190</v>
      </c>
      <c r="P1015" s="151"/>
      <c r="Q1015" s="151"/>
      <c r="R1015" s="151"/>
      <c r="S1015" s="152">
        <v>2003729</v>
      </c>
      <c r="T1015" s="152">
        <v>504701.38318507985</v>
      </c>
      <c r="U1015" s="145">
        <v>0</v>
      </c>
      <c r="V1015" s="145">
        <v>0</v>
      </c>
      <c r="W1015" s="145">
        <v>0</v>
      </c>
      <c r="X1015" s="145">
        <f t="shared" si="323"/>
        <v>0</v>
      </c>
      <c r="Y1015" s="145">
        <v>0</v>
      </c>
      <c r="Z1015" s="145">
        <v>0</v>
      </c>
      <c r="AA1015" s="145">
        <v>0</v>
      </c>
      <c r="AB1015" s="145">
        <v>0</v>
      </c>
      <c r="AC1015" s="145">
        <v>0</v>
      </c>
      <c r="AD1015" s="145">
        <v>0</v>
      </c>
      <c r="AE1015" s="145">
        <v>0</v>
      </c>
      <c r="AF1015" s="145">
        <v>0</v>
      </c>
      <c r="AG1015" s="145">
        <v>0</v>
      </c>
      <c r="AH1015" s="145">
        <v>0</v>
      </c>
      <c r="AI1015" s="145">
        <v>0</v>
      </c>
      <c r="AJ1015" s="145">
        <v>0</v>
      </c>
      <c r="AK1015" s="145">
        <f t="shared" si="324"/>
        <v>0</v>
      </c>
      <c r="AL1015" s="145">
        <v>801491.60000000009</v>
      </c>
      <c r="AM1015" s="145">
        <v>697536.01681492012</v>
      </c>
      <c r="AN1015" s="145">
        <v>0</v>
      </c>
      <c r="AO1015" s="145">
        <v>0</v>
      </c>
      <c r="AP1015" s="145">
        <v>0</v>
      </c>
      <c r="AQ1015" s="145">
        <v>0</v>
      </c>
      <c r="AR1015" s="145">
        <v>0</v>
      </c>
      <c r="AS1015" s="145">
        <f t="shared" si="321"/>
        <v>1499027.6168149202</v>
      </c>
      <c r="AT1015" s="145"/>
      <c r="AU1015" s="139">
        <f t="shared" si="318"/>
        <v>1499027.6168149202</v>
      </c>
      <c r="AV1015" s="146">
        <f>IFERROR(VLOOKUP(J1015,Maksājumu_pieprasījumu_iesn.!G:BL,57,0),0)</f>
        <v>0</v>
      </c>
      <c r="AW1015" s="139">
        <f t="shared" si="301"/>
        <v>-1499027.6168149202</v>
      </c>
      <c r="AX1015" s="140">
        <f t="shared" si="322"/>
        <v>0</v>
      </c>
      <c r="AY1015" s="137" t="s">
        <v>1085</v>
      </c>
      <c r="AZ1015" s="137"/>
      <c r="BA1015" s="138" t="s">
        <v>1086</v>
      </c>
      <c r="BB1015" s="145"/>
      <c r="BC1015" s="145"/>
      <c r="BD1015" s="145"/>
      <c r="BE1015" s="145"/>
      <c r="BF1015" s="145"/>
      <c r="BG1015" s="145"/>
      <c r="BH1015" s="138"/>
      <c r="BI1015" s="138"/>
      <c r="BJ1015" s="138"/>
      <c r="BK1015" s="138"/>
      <c r="BL1015" s="138"/>
      <c r="BM1015" s="138"/>
      <c r="BN1015" s="138"/>
    </row>
    <row r="1016" spans="1:66" s="91" customFormat="1" ht="63.75" hidden="1" customHeight="1" x14ac:dyDescent="0.2">
      <c r="A1016" s="150" t="s">
        <v>2104</v>
      </c>
      <c r="B1016" s="18" t="s">
        <v>2134</v>
      </c>
      <c r="C1016" s="18" t="s">
        <v>2136</v>
      </c>
      <c r="D1016" s="19" t="s">
        <v>2135</v>
      </c>
      <c r="E1016" s="55">
        <v>1</v>
      </c>
      <c r="F1016" s="55" t="s">
        <v>4</v>
      </c>
      <c r="G1016" s="55" t="s">
        <v>5</v>
      </c>
      <c r="H1016" s="55" t="s">
        <v>960</v>
      </c>
      <c r="I1016" s="55"/>
      <c r="J1016" s="55"/>
      <c r="K1016" s="19" t="s">
        <v>2150</v>
      </c>
      <c r="L1016" s="19"/>
      <c r="M1016" s="19"/>
      <c r="N1016" s="19" t="s">
        <v>2151</v>
      </c>
      <c r="O1016" s="151">
        <v>43159</v>
      </c>
      <c r="P1016" s="151"/>
      <c r="Q1016" s="151"/>
      <c r="R1016" s="151"/>
      <c r="S1016" s="152">
        <v>5527654</v>
      </c>
      <c r="T1016" s="152">
        <v>314970.53018578282</v>
      </c>
      <c r="U1016" s="145">
        <v>0</v>
      </c>
      <c r="V1016" s="145">
        <v>0</v>
      </c>
      <c r="W1016" s="145">
        <v>0</v>
      </c>
      <c r="X1016" s="145">
        <f t="shared" si="323"/>
        <v>0</v>
      </c>
      <c r="Y1016" s="145">
        <v>0</v>
      </c>
      <c r="Z1016" s="145">
        <v>0</v>
      </c>
      <c r="AA1016" s="145">
        <v>0</v>
      </c>
      <c r="AB1016" s="145">
        <v>0</v>
      </c>
      <c r="AC1016" s="145">
        <v>0</v>
      </c>
      <c r="AD1016" s="145">
        <v>0</v>
      </c>
      <c r="AE1016" s="145">
        <v>0</v>
      </c>
      <c r="AF1016" s="145">
        <v>0</v>
      </c>
      <c r="AG1016" s="145">
        <v>0</v>
      </c>
      <c r="AH1016" s="145">
        <v>0</v>
      </c>
      <c r="AI1016" s="145">
        <v>0</v>
      </c>
      <c r="AJ1016" s="145">
        <v>0</v>
      </c>
      <c r="AK1016" s="145">
        <f t="shared" si="324"/>
        <v>0</v>
      </c>
      <c r="AL1016" s="145">
        <v>2763827</v>
      </c>
      <c r="AM1016" s="145">
        <v>2448856.4698142172</v>
      </c>
      <c r="AN1016" s="145">
        <v>0</v>
      </c>
      <c r="AO1016" s="145">
        <v>0</v>
      </c>
      <c r="AP1016" s="145">
        <v>0</v>
      </c>
      <c r="AQ1016" s="145">
        <v>0</v>
      </c>
      <c r="AR1016" s="145">
        <v>0</v>
      </c>
      <c r="AS1016" s="145">
        <f t="shared" si="321"/>
        <v>5212683.4698142167</v>
      </c>
      <c r="AT1016" s="145"/>
      <c r="AU1016" s="139">
        <f t="shared" si="318"/>
        <v>5212683.4698142167</v>
      </c>
      <c r="AV1016" s="146">
        <f>IFERROR(VLOOKUP(J1016,Maksājumu_pieprasījumu_iesn.!G:BL,57,0),0)</f>
        <v>0</v>
      </c>
      <c r="AW1016" s="139">
        <f t="shared" si="301"/>
        <v>-5212683.4698142167</v>
      </c>
      <c r="AX1016" s="140">
        <f t="shared" si="322"/>
        <v>0</v>
      </c>
      <c r="AY1016" s="137" t="s">
        <v>1085</v>
      </c>
      <c r="AZ1016" s="137"/>
      <c r="BA1016" s="138" t="s">
        <v>1086</v>
      </c>
      <c r="BB1016" s="145"/>
      <c r="BC1016" s="145"/>
      <c r="BD1016" s="145"/>
      <c r="BE1016" s="145"/>
      <c r="BF1016" s="145"/>
      <c r="BG1016" s="145"/>
      <c r="BH1016" s="138"/>
      <c r="BI1016" s="138"/>
      <c r="BJ1016" s="138"/>
      <c r="BK1016" s="138"/>
      <c r="BL1016" s="138"/>
      <c r="BM1016" s="138"/>
      <c r="BN1016" s="138"/>
    </row>
    <row r="1017" spans="1:66" s="91" customFormat="1" ht="63.75" hidden="1" customHeight="1" x14ac:dyDescent="0.2">
      <c r="A1017" s="150" t="s">
        <v>2104</v>
      </c>
      <c r="B1017" s="18" t="s">
        <v>2134</v>
      </c>
      <c r="C1017" s="18" t="s">
        <v>2136</v>
      </c>
      <c r="D1017" s="19" t="s">
        <v>2135</v>
      </c>
      <c r="E1017" s="55">
        <v>1</v>
      </c>
      <c r="F1017" s="55" t="s">
        <v>4</v>
      </c>
      <c r="G1017" s="55" t="s">
        <v>5</v>
      </c>
      <c r="H1017" s="55" t="s">
        <v>960</v>
      </c>
      <c r="I1017" s="55"/>
      <c r="J1017" s="55"/>
      <c r="K1017" s="19" t="s">
        <v>2152</v>
      </c>
      <c r="L1017" s="19"/>
      <c r="M1017" s="19"/>
      <c r="N1017" s="19" t="s">
        <v>2153</v>
      </c>
      <c r="O1017" s="151">
        <v>42946</v>
      </c>
      <c r="P1017" s="151"/>
      <c r="Q1017" s="151"/>
      <c r="R1017" s="151"/>
      <c r="S1017" s="152">
        <v>4946055.7300000004</v>
      </c>
      <c r="T1017" s="152">
        <v>0</v>
      </c>
      <c r="U1017" s="145">
        <v>0</v>
      </c>
      <c r="V1017" s="145">
        <v>0</v>
      </c>
      <c r="W1017" s="145">
        <v>0</v>
      </c>
      <c r="X1017" s="145">
        <f t="shared" si="323"/>
        <v>0</v>
      </c>
      <c r="Y1017" s="145">
        <v>0</v>
      </c>
      <c r="Z1017" s="145">
        <v>0</v>
      </c>
      <c r="AA1017" s="145">
        <v>0</v>
      </c>
      <c r="AB1017" s="145">
        <v>0</v>
      </c>
      <c r="AC1017" s="145">
        <v>0</v>
      </c>
      <c r="AD1017" s="145">
        <v>0</v>
      </c>
      <c r="AE1017" s="145">
        <v>0</v>
      </c>
      <c r="AF1017" s="145">
        <v>0</v>
      </c>
      <c r="AG1017" s="145">
        <v>0</v>
      </c>
      <c r="AH1017" s="145">
        <v>0</v>
      </c>
      <c r="AI1017" s="145">
        <v>0</v>
      </c>
      <c r="AJ1017" s="145">
        <v>1236513.9325000001</v>
      </c>
      <c r="AK1017" s="145">
        <f t="shared" si="324"/>
        <v>1236513.9325000001</v>
      </c>
      <c r="AL1017" s="145">
        <v>3709541.7975000003</v>
      </c>
      <c r="AM1017" s="145">
        <v>0</v>
      </c>
      <c r="AN1017" s="145">
        <v>0</v>
      </c>
      <c r="AO1017" s="145">
        <v>0</v>
      </c>
      <c r="AP1017" s="145">
        <v>0</v>
      </c>
      <c r="AQ1017" s="145">
        <v>0</v>
      </c>
      <c r="AR1017" s="145">
        <v>0</v>
      </c>
      <c r="AS1017" s="145">
        <f t="shared" si="321"/>
        <v>4946055.7300000004</v>
      </c>
      <c r="AT1017" s="145"/>
      <c r="AU1017" s="139">
        <f t="shared" si="318"/>
        <v>4946055.7300000004</v>
      </c>
      <c r="AV1017" s="146">
        <f>IFERROR(VLOOKUP(J1017,Maksājumu_pieprasījumu_iesn.!G:BL,57,0),0)</f>
        <v>0</v>
      </c>
      <c r="AW1017" s="139">
        <f t="shared" si="301"/>
        <v>-4946055.7300000004</v>
      </c>
      <c r="AX1017" s="140">
        <f t="shared" si="322"/>
        <v>0</v>
      </c>
      <c r="AY1017" s="137"/>
      <c r="AZ1017" s="137"/>
      <c r="BA1017" s="138"/>
      <c r="BB1017" s="145"/>
      <c r="BC1017" s="145"/>
      <c r="BD1017" s="145"/>
      <c r="BE1017" s="145"/>
      <c r="BF1017" s="145"/>
      <c r="BG1017" s="145"/>
      <c r="BH1017" s="138"/>
      <c r="BI1017" s="138"/>
      <c r="BJ1017" s="138"/>
      <c r="BK1017" s="138"/>
      <c r="BL1017" s="138"/>
      <c r="BM1017" s="138"/>
      <c r="BN1017" s="138"/>
    </row>
    <row r="1018" spans="1:66" s="91" customFormat="1" ht="76.5" hidden="1" customHeight="1" x14ac:dyDescent="0.2">
      <c r="A1018" s="150" t="s">
        <v>2104</v>
      </c>
      <c r="B1018" s="18" t="s">
        <v>2134</v>
      </c>
      <c r="C1018" s="18" t="s">
        <v>2136</v>
      </c>
      <c r="D1018" s="19" t="s">
        <v>2135</v>
      </c>
      <c r="E1018" s="55">
        <v>1</v>
      </c>
      <c r="F1018" s="55" t="s">
        <v>4</v>
      </c>
      <c r="G1018" s="55" t="s">
        <v>5</v>
      </c>
      <c r="H1018" s="55" t="s">
        <v>960</v>
      </c>
      <c r="I1018" s="55"/>
      <c r="J1018" s="55"/>
      <c r="K1018" s="19" t="s">
        <v>2152</v>
      </c>
      <c r="L1018" s="19"/>
      <c r="M1018" s="19"/>
      <c r="N1018" s="19" t="s">
        <v>2154</v>
      </c>
      <c r="O1018" s="151">
        <v>43008</v>
      </c>
      <c r="P1018" s="151"/>
      <c r="Q1018" s="151"/>
      <c r="R1018" s="151"/>
      <c r="S1018" s="152">
        <v>4872582.92</v>
      </c>
      <c r="T1018" s="152">
        <v>0</v>
      </c>
      <c r="U1018" s="145">
        <v>0</v>
      </c>
      <c r="V1018" s="145">
        <v>0</v>
      </c>
      <c r="W1018" s="145">
        <v>0</v>
      </c>
      <c r="X1018" s="145">
        <f t="shared" si="323"/>
        <v>0</v>
      </c>
      <c r="Y1018" s="145">
        <v>0</v>
      </c>
      <c r="Z1018" s="145">
        <v>0</v>
      </c>
      <c r="AA1018" s="145">
        <v>0</v>
      </c>
      <c r="AB1018" s="145">
        <v>0</v>
      </c>
      <c r="AC1018" s="145">
        <v>0</v>
      </c>
      <c r="AD1018" s="145">
        <v>0</v>
      </c>
      <c r="AE1018" s="145">
        <v>0</v>
      </c>
      <c r="AF1018" s="145">
        <v>0</v>
      </c>
      <c r="AG1018" s="145">
        <v>0</v>
      </c>
      <c r="AH1018" s="145">
        <v>0</v>
      </c>
      <c r="AI1018" s="145">
        <v>0</v>
      </c>
      <c r="AJ1018" s="145">
        <v>0</v>
      </c>
      <c r="AK1018" s="145">
        <f t="shared" si="324"/>
        <v>0</v>
      </c>
      <c r="AL1018" s="145">
        <v>3362082.2148000002</v>
      </c>
      <c r="AM1018" s="145">
        <v>1510500.7052</v>
      </c>
      <c r="AN1018" s="145">
        <v>0</v>
      </c>
      <c r="AO1018" s="145">
        <v>0</v>
      </c>
      <c r="AP1018" s="145">
        <v>0</v>
      </c>
      <c r="AQ1018" s="145">
        <v>0</v>
      </c>
      <c r="AR1018" s="145">
        <v>0</v>
      </c>
      <c r="AS1018" s="145">
        <f t="shared" si="321"/>
        <v>4872582.92</v>
      </c>
      <c r="AT1018" s="145"/>
      <c r="AU1018" s="139">
        <f t="shared" si="318"/>
        <v>4872582.92</v>
      </c>
      <c r="AV1018" s="146">
        <f>IFERROR(VLOOKUP(J1018,Maksājumu_pieprasījumu_iesn.!G:BL,57,0),0)</f>
        <v>0</v>
      </c>
      <c r="AW1018" s="139">
        <f t="shared" si="301"/>
        <v>-4872582.92</v>
      </c>
      <c r="AX1018" s="140">
        <f t="shared" si="322"/>
        <v>0</v>
      </c>
      <c r="AY1018" s="137"/>
      <c r="AZ1018" s="137"/>
      <c r="BA1018" s="138"/>
      <c r="BB1018" s="145"/>
      <c r="BC1018" s="145"/>
      <c r="BD1018" s="145"/>
      <c r="BE1018" s="145"/>
      <c r="BF1018" s="145"/>
      <c r="BG1018" s="145"/>
      <c r="BH1018" s="138"/>
      <c r="BI1018" s="138"/>
      <c r="BJ1018" s="138"/>
      <c r="BK1018" s="138"/>
      <c r="BL1018" s="138"/>
      <c r="BM1018" s="138"/>
      <c r="BN1018" s="138"/>
    </row>
    <row r="1019" spans="1:66" s="91" customFormat="1" ht="89.25" hidden="1" customHeight="1" x14ac:dyDescent="0.2">
      <c r="A1019" s="150" t="s">
        <v>2104</v>
      </c>
      <c r="B1019" s="18" t="s">
        <v>2134</v>
      </c>
      <c r="C1019" s="18" t="s">
        <v>2136</v>
      </c>
      <c r="D1019" s="19" t="s">
        <v>2135</v>
      </c>
      <c r="E1019" s="55">
        <v>1</v>
      </c>
      <c r="F1019" s="55" t="s">
        <v>4</v>
      </c>
      <c r="G1019" s="55" t="s">
        <v>5</v>
      </c>
      <c r="H1019" s="55" t="s">
        <v>960</v>
      </c>
      <c r="I1019" s="55"/>
      <c r="J1019" s="55"/>
      <c r="K1019" s="19" t="s">
        <v>2152</v>
      </c>
      <c r="L1019" s="19"/>
      <c r="M1019" s="19"/>
      <c r="N1019" s="19" t="s">
        <v>2155</v>
      </c>
      <c r="O1019" s="151">
        <v>43281</v>
      </c>
      <c r="P1019" s="151"/>
      <c r="Q1019" s="151"/>
      <c r="R1019" s="151"/>
      <c r="S1019" s="152">
        <v>2337737.71</v>
      </c>
      <c r="T1019" s="152">
        <v>0</v>
      </c>
      <c r="U1019" s="145">
        <v>0</v>
      </c>
      <c r="V1019" s="145">
        <v>0</v>
      </c>
      <c r="W1019" s="145">
        <v>0</v>
      </c>
      <c r="X1019" s="145">
        <f t="shared" si="323"/>
        <v>0</v>
      </c>
      <c r="Y1019" s="145">
        <v>0</v>
      </c>
      <c r="Z1019" s="145">
        <v>0</v>
      </c>
      <c r="AA1019" s="145">
        <v>0</v>
      </c>
      <c r="AB1019" s="145">
        <v>0</v>
      </c>
      <c r="AC1019" s="145">
        <v>0</v>
      </c>
      <c r="AD1019" s="145">
        <v>0</v>
      </c>
      <c r="AE1019" s="145">
        <v>0</v>
      </c>
      <c r="AF1019" s="145">
        <v>0</v>
      </c>
      <c r="AG1019" s="145">
        <v>0</v>
      </c>
      <c r="AH1019" s="145">
        <v>0</v>
      </c>
      <c r="AI1019" s="145">
        <v>0</v>
      </c>
      <c r="AJ1019" s="145">
        <v>0</v>
      </c>
      <c r="AK1019" s="145">
        <f t="shared" si="324"/>
        <v>0</v>
      </c>
      <c r="AL1019" s="145">
        <v>1168868.855</v>
      </c>
      <c r="AM1019" s="145">
        <v>1168868.855</v>
      </c>
      <c r="AN1019" s="145">
        <v>0</v>
      </c>
      <c r="AO1019" s="145">
        <v>0</v>
      </c>
      <c r="AP1019" s="145">
        <v>0</v>
      </c>
      <c r="AQ1019" s="145">
        <v>0</v>
      </c>
      <c r="AR1019" s="145">
        <v>0</v>
      </c>
      <c r="AS1019" s="145">
        <f t="shared" si="321"/>
        <v>2337737.71</v>
      </c>
      <c r="AT1019" s="145"/>
      <c r="AU1019" s="139">
        <f>AS1019-AT1019</f>
        <v>2337737.71</v>
      </c>
      <c r="AV1019" s="146">
        <f>IFERROR(VLOOKUP(J1019,Maksājumu_pieprasījumu_iesn.!G:BL,57,0),0)</f>
        <v>0</v>
      </c>
      <c r="AW1019" s="139">
        <f t="shared" si="301"/>
        <v>-2337737.71</v>
      </c>
      <c r="AX1019" s="140">
        <f t="shared" si="322"/>
        <v>0</v>
      </c>
      <c r="AY1019" s="137"/>
      <c r="AZ1019" s="137"/>
      <c r="BA1019" s="138"/>
      <c r="BB1019" s="145"/>
      <c r="BC1019" s="145"/>
      <c r="BD1019" s="145"/>
      <c r="BE1019" s="145"/>
      <c r="BF1019" s="145"/>
      <c r="BG1019" s="145"/>
      <c r="BH1019" s="138"/>
      <c r="BI1019" s="138"/>
      <c r="BJ1019" s="138"/>
      <c r="BK1019" s="138"/>
      <c r="BL1019" s="138"/>
      <c r="BM1019" s="138"/>
      <c r="BN1019" s="138"/>
    </row>
    <row r="1020" spans="1:66" s="91" customFormat="1" ht="127.5" hidden="1" customHeight="1" x14ac:dyDescent="0.2">
      <c r="A1020" s="150" t="s">
        <v>2104</v>
      </c>
      <c r="B1020" s="18" t="s">
        <v>2134</v>
      </c>
      <c r="C1020" s="18" t="s">
        <v>2136</v>
      </c>
      <c r="D1020" s="19" t="s">
        <v>2135</v>
      </c>
      <c r="E1020" s="55">
        <v>1</v>
      </c>
      <c r="F1020" s="55" t="s">
        <v>4</v>
      </c>
      <c r="G1020" s="55" t="s">
        <v>5</v>
      </c>
      <c r="H1020" s="55" t="s">
        <v>960</v>
      </c>
      <c r="I1020" s="55"/>
      <c r="J1020" s="55"/>
      <c r="K1020" s="19" t="s">
        <v>2152</v>
      </c>
      <c r="L1020" s="19"/>
      <c r="M1020" s="19"/>
      <c r="N1020" s="19" t="s">
        <v>2156</v>
      </c>
      <c r="O1020" s="151" t="s">
        <v>2157</v>
      </c>
      <c r="P1020" s="151"/>
      <c r="Q1020" s="151"/>
      <c r="R1020" s="152"/>
      <c r="S1020" s="152">
        <v>2938945</v>
      </c>
      <c r="T1020" s="152">
        <v>860144.57013139967</v>
      </c>
      <c r="U1020" s="145">
        <v>0</v>
      </c>
      <c r="V1020" s="145">
        <v>0</v>
      </c>
      <c r="W1020" s="145">
        <v>0</v>
      </c>
      <c r="X1020" s="145">
        <f t="shared" si="323"/>
        <v>0</v>
      </c>
      <c r="Y1020" s="145">
        <v>0</v>
      </c>
      <c r="Z1020" s="145">
        <v>0</v>
      </c>
      <c r="AA1020" s="145">
        <v>0</v>
      </c>
      <c r="AB1020" s="145">
        <v>0</v>
      </c>
      <c r="AC1020" s="145">
        <v>0</v>
      </c>
      <c r="AD1020" s="145">
        <v>0</v>
      </c>
      <c r="AE1020" s="145">
        <v>0</v>
      </c>
      <c r="AF1020" s="145">
        <v>0</v>
      </c>
      <c r="AG1020" s="145">
        <v>0</v>
      </c>
      <c r="AH1020" s="145">
        <v>0</v>
      </c>
      <c r="AI1020" s="145">
        <v>0</v>
      </c>
      <c r="AJ1020" s="145">
        <v>0</v>
      </c>
      <c r="AK1020" s="145">
        <f t="shared" si="324"/>
        <v>0</v>
      </c>
      <c r="AL1020" s="145">
        <v>0</v>
      </c>
      <c r="AM1020" s="145">
        <v>0</v>
      </c>
      <c r="AN1020" s="145">
        <v>2078800.4298686003</v>
      </c>
      <c r="AO1020" s="145">
        <v>0</v>
      </c>
      <c r="AP1020" s="145">
        <v>0</v>
      </c>
      <c r="AQ1020" s="145">
        <v>0</v>
      </c>
      <c r="AR1020" s="145">
        <v>0</v>
      </c>
      <c r="AS1020" s="145">
        <f t="shared" si="321"/>
        <v>2078800.4298686003</v>
      </c>
      <c r="AT1020" s="145"/>
      <c r="AU1020" s="139">
        <f>AS1020-AT1020</f>
        <v>2078800.4298686003</v>
      </c>
      <c r="AV1020" s="146">
        <f>IFERROR(VLOOKUP(J1020,Maksājumu_pieprasījumu_iesn.!G:BL,57,0),0)</f>
        <v>0</v>
      </c>
      <c r="AW1020" s="139">
        <f t="shared" si="301"/>
        <v>-2078800.4298686003</v>
      </c>
      <c r="AX1020" s="140">
        <f t="shared" si="322"/>
        <v>0</v>
      </c>
      <c r="AY1020" s="137" t="s">
        <v>1085</v>
      </c>
      <c r="AZ1020" s="137"/>
      <c r="BA1020" s="138" t="s">
        <v>2158</v>
      </c>
      <c r="BB1020" s="145"/>
      <c r="BC1020" s="145"/>
      <c r="BD1020" s="145"/>
      <c r="BE1020" s="145"/>
      <c r="BF1020" s="145"/>
      <c r="BG1020" s="145"/>
      <c r="BH1020" s="138"/>
      <c r="BI1020" s="138"/>
      <c r="BJ1020" s="138"/>
      <c r="BK1020" s="138"/>
      <c r="BL1020" s="138"/>
      <c r="BM1020" s="138"/>
      <c r="BN1020" s="138"/>
    </row>
    <row r="1021" spans="1:66" s="91" customFormat="1" ht="25.5" hidden="1" customHeight="1" x14ac:dyDescent="0.2">
      <c r="A1021" s="150" t="s">
        <v>2104</v>
      </c>
      <c r="B1021" s="18" t="s">
        <v>2134</v>
      </c>
      <c r="C1021" s="18" t="s">
        <v>2136</v>
      </c>
      <c r="D1021" s="19" t="s">
        <v>2135</v>
      </c>
      <c r="E1021" s="55">
        <v>1</v>
      </c>
      <c r="F1021" s="55" t="s">
        <v>4</v>
      </c>
      <c r="G1021" s="55" t="s">
        <v>5</v>
      </c>
      <c r="H1021" s="55" t="s">
        <v>960</v>
      </c>
      <c r="I1021" s="55"/>
      <c r="J1021" s="55"/>
      <c r="K1021" s="19" t="s">
        <v>60</v>
      </c>
      <c r="L1021" s="19"/>
      <c r="M1021" s="19"/>
      <c r="N1021" s="19" t="s">
        <v>2159</v>
      </c>
      <c r="O1021" s="151">
        <v>43069</v>
      </c>
      <c r="P1021" s="151"/>
      <c r="Q1021" s="151"/>
      <c r="R1021" s="151"/>
      <c r="S1021" s="152">
        <v>5430673</v>
      </c>
      <c r="T1021" s="152">
        <v>311363.10340153426</v>
      </c>
      <c r="U1021" s="145">
        <v>0</v>
      </c>
      <c r="V1021" s="145">
        <v>0</v>
      </c>
      <c r="W1021" s="145">
        <v>0</v>
      </c>
      <c r="X1021" s="145">
        <f t="shared" si="323"/>
        <v>0</v>
      </c>
      <c r="Y1021" s="145">
        <v>0</v>
      </c>
      <c r="Z1021" s="145">
        <v>0</v>
      </c>
      <c r="AA1021" s="145">
        <v>0</v>
      </c>
      <c r="AB1021" s="145">
        <v>0</v>
      </c>
      <c r="AC1021" s="145">
        <v>0</v>
      </c>
      <c r="AD1021" s="145">
        <v>0</v>
      </c>
      <c r="AE1021" s="145">
        <v>0</v>
      </c>
      <c r="AF1021" s="145">
        <v>0</v>
      </c>
      <c r="AG1021" s="145">
        <v>0</v>
      </c>
      <c r="AH1021" s="145">
        <v>0</v>
      </c>
      <c r="AI1021" s="145">
        <v>0</v>
      </c>
      <c r="AJ1021" s="145">
        <v>0</v>
      </c>
      <c r="AK1021" s="145">
        <f t="shared" si="324"/>
        <v>0</v>
      </c>
      <c r="AL1021" s="145">
        <v>2200000</v>
      </c>
      <c r="AM1021" s="145">
        <v>1615337</v>
      </c>
      <c r="AN1021" s="145">
        <v>1303972.8965984657</v>
      </c>
      <c r="AO1021" s="145">
        <v>0</v>
      </c>
      <c r="AP1021" s="145">
        <v>0</v>
      </c>
      <c r="AQ1021" s="145">
        <v>0</v>
      </c>
      <c r="AR1021" s="145">
        <v>0</v>
      </c>
      <c r="AS1021" s="145">
        <f t="shared" si="321"/>
        <v>5119309.8965984657</v>
      </c>
      <c r="AT1021" s="145"/>
      <c r="AU1021" s="139">
        <f t="shared" si="318"/>
        <v>5119309.8965984657</v>
      </c>
      <c r="AV1021" s="146">
        <f>IFERROR(VLOOKUP(J1021,Maksājumu_pieprasījumu_iesn.!G:BL,57,0),0)</f>
        <v>0</v>
      </c>
      <c r="AW1021" s="139">
        <f t="shared" si="301"/>
        <v>-5119309.8965984657</v>
      </c>
      <c r="AX1021" s="140">
        <f t="shared" si="322"/>
        <v>0</v>
      </c>
      <c r="AY1021" s="137" t="s">
        <v>1085</v>
      </c>
      <c r="AZ1021" s="137"/>
      <c r="BA1021" s="138" t="s">
        <v>1086</v>
      </c>
      <c r="BB1021" s="145"/>
      <c r="BC1021" s="145"/>
      <c r="BD1021" s="145"/>
      <c r="BE1021" s="145"/>
      <c r="BF1021" s="145"/>
      <c r="BG1021" s="145"/>
      <c r="BH1021" s="138"/>
      <c r="BI1021" s="138"/>
      <c r="BJ1021" s="138"/>
      <c r="BK1021" s="138"/>
      <c r="BL1021" s="138"/>
      <c r="BM1021" s="138"/>
      <c r="BN1021" s="138"/>
    </row>
    <row r="1022" spans="1:66" s="91" customFormat="1" ht="75.75" hidden="1" customHeight="1" x14ac:dyDescent="0.2">
      <c r="A1022" s="150" t="s">
        <v>2104</v>
      </c>
      <c r="B1022" s="18" t="s">
        <v>2134</v>
      </c>
      <c r="C1022" s="18" t="s">
        <v>2136</v>
      </c>
      <c r="D1022" s="19" t="s">
        <v>2135</v>
      </c>
      <c r="E1022" s="55">
        <v>1</v>
      </c>
      <c r="F1022" s="55" t="s">
        <v>4</v>
      </c>
      <c r="G1022" s="55" t="s">
        <v>5</v>
      </c>
      <c r="H1022" s="55" t="s">
        <v>960</v>
      </c>
      <c r="I1022" s="55"/>
      <c r="J1022" s="55"/>
      <c r="K1022" s="19" t="s">
        <v>2160</v>
      </c>
      <c r="L1022" s="19"/>
      <c r="M1022" s="19"/>
      <c r="N1022" s="19" t="s">
        <v>2161</v>
      </c>
      <c r="O1022" s="151">
        <v>42886</v>
      </c>
      <c r="P1022" s="151"/>
      <c r="Q1022" s="151"/>
      <c r="R1022" s="151"/>
      <c r="S1022" s="152">
        <v>4100000</v>
      </c>
      <c r="T1022" s="152">
        <v>233621.56418649026</v>
      </c>
      <c r="U1022" s="145">
        <v>0</v>
      </c>
      <c r="V1022" s="145">
        <v>0</v>
      </c>
      <c r="W1022" s="145">
        <v>0</v>
      </c>
      <c r="X1022" s="145">
        <f t="shared" si="323"/>
        <v>0</v>
      </c>
      <c r="Y1022" s="145">
        <v>0</v>
      </c>
      <c r="Z1022" s="145">
        <v>0</v>
      </c>
      <c r="AA1022" s="145">
        <v>0</v>
      </c>
      <c r="AB1022" s="145">
        <v>0</v>
      </c>
      <c r="AC1022" s="145">
        <v>0</v>
      </c>
      <c r="AD1022" s="145">
        <v>0</v>
      </c>
      <c r="AE1022" s="145">
        <v>0</v>
      </c>
      <c r="AF1022" s="145">
        <v>0</v>
      </c>
      <c r="AG1022" s="145">
        <v>0</v>
      </c>
      <c r="AH1022" s="145">
        <v>0</v>
      </c>
      <c r="AI1022" s="145">
        <v>0</v>
      </c>
      <c r="AJ1022" s="145">
        <v>0</v>
      </c>
      <c r="AK1022" s="145">
        <f t="shared" si="324"/>
        <v>0</v>
      </c>
      <c r="AL1022" s="145">
        <v>1856148</v>
      </c>
      <c r="AM1022" s="145">
        <v>1046536</v>
      </c>
      <c r="AN1022" s="145">
        <v>734000</v>
      </c>
      <c r="AO1022" s="145">
        <v>0</v>
      </c>
      <c r="AP1022" s="145">
        <v>0</v>
      </c>
      <c r="AQ1022" s="145">
        <v>0</v>
      </c>
      <c r="AR1022" s="145">
        <v>0</v>
      </c>
      <c r="AS1022" s="145">
        <f t="shared" si="321"/>
        <v>3636684</v>
      </c>
      <c r="AT1022" s="145"/>
      <c r="AU1022" s="139">
        <f t="shared" si="318"/>
        <v>3636684</v>
      </c>
      <c r="AV1022" s="146">
        <f>IFERROR(VLOOKUP(J1022,Maksājumu_pieprasījumu_iesn.!G:BL,57,0),0)</f>
        <v>0</v>
      </c>
      <c r="AW1022" s="139">
        <f t="shared" si="301"/>
        <v>-3636684</v>
      </c>
      <c r="AX1022" s="140">
        <f t="shared" si="322"/>
        <v>229694.43581350986</v>
      </c>
      <c r="AY1022" s="137">
        <v>229694</v>
      </c>
      <c r="AZ1022" s="138" t="s">
        <v>2162</v>
      </c>
      <c r="BA1022" s="138" t="s">
        <v>2162</v>
      </c>
      <c r="BB1022" s="145"/>
      <c r="BC1022" s="145"/>
      <c r="BD1022" s="145"/>
      <c r="BE1022" s="145"/>
      <c r="BF1022" s="145"/>
      <c r="BG1022" s="145"/>
      <c r="BH1022" s="138"/>
      <c r="BI1022" s="138"/>
      <c r="BJ1022" s="138"/>
      <c r="BK1022" s="138"/>
      <c r="BL1022" s="138"/>
      <c r="BM1022" s="138"/>
      <c r="BN1022" s="138"/>
    </row>
    <row r="1023" spans="1:66" s="91" customFormat="1" ht="51" hidden="1" customHeight="1" x14ac:dyDescent="0.2">
      <c r="A1023" s="131" t="s">
        <v>2104</v>
      </c>
      <c r="B1023" s="132" t="s">
        <v>2134</v>
      </c>
      <c r="C1023" s="132" t="s">
        <v>2136</v>
      </c>
      <c r="D1023" s="133" t="s">
        <v>2135</v>
      </c>
      <c r="E1023" s="22">
        <v>2</v>
      </c>
      <c r="F1023" s="22" t="s">
        <v>4</v>
      </c>
      <c r="G1023" s="22" t="s">
        <v>5</v>
      </c>
      <c r="H1023" s="22" t="s">
        <v>3</v>
      </c>
      <c r="I1023" s="22" t="s">
        <v>1022</v>
      </c>
      <c r="J1023" s="134" t="s">
        <v>1026</v>
      </c>
      <c r="K1023" s="133"/>
      <c r="L1023" s="133"/>
      <c r="M1023" s="133"/>
      <c r="N1023" s="133"/>
      <c r="O1023" s="135"/>
      <c r="P1023" s="135"/>
      <c r="Q1023" s="135"/>
      <c r="R1023" s="135"/>
      <c r="S1023" s="136">
        <v>60095337</v>
      </c>
      <c r="T1023" s="136">
        <v>0</v>
      </c>
      <c r="U1023" s="137">
        <f>SUM(U1024:U1044)</f>
        <v>0</v>
      </c>
      <c r="V1023" s="137">
        <f>SUM(V1024:V1044)</f>
        <v>0</v>
      </c>
      <c r="W1023" s="137">
        <f>SUM(W1024:W1044)</f>
        <v>0</v>
      </c>
      <c r="X1023" s="138">
        <f>U1023+V1023+W1023</f>
        <v>0</v>
      </c>
      <c r="Y1023" s="137">
        <f t="shared" ref="Y1023:AR1023" si="325">SUM(Y1024:Y1044)</f>
        <v>0</v>
      </c>
      <c r="Z1023" s="137">
        <f t="shared" si="325"/>
        <v>0</v>
      </c>
      <c r="AA1023" s="137">
        <f t="shared" si="325"/>
        <v>0</v>
      </c>
      <c r="AB1023" s="137">
        <f t="shared" si="325"/>
        <v>0</v>
      </c>
      <c r="AC1023" s="137">
        <f t="shared" si="325"/>
        <v>0</v>
      </c>
      <c r="AD1023" s="137">
        <f t="shared" si="325"/>
        <v>0</v>
      </c>
      <c r="AE1023" s="137">
        <f t="shared" si="325"/>
        <v>0</v>
      </c>
      <c r="AF1023" s="137">
        <f t="shared" si="325"/>
        <v>0</v>
      </c>
      <c r="AG1023" s="137">
        <f t="shared" si="325"/>
        <v>560000</v>
      </c>
      <c r="AH1023" s="137">
        <f t="shared" si="325"/>
        <v>0</v>
      </c>
      <c r="AI1023" s="137">
        <f t="shared" si="325"/>
        <v>50000</v>
      </c>
      <c r="AJ1023" s="137">
        <f t="shared" si="325"/>
        <v>1238175.83</v>
      </c>
      <c r="AK1023" s="137">
        <f t="shared" si="325"/>
        <v>1848175.83</v>
      </c>
      <c r="AL1023" s="137">
        <f t="shared" si="325"/>
        <v>36018115.619999997</v>
      </c>
      <c r="AM1023" s="137">
        <f t="shared" si="325"/>
        <v>17183707</v>
      </c>
      <c r="AN1023" s="137">
        <f t="shared" si="325"/>
        <v>3635570.0300000003</v>
      </c>
      <c r="AO1023" s="137">
        <f t="shared" si="325"/>
        <v>1011127.3</v>
      </c>
      <c r="AP1023" s="137">
        <f t="shared" si="325"/>
        <v>0</v>
      </c>
      <c r="AQ1023" s="137">
        <f t="shared" si="325"/>
        <v>0</v>
      </c>
      <c r="AR1023" s="137">
        <f t="shared" si="325"/>
        <v>0</v>
      </c>
      <c r="AS1023" s="137">
        <f t="shared" si="321"/>
        <v>59696695.779999994</v>
      </c>
      <c r="AT1023" s="137">
        <f>SUM(AT1024:AT1044)</f>
        <v>0</v>
      </c>
      <c r="AU1023" s="139">
        <f t="shared" si="318"/>
        <v>59696695.779999994</v>
      </c>
      <c r="AV1023" s="146">
        <f>IFERROR(VLOOKUP(J1023,Maksājumu_pieprasījumu_iesn.!G:BL,57,0),0)</f>
        <v>0</v>
      </c>
      <c r="AW1023" s="139">
        <f t="shared" si="301"/>
        <v>-59696695.779999994</v>
      </c>
      <c r="AX1023" s="140">
        <f t="shared" si="322"/>
        <v>398641.22000000626</v>
      </c>
      <c r="AY1023" s="137">
        <f>SUM(AY1024:AY1044)</f>
        <v>398641.64999999991</v>
      </c>
      <c r="AZ1023" s="137"/>
      <c r="BA1023" s="138" t="s">
        <v>2163</v>
      </c>
      <c r="BB1023" s="140"/>
      <c r="BC1023" s="140">
        <f>X1023+AK1023+AL1023/2</f>
        <v>19857233.640000001</v>
      </c>
      <c r="BD1023" s="140"/>
      <c r="BE1023" s="140">
        <f>BC1023/0.85</f>
        <v>23361451.341176473</v>
      </c>
      <c r="BF1023" s="137"/>
      <c r="BG1023" s="137"/>
      <c r="BH1023" s="138">
        <v>0</v>
      </c>
      <c r="BI1023" s="138">
        <v>2902318.9730452499</v>
      </c>
      <c r="BJ1023" s="138"/>
      <c r="BK1023" s="138"/>
      <c r="BL1023" s="138">
        <v>15551252.4763376</v>
      </c>
      <c r="BM1023" s="138"/>
      <c r="BN1023" s="138"/>
    </row>
    <row r="1024" spans="1:66" s="91" customFormat="1" ht="25.5" hidden="1" customHeight="1" x14ac:dyDescent="0.2">
      <c r="A1024" s="150" t="s">
        <v>2104</v>
      </c>
      <c r="B1024" s="18" t="s">
        <v>2134</v>
      </c>
      <c r="C1024" s="18" t="s">
        <v>2136</v>
      </c>
      <c r="D1024" s="19" t="s">
        <v>2135</v>
      </c>
      <c r="E1024" s="55">
        <v>2</v>
      </c>
      <c r="F1024" s="55" t="s">
        <v>4</v>
      </c>
      <c r="G1024" s="55" t="s">
        <v>5</v>
      </c>
      <c r="H1024" s="55" t="s">
        <v>3</v>
      </c>
      <c r="I1024" s="55"/>
      <c r="J1024" s="55"/>
      <c r="K1024" s="19" t="s">
        <v>703</v>
      </c>
      <c r="L1024" s="19"/>
      <c r="M1024" s="19"/>
      <c r="N1024" s="19" t="s">
        <v>2164</v>
      </c>
      <c r="O1024" s="151">
        <v>43039</v>
      </c>
      <c r="P1024" s="151"/>
      <c r="Q1024" s="151"/>
      <c r="R1024" s="151"/>
      <c r="S1024" s="152">
        <v>1564280</v>
      </c>
      <c r="T1024" s="152">
        <v>0</v>
      </c>
      <c r="U1024" s="145">
        <v>0</v>
      </c>
      <c r="V1024" s="145">
        <v>0</v>
      </c>
      <c r="W1024" s="145">
        <v>0</v>
      </c>
      <c r="X1024" s="145">
        <f t="shared" ref="X1024:X1044" si="326">W1024+V1024+U1024</f>
        <v>0</v>
      </c>
      <c r="Y1024" s="145">
        <v>0</v>
      </c>
      <c r="Z1024" s="145">
        <v>0</v>
      </c>
      <c r="AA1024" s="145">
        <v>0</v>
      </c>
      <c r="AB1024" s="145">
        <v>0</v>
      </c>
      <c r="AC1024" s="145">
        <v>0</v>
      </c>
      <c r="AD1024" s="145">
        <v>0</v>
      </c>
      <c r="AE1024" s="145">
        <v>0</v>
      </c>
      <c r="AF1024" s="145">
        <v>0</v>
      </c>
      <c r="AG1024" s="145">
        <v>0</v>
      </c>
      <c r="AH1024" s="145">
        <v>0</v>
      </c>
      <c r="AI1024" s="145">
        <v>0</v>
      </c>
      <c r="AJ1024" s="145">
        <v>0</v>
      </c>
      <c r="AK1024" s="145">
        <f t="shared" ref="AK1024:AK1044" si="327">SUM(Y1024:AJ1024)</f>
        <v>0</v>
      </c>
      <c r="AL1024" s="145">
        <v>800000</v>
      </c>
      <c r="AM1024" s="145">
        <v>764280</v>
      </c>
      <c r="AN1024" s="145">
        <v>0</v>
      </c>
      <c r="AO1024" s="145">
        <v>0</v>
      </c>
      <c r="AP1024" s="145">
        <v>0</v>
      </c>
      <c r="AQ1024" s="145">
        <v>0</v>
      </c>
      <c r="AR1024" s="145">
        <v>0</v>
      </c>
      <c r="AS1024" s="145">
        <f t="shared" si="321"/>
        <v>1564280</v>
      </c>
      <c r="AT1024" s="145"/>
      <c r="AU1024" s="139">
        <f t="shared" si="318"/>
        <v>1564280</v>
      </c>
      <c r="AV1024" s="146">
        <f>IFERROR(VLOOKUP(J1024,Maksājumu_pieprasījumu_iesn.!G:BL,57,0),0)</f>
        <v>0</v>
      </c>
      <c r="AW1024" s="139">
        <f t="shared" si="301"/>
        <v>-1564280</v>
      </c>
      <c r="AX1024" s="140">
        <f t="shared" si="322"/>
        <v>0</v>
      </c>
      <c r="AY1024" s="137"/>
      <c r="AZ1024" s="137"/>
      <c r="BA1024" s="138"/>
      <c r="BB1024" s="145"/>
      <c r="BC1024" s="145"/>
      <c r="BD1024" s="145"/>
      <c r="BE1024" s="145"/>
      <c r="BF1024" s="145"/>
      <c r="BG1024" s="145"/>
      <c r="BH1024" s="138"/>
      <c r="BI1024" s="138"/>
      <c r="BJ1024" s="138"/>
      <c r="BK1024" s="138"/>
      <c r="BL1024" s="138"/>
      <c r="BM1024" s="138"/>
      <c r="BN1024" s="138"/>
    </row>
    <row r="1025" spans="1:66" s="91" customFormat="1" ht="25.5" hidden="1" customHeight="1" x14ac:dyDescent="0.2">
      <c r="A1025" s="150" t="s">
        <v>2104</v>
      </c>
      <c r="B1025" s="18" t="s">
        <v>2134</v>
      </c>
      <c r="C1025" s="18" t="s">
        <v>2136</v>
      </c>
      <c r="D1025" s="19" t="s">
        <v>2135</v>
      </c>
      <c r="E1025" s="55">
        <v>2</v>
      </c>
      <c r="F1025" s="55" t="s">
        <v>4</v>
      </c>
      <c r="G1025" s="55" t="s">
        <v>5</v>
      </c>
      <c r="H1025" s="55" t="s">
        <v>3</v>
      </c>
      <c r="I1025" s="55"/>
      <c r="J1025" s="55"/>
      <c r="K1025" s="19" t="s">
        <v>63</v>
      </c>
      <c r="L1025" s="19"/>
      <c r="M1025" s="19"/>
      <c r="N1025" s="19" t="s">
        <v>2165</v>
      </c>
      <c r="O1025" s="151">
        <v>42978</v>
      </c>
      <c r="P1025" s="151"/>
      <c r="Q1025" s="151"/>
      <c r="R1025" s="151"/>
      <c r="S1025" s="152">
        <v>2325582</v>
      </c>
      <c r="T1025" s="152">
        <v>0</v>
      </c>
      <c r="U1025" s="145">
        <v>0</v>
      </c>
      <c r="V1025" s="145">
        <v>0</v>
      </c>
      <c r="W1025" s="145">
        <v>0</v>
      </c>
      <c r="X1025" s="145">
        <f t="shared" si="326"/>
        <v>0</v>
      </c>
      <c r="Y1025" s="145">
        <v>0</v>
      </c>
      <c r="Z1025" s="145">
        <v>0</v>
      </c>
      <c r="AA1025" s="145">
        <v>0</v>
      </c>
      <c r="AB1025" s="145">
        <v>0</v>
      </c>
      <c r="AC1025" s="145">
        <v>0</v>
      </c>
      <c r="AD1025" s="145">
        <v>0</v>
      </c>
      <c r="AE1025" s="145">
        <v>0</v>
      </c>
      <c r="AF1025" s="145">
        <v>0</v>
      </c>
      <c r="AG1025" s="145">
        <v>0</v>
      </c>
      <c r="AH1025" s="145">
        <v>0</v>
      </c>
      <c r="AI1025" s="145">
        <v>0</v>
      </c>
      <c r="AJ1025" s="145">
        <v>0</v>
      </c>
      <c r="AK1025" s="145">
        <f t="shared" si="327"/>
        <v>0</v>
      </c>
      <c r="AL1025" s="145">
        <v>1000000</v>
      </c>
      <c r="AM1025" s="145">
        <v>1000000</v>
      </c>
      <c r="AN1025" s="145">
        <v>325582</v>
      </c>
      <c r="AO1025" s="145">
        <v>0</v>
      </c>
      <c r="AP1025" s="145">
        <v>0</v>
      </c>
      <c r="AQ1025" s="145">
        <v>0</v>
      </c>
      <c r="AR1025" s="145">
        <v>0</v>
      </c>
      <c r="AS1025" s="145">
        <f t="shared" si="321"/>
        <v>2325582</v>
      </c>
      <c r="AT1025" s="145"/>
      <c r="AU1025" s="139">
        <f t="shared" si="318"/>
        <v>2325582</v>
      </c>
      <c r="AV1025" s="146">
        <f>IFERROR(VLOOKUP(J1025,Maksājumu_pieprasījumu_iesn.!G:BL,57,0),0)</f>
        <v>0</v>
      </c>
      <c r="AW1025" s="139">
        <f t="shared" si="301"/>
        <v>-2325582</v>
      </c>
      <c r="AX1025" s="140">
        <f t="shared" si="322"/>
        <v>0</v>
      </c>
      <c r="AY1025" s="137"/>
      <c r="AZ1025" s="137"/>
      <c r="BA1025" s="138"/>
      <c r="BB1025" s="145"/>
      <c r="BC1025" s="145"/>
      <c r="BD1025" s="145"/>
      <c r="BE1025" s="145"/>
      <c r="BF1025" s="145"/>
      <c r="BG1025" s="145"/>
      <c r="BH1025" s="138"/>
      <c r="BI1025" s="138"/>
      <c r="BJ1025" s="138"/>
      <c r="BK1025" s="138"/>
      <c r="BL1025" s="138"/>
      <c r="BM1025" s="138"/>
      <c r="BN1025" s="138"/>
    </row>
    <row r="1026" spans="1:66" s="91" customFormat="1" ht="25.5" hidden="1" customHeight="1" x14ac:dyDescent="0.2">
      <c r="A1026" s="150" t="s">
        <v>2104</v>
      </c>
      <c r="B1026" s="18" t="s">
        <v>2134</v>
      </c>
      <c r="C1026" s="18" t="s">
        <v>2136</v>
      </c>
      <c r="D1026" s="19" t="s">
        <v>2135</v>
      </c>
      <c r="E1026" s="55">
        <v>2</v>
      </c>
      <c r="F1026" s="55" t="s">
        <v>4</v>
      </c>
      <c r="G1026" s="55" t="s">
        <v>5</v>
      </c>
      <c r="H1026" s="55" t="s">
        <v>3</v>
      </c>
      <c r="I1026" s="55"/>
      <c r="J1026" s="55"/>
      <c r="K1026" s="19" t="s">
        <v>2166</v>
      </c>
      <c r="L1026" s="19"/>
      <c r="M1026" s="19"/>
      <c r="N1026" s="19"/>
      <c r="O1026" s="151">
        <v>42965</v>
      </c>
      <c r="P1026" s="151"/>
      <c r="Q1026" s="151"/>
      <c r="R1026" s="151"/>
      <c r="S1026" s="152">
        <v>2234490</v>
      </c>
      <c r="T1026" s="152"/>
      <c r="U1026" s="145">
        <v>0</v>
      </c>
      <c r="V1026" s="145">
        <v>0</v>
      </c>
      <c r="W1026" s="145">
        <v>0</v>
      </c>
      <c r="X1026" s="145">
        <f t="shared" si="326"/>
        <v>0</v>
      </c>
      <c r="Y1026" s="145">
        <v>0</v>
      </c>
      <c r="Z1026" s="145">
        <v>0</v>
      </c>
      <c r="AA1026" s="145">
        <v>0</v>
      </c>
      <c r="AB1026" s="145">
        <v>0</v>
      </c>
      <c r="AC1026" s="145">
        <v>0</v>
      </c>
      <c r="AD1026" s="145">
        <v>0</v>
      </c>
      <c r="AE1026" s="145">
        <v>0</v>
      </c>
      <c r="AF1026" s="145">
        <v>0</v>
      </c>
      <c r="AG1026" s="145">
        <v>0</v>
      </c>
      <c r="AH1026" s="145">
        <v>0</v>
      </c>
      <c r="AI1026" s="145">
        <v>0</v>
      </c>
      <c r="AJ1026" s="145">
        <v>0</v>
      </c>
      <c r="AK1026" s="145">
        <f t="shared" si="327"/>
        <v>0</v>
      </c>
      <c r="AL1026" s="145">
        <v>2234490</v>
      </c>
      <c r="AM1026" s="145">
        <v>0</v>
      </c>
      <c r="AN1026" s="145">
        <v>0</v>
      </c>
      <c r="AO1026" s="145">
        <v>0</v>
      </c>
      <c r="AP1026" s="145">
        <v>0</v>
      </c>
      <c r="AQ1026" s="145">
        <v>0</v>
      </c>
      <c r="AR1026" s="145">
        <v>0</v>
      </c>
      <c r="AS1026" s="145">
        <f t="shared" si="321"/>
        <v>2234490</v>
      </c>
      <c r="AT1026" s="145"/>
      <c r="AU1026" s="139">
        <f t="shared" si="318"/>
        <v>2234490</v>
      </c>
      <c r="AV1026" s="146">
        <f>IFERROR(VLOOKUP(J1026,Maksājumu_pieprasījumu_iesn.!G:BL,57,0),0)</f>
        <v>0</v>
      </c>
      <c r="AW1026" s="139">
        <f t="shared" si="301"/>
        <v>-2234490</v>
      </c>
      <c r="AX1026" s="140">
        <f t="shared" si="322"/>
        <v>0</v>
      </c>
      <c r="AY1026" s="137"/>
      <c r="AZ1026" s="137"/>
      <c r="BA1026" s="138"/>
      <c r="BB1026" s="145"/>
      <c r="BC1026" s="145"/>
      <c r="BD1026" s="145"/>
      <c r="BE1026" s="145"/>
      <c r="BF1026" s="145"/>
      <c r="BG1026" s="145"/>
      <c r="BH1026" s="138"/>
      <c r="BI1026" s="138"/>
      <c r="BJ1026" s="138"/>
      <c r="BK1026" s="138"/>
      <c r="BL1026" s="138"/>
      <c r="BM1026" s="138"/>
      <c r="BN1026" s="138"/>
    </row>
    <row r="1027" spans="1:66" s="91" customFormat="1" ht="25.5" hidden="1" customHeight="1" x14ac:dyDescent="0.2">
      <c r="A1027" s="150" t="s">
        <v>2104</v>
      </c>
      <c r="B1027" s="18" t="s">
        <v>2134</v>
      </c>
      <c r="C1027" s="18" t="s">
        <v>2136</v>
      </c>
      <c r="D1027" s="19" t="s">
        <v>2135</v>
      </c>
      <c r="E1027" s="55">
        <v>2</v>
      </c>
      <c r="F1027" s="55" t="s">
        <v>4</v>
      </c>
      <c r="G1027" s="55" t="s">
        <v>5</v>
      </c>
      <c r="H1027" s="55" t="s">
        <v>3</v>
      </c>
      <c r="I1027" s="55"/>
      <c r="J1027" s="55"/>
      <c r="K1027" s="19" t="s">
        <v>2167</v>
      </c>
      <c r="L1027" s="19"/>
      <c r="M1027" s="19"/>
      <c r="N1027" s="19"/>
      <c r="O1027" s="151">
        <v>42886</v>
      </c>
      <c r="P1027" s="151"/>
      <c r="Q1027" s="151"/>
      <c r="R1027" s="151"/>
      <c r="S1027" s="152">
        <v>3387334</v>
      </c>
      <c r="T1027" s="152"/>
      <c r="U1027" s="145">
        <v>0</v>
      </c>
      <c r="V1027" s="145">
        <v>0</v>
      </c>
      <c r="W1027" s="145">
        <v>0</v>
      </c>
      <c r="X1027" s="145">
        <f t="shared" si="326"/>
        <v>0</v>
      </c>
      <c r="Y1027" s="145">
        <v>0</v>
      </c>
      <c r="Z1027" s="145">
        <v>0</v>
      </c>
      <c r="AA1027" s="145">
        <v>0</v>
      </c>
      <c r="AB1027" s="145">
        <v>0</v>
      </c>
      <c r="AC1027" s="145">
        <v>0</v>
      </c>
      <c r="AD1027" s="145">
        <v>0</v>
      </c>
      <c r="AE1027" s="145">
        <v>0</v>
      </c>
      <c r="AF1027" s="145">
        <v>0</v>
      </c>
      <c r="AG1027" s="145">
        <v>0</v>
      </c>
      <c r="AH1027" s="145">
        <v>0</v>
      </c>
      <c r="AI1027" s="145">
        <v>0</v>
      </c>
      <c r="AJ1027" s="145">
        <v>364381</v>
      </c>
      <c r="AK1027" s="145">
        <f t="shared" si="327"/>
        <v>364381</v>
      </c>
      <c r="AL1027" s="145">
        <v>2150023</v>
      </c>
      <c r="AM1027" s="145">
        <v>872930</v>
      </c>
      <c r="AN1027" s="145">
        <v>0</v>
      </c>
      <c r="AO1027" s="145">
        <v>0</v>
      </c>
      <c r="AP1027" s="145">
        <v>0</v>
      </c>
      <c r="AQ1027" s="145">
        <v>0</v>
      </c>
      <c r="AR1027" s="145">
        <v>0</v>
      </c>
      <c r="AS1027" s="145">
        <f t="shared" si="321"/>
        <v>3387334</v>
      </c>
      <c r="AT1027" s="145"/>
      <c r="AU1027" s="139">
        <f t="shared" si="318"/>
        <v>3387334</v>
      </c>
      <c r="AV1027" s="146">
        <f>IFERROR(VLOOKUP(J1027,Maksājumu_pieprasījumu_iesn.!G:BL,57,0),0)</f>
        <v>0</v>
      </c>
      <c r="AW1027" s="139">
        <f t="shared" si="301"/>
        <v>-3387334</v>
      </c>
      <c r="AX1027" s="140">
        <f t="shared" si="322"/>
        <v>0</v>
      </c>
      <c r="AY1027" s="137"/>
      <c r="AZ1027" s="137"/>
      <c r="BA1027" s="138"/>
      <c r="BB1027" s="145"/>
      <c r="BC1027" s="145"/>
      <c r="BD1027" s="145"/>
      <c r="BE1027" s="145"/>
      <c r="BF1027" s="145"/>
      <c r="BG1027" s="145"/>
      <c r="BH1027" s="138"/>
      <c r="BI1027" s="138"/>
      <c r="BJ1027" s="138"/>
      <c r="BK1027" s="138"/>
      <c r="BL1027" s="138"/>
      <c r="BM1027" s="138"/>
      <c r="BN1027" s="138"/>
    </row>
    <row r="1028" spans="1:66" s="91" customFormat="1" ht="25.5" hidden="1" customHeight="1" x14ac:dyDescent="0.2">
      <c r="A1028" s="150" t="s">
        <v>2104</v>
      </c>
      <c r="B1028" s="18" t="s">
        <v>2134</v>
      </c>
      <c r="C1028" s="18" t="s">
        <v>2136</v>
      </c>
      <c r="D1028" s="19" t="s">
        <v>2135</v>
      </c>
      <c r="E1028" s="55">
        <v>2</v>
      </c>
      <c r="F1028" s="55" t="s">
        <v>4</v>
      </c>
      <c r="G1028" s="55" t="s">
        <v>5</v>
      </c>
      <c r="H1028" s="55" t="s">
        <v>3</v>
      </c>
      <c r="I1028" s="55"/>
      <c r="J1028" s="55"/>
      <c r="K1028" s="19" t="s">
        <v>662</v>
      </c>
      <c r="L1028" s="19"/>
      <c r="M1028" s="19"/>
      <c r="N1028" s="19" t="s">
        <v>2168</v>
      </c>
      <c r="O1028" s="151" t="s">
        <v>2169</v>
      </c>
      <c r="P1028" s="151"/>
      <c r="Q1028" s="151"/>
      <c r="R1028" s="151"/>
      <c r="S1028" s="152">
        <v>4761429</v>
      </c>
      <c r="T1028" s="152">
        <v>0</v>
      </c>
      <c r="U1028" s="145">
        <v>0</v>
      </c>
      <c r="V1028" s="145">
        <v>0</v>
      </c>
      <c r="W1028" s="145">
        <v>0</v>
      </c>
      <c r="X1028" s="145">
        <f t="shared" si="326"/>
        <v>0</v>
      </c>
      <c r="Y1028" s="145">
        <v>0</v>
      </c>
      <c r="Z1028" s="145">
        <v>0</v>
      </c>
      <c r="AA1028" s="145">
        <v>0</v>
      </c>
      <c r="AB1028" s="145">
        <v>0</v>
      </c>
      <c r="AC1028" s="145">
        <v>0</v>
      </c>
      <c r="AD1028" s="145">
        <v>0</v>
      </c>
      <c r="AE1028" s="145">
        <v>0</v>
      </c>
      <c r="AF1028" s="145">
        <v>0</v>
      </c>
      <c r="AG1028" s="145">
        <v>0</v>
      </c>
      <c r="AH1028" s="145">
        <v>0</v>
      </c>
      <c r="AI1028" s="145">
        <v>0</v>
      </c>
      <c r="AJ1028" s="145">
        <v>773794.83</v>
      </c>
      <c r="AK1028" s="145">
        <f t="shared" si="327"/>
        <v>773794.83</v>
      </c>
      <c r="AL1028" s="145">
        <v>1349862.9</v>
      </c>
      <c r="AM1028" s="145">
        <v>936282.65</v>
      </c>
      <c r="AN1028" s="145">
        <v>1141493.75</v>
      </c>
      <c r="AO1028" s="145">
        <v>559995.30000000005</v>
      </c>
      <c r="AP1028" s="145">
        <v>0</v>
      </c>
      <c r="AQ1028" s="145">
        <v>0</v>
      </c>
      <c r="AR1028" s="145">
        <v>0</v>
      </c>
      <c r="AS1028" s="145">
        <f t="shared" si="321"/>
        <v>4761429.43</v>
      </c>
      <c r="AT1028" s="145"/>
      <c r="AU1028" s="139">
        <f t="shared" si="318"/>
        <v>4761429.43</v>
      </c>
      <c r="AV1028" s="146">
        <f>IFERROR(VLOOKUP(J1028,Maksājumu_pieprasījumu_iesn.!G:BL,57,0),0)</f>
        <v>0</v>
      </c>
      <c r="AW1028" s="139">
        <f t="shared" si="301"/>
        <v>-4761429.43</v>
      </c>
      <c r="AX1028" s="140">
        <f t="shared" si="322"/>
        <v>-0.42999999970197678</v>
      </c>
      <c r="AY1028" s="137"/>
      <c r="AZ1028" s="137"/>
      <c r="BA1028" s="138"/>
      <c r="BB1028" s="145"/>
      <c r="BC1028" s="145"/>
      <c r="BD1028" s="145"/>
      <c r="BE1028" s="145"/>
      <c r="BF1028" s="145"/>
      <c r="BG1028" s="145"/>
      <c r="BH1028" s="138"/>
      <c r="BI1028" s="138"/>
      <c r="BJ1028" s="138"/>
      <c r="BK1028" s="138"/>
      <c r="BL1028" s="138"/>
      <c r="BM1028" s="138"/>
      <c r="BN1028" s="138"/>
    </row>
    <row r="1029" spans="1:66" s="91" customFormat="1" ht="25.5" hidden="1" customHeight="1" x14ac:dyDescent="0.2">
      <c r="A1029" s="150" t="s">
        <v>2104</v>
      </c>
      <c r="B1029" s="18" t="s">
        <v>2134</v>
      </c>
      <c r="C1029" s="18" t="s">
        <v>2136</v>
      </c>
      <c r="D1029" s="19" t="s">
        <v>2135</v>
      </c>
      <c r="E1029" s="55">
        <v>2</v>
      </c>
      <c r="F1029" s="55" t="s">
        <v>4</v>
      </c>
      <c r="G1029" s="55" t="s">
        <v>5</v>
      </c>
      <c r="H1029" s="55" t="s">
        <v>3</v>
      </c>
      <c r="I1029" s="55"/>
      <c r="J1029" s="55"/>
      <c r="K1029" s="19" t="s">
        <v>2170</v>
      </c>
      <c r="L1029" s="19"/>
      <c r="M1029" s="19"/>
      <c r="N1029" s="19"/>
      <c r="O1029" s="151">
        <v>43008</v>
      </c>
      <c r="P1029" s="151"/>
      <c r="Q1029" s="151"/>
      <c r="R1029" s="151"/>
      <c r="S1029" s="152">
        <v>3503935</v>
      </c>
      <c r="T1029" s="152"/>
      <c r="U1029" s="145">
        <v>0</v>
      </c>
      <c r="V1029" s="145">
        <v>0</v>
      </c>
      <c r="W1029" s="145">
        <v>0</v>
      </c>
      <c r="X1029" s="145">
        <f t="shared" si="326"/>
        <v>0</v>
      </c>
      <c r="Y1029" s="145">
        <v>0</v>
      </c>
      <c r="Z1029" s="145">
        <v>0</v>
      </c>
      <c r="AA1029" s="145">
        <v>0</v>
      </c>
      <c r="AB1029" s="145">
        <v>0</v>
      </c>
      <c r="AC1029" s="145">
        <v>0</v>
      </c>
      <c r="AD1029" s="145">
        <v>0</v>
      </c>
      <c r="AE1029" s="145">
        <v>0</v>
      </c>
      <c r="AF1029" s="145">
        <v>0</v>
      </c>
      <c r="AG1029" s="145">
        <v>0</v>
      </c>
      <c r="AH1029" s="145">
        <v>0</v>
      </c>
      <c r="AI1029" s="145">
        <v>0</v>
      </c>
      <c r="AJ1029" s="145">
        <v>0</v>
      </c>
      <c r="AK1029" s="145">
        <f t="shared" si="327"/>
        <v>0</v>
      </c>
      <c r="AL1029" s="145">
        <v>2234645</v>
      </c>
      <c r="AM1029" s="145">
        <v>1000645</v>
      </c>
      <c r="AN1029" s="145">
        <v>268645</v>
      </c>
      <c r="AO1029" s="145">
        <v>0</v>
      </c>
      <c r="AP1029" s="145">
        <v>0</v>
      </c>
      <c r="AQ1029" s="145">
        <v>0</v>
      </c>
      <c r="AR1029" s="145">
        <v>0</v>
      </c>
      <c r="AS1029" s="145">
        <f t="shared" si="321"/>
        <v>3503935</v>
      </c>
      <c r="AT1029" s="145"/>
      <c r="AU1029" s="139">
        <f t="shared" si="318"/>
        <v>3503935</v>
      </c>
      <c r="AV1029" s="146">
        <f>IFERROR(VLOOKUP(J1029,Maksājumu_pieprasījumu_iesn.!G:BL,57,0),0)</f>
        <v>0</v>
      </c>
      <c r="AW1029" s="139">
        <f t="shared" si="301"/>
        <v>-3503935</v>
      </c>
      <c r="AX1029" s="140">
        <f t="shared" si="322"/>
        <v>0</v>
      </c>
      <c r="AY1029" s="137"/>
      <c r="AZ1029" s="137"/>
      <c r="BA1029" s="138"/>
      <c r="BB1029" s="145"/>
      <c r="BC1029" s="145"/>
      <c r="BD1029" s="145"/>
      <c r="BE1029" s="145"/>
      <c r="BF1029" s="145"/>
      <c r="BG1029" s="145"/>
      <c r="BH1029" s="138"/>
      <c r="BI1029" s="138"/>
      <c r="BJ1029" s="138"/>
      <c r="BK1029" s="138"/>
      <c r="BL1029" s="138"/>
      <c r="BM1029" s="138"/>
      <c r="BN1029" s="138"/>
    </row>
    <row r="1030" spans="1:66" s="91" customFormat="1" ht="25.5" hidden="1" customHeight="1" x14ac:dyDescent="0.2">
      <c r="A1030" s="150" t="s">
        <v>2104</v>
      </c>
      <c r="B1030" s="18" t="s">
        <v>2134</v>
      </c>
      <c r="C1030" s="18" t="s">
        <v>2136</v>
      </c>
      <c r="D1030" s="19" t="s">
        <v>2135</v>
      </c>
      <c r="E1030" s="55">
        <v>2</v>
      </c>
      <c r="F1030" s="55" t="s">
        <v>4</v>
      </c>
      <c r="G1030" s="55" t="s">
        <v>5</v>
      </c>
      <c r="H1030" s="55" t="s">
        <v>3</v>
      </c>
      <c r="I1030" s="55"/>
      <c r="J1030" s="55"/>
      <c r="K1030" s="19" t="s">
        <v>2171</v>
      </c>
      <c r="L1030" s="19"/>
      <c r="M1030" s="19"/>
      <c r="N1030" s="19"/>
      <c r="O1030" s="151">
        <v>42902</v>
      </c>
      <c r="P1030" s="151"/>
      <c r="Q1030" s="151"/>
      <c r="R1030" s="151"/>
      <c r="S1030" s="152">
        <v>3029878</v>
      </c>
      <c r="T1030" s="152"/>
      <c r="U1030" s="145">
        <v>0</v>
      </c>
      <c r="V1030" s="145">
        <v>0</v>
      </c>
      <c r="W1030" s="145">
        <v>0</v>
      </c>
      <c r="X1030" s="145">
        <f t="shared" si="326"/>
        <v>0</v>
      </c>
      <c r="Y1030" s="145">
        <v>0</v>
      </c>
      <c r="Z1030" s="145">
        <v>0</v>
      </c>
      <c r="AA1030" s="145">
        <v>0</v>
      </c>
      <c r="AB1030" s="145">
        <v>0</v>
      </c>
      <c r="AC1030" s="145">
        <v>0</v>
      </c>
      <c r="AD1030" s="145">
        <v>0</v>
      </c>
      <c r="AE1030" s="145">
        <v>0</v>
      </c>
      <c r="AF1030" s="145">
        <v>0</v>
      </c>
      <c r="AG1030" s="145">
        <v>560000</v>
      </c>
      <c r="AH1030" s="145">
        <v>0</v>
      </c>
      <c r="AI1030" s="145">
        <v>50000</v>
      </c>
      <c r="AJ1030" s="145">
        <v>100000</v>
      </c>
      <c r="AK1030" s="145">
        <f t="shared" si="327"/>
        <v>710000</v>
      </c>
      <c r="AL1030" s="145">
        <v>1650000</v>
      </c>
      <c r="AM1030" s="145">
        <v>669878</v>
      </c>
      <c r="AN1030" s="145">
        <v>0</v>
      </c>
      <c r="AO1030" s="145">
        <v>0</v>
      </c>
      <c r="AP1030" s="145">
        <v>0</v>
      </c>
      <c r="AQ1030" s="145">
        <v>0</v>
      </c>
      <c r="AR1030" s="145">
        <v>0</v>
      </c>
      <c r="AS1030" s="145">
        <f t="shared" si="321"/>
        <v>3029878</v>
      </c>
      <c r="AT1030" s="145"/>
      <c r="AU1030" s="139">
        <f t="shared" si="318"/>
        <v>3029878</v>
      </c>
      <c r="AV1030" s="146">
        <f>IFERROR(VLOOKUP(J1030,Maksājumu_pieprasījumu_iesn.!G:BL,57,0),0)</f>
        <v>0</v>
      </c>
      <c r="AW1030" s="139">
        <f t="shared" si="301"/>
        <v>-3029878</v>
      </c>
      <c r="AX1030" s="140">
        <f t="shared" si="322"/>
        <v>0</v>
      </c>
      <c r="AY1030" s="137"/>
      <c r="AZ1030" s="137"/>
      <c r="BA1030" s="138"/>
      <c r="BB1030" s="145"/>
      <c r="BC1030" s="145"/>
      <c r="BD1030" s="145"/>
      <c r="BE1030" s="145"/>
      <c r="BF1030" s="145"/>
      <c r="BG1030" s="145"/>
      <c r="BH1030" s="138"/>
      <c r="BI1030" s="138"/>
      <c r="BJ1030" s="138"/>
      <c r="BK1030" s="138"/>
      <c r="BL1030" s="138"/>
      <c r="BM1030" s="138"/>
      <c r="BN1030" s="138"/>
    </row>
    <row r="1031" spans="1:66" s="91" customFormat="1" ht="63.75" hidden="1" customHeight="1" x14ac:dyDescent="0.2">
      <c r="A1031" s="150" t="s">
        <v>2104</v>
      </c>
      <c r="B1031" s="18" t="s">
        <v>2134</v>
      </c>
      <c r="C1031" s="18" t="s">
        <v>2136</v>
      </c>
      <c r="D1031" s="19" t="s">
        <v>2135</v>
      </c>
      <c r="E1031" s="55">
        <v>2</v>
      </c>
      <c r="F1031" s="55" t="s">
        <v>4</v>
      </c>
      <c r="G1031" s="55" t="s">
        <v>5</v>
      </c>
      <c r="H1031" s="55" t="s">
        <v>3</v>
      </c>
      <c r="I1031" s="55"/>
      <c r="J1031" s="55"/>
      <c r="K1031" s="19" t="s">
        <v>66</v>
      </c>
      <c r="L1031" s="19"/>
      <c r="M1031" s="19"/>
      <c r="N1031" s="19" t="s">
        <v>2172</v>
      </c>
      <c r="O1031" s="151">
        <v>42947</v>
      </c>
      <c r="P1031" s="151"/>
      <c r="Q1031" s="151"/>
      <c r="R1031" s="151"/>
      <c r="S1031" s="152">
        <v>2657611</v>
      </c>
      <c r="T1031" s="152">
        <v>0</v>
      </c>
      <c r="U1031" s="145">
        <v>0</v>
      </c>
      <c r="V1031" s="145">
        <v>0</v>
      </c>
      <c r="W1031" s="145">
        <v>0</v>
      </c>
      <c r="X1031" s="145">
        <f t="shared" si="326"/>
        <v>0</v>
      </c>
      <c r="Y1031" s="145">
        <v>0</v>
      </c>
      <c r="Z1031" s="145">
        <v>0</v>
      </c>
      <c r="AA1031" s="145">
        <v>0</v>
      </c>
      <c r="AB1031" s="145">
        <v>0</v>
      </c>
      <c r="AC1031" s="145">
        <v>0</v>
      </c>
      <c r="AD1031" s="145">
        <v>0</v>
      </c>
      <c r="AE1031" s="145">
        <v>0</v>
      </c>
      <c r="AF1031" s="145">
        <v>0</v>
      </c>
      <c r="AG1031" s="145">
        <v>0</v>
      </c>
      <c r="AH1031" s="145">
        <v>0</v>
      </c>
      <c r="AI1031" s="145">
        <v>0</v>
      </c>
      <c r="AJ1031" s="145">
        <v>0</v>
      </c>
      <c r="AK1031" s="145">
        <f t="shared" si="327"/>
        <v>0</v>
      </c>
      <c r="AL1031" s="145">
        <v>1600000</v>
      </c>
      <c r="AM1031" s="145">
        <v>300000</v>
      </c>
      <c r="AN1031" s="145">
        <v>358969.35</v>
      </c>
      <c r="AO1031" s="145">
        <v>0</v>
      </c>
      <c r="AP1031" s="145">
        <v>0</v>
      </c>
      <c r="AQ1031" s="145">
        <v>0</v>
      </c>
      <c r="AR1031" s="145">
        <v>0</v>
      </c>
      <c r="AS1031" s="145">
        <f t="shared" si="321"/>
        <v>2258969.35</v>
      </c>
      <c r="AT1031" s="145"/>
      <c r="AU1031" s="139">
        <f t="shared" si="318"/>
        <v>2258969.35</v>
      </c>
      <c r="AV1031" s="146">
        <f>IFERROR(VLOOKUP(J1031,Maksājumu_pieprasījumu_iesn.!G:BL,57,0),0)</f>
        <v>0</v>
      </c>
      <c r="AW1031" s="139">
        <f t="shared" si="301"/>
        <v>-2258969.35</v>
      </c>
      <c r="AX1031" s="140">
        <f t="shared" si="322"/>
        <v>398641.64999999991</v>
      </c>
      <c r="AY1031" s="137">
        <v>398641.64999999991</v>
      </c>
      <c r="AZ1031" s="137"/>
      <c r="BA1031" s="138"/>
      <c r="BB1031" s="145"/>
      <c r="BC1031" s="145"/>
      <c r="BD1031" s="145"/>
      <c r="BE1031" s="145"/>
      <c r="BF1031" s="145"/>
      <c r="BG1031" s="145"/>
      <c r="BH1031" s="138"/>
      <c r="BI1031" s="138"/>
      <c r="BJ1031" s="138"/>
      <c r="BK1031" s="138"/>
      <c r="BL1031" s="138"/>
      <c r="BM1031" s="138"/>
      <c r="BN1031" s="138"/>
    </row>
    <row r="1032" spans="1:66" s="91" customFormat="1" ht="25.5" hidden="1" customHeight="1" x14ac:dyDescent="0.2">
      <c r="A1032" s="150" t="s">
        <v>2104</v>
      </c>
      <c r="B1032" s="18" t="s">
        <v>2134</v>
      </c>
      <c r="C1032" s="18" t="s">
        <v>2136</v>
      </c>
      <c r="D1032" s="19" t="s">
        <v>2135</v>
      </c>
      <c r="E1032" s="55">
        <v>2</v>
      </c>
      <c r="F1032" s="55" t="s">
        <v>4</v>
      </c>
      <c r="G1032" s="55" t="s">
        <v>5</v>
      </c>
      <c r="H1032" s="55" t="s">
        <v>3</v>
      </c>
      <c r="I1032" s="55"/>
      <c r="J1032" s="55"/>
      <c r="K1032" s="19" t="s">
        <v>2173</v>
      </c>
      <c r="L1032" s="19"/>
      <c r="M1032" s="19"/>
      <c r="N1032" s="19"/>
      <c r="O1032" s="151">
        <v>42916</v>
      </c>
      <c r="P1032" s="151"/>
      <c r="Q1032" s="151"/>
      <c r="R1032" s="151"/>
      <c r="S1032" s="152">
        <v>3493257</v>
      </c>
      <c r="T1032" s="152"/>
      <c r="U1032" s="145">
        <v>0</v>
      </c>
      <c r="V1032" s="145">
        <v>0</v>
      </c>
      <c r="W1032" s="145">
        <v>0</v>
      </c>
      <c r="X1032" s="145">
        <f t="shared" si="326"/>
        <v>0</v>
      </c>
      <c r="Y1032" s="145">
        <v>0</v>
      </c>
      <c r="Z1032" s="145">
        <v>0</v>
      </c>
      <c r="AA1032" s="145">
        <v>0</v>
      </c>
      <c r="AB1032" s="145">
        <v>0</v>
      </c>
      <c r="AC1032" s="145">
        <v>0</v>
      </c>
      <c r="AD1032" s="145">
        <v>0</v>
      </c>
      <c r="AE1032" s="145">
        <v>0</v>
      </c>
      <c r="AF1032" s="145">
        <v>0</v>
      </c>
      <c r="AG1032" s="145">
        <v>0</v>
      </c>
      <c r="AH1032" s="145">
        <v>0</v>
      </c>
      <c r="AI1032" s="145">
        <v>0</v>
      </c>
      <c r="AJ1032" s="145">
        <v>0</v>
      </c>
      <c r="AK1032" s="145">
        <f t="shared" si="327"/>
        <v>0</v>
      </c>
      <c r="AL1032" s="145">
        <v>2095954</v>
      </c>
      <c r="AM1032" s="145">
        <v>1397303</v>
      </c>
      <c r="AN1032" s="145">
        <v>0</v>
      </c>
      <c r="AO1032" s="145">
        <v>0</v>
      </c>
      <c r="AP1032" s="145">
        <v>0</v>
      </c>
      <c r="AQ1032" s="145">
        <v>0</v>
      </c>
      <c r="AR1032" s="145">
        <v>0</v>
      </c>
      <c r="AS1032" s="145">
        <f t="shared" si="321"/>
        <v>3493257</v>
      </c>
      <c r="AT1032" s="145"/>
      <c r="AU1032" s="139">
        <f t="shared" si="318"/>
        <v>3493257</v>
      </c>
      <c r="AV1032" s="146">
        <f>IFERROR(VLOOKUP(J1032,Maksājumu_pieprasījumu_iesn.!G:BL,57,0),0)</f>
        <v>0</v>
      </c>
      <c r="AW1032" s="139">
        <f t="shared" si="301"/>
        <v>-3493257</v>
      </c>
      <c r="AX1032" s="140">
        <f t="shared" si="322"/>
        <v>0</v>
      </c>
      <c r="AY1032" s="137"/>
      <c r="AZ1032" s="137"/>
      <c r="BA1032" s="138"/>
      <c r="BB1032" s="145"/>
      <c r="BC1032" s="145"/>
      <c r="BD1032" s="145"/>
      <c r="BE1032" s="145"/>
      <c r="BF1032" s="145"/>
      <c r="BG1032" s="145"/>
      <c r="BH1032" s="138"/>
      <c r="BI1032" s="138"/>
      <c r="BJ1032" s="138"/>
      <c r="BK1032" s="138"/>
      <c r="BL1032" s="138"/>
      <c r="BM1032" s="138"/>
      <c r="BN1032" s="138"/>
    </row>
    <row r="1033" spans="1:66" s="91" customFormat="1" ht="25.5" hidden="1" customHeight="1" x14ac:dyDescent="0.2">
      <c r="A1033" s="150" t="s">
        <v>2104</v>
      </c>
      <c r="B1033" s="18" t="s">
        <v>2134</v>
      </c>
      <c r="C1033" s="18" t="s">
        <v>2136</v>
      </c>
      <c r="D1033" s="19" t="s">
        <v>2135</v>
      </c>
      <c r="E1033" s="55">
        <v>2</v>
      </c>
      <c r="F1033" s="55" t="s">
        <v>4</v>
      </c>
      <c r="G1033" s="55" t="s">
        <v>5</v>
      </c>
      <c r="H1033" s="55" t="s">
        <v>3</v>
      </c>
      <c r="I1033" s="55"/>
      <c r="J1033" s="55"/>
      <c r="K1033" s="19" t="s">
        <v>2174</v>
      </c>
      <c r="L1033" s="19"/>
      <c r="M1033" s="19"/>
      <c r="N1033" s="19"/>
      <c r="O1033" s="151">
        <v>42978</v>
      </c>
      <c r="P1033" s="151"/>
      <c r="Q1033" s="151"/>
      <c r="R1033" s="151"/>
      <c r="S1033" s="152">
        <v>1501742</v>
      </c>
      <c r="T1033" s="152"/>
      <c r="U1033" s="145">
        <v>0</v>
      </c>
      <c r="V1033" s="145">
        <v>0</v>
      </c>
      <c r="W1033" s="145">
        <v>0</v>
      </c>
      <c r="X1033" s="145">
        <f t="shared" si="326"/>
        <v>0</v>
      </c>
      <c r="Y1033" s="145">
        <v>0</v>
      </c>
      <c r="Z1033" s="145">
        <v>0</v>
      </c>
      <c r="AA1033" s="145">
        <v>0</v>
      </c>
      <c r="AB1033" s="145">
        <v>0</v>
      </c>
      <c r="AC1033" s="145">
        <v>0</v>
      </c>
      <c r="AD1033" s="145">
        <v>0</v>
      </c>
      <c r="AE1033" s="145">
        <v>0</v>
      </c>
      <c r="AF1033" s="145">
        <v>0</v>
      </c>
      <c r="AG1033" s="145">
        <v>0</v>
      </c>
      <c r="AH1033" s="145">
        <v>0</v>
      </c>
      <c r="AI1033" s="145">
        <v>0</v>
      </c>
      <c r="AJ1033" s="145">
        <v>0</v>
      </c>
      <c r="AK1033" s="145">
        <f t="shared" si="327"/>
        <v>0</v>
      </c>
      <c r="AL1033" s="145">
        <v>1201742</v>
      </c>
      <c r="AM1033" s="145">
        <v>300000</v>
      </c>
      <c r="AN1033" s="145">
        <v>0</v>
      </c>
      <c r="AO1033" s="145">
        <v>0</v>
      </c>
      <c r="AP1033" s="145">
        <v>0</v>
      </c>
      <c r="AQ1033" s="145">
        <v>0</v>
      </c>
      <c r="AR1033" s="145">
        <v>0</v>
      </c>
      <c r="AS1033" s="145">
        <f t="shared" si="321"/>
        <v>1501742</v>
      </c>
      <c r="AT1033" s="145"/>
      <c r="AU1033" s="139">
        <f t="shared" si="318"/>
        <v>1501742</v>
      </c>
      <c r="AV1033" s="146">
        <f>IFERROR(VLOOKUP(J1033,Maksājumu_pieprasījumu_iesn.!G:BL,57,0),0)</f>
        <v>0</v>
      </c>
      <c r="AW1033" s="139">
        <f t="shared" si="301"/>
        <v>-1501742</v>
      </c>
      <c r="AX1033" s="140">
        <f t="shared" si="322"/>
        <v>0</v>
      </c>
      <c r="AY1033" s="137"/>
      <c r="AZ1033" s="137"/>
      <c r="BA1033" s="138"/>
      <c r="BB1033" s="145"/>
      <c r="BC1033" s="145"/>
      <c r="BD1033" s="145"/>
      <c r="BE1033" s="145"/>
      <c r="BF1033" s="145"/>
      <c r="BG1033" s="145"/>
      <c r="BH1033" s="138"/>
      <c r="BI1033" s="138"/>
      <c r="BJ1033" s="138"/>
      <c r="BK1033" s="138"/>
      <c r="BL1033" s="138"/>
      <c r="BM1033" s="138"/>
      <c r="BN1033" s="138"/>
    </row>
    <row r="1034" spans="1:66" ht="76.5" hidden="1" customHeight="1" x14ac:dyDescent="0.25">
      <c r="A1034" s="142" t="s">
        <v>2104</v>
      </c>
      <c r="B1034" s="18" t="s">
        <v>2134</v>
      </c>
      <c r="C1034" s="18" t="s">
        <v>2136</v>
      </c>
      <c r="D1034" s="19" t="s">
        <v>2135</v>
      </c>
      <c r="E1034" s="18">
        <v>2</v>
      </c>
      <c r="F1034" s="18" t="s">
        <v>4</v>
      </c>
      <c r="G1034" s="18" t="s">
        <v>5</v>
      </c>
      <c r="H1034" s="18" t="s">
        <v>3</v>
      </c>
      <c r="I1034" s="18"/>
      <c r="J1034" t="s">
        <v>2681</v>
      </c>
      <c r="K1034" s="19" t="s">
        <v>2175</v>
      </c>
      <c r="L1034" s="19"/>
      <c r="M1034" s="19"/>
      <c r="N1034" s="19" t="s">
        <v>2176</v>
      </c>
      <c r="O1034" s="143"/>
      <c r="P1034" s="143"/>
      <c r="Q1034" s="143"/>
      <c r="R1034" s="187" t="s">
        <v>2177</v>
      </c>
      <c r="S1034" s="144">
        <v>1437228</v>
      </c>
      <c r="T1034" s="144">
        <v>0</v>
      </c>
      <c r="U1034" s="145">
        <v>0</v>
      </c>
      <c r="V1034" s="145">
        <v>0</v>
      </c>
      <c r="W1034" s="145">
        <v>0</v>
      </c>
      <c r="X1034" s="145">
        <f t="shared" si="326"/>
        <v>0</v>
      </c>
      <c r="Y1034" s="145">
        <v>0</v>
      </c>
      <c r="Z1034" s="145">
        <v>0</v>
      </c>
      <c r="AA1034" s="145">
        <v>0</v>
      </c>
      <c r="AB1034" s="145">
        <v>0</v>
      </c>
      <c r="AC1034" s="145">
        <v>0</v>
      </c>
      <c r="AD1034" s="145">
        <v>0</v>
      </c>
      <c r="AE1034" s="145">
        <v>0</v>
      </c>
      <c r="AF1034" s="145">
        <v>0</v>
      </c>
      <c r="AG1034" s="145">
        <v>0</v>
      </c>
      <c r="AH1034" s="145">
        <v>0</v>
      </c>
      <c r="AI1034" s="145">
        <v>0</v>
      </c>
      <c r="AJ1034" s="145">
        <v>0</v>
      </c>
      <c r="AK1034" s="145">
        <f t="shared" si="327"/>
        <v>0</v>
      </c>
      <c r="AL1034" s="145">
        <v>1437228</v>
      </c>
      <c r="AM1034" s="145">
        <v>0</v>
      </c>
      <c r="AN1034" s="145">
        <v>0</v>
      </c>
      <c r="AO1034" s="145">
        <v>0</v>
      </c>
      <c r="AP1034" s="145">
        <v>0</v>
      </c>
      <c r="AQ1034" s="145">
        <v>0</v>
      </c>
      <c r="AR1034" s="145">
        <v>0</v>
      </c>
      <c r="AS1034" s="144">
        <f t="shared" si="321"/>
        <v>1437228</v>
      </c>
      <c r="AT1034" s="144"/>
      <c r="AU1034" s="146">
        <f t="shared" si="318"/>
        <v>1437228</v>
      </c>
      <c r="AV1034" s="146">
        <f>IFERROR(VLOOKUP(J1034,Maksājumu_pieprasījumu_iesn.!G:BL,57,0),0)</f>
        <v>0</v>
      </c>
      <c r="AW1034" s="139">
        <f t="shared" si="301"/>
        <v>-1437228</v>
      </c>
      <c r="AX1034" s="140">
        <f t="shared" si="322"/>
        <v>0</v>
      </c>
      <c r="AY1034" s="137"/>
      <c r="AZ1034" s="137"/>
      <c r="BA1034" s="149"/>
      <c r="BB1034" s="144"/>
      <c r="BC1034" s="144"/>
      <c r="BD1034" s="144"/>
      <c r="BE1034" s="144"/>
      <c r="BF1034" s="144"/>
      <c r="BG1034" s="144"/>
      <c r="BH1034" s="149"/>
      <c r="BI1034" s="149"/>
      <c r="BJ1034" s="149"/>
      <c r="BK1034" s="149"/>
      <c r="BL1034" s="149"/>
      <c r="BM1034" s="149"/>
      <c r="BN1034" s="149"/>
    </row>
    <row r="1035" spans="1:66" s="91" customFormat="1" ht="25.5" hidden="1" customHeight="1" x14ac:dyDescent="0.2">
      <c r="A1035" s="150" t="s">
        <v>2104</v>
      </c>
      <c r="B1035" s="18" t="s">
        <v>2134</v>
      </c>
      <c r="C1035" s="18" t="s">
        <v>2136</v>
      </c>
      <c r="D1035" s="19" t="s">
        <v>2135</v>
      </c>
      <c r="E1035" s="55">
        <v>2</v>
      </c>
      <c r="F1035" s="55" t="s">
        <v>4</v>
      </c>
      <c r="G1035" s="55" t="s">
        <v>5</v>
      </c>
      <c r="H1035" s="55" t="s">
        <v>3</v>
      </c>
      <c r="I1035" s="55"/>
      <c r="J1035" s="55"/>
      <c r="K1035" s="19" t="s">
        <v>143</v>
      </c>
      <c r="L1035" s="19"/>
      <c r="M1035" s="19"/>
      <c r="N1035" s="19" t="s">
        <v>2178</v>
      </c>
      <c r="O1035" s="151">
        <v>42886</v>
      </c>
      <c r="P1035" s="151"/>
      <c r="Q1035" s="151"/>
      <c r="R1035" s="151"/>
      <c r="S1035" s="152">
        <v>2003858</v>
      </c>
      <c r="T1035" s="152">
        <v>0</v>
      </c>
      <c r="U1035" s="145">
        <v>0</v>
      </c>
      <c r="V1035" s="145">
        <v>0</v>
      </c>
      <c r="W1035" s="145">
        <v>0</v>
      </c>
      <c r="X1035" s="145">
        <f t="shared" si="326"/>
        <v>0</v>
      </c>
      <c r="Y1035" s="145">
        <v>0</v>
      </c>
      <c r="Z1035" s="145">
        <v>0</v>
      </c>
      <c r="AA1035" s="145">
        <v>0</v>
      </c>
      <c r="AB1035" s="145">
        <v>0</v>
      </c>
      <c r="AC1035" s="145">
        <v>0</v>
      </c>
      <c r="AD1035" s="145">
        <v>0</v>
      </c>
      <c r="AE1035" s="145">
        <v>0</v>
      </c>
      <c r="AF1035" s="145">
        <v>0</v>
      </c>
      <c r="AG1035" s="145">
        <v>0</v>
      </c>
      <c r="AH1035" s="145">
        <v>0</v>
      </c>
      <c r="AI1035" s="145">
        <v>0</v>
      </c>
      <c r="AJ1035" s="145">
        <v>0</v>
      </c>
      <c r="AK1035" s="145">
        <f t="shared" si="327"/>
        <v>0</v>
      </c>
      <c r="AL1035" s="145">
        <v>2003858</v>
      </c>
      <c r="AM1035" s="145">
        <v>0</v>
      </c>
      <c r="AN1035" s="145">
        <v>0</v>
      </c>
      <c r="AO1035" s="145">
        <v>0</v>
      </c>
      <c r="AP1035" s="145">
        <v>0</v>
      </c>
      <c r="AQ1035" s="145">
        <v>0</v>
      </c>
      <c r="AR1035" s="145">
        <v>0</v>
      </c>
      <c r="AS1035" s="145">
        <f t="shared" si="321"/>
        <v>2003858</v>
      </c>
      <c r="AT1035" s="145"/>
      <c r="AU1035" s="139">
        <f t="shared" si="318"/>
        <v>2003858</v>
      </c>
      <c r="AV1035" s="146">
        <f>IFERROR(VLOOKUP(J1035,Maksājumu_pieprasījumu_iesn.!G:BL,57,0),0)</f>
        <v>0</v>
      </c>
      <c r="AW1035" s="139">
        <f t="shared" si="301"/>
        <v>-2003858</v>
      </c>
      <c r="AX1035" s="140">
        <f t="shared" si="322"/>
        <v>0</v>
      </c>
      <c r="AY1035" s="137"/>
      <c r="AZ1035" s="137"/>
      <c r="BA1035" s="138"/>
      <c r="BB1035" s="145"/>
      <c r="BC1035" s="145"/>
      <c r="BD1035" s="145"/>
      <c r="BE1035" s="145"/>
      <c r="BF1035" s="145"/>
      <c r="BG1035" s="145"/>
      <c r="BH1035" s="138"/>
      <c r="BI1035" s="138"/>
      <c r="BJ1035" s="138"/>
      <c r="BK1035" s="138"/>
      <c r="BL1035" s="138"/>
      <c r="BM1035" s="138"/>
      <c r="BN1035" s="138"/>
    </row>
    <row r="1036" spans="1:66" s="91" customFormat="1" ht="25.5" hidden="1" customHeight="1" x14ac:dyDescent="0.2">
      <c r="A1036" s="150" t="s">
        <v>2104</v>
      </c>
      <c r="B1036" s="18" t="s">
        <v>2134</v>
      </c>
      <c r="C1036" s="18" t="s">
        <v>2136</v>
      </c>
      <c r="D1036" s="19" t="s">
        <v>2135</v>
      </c>
      <c r="E1036" s="55">
        <v>2</v>
      </c>
      <c r="F1036" s="55" t="s">
        <v>4</v>
      </c>
      <c r="G1036" s="55" t="s">
        <v>5</v>
      </c>
      <c r="H1036" s="55" t="s">
        <v>3</v>
      </c>
      <c r="I1036" s="55"/>
      <c r="J1036" s="55"/>
      <c r="K1036" s="19" t="s">
        <v>2179</v>
      </c>
      <c r="L1036" s="19"/>
      <c r="M1036" s="19"/>
      <c r="N1036" s="19" t="s">
        <v>2180</v>
      </c>
      <c r="O1036" s="151">
        <v>43039</v>
      </c>
      <c r="P1036" s="151"/>
      <c r="Q1036" s="151"/>
      <c r="R1036" s="151"/>
      <c r="S1036" s="152">
        <v>3629094</v>
      </c>
      <c r="T1036" s="152">
        <v>0</v>
      </c>
      <c r="U1036" s="145">
        <v>0</v>
      </c>
      <c r="V1036" s="145">
        <v>0</v>
      </c>
      <c r="W1036" s="145">
        <v>0</v>
      </c>
      <c r="X1036" s="145">
        <f t="shared" si="326"/>
        <v>0</v>
      </c>
      <c r="Y1036" s="145">
        <v>0</v>
      </c>
      <c r="Z1036" s="145">
        <v>0</v>
      </c>
      <c r="AA1036" s="145">
        <v>0</v>
      </c>
      <c r="AB1036" s="145">
        <v>0</v>
      </c>
      <c r="AC1036" s="145">
        <v>0</v>
      </c>
      <c r="AD1036" s="145">
        <v>0</v>
      </c>
      <c r="AE1036" s="145">
        <v>0</v>
      </c>
      <c r="AF1036" s="145">
        <v>0</v>
      </c>
      <c r="AG1036" s="145">
        <v>0</v>
      </c>
      <c r="AH1036" s="145">
        <v>0</v>
      </c>
      <c r="AI1036" s="145">
        <v>0</v>
      </c>
      <c r="AJ1036" s="145">
        <v>0</v>
      </c>
      <c r="AK1036" s="145">
        <f t="shared" si="327"/>
        <v>0</v>
      </c>
      <c r="AL1036" s="145">
        <v>1814547</v>
      </c>
      <c r="AM1036" s="145">
        <v>1814547</v>
      </c>
      <c r="AN1036" s="145">
        <v>0</v>
      </c>
      <c r="AO1036" s="145">
        <v>0</v>
      </c>
      <c r="AP1036" s="145">
        <v>0</v>
      </c>
      <c r="AQ1036" s="145">
        <v>0</v>
      </c>
      <c r="AR1036" s="145">
        <v>0</v>
      </c>
      <c r="AS1036" s="145">
        <f t="shared" si="321"/>
        <v>3629094</v>
      </c>
      <c r="AT1036" s="145"/>
      <c r="AU1036" s="139">
        <f t="shared" si="318"/>
        <v>3629094</v>
      </c>
      <c r="AV1036" s="146">
        <f>IFERROR(VLOOKUP(J1036,Maksājumu_pieprasījumu_iesn.!G:BL,57,0),0)</f>
        <v>0</v>
      </c>
      <c r="AW1036" s="139">
        <f t="shared" si="301"/>
        <v>-3629094</v>
      </c>
      <c r="AX1036" s="140">
        <f t="shared" si="322"/>
        <v>0</v>
      </c>
      <c r="AY1036" s="137"/>
      <c r="AZ1036" s="137"/>
      <c r="BA1036" s="138"/>
      <c r="BB1036" s="145"/>
      <c r="BC1036" s="145"/>
      <c r="BD1036" s="145"/>
      <c r="BE1036" s="145"/>
      <c r="BF1036" s="145"/>
      <c r="BG1036" s="145"/>
      <c r="BH1036" s="138"/>
      <c r="BI1036" s="138"/>
      <c r="BJ1036" s="138"/>
      <c r="BK1036" s="138"/>
      <c r="BL1036" s="138"/>
      <c r="BM1036" s="138"/>
      <c r="BN1036" s="138"/>
    </row>
    <row r="1037" spans="1:66" s="91" customFormat="1" ht="25.5" hidden="1" customHeight="1" x14ac:dyDescent="0.2">
      <c r="A1037" s="150" t="s">
        <v>2104</v>
      </c>
      <c r="B1037" s="18" t="s">
        <v>2134</v>
      </c>
      <c r="C1037" s="18" t="s">
        <v>2136</v>
      </c>
      <c r="D1037" s="19" t="s">
        <v>2135</v>
      </c>
      <c r="E1037" s="55">
        <v>2</v>
      </c>
      <c r="F1037" s="55" t="s">
        <v>4</v>
      </c>
      <c r="G1037" s="55" t="s">
        <v>5</v>
      </c>
      <c r="H1037" s="55" t="s">
        <v>3</v>
      </c>
      <c r="I1037" s="55"/>
      <c r="J1037" s="55"/>
      <c r="K1037" s="19" t="s">
        <v>2181</v>
      </c>
      <c r="L1037" s="19"/>
      <c r="M1037" s="19"/>
      <c r="N1037" s="19" t="s">
        <v>2182</v>
      </c>
      <c r="O1037" s="151">
        <v>42902</v>
      </c>
      <c r="P1037" s="151"/>
      <c r="Q1037" s="151"/>
      <c r="R1037" s="151"/>
      <c r="S1037" s="152">
        <v>5029458</v>
      </c>
      <c r="T1037" s="152">
        <v>0</v>
      </c>
      <c r="U1037" s="145">
        <v>0</v>
      </c>
      <c r="V1037" s="145">
        <v>0</v>
      </c>
      <c r="W1037" s="145">
        <v>0</v>
      </c>
      <c r="X1037" s="145">
        <f t="shared" si="326"/>
        <v>0</v>
      </c>
      <c r="Y1037" s="145">
        <v>0</v>
      </c>
      <c r="Z1037" s="145">
        <v>0</v>
      </c>
      <c r="AA1037" s="145">
        <v>0</v>
      </c>
      <c r="AB1037" s="145">
        <v>0</v>
      </c>
      <c r="AC1037" s="145">
        <v>0</v>
      </c>
      <c r="AD1037" s="145">
        <v>0</v>
      </c>
      <c r="AE1037" s="145">
        <v>0</v>
      </c>
      <c r="AF1037" s="145">
        <v>0</v>
      </c>
      <c r="AG1037" s="145">
        <v>0</v>
      </c>
      <c r="AH1037" s="145">
        <v>0</v>
      </c>
      <c r="AI1037" s="145">
        <v>0</v>
      </c>
      <c r="AJ1037" s="145">
        <v>0</v>
      </c>
      <c r="AK1037" s="145">
        <f t="shared" si="327"/>
        <v>0</v>
      </c>
      <c r="AL1037" s="145">
        <v>3465726.7199999997</v>
      </c>
      <c r="AM1037" s="145">
        <v>1256934.3500000001</v>
      </c>
      <c r="AN1037" s="145">
        <v>306796.93</v>
      </c>
      <c r="AO1037" s="145">
        <v>0</v>
      </c>
      <c r="AP1037" s="145">
        <v>0</v>
      </c>
      <c r="AQ1037" s="145">
        <v>0</v>
      </c>
      <c r="AR1037" s="145">
        <v>0</v>
      </c>
      <c r="AS1037" s="145">
        <f t="shared" ref="AS1037:AS1054" si="328">U1037+V1037+W1037+AK1037+AL1037+AM1037+AN1037+AO1037+AP1037+AQ1037+AR1037</f>
        <v>5029458</v>
      </c>
      <c r="AT1037" s="145"/>
      <c r="AU1037" s="139">
        <f t="shared" si="318"/>
        <v>5029458</v>
      </c>
      <c r="AV1037" s="146">
        <f>IFERROR(VLOOKUP(J1037,Maksājumu_pieprasījumu_iesn.!G:BL,57,0),0)</f>
        <v>0</v>
      </c>
      <c r="AW1037" s="139">
        <f t="shared" si="301"/>
        <v>-5029458</v>
      </c>
      <c r="AX1037" s="140">
        <f t="shared" ref="AX1037:AX1055" si="329">S1037-T1037-AU1037</f>
        <v>0</v>
      </c>
      <c r="AY1037" s="137"/>
      <c r="AZ1037" s="137"/>
      <c r="BA1037" s="138"/>
      <c r="BB1037" s="145"/>
      <c r="BC1037" s="145"/>
      <c r="BD1037" s="145"/>
      <c r="BE1037" s="145"/>
      <c r="BF1037" s="145"/>
      <c r="BG1037" s="145"/>
      <c r="BH1037" s="138"/>
      <c r="BI1037" s="138"/>
      <c r="BJ1037" s="138"/>
      <c r="BK1037" s="138"/>
      <c r="BL1037" s="138"/>
      <c r="BM1037" s="138"/>
      <c r="BN1037" s="138"/>
    </row>
    <row r="1038" spans="1:66" s="91" customFormat="1" ht="38.25" hidden="1" customHeight="1" x14ac:dyDescent="0.2">
      <c r="A1038" s="150" t="s">
        <v>2104</v>
      </c>
      <c r="B1038" s="18" t="s">
        <v>2134</v>
      </c>
      <c r="C1038" s="18" t="s">
        <v>2136</v>
      </c>
      <c r="D1038" s="19" t="s">
        <v>2135</v>
      </c>
      <c r="E1038" s="55">
        <v>2</v>
      </c>
      <c r="F1038" s="55" t="s">
        <v>4</v>
      </c>
      <c r="G1038" s="55" t="s">
        <v>5</v>
      </c>
      <c r="H1038" s="55" t="s">
        <v>3</v>
      </c>
      <c r="I1038" s="55"/>
      <c r="J1038" s="55"/>
      <c r="K1038" s="19" t="s">
        <v>1234</v>
      </c>
      <c r="L1038" s="19"/>
      <c r="M1038" s="19"/>
      <c r="N1038" s="19" t="s">
        <v>2183</v>
      </c>
      <c r="O1038" s="151">
        <v>42978</v>
      </c>
      <c r="P1038" s="151"/>
      <c r="Q1038" s="151"/>
      <c r="R1038" s="151"/>
      <c r="S1038" s="152">
        <v>1799767</v>
      </c>
      <c r="T1038" s="152">
        <v>0</v>
      </c>
      <c r="U1038" s="145">
        <v>0</v>
      </c>
      <c r="V1038" s="145">
        <v>0</v>
      </c>
      <c r="W1038" s="145">
        <v>0</v>
      </c>
      <c r="X1038" s="145">
        <f t="shared" si="326"/>
        <v>0</v>
      </c>
      <c r="Y1038" s="145">
        <v>0</v>
      </c>
      <c r="Z1038" s="145">
        <v>0</v>
      </c>
      <c r="AA1038" s="145">
        <v>0</v>
      </c>
      <c r="AB1038" s="145">
        <v>0</v>
      </c>
      <c r="AC1038" s="145">
        <v>0</v>
      </c>
      <c r="AD1038" s="145">
        <v>0</v>
      </c>
      <c r="AE1038" s="145">
        <v>0</v>
      </c>
      <c r="AF1038" s="145">
        <v>0</v>
      </c>
      <c r="AG1038" s="145">
        <v>0</v>
      </c>
      <c r="AH1038" s="145">
        <v>0</v>
      </c>
      <c r="AI1038" s="145">
        <v>0</v>
      </c>
      <c r="AJ1038" s="145">
        <v>0</v>
      </c>
      <c r="AK1038" s="145">
        <f t="shared" si="327"/>
        <v>0</v>
      </c>
      <c r="AL1038" s="145">
        <v>1799767</v>
      </c>
      <c r="AM1038" s="145">
        <v>0</v>
      </c>
      <c r="AN1038" s="145">
        <v>0</v>
      </c>
      <c r="AO1038" s="145">
        <v>0</v>
      </c>
      <c r="AP1038" s="145">
        <v>0</v>
      </c>
      <c r="AQ1038" s="145">
        <v>0</v>
      </c>
      <c r="AR1038" s="145">
        <v>0</v>
      </c>
      <c r="AS1038" s="145">
        <f t="shared" si="328"/>
        <v>1799767</v>
      </c>
      <c r="AT1038" s="145"/>
      <c r="AU1038" s="139">
        <f t="shared" si="318"/>
        <v>1799767</v>
      </c>
      <c r="AV1038" s="146">
        <f>IFERROR(VLOOKUP(J1038,Maksājumu_pieprasījumu_iesn.!G:BL,57,0),0)</f>
        <v>0</v>
      </c>
      <c r="AW1038" s="139">
        <f t="shared" si="301"/>
        <v>-1799767</v>
      </c>
      <c r="AX1038" s="140">
        <f t="shared" si="329"/>
        <v>0</v>
      </c>
      <c r="AY1038" s="137"/>
      <c r="AZ1038" s="137"/>
      <c r="BA1038" s="138"/>
      <c r="BB1038" s="145"/>
      <c r="BC1038" s="145"/>
      <c r="BD1038" s="145"/>
      <c r="BE1038" s="145"/>
      <c r="BF1038" s="145"/>
      <c r="BG1038" s="145"/>
      <c r="BH1038" s="138"/>
      <c r="BI1038" s="138"/>
      <c r="BJ1038" s="138"/>
      <c r="BK1038" s="138"/>
      <c r="BL1038" s="138"/>
      <c r="BM1038" s="138"/>
      <c r="BN1038" s="138"/>
    </row>
    <row r="1039" spans="1:66" s="91" customFormat="1" ht="25.5" hidden="1" customHeight="1" x14ac:dyDescent="0.2">
      <c r="A1039" s="150" t="s">
        <v>2104</v>
      </c>
      <c r="B1039" s="18" t="s">
        <v>2134</v>
      </c>
      <c r="C1039" s="18" t="s">
        <v>2136</v>
      </c>
      <c r="D1039" s="19" t="s">
        <v>2135</v>
      </c>
      <c r="E1039" s="55">
        <v>2</v>
      </c>
      <c r="F1039" s="55" t="s">
        <v>4</v>
      </c>
      <c r="G1039" s="55" t="s">
        <v>5</v>
      </c>
      <c r="H1039" s="55" t="s">
        <v>3</v>
      </c>
      <c r="I1039" s="55"/>
      <c r="J1039" s="55"/>
      <c r="K1039" s="19" t="s">
        <v>2184</v>
      </c>
      <c r="L1039" s="19"/>
      <c r="M1039" s="19"/>
      <c r="N1039" s="19"/>
      <c r="O1039" s="151">
        <v>43099</v>
      </c>
      <c r="P1039" s="151"/>
      <c r="Q1039" s="151"/>
      <c r="R1039" s="151"/>
      <c r="S1039" s="152">
        <v>3439523</v>
      </c>
      <c r="T1039" s="152"/>
      <c r="U1039" s="145">
        <v>0</v>
      </c>
      <c r="V1039" s="145">
        <v>0</v>
      </c>
      <c r="W1039" s="145">
        <v>0</v>
      </c>
      <c r="X1039" s="145">
        <f t="shared" si="326"/>
        <v>0</v>
      </c>
      <c r="Y1039" s="145">
        <v>0</v>
      </c>
      <c r="Z1039" s="145">
        <v>0</v>
      </c>
      <c r="AA1039" s="145">
        <v>0</v>
      </c>
      <c r="AB1039" s="145">
        <v>0</v>
      </c>
      <c r="AC1039" s="145">
        <v>0</v>
      </c>
      <c r="AD1039" s="145">
        <v>0</v>
      </c>
      <c r="AE1039" s="145">
        <v>0</v>
      </c>
      <c r="AF1039" s="145">
        <v>0</v>
      </c>
      <c r="AG1039" s="145">
        <v>0</v>
      </c>
      <c r="AH1039" s="145">
        <v>0</v>
      </c>
      <c r="AI1039" s="145">
        <v>0</v>
      </c>
      <c r="AJ1039" s="145">
        <v>0</v>
      </c>
      <c r="AK1039" s="145">
        <f t="shared" si="327"/>
        <v>0</v>
      </c>
      <c r="AL1039" s="145">
        <v>1813695</v>
      </c>
      <c r="AM1039" s="145">
        <v>851927</v>
      </c>
      <c r="AN1039" s="145">
        <v>773901</v>
      </c>
      <c r="AO1039" s="145">
        <v>0</v>
      </c>
      <c r="AP1039" s="145">
        <v>0</v>
      </c>
      <c r="AQ1039" s="145">
        <v>0</v>
      </c>
      <c r="AR1039" s="145">
        <v>0</v>
      </c>
      <c r="AS1039" s="145">
        <f t="shared" si="328"/>
        <v>3439523</v>
      </c>
      <c r="AT1039" s="145"/>
      <c r="AU1039" s="139">
        <f t="shared" si="318"/>
        <v>3439523</v>
      </c>
      <c r="AV1039" s="146">
        <f>IFERROR(VLOOKUP(J1039,Maksājumu_pieprasījumu_iesn.!G:BL,57,0),0)</f>
        <v>0</v>
      </c>
      <c r="AW1039" s="139">
        <f t="shared" si="301"/>
        <v>-3439523</v>
      </c>
      <c r="AX1039" s="140">
        <f t="shared" si="329"/>
        <v>0</v>
      </c>
      <c r="AY1039" s="137"/>
      <c r="AZ1039" s="137"/>
      <c r="BA1039" s="138"/>
      <c r="BB1039" s="145"/>
      <c r="BC1039" s="145"/>
      <c r="BD1039" s="145"/>
      <c r="BE1039" s="145"/>
      <c r="BF1039" s="145"/>
      <c r="BG1039" s="145"/>
      <c r="BH1039" s="138"/>
      <c r="BI1039" s="138"/>
      <c r="BJ1039" s="138"/>
      <c r="BK1039" s="138"/>
      <c r="BL1039" s="138"/>
      <c r="BM1039" s="138"/>
      <c r="BN1039" s="138"/>
    </row>
    <row r="1040" spans="1:66" s="91" customFormat="1" ht="25.5" hidden="1" customHeight="1" x14ac:dyDescent="0.2">
      <c r="A1040" s="150" t="s">
        <v>2104</v>
      </c>
      <c r="B1040" s="18" t="s">
        <v>2134</v>
      </c>
      <c r="C1040" s="18" t="s">
        <v>2136</v>
      </c>
      <c r="D1040" s="19" t="s">
        <v>2135</v>
      </c>
      <c r="E1040" s="55">
        <v>2</v>
      </c>
      <c r="F1040" s="55" t="s">
        <v>4</v>
      </c>
      <c r="G1040" s="55" t="s">
        <v>5</v>
      </c>
      <c r="H1040" s="55" t="s">
        <v>3</v>
      </c>
      <c r="I1040" s="55"/>
      <c r="J1040" s="55"/>
      <c r="K1040" s="19" t="s">
        <v>2185</v>
      </c>
      <c r="L1040" s="19"/>
      <c r="M1040" s="19"/>
      <c r="N1040" s="19" t="s">
        <v>2186</v>
      </c>
      <c r="O1040" s="151">
        <v>42886</v>
      </c>
      <c r="P1040" s="151"/>
      <c r="Q1040" s="151"/>
      <c r="R1040" s="151"/>
      <c r="S1040" s="152">
        <v>2988570</v>
      </c>
      <c r="T1040" s="152"/>
      <c r="U1040" s="145">
        <v>0</v>
      </c>
      <c r="V1040" s="145">
        <v>0</v>
      </c>
      <c r="W1040" s="145">
        <v>0</v>
      </c>
      <c r="X1040" s="145">
        <f t="shared" si="326"/>
        <v>0</v>
      </c>
      <c r="Y1040" s="145">
        <v>0</v>
      </c>
      <c r="Z1040" s="145">
        <v>0</v>
      </c>
      <c r="AA1040" s="145">
        <v>0</v>
      </c>
      <c r="AB1040" s="145">
        <v>0</v>
      </c>
      <c r="AC1040" s="145">
        <v>0</v>
      </c>
      <c r="AD1040" s="145">
        <v>0</v>
      </c>
      <c r="AE1040" s="145">
        <v>0</v>
      </c>
      <c r="AF1040" s="145">
        <v>0</v>
      </c>
      <c r="AG1040" s="145">
        <v>0</v>
      </c>
      <c r="AH1040" s="145">
        <v>0</v>
      </c>
      <c r="AI1040" s="145">
        <v>0</v>
      </c>
      <c r="AJ1040" s="145">
        <v>0</v>
      </c>
      <c r="AK1040" s="145">
        <f t="shared" si="327"/>
        <v>0</v>
      </c>
      <c r="AL1040" s="145">
        <v>1950571</v>
      </c>
      <c r="AM1040" s="145">
        <v>1037999</v>
      </c>
      <c r="AN1040" s="145">
        <v>0</v>
      </c>
      <c r="AO1040" s="145">
        <v>0</v>
      </c>
      <c r="AP1040" s="145">
        <v>0</v>
      </c>
      <c r="AQ1040" s="145">
        <v>0</v>
      </c>
      <c r="AR1040" s="145">
        <v>0</v>
      </c>
      <c r="AS1040" s="145">
        <f t="shared" si="328"/>
        <v>2988570</v>
      </c>
      <c r="AT1040" s="145"/>
      <c r="AU1040" s="139">
        <f t="shared" si="318"/>
        <v>2988570</v>
      </c>
      <c r="AV1040" s="146">
        <f>IFERROR(VLOOKUP(J1040,Maksājumu_pieprasījumu_iesn.!G:BL,57,0),0)</f>
        <v>0</v>
      </c>
      <c r="AW1040" s="139">
        <f t="shared" ref="AW1040:AW1103" si="330">AV1040-AU1040</f>
        <v>-2988570</v>
      </c>
      <c r="AX1040" s="140">
        <f t="shared" si="329"/>
        <v>0</v>
      </c>
      <c r="AY1040" s="137"/>
      <c r="AZ1040" s="137"/>
      <c r="BA1040" s="138"/>
      <c r="BB1040" s="145"/>
      <c r="BC1040" s="145"/>
      <c r="BD1040" s="145"/>
      <c r="BE1040" s="145"/>
      <c r="BF1040" s="145"/>
      <c r="BG1040" s="145"/>
      <c r="BH1040" s="138"/>
      <c r="BI1040" s="138"/>
      <c r="BJ1040" s="138"/>
      <c r="BK1040" s="138"/>
      <c r="BL1040" s="138"/>
      <c r="BM1040" s="138"/>
      <c r="BN1040" s="138"/>
    </row>
    <row r="1041" spans="1:66" s="91" customFormat="1" ht="25.5" hidden="1" customHeight="1" x14ac:dyDescent="0.2">
      <c r="A1041" s="150" t="s">
        <v>2104</v>
      </c>
      <c r="B1041" s="18" t="s">
        <v>2134</v>
      </c>
      <c r="C1041" s="18" t="s">
        <v>2136</v>
      </c>
      <c r="D1041" s="19" t="s">
        <v>2135</v>
      </c>
      <c r="E1041" s="55">
        <v>2</v>
      </c>
      <c r="F1041" s="55" t="s">
        <v>4</v>
      </c>
      <c r="G1041" s="55" t="s">
        <v>5</v>
      </c>
      <c r="H1041" s="55" t="s">
        <v>3</v>
      </c>
      <c r="I1041" s="55"/>
      <c r="J1041" s="55"/>
      <c r="K1041" s="19" t="s">
        <v>2187</v>
      </c>
      <c r="L1041" s="19"/>
      <c r="M1041" s="19"/>
      <c r="N1041" s="19" t="s">
        <v>2188</v>
      </c>
      <c r="O1041" s="151">
        <v>43069</v>
      </c>
      <c r="P1041" s="151"/>
      <c r="Q1041" s="151"/>
      <c r="R1041" s="151"/>
      <c r="S1041" s="152">
        <v>1875655</v>
      </c>
      <c r="T1041" s="152">
        <v>0</v>
      </c>
      <c r="U1041" s="145">
        <v>0</v>
      </c>
      <c r="V1041" s="145">
        <v>0</v>
      </c>
      <c r="W1041" s="145">
        <v>0</v>
      </c>
      <c r="X1041" s="145">
        <f t="shared" si="326"/>
        <v>0</v>
      </c>
      <c r="Y1041" s="145">
        <v>0</v>
      </c>
      <c r="Z1041" s="145">
        <v>0</v>
      </c>
      <c r="AA1041" s="145">
        <v>0</v>
      </c>
      <c r="AB1041" s="145">
        <v>0</v>
      </c>
      <c r="AC1041" s="145">
        <v>0</v>
      </c>
      <c r="AD1041" s="145">
        <v>0</v>
      </c>
      <c r="AE1041" s="145">
        <v>0</v>
      </c>
      <c r="AF1041" s="145">
        <v>0</v>
      </c>
      <c r="AG1041" s="145">
        <v>0</v>
      </c>
      <c r="AH1041" s="145">
        <v>0</v>
      </c>
      <c r="AI1041" s="145">
        <v>0</v>
      </c>
      <c r="AJ1041" s="145">
        <v>0</v>
      </c>
      <c r="AK1041" s="145">
        <f t="shared" si="327"/>
        <v>0</v>
      </c>
      <c r="AL1041" s="145">
        <v>937827</v>
      </c>
      <c r="AM1041" s="145">
        <v>937828</v>
      </c>
      <c r="AN1041" s="145">
        <v>0</v>
      </c>
      <c r="AO1041" s="145">
        <v>0</v>
      </c>
      <c r="AP1041" s="145">
        <v>0</v>
      </c>
      <c r="AQ1041" s="145">
        <v>0</v>
      </c>
      <c r="AR1041" s="145">
        <v>0</v>
      </c>
      <c r="AS1041" s="145">
        <f t="shared" si="328"/>
        <v>1875655</v>
      </c>
      <c r="AT1041" s="145"/>
      <c r="AU1041" s="139">
        <f t="shared" si="318"/>
        <v>1875655</v>
      </c>
      <c r="AV1041" s="146">
        <f>IFERROR(VLOOKUP(J1041,Maksājumu_pieprasījumu_iesn.!G:BL,57,0),0)</f>
        <v>0</v>
      </c>
      <c r="AW1041" s="139">
        <f t="shared" si="330"/>
        <v>-1875655</v>
      </c>
      <c r="AX1041" s="140">
        <f t="shared" si="329"/>
        <v>0</v>
      </c>
      <c r="AY1041" s="137"/>
      <c r="AZ1041" s="137"/>
      <c r="BA1041" s="138"/>
      <c r="BB1041" s="145"/>
      <c r="BC1041" s="145"/>
      <c r="BD1041" s="145"/>
      <c r="BE1041" s="145"/>
      <c r="BF1041" s="145"/>
      <c r="BG1041" s="145"/>
      <c r="BH1041" s="138"/>
      <c r="BI1041" s="138"/>
      <c r="BJ1041" s="138"/>
      <c r="BK1041" s="138"/>
      <c r="BL1041" s="138"/>
      <c r="BM1041" s="138"/>
      <c r="BN1041" s="138"/>
    </row>
    <row r="1042" spans="1:66" s="91" customFormat="1" ht="25.5" hidden="1" customHeight="1" x14ac:dyDescent="0.2">
      <c r="A1042" s="150" t="s">
        <v>2104</v>
      </c>
      <c r="B1042" s="18" t="s">
        <v>2134</v>
      </c>
      <c r="C1042" s="18" t="s">
        <v>2136</v>
      </c>
      <c r="D1042" s="19" t="s">
        <v>2135</v>
      </c>
      <c r="E1042" s="55">
        <v>2</v>
      </c>
      <c r="F1042" s="55" t="s">
        <v>4</v>
      </c>
      <c r="G1042" s="55" t="s">
        <v>5</v>
      </c>
      <c r="H1042" s="55" t="s">
        <v>3</v>
      </c>
      <c r="I1042" s="55"/>
      <c r="J1042" s="55"/>
      <c r="K1042" s="19" t="s">
        <v>2189</v>
      </c>
      <c r="L1042" s="19"/>
      <c r="M1042" s="19"/>
      <c r="N1042" s="19" t="s">
        <v>2190</v>
      </c>
      <c r="O1042" s="151">
        <v>42886</v>
      </c>
      <c r="P1042" s="151"/>
      <c r="Q1042" s="151"/>
      <c r="R1042" s="151"/>
      <c r="S1042" s="152">
        <v>3673940</v>
      </c>
      <c r="T1042" s="152"/>
      <c r="U1042" s="145">
        <v>0</v>
      </c>
      <c r="V1042" s="145">
        <v>0</v>
      </c>
      <c r="W1042" s="145">
        <v>0</v>
      </c>
      <c r="X1042" s="145">
        <f t="shared" si="326"/>
        <v>0</v>
      </c>
      <c r="Y1042" s="145">
        <v>0</v>
      </c>
      <c r="Z1042" s="145">
        <v>0</v>
      </c>
      <c r="AA1042" s="145">
        <v>0</v>
      </c>
      <c r="AB1042" s="145">
        <v>0</v>
      </c>
      <c r="AC1042" s="145">
        <v>0</v>
      </c>
      <c r="AD1042" s="145">
        <v>0</v>
      </c>
      <c r="AE1042" s="145">
        <v>0</v>
      </c>
      <c r="AF1042" s="145">
        <v>0</v>
      </c>
      <c r="AG1042" s="145">
        <v>0</v>
      </c>
      <c r="AH1042" s="145">
        <v>0</v>
      </c>
      <c r="AI1042" s="145">
        <v>0</v>
      </c>
      <c r="AJ1042" s="145">
        <v>0</v>
      </c>
      <c r="AK1042" s="145">
        <f t="shared" si="327"/>
        <v>0</v>
      </c>
      <c r="AL1042" s="145">
        <v>1485879</v>
      </c>
      <c r="AM1042" s="145">
        <v>2188061</v>
      </c>
      <c r="AN1042" s="145">
        <v>0</v>
      </c>
      <c r="AO1042" s="145">
        <v>0</v>
      </c>
      <c r="AP1042" s="145">
        <v>0</v>
      </c>
      <c r="AQ1042" s="145">
        <v>0</v>
      </c>
      <c r="AR1042" s="145">
        <v>0</v>
      </c>
      <c r="AS1042" s="145">
        <f t="shared" si="328"/>
        <v>3673940</v>
      </c>
      <c r="AT1042" s="145"/>
      <c r="AU1042" s="139">
        <f t="shared" si="318"/>
        <v>3673940</v>
      </c>
      <c r="AV1042" s="146">
        <f>IFERROR(VLOOKUP(J1042,Maksājumu_pieprasījumu_iesn.!G:BL,57,0),0)</f>
        <v>0</v>
      </c>
      <c r="AW1042" s="139">
        <f t="shared" si="330"/>
        <v>-3673940</v>
      </c>
      <c r="AX1042" s="140">
        <f t="shared" si="329"/>
        <v>0</v>
      </c>
      <c r="AY1042" s="137"/>
      <c r="AZ1042" s="137"/>
      <c r="BA1042" s="138"/>
      <c r="BB1042" s="145"/>
      <c r="BC1042" s="145"/>
      <c r="BD1042" s="145"/>
      <c r="BE1042" s="145"/>
      <c r="BF1042" s="145"/>
      <c r="BG1042" s="145"/>
      <c r="BH1042" s="138"/>
      <c r="BI1042" s="138"/>
      <c r="BJ1042" s="138"/>
      <c r="BK1042" s="138"/>
      <c r="BL1042" s="138"/>
      <c r="BM1042" s="138"/>
      <c r="BN1042" s="138"/>
    </row>
    <row r="1043" spans="1:66" s="91" customFormat="1" ht="25.5" hidden="1" customHeight="1" x14ac:dyDescent="0.2">
      <c r="A1043" s="150" t="s">
        <v>2104</v>
      </c>
      <c r="B1043" s="18" t="s">
        <v>2134</v>
      </c>
      <c r="C1043" s="18" t="s">
        <v>2136</v>
      </c>
      <c r="D1043" s="19" t="s">
        <v>2135</v>
      </c>
      <c r="E1043" s="55">
        <v>2</v>
      </c>
      <c r="F1043" s="55" t="s">
        <v>4</v>
      </c>
      <c r="G1043" s="55" t="s">
        <v>5</v>
      </c>
      <c r="H1043" s="55" t="s">
        <v>3</v>
      </c>
      <c r="I1043" s="55"/>
      <c r="J1043" s="55"/>
      <c r="K1043" s="19" t="s">
        <v>2191</v>
      </c>
      <c r="L1043" s="19"/>
      <c r="M1043" s="19"/>
      <c r="N1043" s="19"/>
      <c r="O1043" s="151">
        <v>42947</v>
      </c>
      <c r="P1043" s="151"/>
      <c r="Q1043" s="151"/>
      <c r="R1043" s="151"/>
      <c r="S1043" s="152">
        <v>4511314</v>
      </c>
      <c r="T1043" s="152"/>
      <c r="U1043" s="145">
        <v>0</v>
      </c>
      <c r="V1043" s="145">
        <v>0</v>
      </c>
      <c r="W1043" s="145">
        <v>0</v>
      </c>
      <c r="X1043" s="145">
        <f t="shared" si="326"/>
        <v>0</v>
      </c>
      <c r="Y1043" s="145">
        <v>0</v>
      </c>
      <c r="Z1043" s="145">
        <v>0</v>
      </c>
      <c r="AA1043" s="145">
        <v>0</v>
      </c>
      <c r="AB1043" s="145">
        <v>0</v>
      </c>
      <c r="AC1043" s="145">
        <v>0</v>
      </c>
      <c r="AD1043" s="145">
        <v>0</v>
      </c>
      <c r="AE1043" s="145">
        <v>0</v>
      </c>
      <c r="AF1043" s="145">
        <v>0</v>
      </c>
      <c r="AG1043" s="145">
        <v>0</v>
      </c>
      <c r="AH1043" s="145">
        <v>0</v>
      </c>
      <c r="AI1043" s="145">
        <v>0</v>
      </c>
      <c r="AJ1043" s="145">
        <v>0</v>
      </c>
      <c r="AK1043" s="145">
        <f t="shared" si="327"/>
        <v>0</v>
      </c>
      <c r="AL1043" s="145">
        <v>2100000</v>
      </c>
      <c r="AM1043" s="145">
        <v>1500000</v>
      </c>
      <c r="AN1043" s="145">
        <v>460182</v>
      </c>
      <c r="AO1043" s="145">
        <v>451132</v>
      </c>
      <c r="AP1043" s="145">
        <v>0</v>
      </c>
      <c r="AQ1043" s="145">
        <v>0</v>
      </c>
      <c r="AR1043" s="145">
        <v>0</v>
      </c>
      <c r="AS1043" s="145">
        <f t="shared" si="328"/>
        <v>4511314</v>
      </c>
      <c r="AT1043" s="145"/>
      <c r="AU1043" s="139">
        <f t="shared" si="318"/>
        <v>4511314</v>
      </c>
      <c r="AV1043" s="146">
        <f>IFERROR(VLOOKUP(J1043,Maksājumu_pieprasījumu_iesn.!G:BL,57,0),0)</f>
        <v>0</v>
      </c>
      <c r="AW1043" s="139">
        <f t="shared" si="330"/>
        <v>-4511314</v>
      </c>
      <c r="AX1043" s="140">
        <f t="shared" si="329"/>
        <v>0</v>
      </c>
      <c r="AY1043" s="137"/>
      <c r="AZ1043" s="137"/>
      <c r="BA1043" s="138"/>
      <c r="BB1043" s="145"/>
      <c r="BC1043" s="145"/>
      <c r="BD1043" s="145"/>
      <c r="BE1043" s="145"/>
      <c r="BF1043" s="145"/>
      <c r="BG1043" s="145"/>
      <c r="BH1043" s="138"/>
      <c r="BI1043" s="138"/>
      <c r="BJ1043" s="138"/>
      <c r="BK1043" s="138"/>
      <c r="BL1043" s="138"/>
      <c r="BM1043" s="138"/>
      <c r="BN1043" s="138"/>
    </row>
    <row r="1044" spans="1:66" s="91" customFormat="1" ht="25.5" hidden="1" customHeight="1" x14ac:dyDescent="0.2">
      <c r="A1044" s="150" t="s">
        <v>2104</v>
      </c>
      <c r="B1044" s="18" t="s">
        <v>2134</v>
      </c>
      <c r="C1044" s="18" t="s">
        <v>2136</v>
      </c>
      <c r="D1044" s="19" t="s">
        <v>2135</v>
      </c>
      <c r="E1044" s="55">
        <v>2</v>
      </c>
      <c r="F1044" s="55" t="s">
        <v>4</v>
      </c>
      <c r="G1044" s="55" t="s">
        <v>5</v>
      </c>
      <c r="H1044" s="55" t="s">
        <v>3</v>
      </c>
      <c r="I1044" s="55"/>
      <c r="J1044" s="55"/>
      <c r="K1044" s="19" t="s">
        <v>2192</v>
      </c>
      <c r="L1044" s="19"/>
      <c r="M1044" s="19"/>
      <c r="N1044" s="19" t="s">
        <v>2193</v>
      </c>
      <c r="O1044" s="151">
        <v>43039</v>
      </c>
      <c r="P1044" s="151"/>
      <c r="Q1044" s="151"/>
      <c r="R1044" s="151"/>
      <c r="S1044" s="152">
        <v>1247392</v>
      </c>
      <c r="T1044" s="152">
        <v>0</v>
      </c>
      <c r="U1044" s="145">
        <v>0</v>
      </c>
      <c r="V1044" s="145">
        <v>0</v>
      </c>
      <c r="W1044" s="145">
        <v>0</v>
      </c>
      <c r="X1044" s="145">
        <f t="shared" si="326"/>
        <v>0</v>
      </c>
      <c r="Y1044" s="145">
        <v>0</v>
      </c>
      <c r="Z1044" s="145">
        <v>0</v>
      </c>
      <c r="AA1044" s="145">
        <v>0</v>
      </c>
      <c r="AB1044" s="145">
        <v>0</v>
      </c>
      <c r="AC1044" s="145">
        <v>0</v>
      </c>
      <c r="AD1044" s="145">
        <v>0</v>
      </c>
      <c r="AE1044" s="145">
        <v>0</v>
      </c>
      <c r="AF1044" s="145">
        <v>0</v>
      </c>
      <c r="AG1044" s="145">
        <v>0</v>
      </c>
      <c r="AH1044" s="145">
        <v>0</v>
      </c>
      <c r="AI1044" s="145">
        <v>0</v>
      </c>
      <c r="AJ1044" s="145">
        <v>0</v>
      </c>
      <c r="AK1044" s="145">
        <f t="shared" si="327"/>
        <v>0</v>
      </c>
      <c r="AL1044" s="145">
        <v>892300</v>
      </c>
      <c r="AM1044" s="145">
        <v>355092</v>
      </c>
      <c r="AN1044" s="145">
        <v>0</v>
      </c>
      <c r="AO1044" s="145">
        <v>0</v>
      </c>
      <c r="AP1044" s="145">
        <v>0</v>
      </c>
      <c r="AQ1044" s="145">
        <v>0</v>
      </c>
      <c r="AR1044" s="145">
        <v>0</v>
      </c>
      <c r="AS1044" s="145">
        <f t="shared" si="328"/>
        <v>1247392</v>
      </c>
      <c r="AT1044" s="145"/>
      <c r="AU1044" s="139">
        <f t="shared" si="318"/>
        <v>1247392</v>
      </c>
      <c r="AV1044" s="146">
        <f>IFERROR(VLOOKUP(J1044,Maksājumu_pieprasījumu_iesn.!G:BL,57,0),0)</f>
        <v>0</v>
      </c>
      <c r="AW1044" s="139">
        <f t="shared" si="330"/>
        <v>-1247392</v>
      </c>
      <c r="AX1044" s="140">
        <f t="shared" si="329"/>
        <v>0</v>
      </c>
      <c r="AY1044" s="137"/>
      <c r="AZ1044" s="137"/>
      <c r="BA1044" s="138"/>
      <c r="BB1044" s="145"/>
      <c r="BC1044" s="145"/>
      <c r="BD1044" s="145"/>
      <c r="BE1044" s="145"/>
      <c r="BF1044" s="145"/>
      <c r="BG1044" s="145"/>
      <c r="BH1044" s="138"/>
      <c r="BI1044" s="138"/>
      <c r="BJ1044" s="138"/>
      <c r="BK1044" s="138"/>
      <c r="BL1044" s="138"/>
      <c r="BM1044" s="138"/>
      <c r="BN1044" s="138"/>
    </row>
    <row r="1045" spans="1:66" s="91" customFormat="1" ht="38.25" hidden="1" customHeight="1" x14ac:dyDescent="0.2">
      <c r="A1045" s="131" t="s">
        <v>2104</v>
      </c>
      <c r="B1045" s="132" t="s">
        <v>2134</v>
      </c>
      <c r="C1045" s="132" t="s">
        <v>2136</v>
      </c>
      <c r="D1045" s="133" t="s">
        <v>2135</v>
      </c>
      <c r="E1045" s="22" t="s">
        <v>2194</v>
      </c>
      <c r="F1045" s="22" t="s">
        <v>4</v>
      </c>
      <c r="G1045" s="22" t="s">
        <v>5</v>
      </c>
      <c r="H1045" s="22" t="s">
        <v>3</v>
      </c>
      <c r="I1045" s="22" t="s">
        <v>1022</v>
      </c>
      <c r="J1045" s="134" t="s">
        <v>1026</v>
      </c>
      <c r="K1045" s="133"/>
      <c r="L1045" s="133"/>
      <c r="M1045" s="133"/>
      <c r="N1045" s="133"/>
      <c r="O1045" s="135"/>
      <c r="P1045" s="135"/>
      <c r="Q1045" s="135"/>
      <c r="R1045" s="135"/>
      <c r="S1045" s="136">
        <v>15267130</v>
      </c>
      <c r="T1045" s="136">
        <v>0</v>
      </c>
      <c r="U1045" s="137">
        <f>SUM(U1046:U1053)</f>
        <v>0</v>
      </c>
      <c r="V1045" s="137">
        <f>SUM(V1046:V1053)</f>
        <v>0</v>
      </c>
      <c r="W1045" s="137">
        <f>SUM(W1046:W1053)</f>
        <v>0</v>
      </c>
      <c r="X1045" s="138">
        <f>U1045+V1045+W1045</f>
        <v>0</v>
      </c>
      <c r="Y1045" s="137">
        <f t="shared" ref="Y1045:AR1045" si="331">SUM(Y1046:Y1053)</f>
        <v>0</v>
      </c>
      <c r="Z1045" s="137">
        <f t="shared" si="331"/>
        <v>0</v>
      </c>
      <c r="AA1045" s="137">
        <f t="shared" si="331"/>
        <v>0</v>
      </c>
      <c r="AB1045" s="137">
        <f t="shared" si="331"/>
        <v>0</v>
      </c>
      <c r="AC1045" s="137">
        <f t="shared" si="331"/>
        <v>0</v>
      </c>
      <c r="AD1045" s="137">
        <f t="shared" si="331"/>
        <v>0</v>
      </c>
      <c r="AE1045" s="137">
        <f t="shared" si="331"/>
        <v>0</v>
      </c>
      <c r="AF1045" s="137">
        <f t="shared" si="331"/>
        <v>0</v>
      </c>
      <c r="AG1045" s="137">
        <f t="shared" si="331"/>
        <v>0</v>
      </c>
      <c r="AH1045" s="137">
        <f t="shared" si="331"/>
        <v>300000</v>
      </c>
      <c r="AI1045" s="137">
        <f t="shared" si="331"/>
        <v>300000</v>
      </c>
      <c r="AJ1045" s="137">
        <f t="shared" si="331"/>
        <v>300000</v>
      </c>
      <c r="AK1045" s="137">
        <f t="shared" si="331"/>
        <v>900000</v>
      </c>
      <c r="AL1045" s="137">
        <f t="shared" si="331"/>
        <v>10534334</v>
      </c>
      <c r="AM1045" s="137">
        <f t="shared" si="331"/>
        <v>3514976</v>
      </c>
      <c r="AN1045" s="137">
        <f t="shared" si="331"/>
        <v>317820</v>
      </c>
      <c r="AO1045" s="137">
        <f t="shared" si="331"/>
        <v>0</v>
      </c>
      <c r="AP1045" s="137">
        <f t="shared" si="331"/>
        <v>0</v>
      </c>
      <c r="AQ1045" s="137">
        <f t="shared" si="331"/>
        <v>0</v>
      </c>
      <c r="AR1045" s="137">
        <f t="shared" si="331"/>
        <v>0</v>
      </c>
      <c r="AS1045" s="137">
        <f t="shared" si="328"/>
        <v>15267130</v>
      </c>
      <c r="AT1045" s="137">
        <f>SUM(AT1046:AT1053)</f>
        <v>0</v>
      </c>
      <c r="AU1045" s="139">
        <f t="shared" si="318"/>
        <v>15267130</v>
      </c>
      <c r="AV1045" s="146">
        <f>IFERROR(VLOOKUP(J1045,Maksājumu_pieprasījumu_iesn.!G:BL,57,0),0)</f>
        <v>0</v>
      </c>
      <c r="AW1045" s="139">
        <f t="shared" si="330"/>
        <v>-15267130</v>
      </c>
      <c r="AX1045" s="140">
        <f t="shared" si="329"/>
        <v>0</v>
      </c>
      <c r="AY1045" s="137"/>
      <c r="AZ1045" s="137"/>
      <c r="BA1045" s="138" t="s">
        <v>2195</v>
      </c>
      <c r="BB1045" s="140"/>
      <c r="BC1045" s="140">
        <f>X1045+AK1045+AL1045/2</f>
        <v>6167167</v>
      </c>
      <c r="BD1045" s="140"/>
      <c r="BE1045" s="140">
        <f>BC1045/0.85</f>
        <v>7255490.5882352944</v>
      </c>
      <c r="BF1045" s="137"/>
      <c r="BG1045" s="137"/>
      <c r="BH1045" s="138">
        <v>0</v>
      </c>
      <c r="BI1045" s="138">
        <v>750485.22614587506</v>
      </c>
      <c r="BJ1045" s="138"/>
      <c r="BK1045" s="138"/>
      <c r="BL1045" s="138">
        <v>3985881.59802863</v>
      </c>
      <c r="BM1045" s="138"/>
      <c r="BN1045" s="138"/>
    </row>
    <row r="1046" spans="1:66" s="91" customFormat="1" ht="25.5" hidden="1" customHeight="1" x14ac:dyDescent="0.2">
      <c r="A1046" s="150" t="s">
        <v>2104</v>
      </c>
      <c r="B1046" s="18" t="s">
        <v>2134</v>
      </c>
      <c r="C1046" s="18" t="s">
        <v>2136</v>
      </c>
      <c r="D1046" s="19" t="s">
        <v>2135</v>
      </c>
      <c r="E1046" s="55" t="s">
        <v>2194</v>
      </c>
      <c r="F1046" s="55" t="s">
        <v>4</v>
      </c>
      <c r="G1046" s="55" t="s">
        <v>5</v>
      </c>
      <c r="H1046" s="55" t="s">
        <v>3</v>
      </c>
      <c r="I1046" s="55"/>
      <c r="J1046" s="55"/>
      <c r="K1046" s="19" t="s">
        <v>413</v>
      </c>
      <c r="L1046" s="19"/>
      <c r="M1046" s="19"/>
      <c r="N1046" s="19"/>
      <c r="O1046" s="151">
        <v>43069</v>
      </c>
      <c r="P1046" s="151"/>
      <c r="Q1046" s="151"/>
      <c r="R1046" s="151"/>
      <c r="S1046" s="189">
        <v>2564487</v>
      </c>
      <c r="T1046" s="152"/>
      <c r="U1046" s="145">
        <v>0</v>
      </c>
      <c r="V1046" s="145">
        <v>0</v>
      </c>
      <c r="W1046" s="145">
        <v>0</v>
      </c>
      <c r="X1046" s="145">
        <f t="shared" ref="X1046:X1053" si="332">W1046+V1046+U1046</f>
        <v>0</v>
      </c>
      <c r="Y1046" s="145">
        <v>0</v>
      </c>
      <c r="Z1046" s="145">
        <v>0</v>
      </c>
      <c r="AA1046" s="145">
        <v>0</v>
      </c>
      <c r="AB1046" s="145">
        <v>0</v>
      </c>
      <c r="AC1046" s="145">
        <v>0</v>
      </c>
      <c r="AD1046" s="145">
        <v>0</v>
      </c>
      <c r="AE1046" s="145">
        <v>0</v>
      </c>
      <c r="AF1046" s="145">
        <v>0</v>
      </c>
      <c r="AG1046" s="145">
        <v>0</v>
      </c>
      <c r="AH1046" s="145">
        <v>0</v>
      </c>
      <c r="AI1046" s="145">
        <v>0</v>
      </c>
      <c r="AJ1046" s="145">
        <v>0</v>
      </c>
      <c r="AK1046" s="145">
        <f t="shared" ref="AK1046:AK1053" si="333">SUM(Y1046:AJ1046)</f>
        <v>0</v>
      </c>
      <c r="AL1046" s="145">
        <v>1364487</v>
      </c>
      <c r="AM1046" s="145">
        <v>1200000</v>
      </c>
      <c r="AN1046" s="145">
        <v>0</v>
      </c>
      <c r="AO1046" s="145">
        <v>0</v>
      </c>
      <c r="AP1046" s="145">
        <v>0</v>
      </c>
      <c r="AQ1046" s="145">
        <v>0</v>
      </c>
      <c r="AR1046" s="145">
        <v>0</v>
      </c>
      <c r="AS1046" s="145">
        <f t="shared" si="328"/>
        <v>2564487</v>
      </c>
      <c r="AT1046" s="145"/>
      <c r="AU1046" s="139">
        <f t="shared" si="318"/>
        <v>2564487</v>
      </c>
      <c r="AV1046" s="146">
        <f>IFERROR(VLOOKUP(J1046,Maksājumu_pieprasījumu_iesn.!G:BL,57,0),0)</f>
        <v>0</v>
      </c>
      <c r="AW1046" s="139">
        <f t="shared" si="330"/>
        <v>-2564487</v>
      </c>
      <c r="AX1046" s="140">
        <f t="shared" si="329"/>
        <v>0</v>
      </c>
      <c r="AY1046" s="137"/>
      <c r="AZ1046" s="137"/>
      <c r="BA1046" s="138"/>
      <c r="BB1046" s="145"/>
      <c r="BC1046" s="145"/>
      <c r="BD1046" s="145"/>
      <c r="BE1046" s="145"/>
      <c r="BF1046" s="145"/>
      <c r="BG1046" s="145"/>
      <c r="BH1046" s="138"/>
      <c r="BI1046" s="138"/>
      <c r="BJ1046" s="138"/>
      <c r="BK1046" s="138"/>
      <c r="BL1046" s="138"/>
      <c r="BM1046" s="138"/>
      <c r="BN1046" s="138"/>
    </row>
    <row r="1047" spans="1:66" s="91" customFormat="1" ht="25.5" hidden="1" customHeight="1" x14ac:dyDescent="0.2">
      <c r="A1047" s="150" t="s">
        <v>2104</v>
      </c>
      <c r="B1047" s="18" t="s">
        <v>2134</v>
      </c>
      <c r="C1047" s="18" t="s">
        <v>2136</v>
      </c>
      <c r="D1047" s="19" t="s">
        <v>2135</v>
      </c>
      <c r="E1047" s="55" t="s">
        <v>2194</v>
      </c>
      <c r="F1047" s="55" t="s">
        <v>4</v>
      </c>
      <c r="G1047" s="55" t="s">
        <v>5</v>
      </c>
      <c r="H1047" s="55" t="s">
        <v>3</v>
      </c>
      <c r="I1047" s="55"/>
      <c r="J1047" s="55"/>
      <c r="K1047" s="19" t="s">
        <v>1263</v>
      </c>
      <c r="L1047" s="19"/>
      <c r="M1047" s="19"/>
      <c r="N1047" s="19"/>
      <c r="O1047" s="151">
        <v>43281</v>
      </c>
      <c r="P1047" s="151"/>
      <c r="Q1047" s="151"/>
      <c r="R1047" s="151"/>
      <c r="S1047" s="189">
        <v>1034058</v>
      </c>
      <c r="T1047" s="152"/>
      <c r="U1047" s="145">
        <v>0</v>
      </c>
      <c r="V1047" s="145">
        <v>0</v>
      </c>
      <c r="W1047" s="145">
        <v>0</v>
      </c>
      <c r="X1047" s="145">
        <f t="shared" si="332"/>
        <v>0</v>
      </c>
      <c r="Y1047" s="145">
        <v>0</v>
      </c>
      <c r="Z1047" s="145">
        <v>0</v>
      </c>
      <c r="AA1047" s="145">
        <v>0</v>
      </c>
      <c r="AB1047" s="145">
        <v>0</v>
      </c>
      <c r="AC1047" s="145">
        <v>0</v>
      </c>
      <c r="AD1047" s="145">
        <v>0</v>
      </c>
      <c r="AE1047" s="145">
        <v>0</v>
      </c>
      <c r="AF1047" s="145">
        <v>0</v>
      </c>
      <c r="AG1047" s="145">
        <v>0</v>
      </c>
      <c r="AH1047" s="145">
        <v>0</v>
      </c>
      <c r="AI1047" s="145">
        <v>0</v>
      </c>
      <c r="AJ1047" s="145">
        <v>0</v>
      </c>
      <c r="AK1047" s="145">
        <f t="shared" si="333"/>
        <v>0</v>
      </c>
      <c r="AL1047" s="145">
        <v>434058</v>
      </c>
      <c r="AM1047" s="145">
        <v>600000</v>
      </c>
      <c r="AN1047" s="145">
        <v>0</v>
      </c>
      <c r="AO1047" s="145">
        <v>0</v>
      </c>
      <c r="AP1047" s="145">
        <v>0</v>
      </c>
      <c r="AQ1047" s="145">
        <v>0</v>
      </c>
      <c r="AR1047" s="145">
        <v>0</v>
      </c>
      <c r="AS1047" s="145">
        <f t="shared" si="328"/>
        <v>1034058</v>
      </c>
      <c r="AT1047" s="145"/>
      <c r="AU1047" s="139">
        <f t="shared" si="318"/>
        <v>1034058</v>
      </c>
      <c r="AV1047" s="146">
        <f>IFERROR(VLOOKUP(J1047,Maksājumu_pieprasījumu_iesn.!G:BL,57,0),0)</f>
        <v>0</v>
      </c>
      <c r="AW1047" s="139">
        <f t="shared" si="330"/>
        <v>-1034058</v>
      </c>
      <c r="AX1047" s="140">
        <f t="shared" si="329"/>
        <v>0</v>
      </c>
      <c r="AY1047" s="137"/>
      <c r="AZ1047" s="137"/>
      <c r="BA1047" s="138"/>
      <c r="BB1047" s="145"/>
      <c r="BC1047" s="145"/>
      <c r="BD1047" s="145"/>
      <c r="BE1047" s="145"/>
      <c r="BF1047" s="145"/>
      <c r="BG1047" s="145"/>
      <c r="BH1047" s="138"/>
      <c r="BI1047" s="138"/>
      <c r="BJ1047" s="138"/>
      <c r="BK1047" s="138"/>
      <c r="BL1047" s="138"/>
      <c r="BM1047" s="138"/>
      <c r="BN1047" s="138"/>
    </row>
    <row r="1048" spans="1:66" s="91" customFormat="1" ht="25.5" hidden="1" customHeight="1" x14ac:dyDescent="0.2">
      <c r="A1048" s="150" t="s">
        <v>2104</v>
      </c>
      <c r="B1048" s="18" t="s">
        <v>2134</v>
      </c>
      <c r="C1048" s="18" t="s">
        <v>2136</v>
      </c>
      <c r="D1048" s="19" t="s">
        <v>2135</v>
      </c>
      <c r="E1048" s="55" t="s">
        <v>2194</v>
      </c>
      <c r="F1048" s="55" t="s">
        <v>4</v>
      </c>
      <c r="G1048" s="55" t="s">
        <v>5</v>
      </c>
      <c r="H1048" s="55" t="s">
        <v>3</v>
      </c>
      <c r="I1048" s="55"/>
      <c r="J1048" s="55"/>
      <c r="K1048" s="155" t="s">
        <v>2196</v>
      </c>
      <c r="L1048" s="155"/>
      <c r="M1048" s="19"/>
      <c r="N1048" s="155" t="s">
        <v>2197</v>
      </c>
      <c r="O1048" s="151">
        <v>42902</v>
      </c>
      <c r="P1048" s="151"/>
      <c r="Q1048" s="151"/>
      <c r="R1048" s="151"/>
      <c r="S1048" s="189">
        <v>1055850</v>
      </c>
      <c r="T1048" s="152"/>
      <c r="U1048" s="145">
        <v>0</v>
      </c>
      <c r="V1048" s="145">
        <v>0</v>
      </c>
      <c r="W1048" s="145">
        <v>0</v>
      </c>
      <c r="X1048" s="145">
        <f t="shared" si="332"/>
        <v>0</v>
      </c>
      <c r="Y1048" s="145">
        <v>0</v>
      </c>
      <c r="Z1048" s="145">
        <v>0</v>
      </c>
      <c r="AA1048" s="145">
        <v>0</v>
      </c>
      <c r="AB1048" s="145">
        <v>0</v>
      </c>
      <c r="AC1048" s="145">
        <v>0</v>
      </c>
      <c r="AD1048" s="145">
        <v>0</v>
      </c>
      <c r="AE1048" s="145">
        <v>0</v>
      </c>
      <c r="AF1048" s="145">
        <v>0</v>
      </c>
      <c r="AG1048" s="145">
        <v>0</v>
      </c>
      <c r="AH1048" s="145">
        <v>0</v>
      </c>
      <c r="AI1048" s="145">
        <v>0</v>
      </c>
      <c r="AJ1048" s="145">
        <v>0</v>
      </c>
      <c r="AK1048" s="145">
        <f t="shared" si="333"/>
        <v>0</v>
      </c>
      <c r="AL1048" s="145">
        <v>950000</v>
      </c>
      <c r="AM1048" s="145">
        <v>105850</v>
      </c>
      <c r="AN1048" s="145">
        <v>0</v>
      </c>
      <c r="AO1048" s="145">
        <v>0</v>
      </c>
      <c r="AP1048" s="145">
        <v>0</v>
      </c>
      <c r="AQ1048" s="145">
        <v>0</v>
      </c>
      <c r="AR1048" s="145">
        <v>0</v>
      </c>
      <c r="AS1048" s="145">
        <f t="shared" si="328"/>
        <v>1055850</v>
      </c>
      <c r="AT1048" s="145"/>
      <c r="AU1048" s="139">
        <f t="shared" si="318"/>
        <v>1055850</v>
      </c>
      <c r="AV1048" s="146">
        <f>IFERROR(VLOOKUP(J1048,Maksājumu_pieprasījumu_iesn.!G:BL,57,0),0)</f>
        <v>0</v>
      </c>
      <c r="AW1048" s="139">
        <f t="shared" si="330"/>
        <v>-1055850</v>
      </c>
      <c r="AX1048" s="140">
        <f t="shared" si="329"/>
        <v>0</v>
      </c>
      <c r="AY1048" s="137"/>
      <c r="AZ1048" s="137"/>
      <c r="BA1048" s="138"/>
      <c r="BB1048" s="145"/>
      <c r="BC1048" s="145"/>
      <c r="BD1048" s="145"/>
      <c r="BE1048" s="145"/>
      <c r="BF1048" s="145"/>
      <c r="BG1048" s="145"/>
      <c r="BH1048" s="138"/>
      <c r="BI1048" s="138"/>
      <c r="BJ1048" s="138"/>
      <c r="BK1048" s="138"/>
      <c r="BL1048" s="138"/>
      <c r="BM1048" s="138"/>
      <c r="BN1048" s="138"/>
    </row>
    <row r="1049" spans="1:66" s="91" customFormat="1" ht="25.5" hidden="1" customHeight="1" x14ac:dyDescent="0.2">
      <c r="A1049" s="150" t="s">
        <v>2104</v>
      </c>
      <c r="B1049" s="18" t="s">
        <v>2134</v>
      </c>
      <c r="C1049" s="18" t="s">
        <v>2136</v>
      </c>
      <c r="D1049" s="19" t="s">
        <v>2135</v>
      </c>
      <c r="E1049" s="55" t="s">
        <v>2194</v>
      </c>
      <c r="F1049" s="55" t="s">
        <v>4</v>
      </c>
      <c r="G1049" s="55" t="s">
        <v>5</v>
      </c>
      <c r="H1049" s="55" t="s">
        <v>3</v>
      </c>
      <c r="I1049" s="55"/>
      <c r="J1049" s="55"/>
      <c r="K1049" s="155" t="s">
        <v>2198</v>
      </c>
      <c r="L1049" s="155"/>
      <c r="M1049" s="19"/>
      <c r="N1049" s="155" t="s">
        <v>2199</v>
      </c>
      <c r="O1049" s="151">
        <v>42902</v>
      </c>
      <c r="P1049" s="151"/>
      <c r="Q1049" s="151"/>
      <c r="R1049" s="151"/>
      <c r="S1049" s="189">
        <v>1968659</v>
      </c>
      <c r="T1049" s="152"/>
      <c r="U1049" s="145">
        <v>0</v>
      </c>
      <c r="V1049" s="145">
        <v>0</v>
      </c>
      <c r="W1049" s="145">
        <v>0</v>
      </c>
      <c r="X1049" s="145">
        <f t="shared" si="332"/>
        <v>0</v>
      </c>
      <c r="Y1049" s="145">
        <v>0</v>
      </c>
      <c r="Z1049" s="145">
        <v>0</v>
      </c>
      <c r="AA1049" s="145">
        <v>0</v>
      </c>
      <c r="AB1049" s="145">
        <v>0</v>
      </c>
      <c r="AC1049" s="145">
        <v>0</v>
      </c>
      <c r="AD1049" s="145">
        <v>0</v>
      </c>
      <c r="AE1049" s="145">
        <v>0</v>
      </c>
      <c r="AF1049" s="145">
        <v>0</v>
      </c>
      <c r="AG1049" s="145">
        <v>0</v>
      </c>
      <c r="AH1049" s="145">
        <v>300000</v>
      </c>
      <c r="AI1049" s="145">
        <v>300000</v>
      </c>
      <c r="AJ1049" s="145">
        <v>300000</v>
      </c>
      <c r="AK1049" s="145">
        <f t="shared" si="333"/>
        <v>900000</v>
      </c>
      <c r="AL1049" s="145">
        <v>1068659</v>
      </c>
      <c r="AM1049" s="145">
        <v>0</v>
      </c>
      <c r="AN1049" s="145">
        <v>0</v>
      </c>
      <c r="AO1049" s="145">
        <v>0</v>
      </c>
      <c r="AP1049" s="145">
        <v>0</v>
      </c>
      <c r="AQ1049" s="145">
        <v>0</v>
      </c>
      <c r="AR1049" s="145">
        <v>0</v>
      </c>
      <c r="AS1049" s="145">
        <f t="shared" si="328"/>
        <v>1968659</v>
      </c>
      <c r="AT1049" s="145"/>
      <c r="AU1049" s="139">
        <f t="shared" si="318"/>
        <v>1968659</v>
      </c>
      <c r="AV1049" s="146">
        <f>IFERROR(VLOOKUP(J1049,Maksājumu_pieprasījumu_iesn.!G:BL,57,0),0)</f>
        <v>0</v>
      </c>
      <c r="AW1049" s="139">
        <f t="shared" si="330"/>
        <v>-1968659</v>
      </c>
      <c r="AX1049" s="140">
        <f t="shared" si="329"/>
        <v>0</v>
      </c>
      <c r="AY1049" s="137"/>
      <c r="AZ1049" s="137"/>
      <c r="BA1049" s="138"/>
      <c r="BB1049" s="145"/>
      <c r="BC1049" s="145"/>
      <c r="BD1049" s="145"/>
      <c r="BE1049" s="145"/>
      <c r="BF1049" s="145"/>
      <c r="BG1049" s="145"/>
      <c r="BH1049" s="138"/>
      <c r="BI1049" s="138"/>
      <c r="BJ1049" s="138"/>
      <c r="BK1049" s="138"/>
      <c r="BL1049" s="138"/>
      <c r="BM1049" s="138"/>
      <c r="BN1049" s="138"/>
    </row>
    <row r="1050" spans="1:66" s="91" customFormat="1" ht="25.5" hidden="1" customHeight="1" x14ac:dyDescent="0.2">
      <c r="A1050" s="150" t="s">
        <v>2104</v>
      </c>
      <c r="B1050" s="18" t="s">
        <v>2134</v>
      </c>
      <c r="C1050" s="18" t="s">
        <v>2136</v>
      </c>
      <c r="D1050" s="19" t="s">
        <v>2135</v>
      </c>
      <c r="E1050" s="55" t="s">
        <v>2194</v>
      </c>
      <c r="F1050" s="55" t="s">
        <v>4</v>
      </c>
      <c r="G1050" s="55" t="s">
        <v>5</v>
      </c>
      <c r="H1050" s="55" t="s">
        <v>3</v>
      </c>
      <c r="I1050" s="55"/>
      <c r="J1050" s="55"/>
      <c r="K1050" s="19" t="s">
        <v>1291</v>
      </c>
      <c r="L1050" s="19"/>
      <c r="M1050" s="19"/>
      <c r="N1050" s="19"/>
      <c r="O1050" s="151">
        <v>43100</v>
      </c>
      <c r="P1050" s="151"/>
      <c r="Q1050" s="151"/>
      <c r="R1050" s="151"/>
      <c r="S1050" s="189">
        <v>3178193</v>
      </c>
      <c r="T1050" s="152"/>
      <c r="U1050" s="145">
        <v>0</v>
      </c>
      <c r="V1050" s="145">
        <v>0</v>
      </c>
      <c r="W1050" s="145">
        <v>0</v>
      </c>
      <c r="X1050" s="145">
        <f t="shared" si="332"/>
        <v>0</v>
      </c>
      <c r="Y1050" s="145">
        <v>0</v>
      </c>
      <c r="Z1050" s="145">
        <v>0</v>
      </c>
      <c r="AA1050" s="145">
        <v>0</v>
      </c>
      <c r="AB1050" s="145">
        <v>0</v>
      </c>
      <c r="AC1050" s="145">
        <v>0</v>
      </c>
      <c r="AD1050" s="145">
        <v>0</v>
      </c>
      <c r="AE1050" s="145">
        <v>0</v>
      </c>
      <c r="AF1050" s="145">
        <v>0</v>
      </c>
      <c r="AG1050" s="145">
        <v>0</v>
      </c>
      <c r="AH1050" s="145">
        <v>0</v>
      </c>
      <c r="AI1050" s="145">
        <v>0</v>
      </c>
      <c r="AJ1050" s="145">
        <v>0</v>
      </c>
      <c r="AK1050" s="145">
        <f t="shared" si="333"/>
        <v>0</v>
      </c>
      <c r="AL1050" s="145">
        <v>1589096</v>
      </c>
      <c r="AM1050" s="145">
        <v>1271277</v>
      </c>
      <c r="AN1050" s="145">
        <v>317820</v>
      </c>
      <c r="AO1050" s="145">
        <v>0</v>
      </c>
      <c r="AP1050" s="145">
        <v>0</v>
      </c>
      <c r="AQ1050" s="145">
        <v>0</v>
      </c>
      <c r="AR1050" s="145">
        <v>0</v>
      </c>
      <c r="AS1050" s="145">
        <f t="shared" si="328"/>
        <v>3178193</v>
      </c>
      <c r="AT1050" s="145"/>
      <c r="AU1050" s="139">
        <f t="shared" si="318"/>
        <v>3178193</v>
      </c>
      <c r="AV1050" s="146">
        <f>IFERROR(VLOOKUP(J1050,Maksājumu_pieprasījumu_iesn.!G:BL,57,0),0)</f>
        <v>0</v>
      </c>
      <c r="AW1050" s="139">
        <f t="shared" si="330"/>
        <v>-3178193</v>
      </c>
      <c r="AX1050" s="140">
        <f t="shared" si="329"/>
        <v>0</v>
      </c>
      <c r="AY1050" s="137"/>
      <c r="AZ1050" s="137"/>
      <c r="BA1050" s="138"/>
      <c r="BB1050" s="145"/>
      <c r="BC1050" s="145"/>
      <c r="BD1050" s="145"/>
      <c r="BE1050" s="145"/>
      <c r="BF1050" s="145"/>
      <c r="BG1050" s="145"/>
      <c r="BH1050" s="138"/>
      <c r="BI1050" s="138"/>
      <c r="BJ1050" s="138"/>
      <c r="BK1050" s="138"/>
      <c r="BL1050" s="138"/>
      <c r="BM1050" s="138"/>
      <c r="BN1050" s="138"/>
    </row>
    <row r="1051" spans="1:66" s="91" customFormat="1" ht="25.5" hidden="1" customHeight="1" x14ac:dyDescent="0.2">
      <c r="A1051" s="150" t="s">
        <v>2104</v>
      </c>
      <c r="B1051" s="18" t="s">
        <v>2134</v>
      </c>
      <c r="C1051" s="18" t="s">
        <v>2136</v>
      </c>
      <c r="D1051" s="19" t="s">
        <v>2135</v>
      </c>
      <c r="E1051" s="55" t="s">
        <v>2194</v>
      </c>
      <c r="F1051" s="55" t="s">
        <v>4</v>
      </c>
      <c r="G1051" s="55" t="s">
        <v>5</v>
      </c>
      <c r="H1051" s="55" t="s">
        <v>3</v>
      </c>
      <c r="I1051" s="55"/>
      <c r="J1051" s="55"/>
      <c r="K1051" s="19" t="s">
        <v>2200</v>
      </c>
      <c r="L1051" s="19"/>
      <c r="M1051" s="19"/>
      <c r="N1051" s="19" t="s">
        <v>2201</v>
      </c>
      <c r="O1051" s="151">
        <v>42902</v>
      </c>
      <c r="P1051" s="151"/>
      <c r="Q1051" s="151"/>
      <c r="R1051" s="151"/>
      <c r="S1051" s="152">
        <v>2778494</v>
      </c>
      <c r="T1051" s="152"/>
      <c r="U1051" s="145">
        <v>0</v>
      </c>
      <c r="V1051" s="145">
        <v>0</v>
      </c>
      <c r="W1051" s="145">
        <v>0</v>
      </c>
      <c r="X1051" s="145">
        <f t="shared" si="332"/>
        <v>0</v>
      </c>
      <c r="Y1051" s="145">
        <v>0</v>
      </c>
      <c r="Z1051" s="145">
        <v>0</v>
      </c>
      <c r="AA1051" s="145">
        <v>0</v>
      </c>
      <c r="AB1051" s="145">
        <v>0</v>
      </c>
      <c r="AC1051" s="145">
        <v>0</v>
      </c>
      <c r="AD1051" s="145">
        <v>0</v>
      </c>
      <c r="AE1051" s="145">
        <v>0</v>
      </c>
      <c r="AF1051" s="145">
        <v>0</v>
      </c>
      <c r="AG1051" s="145">
        <v>0</v>
      </c>
      <c r="AH1051" s="145">
        <v>0</v>
      </c>
      <c r="AI1051" s="145">
        <v>0</v>
      </c>
      <c r="AJ1051" s="145">
        <v>0</v>
      </c>
      <c r="AK1051" s="145">
        <f t="shared" si="333"/>
        <v>0</v>
      </c>
      <c r="AL1051" s="145">
        <v>2500645</v>
      </c>
      <c r="AM1051" s="145">
        <v>277849</v>
      </c>
      <c r="AN1051" s="145">
        <v>0</v>
      </c>
      <c r="AO1051" s="145">
        <v>0</v>
      </c>
      <c r="AP1051" s="145">
        <v>0</v>
      </c>
      <c r="AQ1051" s="145">
        <v>0</v>
      </c>
      <c r="AR1051" s="145">
        <v>0</v>
      </c>
      <c r="AS1051" s="145">
        <f t="shared" si="328"/>
        <v>2778494</v>
      </c>
      <c r="AT1051" s="145"/>
      <c r="AU1051" s="139">
        <f t="shared" si="318"/>
        <v>2778494</v>
      </c>
      <c r="AV1051" s="146">
        <f>IFERROR(VLOOKUP(J1051,Maksājumu_pieprasījumu_iesn.!G:BL,57,0),0)</f>
        <v>0</v>
      </c>
      <c r="AW1051" s="139">
        <f t="shared" si="330"/>
        <v>-2778494</v>
      </c>
      <c r="AX1051" s="140">
        <f t="shared" si="329"/>
        <v>0</v>
      </c>
      <c r="AY1051" s="137"/>
      <c r="AZ1051" s="137"/>
      <c r="BA1051" s="138"/>
      <c r="BB1051" s="145"/>
      <c r="BC1051" s="145"/>
      <c r="BD1051" s="145"/>
      <c r="BE1051" s="145"/>
      <c r="BF1051" s="145"/>
      <c r="BG1051" s="145"/>
      <c r="BH1051" s="138"/>
      <c r="BI1051" s="138"/>
      <c r="BJ1051" s="138"/>
      <c r="BK1051" s="138"/>
      <c r="BL1051" s="138"/>
      <c r="BM1051" s="138"/>
      <c r="BN1051" s="138"/>
    </row>
    <row r="1052" spans="1:66" ht="25.5" hidden="1" customHeight="1" x14ac:dyDescent="0.2">
      <c r="A1052" s="142" t="s">
        <v>2104</v>
      </c>
      <c r="B1052" s="18" t="s">
        <v>2134</v>
      </c>
      <c r="C1052" s="18" t="s">
        <v>2136</v>
      </c>
      <c r="D1052" s="19" t="s">
        <v>2135</v>
      </c>
      <c r="E1052" s="18" t="s">
        <v>2194</v>
      </c>
      <c r="F1052" s="18" t="s">
        <v>4</v>
      </c>
      <c r="G1052" s="18" t="s">
        <v>5</v>
      </c>
      <c r="H1052" s="18" t="s">
        <v>3</v>
      </c>
      <c r="I1052" s="18"/>
      <c r="J1052" s="332" t="s">
        <v>2202</v>
      </c>
      <c r="K1052" s="19" t="s">
        <v>2203</v>
      </c>
      <c r="L1052" s="19"/>
      <c r="M1052" s="19"/>
      <c r="N1052" s="19" t="s">
        <v>2204</v>
      </c>
      <c r="O1052" s="143"/>
      <c r="P1052" s="143"/>
      <c r="Q1052" s="143"/>
      <c r="R1052" s="187" t="s">
        <v>1309</v>
      </c>
      <c r="S1052" s="152">
        <v>2387389</v>
      </c>
      <c r="T1052" s="144">
        <v>0</v>
      </c>
      <c r="U1052" s="145">
        <v>0</v>
      </c>
      <c r="V1052" s="145">
        <v>0</v>
      </c>
      <c r="W1052" s="145">
        <v>0</v>
      </c>
      <c r="X1052" s="145">
        <f t="shared" si="332"/>
        <v>0</v>
      </c>
      <c r="Y1052" s="145">
        <v>0</v>
      </c>
      <c r="Z1052" s="145">
        <v>0</v>
      </c>
      <c r="AA1052" s="145">
        <v>0</v>
      </c>
      <c r="AB1052" s="145">
        <v>0</v>
      </c>
      <c r="AC1052" s="145">
        <v>0</v>
      </c>
      <c r="AD1052" s="145">
        <v>0</v>
      </c>
      <c r="AE1052" s="145">
        <v>0</v>
      </c>
      <c r="AF1052" s="145">
        <v>0</v>
      </c>
      <c r="AG1052" s="145">
        <v>0</v>
      </c>
      <c r="AH1052" s="145">
        <v>0</v>
      </c>
      <c r="AI1052" s="145">
        <v>0</v>
      </c>
      <c r="AJ1052" s="145">
        <v>0</v>
      </c>
      <c r="AK1052" s="145">
        <f t="shared" si="333"/>
        <v>0</v>
      </c>
      <c r="AL1052" s="145">
        <v>2387389</v>
      </c>
      <c r="AM1052" s="145">
        <v>0</v>
      </c>
      <c r="AN1052" s="145">
        <v>0</v>
      </c>
      <c r="AO1052" s="145">
        <v>0</v>
      </c>
      <c r="AP1052" s="145">
        <v>0</v>
      </c>
      <c r="AQ1052" s="145">
        <v>0</v>
      </c>
      <c r="AR1052" s="145">
        <v>0</v>
      </c>
      <c r="AS1052" s="144">
        <f t="shared" si="328"/>
        <v>2387389</v>
      </c>
      <c r="AT1052" s="144"/>
      <c r="AU1052" s="146">
        <f t="shared" si="318"/>
        <v>2387389</v>
      </c>
      <c r="AV1052" s="146">
        <f>IFERROR(VLOOKUP(J1052,Maksājumu_pieprasījumu_iesn.!G:BL,57,0),0)</f>
        <v>0</v>
      </c>
      <c r="AW1052" s="139">
        <f t="shared" si="330"/>
        <v>-2387389</v>
      </c>
      <c r="AX1052" s="140">
        <f t="shared" si="329"/>
        <v>0</v>
      </c>
      <c r="AY1052" s="137"/>
      <c r="AZ1052" s="137"/>
      <c r="BA1052" s="149"/>
      <c r="BB1052" s="144"/>
      <c r="BC1052" s="144"/>
      <c r="BD1052" s="144"/>
      <c r="BE1052" s="144"/>
      <c r="BF1052" s="144"/>
      <c r="BG1052" s="144"/>
      <c r="BH1052" s="149"/>
      <c r="BI1052" s="149"/>
      <c r="BJ1052" s="149"/>
      <c r="BK1052" s="149"/>
      <c r="BL1052" s="149"/>
      <c r="BM1052" s="149"/>
      <c r="BN1052" s="149"/>
    </row>
    <row r="1053" spans="1:66" s="91" customFormat="1" ht="25.5" hidden="1" customHeight="1" x14ac:dyDescent="0.2">
      <c r="A1053" s="150" t="s">
        <v>2104</v>
      </c>
      <c r="B1053" s="18" t="s">
        <v>2134</v>
      </c>
      <c r="C1053" s="18" t="s">
        <v>2136</v>
      </c>
      <c r="D1053" s="19" t="s">
        <v>2135</v>
      </c>
      <c r="E1053" s="55" t="s">
        <v>2194</v>
      </c>
      <c r="F1053" s="55" t="s">
        <v>4</v>
      </c>
      <c r="G1053" s="55" t="s">
        <v>5</v>
      </c>
      <c r="H1053" s="55" t="s">
        <v>3</v>
      </c>
      <c r="I1053" s="55"/>
      <c r="J1053" s="55"/>
      <c r="K1053" s="19" t="s">
        <v>2205</v>
      </c>
      <c r="L1053" s="19"/>
      <c r="M1053" s="19"/>
      <c r="N1053" s="19"/>
      <c r="O1053" s="151">
        <v>43100</v>
      </c>
      <c r="P1053" s="151"/>
      <c r="Q1053" s="151"/>
      <c r="R1053" s="151"/>
      <c r="S1053" s="152">
        <v>300000</v>
      </c>
      <c r="T1053" s="152"/>
      <c r="U1053" s="145">
        <v>0</v>
      </c>
      <c r="V1053" s="145">
        <v>0</v>
      </c>
      <c r="W1053" s="145">
        <v>0</v>
      </c>
      <c r="X1053" s="145">
        <f t="shared" si="332"/>
        <v>0</v>
      </c>
      <c r="Y1053" s="145">
        <v>0</v>
      </c>
      <c r="Z1053" s="145">
        <v>0</v>
      </c>
      <c r="AA1053" s="145">
        <v>0</v>
      </c>
      <c r="AB1053" s="145">
        <v>0</v>
      </c>
      <c r="AC1053" s="145">
        <v>0</v>
      </c>
      <c r="AD1053" s="145">
        <v>0</v>
      </c>
      <c r="AE1053" s="145">
        <v>0</v>
      </c>
      <c r="AF1053" s="145">
        <v>0</v>
      </c>
      <c r="AG1053" s="145">
        <v>0</v>
      </c>
      <c r="AH1053" s="145">
        <v>0</v>
      </c>
      <c r="AI1053" s="145">
        <v>0</v>
      </c>
      <c r="AJ1053" s="145">
        <v>0</v>
      </c>
      <c r="AK1053" s="145">
        <f t="shared" si="333"/>
        <v>0</v>
      </c>
      <c r="AL1053" s="145">
        <v>240000</v>
      </c>
      <c r="AM1053" s="145">
        <v>60000</v>
      </c>
      <c r="AN1053" s="145">
        <v>0</v>
      </c>
      <c r="AO1053" s="145">
        <v>0</v>
      </c>
      <c r="AP1053" s="145">
        <v>0</v>
      </c>
      <c r="AQ1053" s="145">
        <v>0</v>
      </c>
      <c r="AR1053" s="145">
        <v>0</v>
      </c>
      <c r="AS1053" s="145">
        <f t="shared" si="328"/>
        <v>300000</v>
      </c>
      <c r="AT1053" s="145"/>
      <c r="AU1053" s="139">
        <f t="shared" si="318"/>
        <v>300000</v>
      </c>
      <c r="AV1053" s="146">
        <f>IFERROR(VLOOKUP(J1053,Maksājumu_pieprasījumu_iesn.!G:BL,57,0),0)</f>
        <v>0</v>
      </c>
      <c r="AW1053" s="139">
        <f t="shared" si="330"/>
        <v>-300000</v>
      </c>
      <c r="AX1053" s="140">
        <f t="shared" si="329"/>
        <v>0</v>
      </c>
      <c r="AY1053" s="137"/>
      <c r="AZ1053" s="137"/>
      <c r="BA1053" s="138"/>
      <c r="BB1053" s="145"/>
      <c r="BC1053" s="145"/>
      <c r="BD1053" s="145"/>
      <c r="BE1053" s="145"/>
      <c r="BF1053" s="145"/>
      <c r="BG1053" s="145"/>
      <c r="BH1053" s="138"/>
      <c r="BI1053" s="138"/>
      <c r="BJ1053" s="138"/>
      <c r="BK1053" s="138"/>
      <c r="BL1053" s="138"/>
      <c r="BM1053" s="138"/>
      <c r="BN1053" s="138"/>
    </row>
    <row r="1054" spans="1:66" s="91" customFormat="1" ht="25.5" hidden="1" customHeight="1" x14ac:dyDescent="0.2">
      <c r="A1054" s="131" t="s">
        <v>2104</v>
      </c>
      <c r="B1054" s="132" t="s">
        <v>2134</v>
      </c>
      <c r="C1054" s="132" t="s">
        <v>2136</v>
      </c>
      <c r="D1054" s="133" t="s">
        <v>2135</v>
      </c>
      <c r="E1054" s="22">
        <v>4</v>
      </c>
      <c r="F1054" s="22" t="s">
        <v>4</v>
      </c>
      <c r="G1054" s="22" t="s">
        <v>5</v>
      </c>
      <c r="H1054" s="22" t="s">
        <v>3</v>
      </c>
      <c r="I1054" s="22" t="s">
        <v>1022</v>
      </c>
      <c r="J1054" s="134" t="s">
        <v>1026</v>
      </c>
      <c r="K1054" s="133"/>
      <c r="L1054" s="133"/>
      <c r="M1054" s="133"/>
      <c r="N1054" s="133"/>
      <c r="O1054" s="135"/>
      <c r="P1054" s="135"/>
      <c r="Q1054" s="135"/>
      <c r="R1054" s="135"/>
      <c r="S1054" s="136">
        <v>4895346</v>
      </c>
      <c r="T1054" s="136">
        <v>4895346</v>
      </c>
      <c r="U1054" s="137">
        <v>0</v>
      </c>
      <c r="V1054" s="137">
        <v>0</v>
      </c>
      <c r="W1054" s="137">
        <v>0</v>
      </c>
      <c r="X1054" s="138">
        <f>U1054+V1054+W1054</f>
        <v>0</v>
      </c>
      <c r="Y1054" s="137">
        <v>0</v>
      </c>
      <c r="Z1054" s="137">
        <v>0</v>
      </c>
      <c r="AA1054" s="137">
        <v>0</v>
      </c>
      <c r="AB1054" s="137">
        <v>0</v>
      </c>
      <c r="AC1054" s="137">
        <v>0</v>
      </c>
      <c r="AD1054" s="137">
        <v>0</v>
      </c>
      <c r="AE1054" s="137">
        <v>0</v>
      </c>
      <c r="AF1054" s="137">
        <v>0</v>
      </c>
      <c r="AG1054" s="137">
        <v>0</v>
      </c>
      <c r="AH1054" s="137">
        <v>0</v>
      </c>
      <c r="AI1054" s="137">
        <v>0</v>
      </c>
      <c r="AJ1054" s="137">
        <v>0</v>
      </c>
      <c r="AK1054" s="137">
        <v>0</v>
      </c>
      <c r="AL1054" s="137">
        <v>0</v>
      </c>
      <c r="AM1054" s="137">
        <v>0</v>
      </c>
      <c r="AN1054" s="137">
        <v>0</v>
      </c>
      <c r="AO1054" s="137">
        <v>0</v>
      </c>
      <c r="AP1054" s="137">
        <v>0</v>
      </c>
      <c r="AQ1054" s="137">
        <v>0</v>
      </c>
      <c r="AR1054" s="137">
        <v>0</v>
      </c>
      <c r="AS1054" s="137">
        <f t="shared" si="328"/>
        <v>0</v>
      </c>
      <c r="AT1054" s="137">
        <f>AT1055</f>
        <v>0</v>
      </c>
      <c r="AU1054" s="139">
        <f t="shared" si="318"/>
        <v>0</v>
      </c>
      <c r="AV1054" s="146">
        <f>IFERROR(VLOOKUP(J1054,Maksājumu_pieprasījumu_iesn.!G:BL,57,0),0)</f>
        <v>0</v>
      </c>
      <c r="AW1054" s="139">
        <f t="shared" si="330"/>
        <v>0</v>
      </c>
      <c r="AX1054" s="140">
        <f t="shared" si="329"/>
        <v>0</v>
      </c>
      <c r="AY1054" s="137"/>
      <c r="AZ1054" s="137"/>
      <c r="BA1054" s="138"/>
      <c r="BB1054" s="140"/>
      <c r="BC1054" s="140">
        <f>X1054+AK1054+AL1054/2</f>
        <v>0</v>
      </c>
      <c r="BD1054" s="140"/>
      <c r="BE1054" s="140">
        <f>BC1054/0.85</f>
        <v>0</v>
      </c>
      <c r="BF1054" s="137"/>
      <c r="BG1054" s="137"/>
      <c r="BH1054" s="138">
        <v>0</v>
      </c>
      <c r="BI1054" s="138">
        <v>0</v>
      </c>
      <c r="BJ1054" s="138"/>
      <c r="BK1054" s="138"/>
      <c r="BL1054" s="138">
        <v>0</v>
      </c>
      <c r="BM1054" s="138"/>
      <c r="BN1054" s="138"/>
    </row>
    <row r="1055" spans="1:66" s="221" customFormat="1" ht="25.5" hidden="1" customHeight="1" x14ac:dyDescent="0.2">
      <c r="A1055" s="220" t="s">
        <v>2104</v>
      </c>
      <c r="B1055" s="20" t="s">
        <v>2134</v>
      </c>
      <c r="C1055" s="20" t="s">
        <v>2136</v>
      </c>
      <c r="D1055" s="21" t="s">
        <v>2135</v>
      </c>
      <c r="E1055" s="52">
        <v>4</v>
      </c>
      <c r="F1055" s="52" t="s">
        <v>4</v>
      </c>
      <c r="G1055" s="52" t="s">
        <v>5</v>
      </c>
      <c r="H1055" s="52" t="s">
        <v>3</v>
      </c>
      <c r="I1055" s="52"/>
      <c r="J1055" s="22"/>
      <c r="K1055" s="133"/>
      <c r="L1055" s="133"/>
      <c r="M1055" s="133"/>
      <c r="N1055" s="133"/>
      <c r="O1055" s="135"/>
      <c r="P1055" s="135"/>
      <c r="Q1055" s="135"/>
      <c r="R1055" s="135"/>
      <c r="S1055" s="152">
        <v>0</v>
      </c>
      <c r="T1055" s="152"/>
      <c r="U1055" s="137"/>
      <c r="V1055" s="137"/>
      <c r="W1055" s="137"/>
      <c r="X1055" s="145">
        <f>W1055+V1055+U1055</f>
        <v>0</v>
      </c>
      <c r="Y1055" s="137"/>
      <c r="Z1055" s="137"/>
      <c r="AA1055" s="137"/>
      <c r="AB1055" s="137"/>
      <c r="AC1055" s="137"/>
      <c r="AD1055" s="137"/>
      <c r="AE1055" s="137"/>
      <c r="AF1055" s="137"/>
      <c r="AG1055" s="137"/>
      <c r="AH1055" s="137"/>
      <c r="AI1055" s="137"/>
      <c r="AJ1055" s="137"/>
      <c r="AK1055" s="137"/>
      <c r="AL1055" s="153"/>
      <c r="AM1055" s="137"/>
      <c r="AN1055" s="137"/>
      <c r="AO1055" s="137"/>
      <c r="AP1055" s="137"/>
      <c r="AQ1055" s="137"/>
      <c r="AR1055" s="137"/>
      <c r="AS1055" s="153"/>
      <c r="AT1055" s="137"/>
      <c r="AU1055" s="139">
        <f t="shared" si="318"/>
        <v>0</v>
      </c>
      <c r="AV1055" s="146">
        <f>IFERROR(VLOOKUP(J1055,Maksājumu_pieprasījumu_iesn.!G:BL,57,0),0)</f>
        <v>0</v>
      </c>
      <c r="AW1055" s="139">
        <f t="shared" si="330"/>
        <v>0</v>
      </c>
      <c r="AX1055" s="140">
        <f t="shared" si="329"/>
        <v>0</v>
      </c>
      <c r="AY1055" s="137"/>
      <c r="AZ1055" s="137"/>
      <c r="BA1055" s="138" t="s">
        <v>2206</v>
      </c>
      <c r="BB1055" s="153"/>
      <c r="BC1055" s="153"/>
      <c r="BD1055" s="153"/>
      <c r="BE1055" s="153"/>
      <c r="BF1055" s="153"/>
      <c r="BG1055" s="153"/>
      <c r="BH1055" s="138"/>
      <c r="BI1055" s="138"/>
      <c r="BJ1055" s="138"/>
      <c r="BK1055" s="138"/>
      <c r="BL1055" s="138"/>
      <c r="BM1055" s="138"/>
      <c r="BN1055" s="138"/>
    </row>
    <row r="1056" spans="1:66" s="349" customFormat="1" ht="25.5" hidden="1" x14ac:dyDescent="0.2">
      <c r="A1056" s="127" t="s">
        <v>2104</v>
      </c>
      <c r="B1056" s="127" t="s">
        <v>233</v>
      </c>
      <c r="C1056" s="127" t="s">
        <v>1023</v>
      </c>
      <c r="D1056" s="128" t="s">
        <v>583</v>
      </c>
      <c r="E1056" s="127"/>
      <c r="F1056" s="127"/>
      <c r="G1056" s="127" t="s">
        <v>5</v>
      </c>
      <c r="H1056" s="127"/>
      <c r="I1056" s="127"/>
      <c r="J1056" s="127"/>
      <c r="K1056" s="128"/>
      <c r="L1056" s="128"/>
      <c r="M1056" s="128"/>
      <c r="N1056" s="128"/>
      <c r="O1056" s="163"/>
      <c r="P1056" s="163"/>
      <c r="Q1056" s="163"/>
      <c r="R1056" s="163"/>
      <c r="S1056" s="164">
        <f>S1057+S1077</f>
        <v>88591148</v>
      </c>
      <c r="T1056" s="164">
        <f>T1057+T1077</f>
        <v>5404060</v>
      </c>
      <c r="U1056" s="164">
        <f>U1057+U1077</f>
        <v>0</v>
      </c>
      <c r="V1056" s="164">
        <f>V1057+V1077</f>
        <v>0</v>
      </c>
      <c r="W1056" s="164">
        <f>W1057+W1077</f>
        <v>0</v>
      </c>
      <c r="X1056" s="129">
        <f>U1056+V1056+W1056</f>
        <v>0</v>
      </c>
      <c r="Y1056" s="164">
        <f t="shared" ref="Y1056:AT1056" si="334">Y1057+Y1077</f>
        <v>27651.39</v>
      </c>
      <c r="Z1056" s="164">
        <f t="shared" si="334"/>
        <v>78631.710000000006</v>
      </c>
      <c r="AA1056" s="164">
        <f t="shared" si="334"/>
        <v>28213.829999999998</v>
      </c>
      <c r="AB1056" s="164">
        <f t="shared" si="334"/>
        <v>2055556.4</v>
      </c>
      <c r="AC1056" s="164">
        <f t="shared" si="334"/>
        <v>74794.900000000009</v>
      </c>
      <c r="AD1056" s="164">
        <f t="shared" si="334"/>
        <v>76474.31</v>
      </c>
      <c r="AE1056" s="164">
        <f t="shared" si="334"/>
        <v>310450.52</v>
      </c>
      <c r="AF1056" s="164">
        <f t="shared" si="334"/>
        <v>386148.64999999997</v>
      </c>
      <c r="AG1056" s="164">
        <f t="shared" si="334"/>
        <v>1134403.71</v>
      </c>
      <c r="AH1056" s="164">
        <f t="shared" si="334"/>
        <v>1128312.97</v>
      </c>
      <c r="AI1056" s="164">
        <f t="shared" si="334"/>
        <v>486175.28</v>
      </c>
      <c r="AJ1056" s="164">
        <f t="shared" si="334"/>
        <v>2127852.8100000005</v>
      </c>
      <c r="AK1056" s="164">
        <f>AK1057+AK1077</f>
        <v>7914666.4799999995</v>
      </c>
      <c r="AL1056" s="164">
        <f t="shared" si="334"/>
        <v>36340459.210000001</v>
      </c>
      <c r="AM1056" s="164">
        <f t="shared" si="334"/>
        <v>28638931.379999999</v>
      </c>
      <c r="AN1056" s="164">
        <f t="shared" si="334"/>
        <v>9439142.0199999996</v>
      </c>
      <c r="AO1056" s="164">
        <f t="shared" si="334"/>
        <v>14102.2</v>
      </c>
      <c r="AP1056" s="164">
        <f t="shared" si="334"/>
        <v>0</v>
      </c>
      <c r="AQ1056" s="164">
        <f t="shared" si="334"/>
        <v>0</v>
      </c>
      <c r="AR1056" s="164">
        <f t="shared" si="334"/>
        <v>0</v>
      </c>
      <c r="AS1056" s="164">
        <f>AS1057+AS1077</f>
        <v>82347301.289999992</v>
      </c>
      <c r="AT1056" s="164">
        <f t="shared" si="334"/>
        <v>0</v>
      </c>
      <c r="AU1056" s="183">
        <f>AS1056-AT1056</f>
        <v>82347301.289999992</v>
      </c>
      <c r="AV1056" s="146">
        <f>IFERROR(VLOOKUP(J1056,Maksājumu_pieprasījumu_iesn.!G:BL,57,0),0)</f>
        <v>0</v>
      </c>
      <c r="AW1056" s="139">
        <f t="shared" si="330"/>
        <v>-82347301.289999992</v>
      </c>
      <c r="AX1056" s="164">
        <f>AX1057+AX1077</f>
        <v>839786.71000000462</v>
      </c>
      <c r="AY1056" s="164">
        <f>AY1057+AY1077</f>
        <v>1280711.8</v>
      </c>
      <c r="AZ1056" s="164"/>
      <c r="BA1056" s="164"/>
      <c r="BB1056" s="164">
        <f>BB1057+BB1077</f>
        <v>0</v>
      </c>
      <c r="BC1056" s="164">
        <f>BC1057+BC1077</f>
        <v>26084896.085000001</v>
      </c>
      <c r="BD1056" s="164">
        <f>BC1056*0.86</f>
        <v>22433010.633099999</v>
      </c>
      <c r="BE1056" s="129">
        <f>BD1056/0.85</f>
        <v>26391777.215411764</v>
      </c>
      <c r="BF1056" s="164">
        <f>BF1057+BF1077</f>
        <v>0</v>
      </c>
      <c r="BG1056" s="164">
        <f>BG1057+BG1077</f>
        <v>0</v>
      </c>
      <c r="BH1056" s="129">
        <f>BH1057+BH1077</f>
        <v>0</v>
      </c>
      <c r="BI1056" s="129">
        <f>BI1057+BI1077</f>
        <v>4963208.3742522597</v>
      </c>
      <c r="BJ1056" s="129">
        <f>AK1056*0.86</f>
        <v>6806613.1727999998</v>
      </c>
      <c r="BK1056" s="129">
        <f>BJ1056-BI1056</f>
        <v>1843404.7985477401</v>
      </c>
      <c r="BL1056" s="129">
        <f>BL1057+BL1077</f>
        <v>19796621.091548078</v>
      </c>
      <c r="BM1056" s="129">
        <f>AL1056*0.86</f>
        <v>31252794.920600001</v>
      </c>
      <c r="BN1056" s="129">
        <f>BM1056-BL1056</f>
        <v>11456173.829051923</v>
      </c>
    </row>
    <row r="1057" spans="1:66" s="91" customFormat="1" ht="51" hidden="1" customHeight="1" x14ac:dyDescent="0.2">
      <c r="A1057" s="131" t="s">
        <v>2104</v>
      </c>
      <c r="B1057" s="132" t="s">
        <v>233</v>
      </c>
      <c r="C1057" s="132" t="s">
        <v>234</v>
      </c>
      <c r="D1057" s="133" t="s">
        <v>583</v>
      </c>
      <c r="E1057" s="22">
        <v>1</v>
      </c>
      <c r="F1057" s="22" t="s">
        <v>4</v>
      </c>
      <c r="G1057" s="22" t="s">
        <v>5</v>
      </c>
      <c r="H1057" s="22" t="s">
        <v>3</v>
      </c>
      <c r="I1057" s="22" t="s">
        <v>1022</v>
      </c>
      <c r="J1057" s="134" t="s">
        <v>1026</v>
      </c>
      <c r="K1057" s="133"/>
      <c r="L1057" s="133"/>
      <c r="M1057" s="133"/>
      <c r="N1057" s="133"/>
      <c r="O1057" s="135"/>
      <c r="P1057" s="135"/>
      <c r="Q1057" s="135"/>
      <c r="R1057" s="135"/>
      <c r="S1057" s="136">
        <v>69506354</v>
      </c>
      <c r="T1057" s="136">
        <v>4239888</v>
      </c>
      <c r="U1057" s="137">
        <f>SUM(U1058:U1076)</f>
        <v>0</v>
      </c>
      <c r="V1057" s="137">
        <f>SUM(V1058:V1076)</f>
        <v>0</v>
      </c>
      <c r="W1057" s="137">
        <f>SUM(W1058:W1076)</f>
        <v>0</v>
      </c>
      <c r="X1057" s="138">
        <f>U1057+V1057+W1057</f>
        <v>0</v>
      </c>
      <c r="Y1057" s="137">
        <f t="shared" ref="Y1057:AR1057" si="335">SUM(Y1058:Y1076)</f>
        <v>27651.39</v>
      </c>
      <c r="Z1057" s="137">
        <f t="shared" si="335"/>
        <v>78631.710000000006</v>
      </c>
      <c r="AA1057" s="137">
        <f t="shared" si="335"/>
        <v>28213.829999999998</v>
      </c>
      <c r="AB1057" s="137">
        <f t="shared" si="335"/>
        <v>52440.45</v>
      </c>
      <c r="AC1057" s="137">
        <f t="shared" si="335"/>
        <v>74794.900000000009</v>
      </c>
      <c r="AD1057" s="137">
        <f t="shared" si="335"/>
        <v>76474.31</v>
      </c>
      <c r="AE1057" s="137">
        <f t="shared" si="335"/>
        <v>205875.87</v>
      </c>
      <c r="AF1057" s="137">
        <f t="shared" si="335"/>
        <v>386148.64999999997</v>
      </c>
      <c r="AG1057" s="137">
        <f t="shared" si="335"/>
        <v>1134403.71</v>
      </c>
      <c r="AH1057" s="137">
        <f t="shared" si="335"/>
        <v>397614.72</v>
      </c>
      <c r="AI1057" s="137">
        <f t="shared" si="335"/>
        <v>327345.13</v>
      </c>
      <c r="AJ1057" s="137">
        <f t="shared" si="335"/>
        <v>2125755.8600000003</v>
      </c>
      <c r="AK1057" s="137">
        <f>SUM(AK1058:AK1076)</f>
        <v>4915350.5299999993</v>
      </c>
      <c r="AL1057" s="137">
        <f t="shared" si="335"/>
        <v>26667977.5</v>
      </c>
      <c r="AM1057" s="137">
        <f t="shared" si="335"/>
        <v>25068446.239999998</v>
      </c>
      <c r="AN1057" s="137">
        <f t="shared" si="335"/>
        <v>8538516.0199999996</v>
      </c>
      <c r="AO1057" s="137">
        <f t="shared" si="335"/>
        <v>14102.2</v>
      </c>
      <c r="AP1057" s="137">
        <f t="shared" si="335"/>
        <v>0</v>
      </c>
      <c r="AQ1057" s="137">
        <f t="shared" si="335"/>
        <v>0</v>
      </c>
      <c r="AR1057" s="137">
        <f t="shared" si="335"/>
        <v>0</v>
      </c>
      <c r="AS1057" s="137">
        <f t="shared" ref="AS1057:AS1082" si="336">U1057+V1057+W1057+AK1057+AL1057+AM1057+AN1057+AO1057+AP1057+AQ1057+AR1057</f>
        <v>65204392.489999995</v>
      </c>
      <c r="AT1057" s="137">
        <f>SUM(AT1058:AT1076)</f>
        <v>0</v>
      </c>
      <c r="AU1057" s="139">
        <f>AS1057-AT1057</f>
        <v>65204392.489999995</v>
      </c>
      <c r="AV1057" s="146">
        <f>IFERROR(VLOOKUP(J1057,Maksājumu_pieprasījumu_iesn.!G:BL,57,0),0)</f>
        <v>0</v>
      </c>
      <c r="AW1057" s="139">
        <f t="shared" si="330"/>
        <v>-65204392.489999995</v>
      </c>
      <c r="AX1057" s="140">
        <f t="shared" ref="AX1057:AX1078" si="337">S1057-T1057-AU1057</f>
        <v>62073.510000005364</v>
      </c>
      <c r="AY1057" s="137">
        <f>SUM(AY1058:AY1076)</f>
        <v>215734.19999999995</v>
      </c>
      <c r="AZ1057" s="137"/>
      <c r="BA1057" s="138" t="s">
        <v>2207</v>
      </c>
      <c r="BB1057" s="140"/>
      <c r="BC1057" s="140">
        <f>X1057+AK1057+AL1057/2</f>
        <v>18249339.280000001</v>
      </c>
      <c r="BD1057" s="140"/>
      <c r="BE1057" s="140">
        <f>BC1057/0.85</f>
        <v>21469810.91764706</v>
      </c>
      <c r="BF1057" s="137"/>
      <c r="BG1057" s="137"/>
      <c r="BH1057" s="138">
        <v>0</v>
      </c>
      <c r="BI1057" s="138">
        <v>3133607.6907072999</v>
      </c>
      <c r="BJ1057" s="138"/>
      <c r="BK1057" s="138"/>
      <c r="BL1057" s="138">
        <v>15373696.0312033</v>
      </c>
      <c r="BM1057" s="138"/>
      <c r="BN1057" s="138"/>
    </row>
    <row r="1058" spans="1:66" ht="76.5" hidden="1" customHeight="1" x14ac:dyDescent="0.2">
      <c r="A1058" s="142" t="s">
        <v>2104</v>
      </c>
      <c r="B1058" s="18" t="s">
        <v>233</v>
      </c>
      <c r="C1058" s="18" t="s">
        <v>234</v>
      </c>
      <c r="D1058" s="19" t="s">
        <v>583</v>
      </c>
      <c r="E1058" s="18">
        <v>1</v>
      </c>
      <c r="F1058" s="18" t="s">
        <v>4</v>
      </c>
      <c r="G1058" s="18" t="s">
        <v>5</v>
      </c>
      <c r="H1058" s="18" t="s">
        <v>3</v>
      </c>
      <c r="I1058" s="18"/>
      <c r="J1058" s="18" t="s">
        <v>235</v>
      </c>
      <c r="K1058" s="19" t="s">
        <v>236</v>
      </c>
      <c r="L1058" s="19"/>
      <c r="M1058" s="19"/>
      <c r="N1058" s="19" t="s">
        <v>237</v>
      </c>
      <c r="O1058" s="143"/>
      <c r="P1058" s="143"/>
      <c r="Q1058" s="143"/>
      <c r="R1058" s="143">
        <v>42823</v>
      </c>
      <c r="S1058" s="144">
        <v>8968335.5499999989</v>
      </c>
      <c r="T1058" s="144">
        <v>0</v>
      </c>
      <c r="U1058" s="145">
        <v>0</v>
      </c>
      <c r="V1058" s="145">
        <v>0</v>
      </c>
      <c r="W1058" s="145">
        <v>0</v>
      </c>
      <c r="X1058" s="145">
        <f t="shared" ref="X1058:X1076" si="338">W1058+V1058+U1058</f>
        <v>0</v>
      </c>
      <c r="Y1058" s="145">
        <v>0</v>
      </c>
      <c r="Z1058" s="145">
        <v>0</v>
      </c>
      <c r="AA1058" s="145">
        <v>0</v>
      </c>
      <c r="AB1058" s="145">
        <v>6058.96</v>
      </c>
      <c r="AC1058" s="145">
        <v>0</v>
      </c>
      <c r="AD1058" s="145">
        <v>23852.86</v>
      </c>
      <c r="AE1058" s="145">
        <v>0</v>
      </c>
      <c r="AF1058" s="145">
        <v>0</v>
      </c>
      <c r="AG1058" s="145">
        <v>1003101.34</v>
      </c>
      <c r="AH1058" s="145">
        <v>0</v>
      </c>
      <c r="AI1058" s="145">
        <v>0</v>
      </c>
      <c r="AJ1058" s="145">
        <v>1825118.31</v>
      </c>
      <c r="AK1058" s="145">
        <f t="shared" ref="AK1058:AK1076" si="339">SUM(Y1058:AJ1058)</f>
        <v>2858131.4699999997</v>
      </c>
      <c r="AL1058" s="145">
        <v>1630045.13</v>
      </c>
      <c r="AM1058" s="145">
        <v>2190178.2200000002</v>
      </c>
      <c r="AN1058" s="145">
        <v>2289980.73</v>
      </c>
      <c r="AO1058" s="145">
        <v>0</v>
      </c>
      <c r="AP1058" s="145">
        <v>0</v>
      </c>
      <c r="AQ1058" s="145">
        <v>0</v>
      </c>
      <c r="AR1058" s="145">
        <v>0</v>
      </c>
      <c r="AS1058" s="144">
        <f t="shared" si="336"/>
        <v>8968335.5500000007</v>
      </c>
      <c r="AT1058" s="144"/>
      <c r="AU1058" s="146">
        <f t="shared" ref="AU1058:AU1121" si="340">AS1058-AT1058</f>
        <v>8968335.5500000007</v>
      </c>
      <c r="AV1058" s="146">
        <f>IFERROR(VLOOKUP(J1058,Maksājumu_pieprasījumu_iesn.!G:BL,57,0),0)</f>
        <v>0</v>
      </c>
      <c r="AW1058" s="139">
        <f t="shared" si="330"/>
        <v>-8968335.5500000007</v>
      </c>
      <c r="AX1058" s="140">
        <f t="shared" si="337"/>
        <v>0</v>
      </c>
      <c r="AY1058" s="147"/>
      <c r="AZ1058" s="147"/>
      <c r="BA1058" s="149"/>
      <c r="BB1058" s="144"/>
      <c r="BC1058" s="144"/>
      <c r="BD1058" s="144"/>
      <c r="BE1058" s="144"/>
      <c r="BF1058" s="144"/>
      <c r="BG1058" s="144"/>
      <c r="BH1058" s="149"/>
      <c r="BI1058" s="149"/>
      <c r="BJ1058" s="149"/>
      <c r="BK1058" s="149"/>
      <c r="BL1058" s="149"/>
      <c r="BM1058" s="149"/>
      <c r="BN1058" s="149"/>
    </row>
    <row r="1059" spans="1:66" ht="63.75" hidden="1" customHeight="1" x14ac:dyDescent="0.2">
      <c r="A1059" s="142" t="s">
        <v>2104</v>
      </c>
      <c r="B1059" s="18" t="s">
        <v>233</v>
      </c>
      <c r="C1059" s="18" t="s">
        <v>234</v>
      </c>
      <c r="D1059" s="19" t="s">
        <v>583</v>
      </c>
      <c r="E1059" s="18">
        <v>1</v>
      </c>
      <c r="F1059" s="18" t="s">
        <v>4</v>
      </c>
      <c r="G1059" s="18" t="s">
        <v>5</v>
      </c>
      <c r="H1059" s="18" t="s">
        <v>3</v>
      </c>
      <c r="I1059" s="18"/>
      <c r="J1059" s="18" t="s">
        <v>784</v>
      </c>
      <c r="K1059" s="19" t="s">
        <v>815</v>
      </c>
      <c r="L1059" s="19"/>
      <c r="M1059" s="19"/>
      <c r="N1059" s="19" t="s">
        <v>816</v>
      </c>
      <c r="O1059" s="143"/>
      <c r="P1059" s="143"/>
      <c r="Q1059" s="143"/>
      <c r="R1059" s="187" t="s">
        <v>2208</v>
      </c>
      <c r="S1059" s="144">
        <v>11447749.85</v>
      </c>
      <c r="T1059" s="144">
        <v>0</v>
      </c>
      <c r="U1059" s="145">
        <v>0</v>
      </c>
      <c r="V1059" s="145">
        <v>0</v>
      </c>
      <c r="W1059" s="145">
        <v>0</v>
      </c>
      <c r="X1059" s="145">
        <f t="shared" si="338"/>
        <v>0</v>
      </c>
      <c r="Y1059" s="145">
        <v>0</v>
      </c>
      <c r="Z1059" s="145">
        <v>0</v>
      </c>
      <c r="AA1059" s="145">
        <v>0</v>
      </c>
      <c r="AB1059" s="145">
        <v>0</v>
      </c>
      <c r="AC1059" s="145">
        <v>0</v>
      </c>
      <c r="AD1059" s="145">
        <v>0</v>
      </c>
      <c r="AE1059" s="145">
        <v>0</v>
      </c>
      <c r="AF1059" s="420">
        <v>9159.6</v>
      </c>
      <c r="AG1059" s="145">
        <v>0</v>
      </c>
      <c r="AH1059" s="145">
        <v>0</v>
      </c>
      <c r="AI1059" s="145">
        <v>0</v>
      </c>
      <c r="AJ1059" s="145">
        <v>0</v>
      </c>
      <c r="AK1059" s="145">
        <f t="shared" si="339"/>
        <v>9159.6</v>
      </c>
      <c r="AL1059" s="145">
        <v>3507170.5500000003</v>
      </c>
      <c r="AM1059" s="145">
        <v>4853852.75</v>
      </c>
      <c r="AN1059" s="145">
        <v>3077566.95</v>
      </c>
      <c r="AO1059" s="145">
        <v>0</v>
      </c>
      <c r="AP1059" s="145">
        <v>0</v>
      </c>
      <c r="AQ1059" s="145">
        <v>0</v>
      </c>
      <c r="AR1059" s="145">
        <v>0</v>
      </c>
      <c r="AS1059" s="144">
        <f t="shared" si="336"/>
        <v>11447749.850000001</v>
      </c>
      <c r="AT1059" s="144"/>
      <c r="AU1059" s="146">
        <f>AS1059-AT1059</f>
        <v>11447749.850000001</v>
      </c>
      <c r="AV1059" s="146">
        <f>IFERROR(VLOOKUP(J1059,Maksājumu_pieprasījumu_iesn.!G:BL,57,0),0)</f>
        <v>0</v>
      </c>
      <c r="AW1059" s="139">
        <f t="shared" si="330"/>
        <v>-11447749.850000001</v>
      </c>
      <c r="AX1059" s="140">
        <f t="shared" si="337"/>
        <v>0</v>
      </c>
      <c r="AY1059" s="147"/>
      <c r="AZ1059" s="147"/>
      <c r="BA1059" s="149"/>
      <c r="BB1059" s="144"/>
      <c r="BC1059" s="144"/>
      <c r="BD1059" s="144"/>
      <c r="BE1059" s="144"/>
      <c r="BF1059" s="144"/>
      <c r="BG1059" s="144"/>
      <c r="BH1059" s="149"/>
      <c r="BI1059" s="149"/>
      <c r="BJ1059" s="149"/>
      <c r="BK1059" s="149"/>
      <c r="BL1059" s="149"/>
      <c r="BM1059" s="149"/>
      <c r="BN1059" s="149"/>
    </row>
    <row r="1060" spans="1:66" ht="63.75" hidden="1" customHeight="1" x14ac:dyDescent="0.2">
      <c r="A1060" s="142" t="s">
        <v>2104</v>
      </c>
      <c r="B1060" s="18" t="s">
        <v>233</v>
      </c>
      <c r="C1060" s="18" t="s">
        <v>234</v>
      </c>
      <c r="D1060" s="19" t="s">
        <v>583</v>
      </c>
      <c r="E1060" s="18">
        <v>1</v>
      </c>
      <c r="F1060" s="18" t="s">
        <v>4</v>
      </c>
      <c r="G1060" s="18" t="s">
        <v>5</v>
      </c>
      <c r="H1060" s="18" t="s">
        <v>3</v>
      </c>
      <c r="I1060" s="18"/>
      <c r="J1060" s="18" t="s">
        <v>238</v>
      </c>
      <c r="K1060" s="19" t="s">
        <v>239</v>
      </c>
      <c r="L1060" s="19"/>
      <c r="M1060" s="19"/>
      <c r="N1060" s="19" t="s">
        <v>240</v>
      </c>
      <c r="O1060" s="143"/>
      <c r="P1060" s="143"/>
      <c r="Q1060" s="143"/>
      <c r="R1060" s="143">
        <v>42783</v>
      </c>
      <c r="S1060" s="144">
        <v>4645400.45</v>
      </c>
      <c r="T1060" s="144">
        <v>0</v>
      </c>
      <c r="U1060" s="145">
        <v>0</v>
      </c>
      <c r="V1060" s="145">
        <v>0</v>
      </c>
      <c r="W1060" s="145">
        <v>0</v>
      </c>
      <c r="X1060" s="145">
        <f t="shared" si="338"/>
        <v>0</v>
      </c>
      <c r="Y1060" s="145">
        <v>0</v>
      </c>
      <c r="Z1060" s="145">
        <v>0</v>
      </c>
      <c r="AA1060" s="145">
        <v>962.51</v>
      </c>
      <c r="AB1060" s="145">
        <v>0</v>
      </c>
      <c r="AC1060" s="145">
        <v>47718.43</v>
      </c>
      <c r="AD1060" s="145">
        <v>0</v>
      </c>
      <c r="AE1060" s="145">
        <v>0</v>
      </c>
      <c r="AF1060" s="420">
        <v>29302.34</v>
      </c>
      <c r="AG1060" s="145">
        <v>0</v>
      </c>
      <c r="AH1060" s="145">
        <v>0</v>
      </c>
      <c r="AI1060" s="145">
        <v>147384.93</v>
      </c>
      <c r="AJ1060" s="145">
        <v>0</v>
      </c>
      <c r="AK1060" s="145">
        <f t="shared" si="339"/>
        <v>225368.21</v>
      </c>
      <c r="AL1060" s="145">
        <v>1495859.02</v>
      </c>
      <c r="AM1060" s="145">
        <v>1492365.0999999999</v>
      </c>
      <c r="AN1060" s="145">
        <v>1431808.1199999999</v>
      </c>
      <c r="AO1060" s="145">
        <v>0</v>
      </c>
      <c r="AP1060" s="145">
        <v>0</v>
      </c>
      <c r="AQ1060" s="145">
        <v>0</v>
      </c>
      <c r="AR1060" s="145">
        <v>0</v>
      </c>
      <c r="AS1060" s="144">
        <f t="shared" si="336"/>
        <v>4645400.45</v>
      </c>
      <c r="AT1060" s="144"/>
      <c r="AU1060" s="146">
        <f>AS1060-AT1060</f>
        <v>4645400.45</v>
      </c>
      <c r="AV1060" s="146">
        <f>IFERROR(VLOOKUP(J1060,Maksājumu_pieprasījumu_iesn.!G:BL,57,0),0)</f>
        <v>0</v>
      </c>
      <c r="AW1060" s="139">
        <f t="shared" si="330"/>
        <v>-4645400.45</v>
      </c>
      <c r="AX1060" s="140">
        <f t="shared" si="337"/>
        <v>0</v>
      </c>
      <c r="AY1060" s="147"/>
      <c r="AZ1060" s="147"/>
      <c r="BA1060" s="149"/>
      <c r="BB1060" s="144"/>
      <c r="BC1060" s="144"/>
      <c r="BD1060" s="144"/>
      <c r="BE1060" s="144"/>
      <c r="BF1060" s="144"/>
      <c r="BG1060" s="144"/>
      <c r="BH1060" s="149"/>
      <c r="BI1060" s="149"/>
      <c r="BJ1060" s="149"/>
      <c r="BK1060" s="149"/>
      <c r="BL1060" s="149"/>
      <c r="BM1060" s="149"/>
      <c r="BN1060" s="149"/>
    </row>
    <row r="1061" spans="1:66" ht="51" hidden="1" customHeight="1" x14ac:dyDescent="0.2">
      <c r="A1061" s="142" t="s">
        <v>2104</v>
      </c>
      <c r="B1061" s="18" t="s">
        <v>233</v>
      </c>
      <c r="C1061" s="18" t="s">
        <v>234</v>
      </c>
      <c r="D1061" s="19" t="s">
        <v>583</v>
      </c>
      <c r="E1061" s="18">
        <v>1</v>
      </c>
      <c r="F1061" s="18" t="s">
        <v>4</v>
      </c>
      <c r="G1061" s="18" t="s">
        <v>5</v>
      </c>
      <c r="H1061" s="18" t="s">
        <v>3</v>
      </c>
      <c r="I1061" s="18"/>
      <c r="J1061" s="18" t="s">
        <v>241</v>
      </c>
      <c r="K1061" s="19" t="s">
        <v>242</v>
      </c>
      <c r="L1061" s="19"/>
      <c r="M1061" s="19"/>
      <c r="N1061" s="19" t="s">
        <v>243</v>
      </c>
      <c r="O1061" s="143"/>
      <c r="P1061" s="143"/>
      <c r="Q1061" s="143"/>
      <c r="R1061" s="143">
        <v>42744</v>
      </c>
      <c r="S1061" s="144">
        <v>4216243.0999999996</v>
      </c>
      <c r="T1061" s="144">
        <v>0</v>
      </c>
      <c r="U1061" s="145">
        <v>0</v>
      </c>
      <c r="V1061" s="145">
        <v>0</v>
      </c>
      <c r="W1061" s="145">
        <v>0</v>
      </c>
      <c r="X1061" s="145">
        <f t="shared" si="338"/>
        <v>0</v>
      </c>
      <c r="Y1061" s="145">
        <v>0</v>
      </c>
      <c r="Z1061" s="145">
        <v>17875.64</v>
      </c>
      <c r="AA1061" s="145">
        <v>0</v>
      </c>
      <c r="AB1061" s="145">
        <v>10329.91</v>
      </c>
      <c r="AC1061" s="145">
        <v>0</v>
      </c>
      <c r="AD1061" s="166">
        <v>0</v>
      </c>
      <c r="AE1061" s="166">
        <v>45182.6</v>
      </c>
      <c r="AF1061" s="145">
        <v>0</v>
      </c>
      <c r="AG1061" s="145">
        <v>0</v>
      </c>
      <c r="AH1061" s="145">
        <v>9989.7900000000009</v>
      </c>
      <c r="AI1061" s="145">
        <v>0</v>
      </c>
      <c r="AJ1061" s="145">
        <v>0</v>
      </c>
      <c r="AK1061" s="145">
        <f t="shared" si="339"/>
        <v>83377.94</v>
      </c>
      <c r="AL1061" s="145">
        <v>2238482.1100000003</v>
      </c>
      <c r="AM1061" s="145">
        <v>1894383.0499999998</v>
      </c>
      <c r="AN1061" s="145">
        <v>0</v>
      </c>
      <c r="AO1061" s="145">
        <v>0</v>
      </c>
      <c r="AP1061" s="145">
        <v>0</v>
      </c>
      <c r="AQ1061" s="145">
        <v>0</v>
      </c>
      <c r="AR1061" s="145">
        <v>0</v>
      </c>
      <c r="AS1061" s="144">
        <f t="shared" si="336"/>
        <v>4216243.0999999996</v>
      </c>
      <c r="AT1061" s="144"/>
      <c r="AU1061" s="146">
        <f t="shared" si="340"/>
        <v>4216243.0999999996</v>
      </c>
      <c r="AV1061" s="146">
        <f>IFERROR(VLOOKUP(J1061,Maksājumu_pieprasījumu_iesn.!G:BL,57,0),0)</f>
        <v>0</v>
      </c>
      <c r="AW1061" s="139">
        <f t="shared" si="330"/>
        <v>-4216243.0999999996</v>
      </c>
      <c r="AX1061" s="140">
        <f t="shared" si="337"/>
        <v>0</v>
      </c>
      <c r="AY1061" s="147"/>
      <c r="AZ1061" s="147"/>
      <c r="BA1061" s="149"/>
      <c r="BB1061" s="144"/>
      <c r="BC1061" s="144"/>
      <c r="BD1061" s="144"/>
      <c r="BE1061" s="144"/>
      <c r="BF1061" s="144"/>
      <c r="BG1061" s="144"/>
      <c r="BH1061" s="149"/>
      <c r="BI1061" s="149"/>
      <c r="BJ1061" s="149"/>
      <c r="BK1061" s="149"/>
      <c r="BL1061" s="149"/>
      <c r="BM1061" s="149"/>
      <c r="BN1061" s="149"/>
    </row>
    <row r="1062" spans="1:66" ht="38.25" hidden="1" customHeight="1" x14ac:dyDescent="0.2">
      <c r="A1062" s="142" t="s">
        <v>2104</v>
      </c>
      <c r="B1062" s="18" t="s">
        <v>233</v>
      </c>
      <c r="C1062" s="18" t="s">
        <v>234</v>
      </c>
      <c r="D1062" s="19" t="s">
        <v>583</v>
      </c>
      <c r="E1062" s="18">
        <v>1</v>
      </c>
      <c r="F1062" s="18" t="s">
        <v>4</v>
      </c>
      <c r="G1062" s="18" t="s">
        <v>5</v>
      </c>
      <c r="H1062" s="18" t="s">
        <v>3</v>
      </c>
      <c r="I1062" s="18"/>
      <c r="J1062" s="18" t="s">
        <v>244</v>
      </c>
      <c r="K1062" s="19" t="s">
        <v>245</v>
      </c>
      <c r="L1062" s="19"/>
      <c r="M1062" s="19"/>
      <c r="N1062" s="19" t="s">
        <v>246</v>
      </c>
      <c r="O1062" s="143"/>
      <c r="P1062" s="143"/>
      <c r="Q1062" s="143"/>
      <c r="R1062" s="143">
        <v>42731</v>
      </c>
      <c r="S1062" s="144">
        <v>2047646.5999999999</v>
      </c>
      <c r="T1062" s="144">
        <v>0</v>
      </c>
      <c r="U1062" s="145">
        <v>0</v>
      </c>
      <c r="V1062" s="145">
        <v>0</v>
      </c>
      <c r="W1062" s="145">
        <v>0</v>
      </c>
      <c r="X1062" s="145">
        <f t="shared" si="338"/>
        <v>0</v>
      </c>
      <c r="Y1062" s="145">
        <v>8633.76</v>
      </c>
      <c r="Z1062" s="145">
        <v>0</v>
      </c>
      <c r="AA1062" s="145">
        <v>10864.65</v>
      </c>
      <c r="AB1062" s="145">
        <v>0</v>
      </c>
      <c r="AC1062" s="145">
        <v>0</v>
      </c>
      <c r="AD1062" s="145">
        <v>8589.83</v>
      </c>
      <c r="AE1062" s="145">
        <v>0</v>
      </c>
      <c r="AF1062" s="145">
        <v>0</v>
      </c>
      <c r="AG1062" s="145">
        <v>8280.9500000000007</v>
      </c>
      <c r="AH1062" s="145">
        <v>0</v>
      </c>
      <c r="AI1062" s="145">
        <v>0</v>
      </c>
      <c r="AJ1062" s="145">
        <v>68989.67</v>
      </c>
      <c r="AK1062" s="145">
        <f t="shared" si="339"/>
        <v>105358.86</v>
      </c>
      <c r="AL1062" s="145">
        <v>1305035.79</v>
      </c>
      <c r="AM1062" s="145">
        <v>637251.94999999995</v>
      </c>
      <c r="AN1062" s="145">
        <v>0</v>
      </c>
      <c r="AO1062" s="145">
        <v>0</v>
      </c>
      <c r="AP1062" s="145">
        <v>0</v>
      </c>
      <c r="AQ1062" s="145">
        <v>0</v>
      </c>
      <c r="AR1062" s="145">
        <v>0</v>
      </c>
      <c r="AS1062" s="144">
        <f t="shared" si="336"/>
        <v>2047646.6</v>
      </c>
      <c r="AT1062" s="144"/>
      <c r="AU1062" s="146">
        <f t="shared" si="340"/>
        <v>2047646.6</v>
      </c>
      <c r="AV1062" s="146">
        <f>IFERROR(VLOOKUP(J1062,Maksājumu_pieprasījumu_iesn.!G:BL,57,0),0)</f>
        <v>0</v>
      </c>
      <c r="AW1062" s="139">
        <f t="shared" si="330"/>
        <v>-2047646.6</v>
      </c>
      <c r="AX1062" s="140">
        <f t="shared" si="337"/>
        <v>0</v>
      </c>
      <c r="AY1062" s="147"/>
      <c r="AZ1062" s="147"/>
      <c r="BA1062" s="149"/>
      <c r="BB1062" s="144"/>
      <c r="BC1062" s="144"/>
      <c r="BD1062" s="144"/>
      <c r="BE1062" s="144"/>
      <c r="BF1062" s="144"/>
      <c r="BG1062" s="144"/>
      <c r="BH1062" s="149"/>
      <c r="BI1062" s="149"/>
      <c r="BJ1062" s="149"/>
      <c r="BK1062" s="149"/>
      <c r="BL1062" s="149"/>
      <c r="BM1062" s="149"/>
      <c r="BN1062" s="149"/>
    </row>
    <row r="1063" spans="1:66" ht="25.5" hidden="1" customHeight="1" x14ac:dyDescent="0.2">
      <c r="A1063" s="142" t="s">
        <v>2104</v>
      </c>
      <c r="B1063" s="18" t="s">
        <v>233</v>
      </c>
      <c r="C1063" s="18" t="s">
        <v>234</v>
      </c>
      <c r="D1063" s="19" t="s">
        <v>583</v>
      </c>
      <c r="E1063" s="18">
        <v>1</v>
      </c>
      <c r="F1063" s="18" t="s">
        <v>4</v>
      </c>
      <c r="G1063" s="18" t="s">
        <v>5</v>
      </c>
      <c r="H1063" s="18" t="s">
        <v>3</v>
      </c>
      <c r="I1063" s="18"/>
      <c r="J1063" s="18" t="s">
        <v>247</v>
      </c>
      <c r="K1063" s="19" t="s">
        <v>248</v>
      </c>
      <c r="L1063" s="19"/>
      <c r="M1063" s="19"/>
      <c r="N1063" s="19" t="s">
        <v>249</v>
      </c>
      <c r="O1063" s="143"/>
      <c r="P1063" s="143"/>
      <c r="Q1063" s="143"/>
      <c r="R1063" s="143">
        <v>42726</v>
      </c>
      <c r="S1063" s="144">
        <v>1518686.5</v>
      </c>
      <c r="T1063" s="144">
        <v>0</v>
      </c>
      <c r="U1063" s="145">
        <v>0</v>
      </c>
      <c r="V1063" s="145">
        <v>0</v>
      </c>
      <c r="W1063" s="145">
        <v>0</v>
      </c>
      <c r="X1063" s="145">
        <f t="shared" si="338"/>
        <v>0</v>
      </c>
      <c r="Y1063" s="145">
        <v>8152.88</v>
      </c>
      <c r="Z1063" s="145">
        <v>0</v>
      </c>
      <c r="AA1063" s="145">
        <v>0</v>
      </c>
      <c r="AB1063" s="145">
        <v>11511.6</v>
      </c>
      <c r="AC1063" s="145">
        <v>0</v>
      </c>
      <c r="AD1063" s="166">
        <v>0</v>
      </c>
      <c r="AE1063" s="166">
        <v>66414.61</v>
      </c>
      <c r="AF1063" s="145">
        <v>0</v>
      </c>
      <c r="AG1063" s="145">
        <v>0</v>
      </c>
      <c r="AH1063" s="145">
        <v>168189.49</v>
      </c>
      <c r="AI1063" s="145">
        <v>0</v>
      </c>
      <c r="AJ1063" s="145">
        <v>0</v>
      </c>
      <c r="AK1063" s="145">
        <f t="shared" si="339"/>
        <v>254268.58</v>
      </c>
      <c r="AL1063" s="145">
        <v>680047.14</v>
      </c>
      <c r="AM1063" s="145">
        <v>584370.78</v>
      </c>
      <c r="AN1063" s="145">
        <v>0</v>
      </c>
      <c r="AO1063" s="145">
        <v>0</v>
      </c>
      <c r="AP1063" s="145">
        <v>0</v>
      </c>
      <c r="AQ1063" s="145">
        <v>0</v>
      </c>
      <c r="AR1063" s="145">
        <v>0</v>
      </c>
      <c r="AS1063" s="144">
        <f t="shared" si="336"/>
        <v>1518686.5</v>
      </c>
      <c r="AT1063" s="144"/>
      <c r="AU1063" s="146">
        <f t="shared" si="340"/>
        <v>1518686.5</v>
      </c>
      <c r="AV1063" s="146">
        <f>IFERROR(VLOOKUP(J1063,Maksājumu_pieprasījumu_iesn.!G:BL,57,0),0)</f>
        <v>0</v>
      </c>
      <c r="AW1063" s="139">
        <f t="shared" si="330"/>
        <v>-1518686.5</v>
      </c>
      <c r="AX1063" s="140">
        <f t="shared" si="337"/>
        <v>0</v>
      </c>
      <c r="AY1063" s="147"/>
      <c r="AZ1063" s="147"/>
      <c r="BA1063" s="149"/>
      <c r="BB1063" s="144"/>
      <c r="BC1063" s="144"/>
      <c r="BD1063" s="144"/>
      <c r="BE1063" s="144"/>
      <c r="BF1063" s="144"/>
      <c r="BG1063" s="144"/>
      <c r="BH1063" s="149"/>
      <c r="BI1063" s="149"/>
      <c r="BJ1063" s="149"/>
      <c r="BK1063" s="149"/>
      <c r="BL1063" s="149"/>
      <c r="BM1063" s="149"/>
      <c r="BN1063" s="149"/>
    </row>
    <row r="1064" spans="1:66" ht="25.5" hidden="1" customHeight="1" x14ac:dyDescent="0.2">
      <c r="A1064" s="142" t="s">
        <v>2104</v>
      </c>
      <c r="B1064" s="18" t="s">
        <v>233</v>
      </c>
      <c r="C1064" s="18" t="s">
        <v>234</v>
      </c>
      <c r="D1064" s="19" t="s">
        <v>583</v>
      </c>
      <c r="E1064" s="18">
        <v>1</v>
      </c>
      <c r="F1064" s="18" t="s">
        <v>4</v>
      </c>
      <c r="G1064" s="18" t="s">
        <v>5</v>
      </c>
      <c r="H1064" s="18" t="s">
        <v>3</v>
      </c>
      <c r="I1064" s="18"/>
      <c r="J1064" s="18" t="s">
        <v>785</v>
      </c>
      <c r="K1064" s="19" t="s">
        <v>817</v>
      </c>
      <c r="L1064" s="19"/>
      <c r="M1064" s="19"/>
      <c r="N1064" s="19" t="s">
        <v>818</v>
      </c>
      <c r="O1064" s="143"/>
      <c r="P1064" s="143"/>
      <c r="Q1064" s="143"/>
      <c r="R1064" s="187" t="s">
        <v>2209</v>
      </c>
      <c r="S1064" s="144">
        <v>1803840.25</v>
      </c>
      <c r="T1064" s="144">
        <v>0</v>
      </c>
      <c r="U1064" s="145">
        <v>0</v>
      </c>
      <c r="V1064" s="145">
        <v>0</v>
      </c>
      <c r="W1064" s="145">
        <v>0</v>
      </c>
      <c r="X1064" s="145">
        <f t="shared" si="338"/>
        <v>0</v>
      </c>
      <c r="Y1064" s="145">
        <v>0</v>
      </c>
      <c r="Z1064" s="145">
        <v>0</v>
      </c>
      <c r="AA1064" s="145">
        <v>0</v>
      </c>
      <c r="AB1064" s="145">
        <v>0</v>
      </c>
      <c r="AC1064" s="145">
        <v>0</v>
      </c>
      <c r="AD1064" s="145">
        <v>0</v>
      </c>
      <c r="AE1064" s="145">
        <v>0</v>
      </c>
      <c r="AF1064" s="145">
        <v>0</v>
      </c>
      <c r="AG1064" s="145">
        <v>0</v>
      </c>
      <c r="AH1064" s="145">
        <v>0</v>
      </c>
      <c r="AI1064" s="145">
        <v>0</v>
      </c>
      <c r="AJ1064" s="145">
        <v>0</v>
      </c>
      <c r="AK1064" s="145">
        <f t="shared" si="339"/>
        <v>0</v>
      </c>
      <c r="AL1064" s="145">
        <v>1113197.1300000001</v>
      </c>
      <c r="AM1064" s="145">
        <v>690643.12</v>
      </c>
      <c r="AN1064" s="145">
        <v>0</v>
      </c>
      <c r="AO1064" s="145">
        <v>0</v>
      </c>
      <c r="AP1064" s="145">
        <v>0</v>
      </c>
      <c r="AQ1064" s="145">
        <v>0</v>
      </c>
      <c r="AR1064" s="145">
        <v>0</v>
      </c>
      <c r="AS1064" s="144">
        <f t="shared" si="336"/>
        <v>1803840.25</v>
      </c>
      <c r="AT1064" s="144"/>
      <c r="AU1064" s="146">
        <f t="shared" si="340"/>
        <v>1803840.25</v>
      </c>
      <c r="AV1064" s="146">
        <f>IFERROR(VLOOKUP(J1064,Maksājumu_pieprasījumu_iesn.!G:BL,57,0),0)</f>
        <v>0</v>
      </c>
      <c r="AW1064" s="139">
        <f t="shared" si="330"/>
        <v>-1803840.25</v>
      </c>
      <c r="AX1064" s="140">
        <f t="shared" si="337"/>
        <v>0</v>
      </c>
      <c r="AY1064" s="147"/>
      <c r="AZ1064" s="147"/>
      <c r="BA1064" s="149"/>
      <c r="BB1064" s="144"/>
      <c r="BC1064" s="144"/>
      <c r="BD1064" s="144"/>
      <c r="BE1064" s="144"/>
      <c r="BF1064" s="144"/>
      <c r="BG1064" s="144"/>
      <c r="BH1064" s="149"/>
      <c r="BI1064" s="149"/>
      <c r="BJ1064" s="149"/>
      <c r="BK1064" s="149"/>
      <c r="BL1064" s="149"/>
      <c r="BM1064" s="149"/>
      <c r="BN1064" s="149"/>
    </row>
    <row r="1065" spans="1:66" ht="51" hidden="1" customHeight="1" x14ac:dyDescent="0.2">
      <c r="A1065" s="142" t="s">
        <v>2104</v>
      </c>
      <c r="B1065" s="18" t="s">
        <v>233</v>
      </c>
      <c r="C1065" s="18" t="s">
        <v>234</v>
      </c>
      <c r="D1065" s="19" t="s">
        <v>583</v>
      </c>
      <c r="E1065" s="18">
        <v>1</v>
      </c>
      <c r="F1065" s="18" t="s">
        <v>4</v>
      </c>
      <c r="G1065" s="18" t="s">
        <v>5</v>
      </c>
      <c r="H1065" s="18" t="s">
        <v>3</v>
      </c>
      <c r="I1065" s="18"/>
      <c r="J1065" s="18" t="s">
        <v>250</v>
      </c>
      <c r="K1065" s="19" t="s">
        <v>251</v>
      </c>
      <c r="L1065" s="19"/>
      <c r="M1065" s="19"/>
      <c r="N1065" s="19" t="s">
        <v>252</v>
      </c>
      <c r="O1065" s="143"/>
      <c r="P1065" s="143"/>
      <c r="Q1065" s="143"/>
      <c r="R1065" s="143">
        <v>42733</v>
      </c>
      <c r="S1065" s="144">
        <v>3044260.55</v>
      </c>
      <c r="T1065" s="144">
        <v>0</v>
      </c>
      <c r="U1065" s="145">
        <v>0</v>
      </c>
      <c r="V1065" s="145">
        <v>0</v>
      </c>
      <c r="W1065" s="145">
        <v>0</v>
      </c>
      <c r="X1065" s="145">
        <f t="shared" si="338"/>
        <v>0</v>
      </c>
      <c r="Y1065" s="145">
        <v>7030.15</v>
      </c>
      <c r="Z1065" s="145">
        <v>0</v>
      </c>
      <c r="AA1065" s="145">
        <v>0</v>
      </c>
      <c r="AB1065" s="145">
        <v>16471.919999999998</v>
      </c>
      <c r="AC1065" s="145">
        <v>0</v>
      </c>
      <c r="AD1065" s="166">
        <v>0</v>
      </c>
      <c r="AE1065" s="166">
        <v>14459.16</v>
      </c>
      <c r="AF1065" s="145">
        <v>0</v>
      </c>
      <c r="AG1065" s="145">
        <v>0</v>
      </c>
      <c r="AH1065" s="145">
        <v>116279.33</v>
      </c>
      <c r="AI1065" s="145">
        <v>0</v>
      </c>
      <c r="AJ1065" s="145">
        <v>0</v>
      </c>
      <c r="AK1065" s="145">
        <f t="shared" si="339"/>
        <v>154240.56</v>
      </c>
      <c r="AL1065" s="145">
        <v>1364677.57</v>
      </c>
      <c r="AM1065" s="145">
        <v>1525342.4200000002</v>
      </c>
      <c r="AN1065" s="145">
        <v>0</v>
      </c>
      <c r="AO1065" s="145">
        <v>0</v>
      </c>
      <c r="AP1065" s="145">
        <v>0</v>
      </c>
      <c r="AQ1065" s="145">
        <v>0</v>
      </c>
      <c r="AR1065" s="145">
        <v>0</v>
      </c>
      <c r="AS1065" s="144">
        <f t="shared" si="336"/>
        <v>3044260.5500000003</v>
      </c>
      <c r="AT1065" s="144"/>
      <c r="AU1065" s="146">
        <f t="shared" si="340"/>
        <v>3044260.5500000003</v>
      </c>
      <c r="AV1065" s="146">
        <f>IFERROR(VLOOKUP(J1065,Maksājumu_pieprasījumu_iesn.!G:BL,57,0),0)</f>
        <v>0</v>
      </c>
      <c r="AW1065" s="139">
        <f t="shared" si="330"/>
        <v>-3044260.5500000003</v>
      </c>
      <c r="AX1065" s="140">
        <f t="shared" si="337"/>
        <v>0</v>
      </c>
      <c r="AY1065" s="147"/>
      <c r="AZ1065" s="147"/>
      <c r="BA1065" s="149"/>
      <c r="BB1065" s="144"/>
      <c r="BC1065" s="144"/>
      <c r="BD1065" s="144"/>
      <c r="BE1065" s="144"/>
      <c r="BF1065" s="144"/>
      <c r="BG1065" s="144"/>
      <c r="BH1065" s="149"/>
      <c r="BI1065" s="149"/>
      <c r="BJ1065" s="149"/>
      <c r="BK1065" s="149"/>
      <c r="BL1065" s="149"/>
      <c r="BM1065" s="149"/>
      <c r="BN1065" s="149"/>
    </row>
    <row r="1066" spans="1:66" ht="76.5" hidden="1" customHeight="1" x14ac:dyDescent="0.2">
      <c r="A1066" s="142" t="s">
        <v>2104</v>
      </c>
      <c r="B1066" s="18" t="s">
        <v>233</v>
      </c>
      <c r="C1066" s="18" t="s">
        <v>234</v>
      </c>
      <c r="D1066" s="19" t="s">
        <v>583</v>
      </c>
      <c r="E1066" s="18">
        <v>1</v>
      </c>
      <c r="F1066" s="18" t="s">
        <v>4</v>
      </c>
      <c r="G1066" s="18" t="s">
        <v>5</v>
      </c>
      <c r="H1066" s="18" t="s">
        <v>3</v>
      </c>
      <c r="I1066" s="18"/>
      <c r="J1066" s="18" t="s">
        <v>253</v>
      </c>
      <c r="K1066" s="19" t="s">
        <v>254</v>
      </c>
      <c r="L1066" s="19"/>
      <c r="M1066" s="19"/>
      <c r="N1066" s="344" t="s">
        <v>763</v>
      </c>
      <c r="O1066" s="143"/>
      <c r="P1066" s="143"/>
      <c r="Q1066" s="143"/>
      <c r="R1066" s="143">
        <v>42724</v>
      </c>
      <c r="S1066" s="144">
        <v>1592826.05</v>
      </c>
      <c r="T1066" s="144">
        <v>0</v>
      </c>
      <c r="U1066" s="145">
        <v>0</v>
      </c>
      <c r="V1066" s="145">
        <v>0</v>
      </c>
      <c r="W1066" s="145">
        <v>0</v>
      </c>
      <c r="X1066" s="145">
        <f t="shared" si="338"/>
        <v>0</v>
      </c>
      <c r="Y1066" s="145">
        <v>0</v>
      </c>
      <c r="Z1066" s="145">
        <v>3055.26</v>
      </c>
      <c r="AA1066" s="145">
        <v>4802.1400000000003</v>
      </c>
      <c r="AB1066" s="145">
        <v>0</v>
      </c>
      <c r="AC1066" s="145">
        <v>0</v>
      </c>
      <c r="AD1066" s="145">
        <v>10252.83</v>
      </c>
      <c r="AE1066" s="145">
        <v>0</v>
      </c>
      <c r="AF1066" s="145">
        <v>0</v>
      </c>
      <c r="AG1066" s="145">
        <v>19874.96</v>
      </c>
      <c r="AH1066" s="145">
        <v>0</v>
      </c>
      <c r="AI1066" s="145">
        <v>0</v>
      </c>
      <c r="AJ1066" s="145">
        <v>44792.85</v>
      </c>
      <c r="AK1066" s="145">
        <f t="shared" si="339"/>
        <v>82778.040000000008</v>
      </c>
      <c r="AL1066" s="145">
        <v>808594.68</v>
      </c>
      <c r="AM1066" s="145">
        <v>701453.33000000007</v>
      </c>
      <c r="AN1066" s="145">
        <v>0</v>
      </c>
      <c r="AO1066" s="145">
        <v>0</v>
      </c>
      <c r="AP1066" s="145">
        <v>0</v>
      </c>
      <c r="AQ1066" s="145">
        <v>0</v>
      </c>
      <c r="AR1066" s="145">
        <v>0</v>
      </c>
      <c r="AS1066" s="144">
        <f t="shared" si="336"/>
        <v>1592826.0500000003</v>
      </c>
      <c r="AT1066" s="144"/>
      <c r="AU1066" s="146">
        <f t="shared" si="340"/>
        <v>1592826.0500000003</v>
      </c>
      <c r="AV1066" s="146">
        <f>IFERROR(VLOOKUP(J1066,Maksājumu_pieprasījumu_iesn.!G:BL,57,0),0)</f>
        <v>0</v>
      </c>
      <c r="AW1066" s="139">
        <f t="shared" si="330"/>
        <v>-1592826.0500000003</v>
      </c>
      <c r="AX1066" s="140">
        <f t="shared" si="337"/>
        <v>0</v>
      </c>
      <c r="AY1066" s="147"/>
      <c r="AZ1066" s="147"/>
      <c r="BA1066" s="149"/>
      <c r="BB1066" s="144"/>
      <c r="BC1066" s="144"/>
      <c r="BD1066" s="144"/>
      <c r="BE1066" s="144"/>
      <c r="BF1066" s="144"/>
      <c r="BG1066" s="144"/>
      <c r="BH1066" s="149"/>
      <c r="BI1066" s="149"/>
      <c r="BJ1066" s="149"/>
      <c r="BK1066" s="149"/>
      <c r="BL1066" s="149"/>
      <c r="BM1066" s="149"/>
      <c r="BN1066" s="149"/>
    </row>
    <row r="1067" spans="1:66" s="91" customFormat="1" ht="60" hidden="1" customHeight="1" x14ac:dyDescent="0.2">
      <c r="A1067" s="150" t="s">
        <v>2104</v>
      </c>
      <c r="B1067" s="18" t="s">
        <v>233</v>
      </c>
      <c r="C1067" s="18" t="s">
        <v>234</v>
      </c>
      <c r="D1067" s="19" t="s">
        <v>583</v>
      </c>
      <c r="E1067" s="55">
        <v>1</v>
      </c>
      <c r="F1067" s="55" t="s">
        <v>4</v>
      </c>
      <c r="G1067" s="55" t="s">
        <v>5</v>
      </c>
      <c r="H1067" s="55" t="s">
        <v>3</v>
      </c>
      <c r="I1067" s="55"/>
      <c r="J1067" s="55"/>
      <c r="K1067" s="19" t="s">
        <v>2210</v>
      </c>
      <c r="L1067" s="19"/>
      <c r="M1067" s="19"/>
      <c r="N1067" s="19"/>
      <c r="O1067" s="235">
        <v>42855</v>
      </c>
      <c r="P1067" s="235"/>
      <c r="Q1067" s="235"/>
      <c r="R1067" s="188"/>
      <c r="S1067" s="189">
        <v>2081865.9</v>
      </c>
      <c r="T1067" s="364"/>
      <c r="U1067" s="145">
        <v>0</v>
      </c>
      <c r="V1067" s="145">
        <v>0</v>
      </c>
      <c r="W1067" s="145">
        <v>0</v>
      </c>
      <c r="X1067" s="145">
        <f t="shared" si="338"/>
        <v>0</v>
      </c>
      <c r="Y1067" s="145">
        <v>0</v>
      </c>
      <c r="Z1067" s="145">
        <v>0</v>
      </c>
      <c r="AA1067" s="145">
        <v>0</v>
      </c>
      <c r="AB1067" s="145">
        <v>0</v>
      </c>
      <c r="AC1067" s="145">
        <v>0</v>
      </c>
      <c r="AD1067" s="145">
        <v>0</v>
      </c>
      <c r="AE1067" s="145">
        <v>0</v>
      </c>
      <c r="AF1067" s="145">
        <v>0</v>
      </c>
      <c r="AG1067" s="145">
        <v>1658.3</v>
      </c>
      <c r="AH1067" s="145">
        <v>1658.3</v>
      </c>
      <c r="AI1067" s="145">
        <v>4286.28</v>
      </c>
      <c r="AJ1067" s="145">
        <v>4505.4799999999996</v>
      </c>
      <c r="AK1067" s="145">
        <f t="shared" si="339"/>
        <v>12108.359999999999</v>
      </c>
      <c r="AL1067" s="145">
        <v>2091357.38</v>
      </c>
      <c r="AM1067" s="145">
        <v>0</v>
      </c>
      <c r="AN1067" s="145">
        <v>0</v>
      </c>
      <c r="AO1067" s="145">
        <v>0</v>
      </c>
      <c r="AP1067" s="145">
        <v>0</v>
      </c>
      <c r="AQ1067" s="145">
        <v>0</v>
      </c>
      <c r="AR1067" s="145">
        <v>0</v>
      </c>
      <c r="AS1067" s="145">
        <f t="shared" si="336"/>
        <v>2103465.7399999998</v>
      </c>
      <c r="AT1067" s="145"/>
      <c r="AU1067" s="139">
        <f t="shared" si="340"/>
        <v>2103465.7399999998</v>
      </c>
      <c r="AV1067" s="146">
        <f>IFERROR(VLOOKUP(J1067,Maksājumu_pieprasījumu_iesn.!G:BL,57,0),0)</f>
        <v>0</v>
      </c>
      <c r="AW1067" s="139">
        <f t="shared" si="330"/>
        <v>-2103465.7399999998</v>
      </c>
      <c r="AX1067" s="140">
        <f t="shared" si="337"/>
        <v>-21599.839999999851</v>
      </c>
      <c r="AY1067" s="147"/>
      <c r="AZ1067" s="138" t="s">
        <v>1424</v>
      </c>
      <c r="BA1067" s="138" t="s">
        <v>1424</v>
      </c>
      <c r="BB1067" s="145"/>
      <c r="BC1067" s="145"/>
      <c r="BD1067" s="145"/>
      <c r="BE1067" s="145"/>
      <c r="BF1067" s="145"/>
      <c r="BG1067" s="145"/>
      <c r="BH1067" s="138"/>
      <c r="BI1067" s="138"/>
      <c r="BJ1067" s="138"/>
      <c r="BK1067" s="138"/>
      <c r="BL1067" s="138"/>
      <c r="BM1067" s="138"/>
      <c r="BN1067" s="138"/>
    </row>
    <row r="1068" spans="1:66" ht="63.75" hidden="1" customHeight="1" x14ac:dyDescent="0.2">
      <c r="A1068" s="142" t="s">
        <v>2104</v>
      </c>
      <c r="B1068" s="18" t="s">
        <v>233</v>
      </c>
      <c r="C1068" s="18" t="s">
        <v>234</v>
      </c>
      <c r="D1068" s="19" t="s">
        <v>583</v>
      </c>
      <c r="E1068" s="18">
        <v>1</v>
      </c>
      <c r="F1068" s="18" t="s">
        <v>4</v>
      </c>
      <c r="G1068" s="18" t="s">
        <v>5</v>
      </c>
      <c r="H1068" s="18" t="s">
        <v>3</v>
      </c>
      <c r="I1068" s="18"/>
      <c r="J1068" s="18" t="s">
        <v>255</v>
      </c>
      <c r="K1068" s="19" t="s">
        <v>256</v>
      </c>
      <c r="L1068" s="19"/>
      <c r="M1068" s="19"/>
      <c r="N1068" s="19" t="s">
        <v>257</v>
      </c>
      <c r="O1068" s="143"/>
      <c r="P1068" s="143"/>
      <c r="Q1068" s="143"/>
      <c r="R1068" s="143">
        <v>42723</v>
      </c>
      <c r="S1068" s="144">
        <v>3248145.8</v>
      </c>
      <c r="T1068" s="144">
        <v>0</v>
      </c>
      <c r="U1068" s="145">
        <v>0</v>
      </c>
      <c r="V1068" s="145">
        <v>0</v>
      </c>
      <c r="W1068" s="145">
        <v>0</v>
      </c>
      <c r="X1068" s="145">
        <f t="shared" si="338"/>
        <v>0</v>
      </c>
      <c r="Y1068" s="145">
        <v>0</v>
      </c>
      <c r="Z1068" s="145">
        <v>9593.6200000000008</v>
      </c>
      <c r="AA1068" s="145">
        <v>7445.46</v>
      </c>
      <c r="AB1068" s="145">
        <v>0</v>
      </c>
      <c r="AC1068" s="145">
        <v>0</v>
      </c>
      <c r="AD1068" s="145">
        <v>20160.64</v>
      </c>
      <c r="AE1068" s="145">
        <v>0</v>
      </c>
      <c r="AF1068" s="145">
        <v>0</v>
      </c>
      <c r="AG1068" s="145">
        <v>90874.85</v>
      </c>
      <c r="AH1068" s="145">
        <v>0</v>
      </c>
      <c r="AI1068" s="145">
        <v>0</v>
      </c>
      <c r="AJ1068" s="145">
        <v>11152.32</v>
      </c>
      <c r="AK1068" s="145">
        <f t="shared" si="339"/>
        <v>139226.89000000001</v>
      </c>
      <c r="AL1068" s="145">
        <v>2110577.34</v>
      </c>
      <c r="AM1068" s="145">
        <v>998341.57</v>
      </c>
      <c r="AN1068" s="145">
        <v>0</v>
      </c>
      <c r="AO1068" s="145">
        <v>0</v>
      </c>
      <c r="AP1068" s="145">
        <v>0</v>
      </c>
      <c r="AQ1068" s="145">
        <v>0</v>
      </c>
      <c r="AR1068" s="145">
        <v>0</v>
      </c>
      <c r="AS1068" s="144">
        <f t="shared" si="336"/>
        <v>3248145.8</v>
      </c>
      <c r="AT1068" s="144"/>
      <c r="AU1068" s="146">
        <f t="shared" si="340"/>
        <v>3248145.8</v>
      </c>
      <c r="AV1068" s="146">
        <f>IFERROR(VLOOKUP(J1068,Maksājumu_pieprasījumu_iesn.!G:BL,57,0),0)</f>
        <v>0</v>
      </c>
      <c r="AW1068" s="139">
        <f t="shared" si="330"/>
        <v>-3248145.8</v>
      </c>
      <c r="AX1068" s="140">
        <f t="shared" si="337"/>
        <v>0</v>
      </c>
      <c r="AY1068" s="147"/>
      <c r="AZ1068" s="147"/>
      <c r="BA1068" s="149"/>
      <c r="BB1068" s="144"/>
      <c r="BC1068" s="144"/>
      <c r="BD1068" s="144"/>
      <c r="BE1068" s="144"/>
      <c r="BF1068" s="144"/>
      <c r="BG1068" s="144"/>
      <c r="BH1068" s="149"/>
      <c r="BI1068" s="149"/>
      <c r="BJ1068" s="149"/>
      <c r="BK1068" s="149"/>
      <c r="BL1068" s="149"/>
      <c r="BM1068" s="149"/>
      <c r="BN1068" s="149"/>
    </row>
    <row r="1069" spans="1:66" ht="51" hidden="1" customHeight="1" x14ac:dyDescent="0.2">
      <c r="A1069" s="142" t="s">
        <v>2104</v>
      </c>
      <c r="B1069" s="18" t="s">
        <v>233</v>
      </c>
      <c r="C1069" s="18" t="s">
        <v>234</v>
      </c>
      <c r="D1069" s="19" t="s">
        <v>583</v>
      </c>
      <c r="E1069" s="18">
        <v>1</v>
      </c>
      <c r="F1069" s="18" t="s">
        <v>4</v>
      </c>
      <c r="G1069" s="18" t="s">
        <v>5</v>
      </c>
      <c r="H1069" s="18" t="s">
        <v>3</v>
      </c>
      <c r="I1069" s="18"/>
      <c r="J1069" s="18" t="s">
        <v>258</v>
      </c>
      <c r="K1069" s="19" t="s">
        <v>259</v>
      </c>
      <c r="L1069" s="19"/>
      <c r="M1069" s="19"/>
      <c r="N1069" s="19" t="s">
        <v>260</v>
      </c>
      <c r="O1069" s="143"/>
      <c r="P1069" s="143"/>
      <c r="Q1069" s="143"/>
      <c r="R1069" s="143">
        <v>42747</v>
      </c>
      <c r="S1069" s="144">
        <v>2630787.4</v>
      </c>
      <c r="T1069" s="144">
        <v>0</v>
      </c>
      <c r="U1069" s="145">
        <v>0</v>
      </c>
      <c r="V1069" s="145">
        <v>0</v>
      </c>
      <c r="W1069" s="145">
        <v>0</v>
      </c>
      <c r="X1069" s="145">
        <f t="shared" si="338"/>
        <v>0</v>
      </c>
      <c r="Y1069" s="145">
        <v>0</v>
      </c>
      <c r="Z1069" s="145">
        <v>11568.06</v>
      </c>
      <c r="AA1069" s="145">
        <v>0</v>
      </c>
      <c r="AB1069" s="145">
        <v>2662.24</v>
      </c>
      <c r="AC1069" s="145">
        <v>0</v>
      </c>
      <c r="AD1069" s="166">
        <v>0</v>
      </c>
      <c r="AE1069" s="166">
        <v>79819.5</v>
      </c>
      <c r="AF1069" s="145">
        <v>0</v>
      </c>
      <c r="AG1069" s="145">
        <v>0</v>
      </c>
      <c r="AH1069" s="145">
        <v>101497.81</v>
      </c>
      <c r="AI1069" s="145">
        <v>0</v>
      </c>
      <c r="AJ1069" s="145">
        <v>0</v>
      </c>
      <c r="AK1069" s="145">
        <f t="shared" si="339"/>
        <v>195547.61</v>
      </c>
      <c r="AL1069" s="145">
        <v>936057.70000000007</v>
      </c>
      <c r="AM1069" s="145">
        <v>1499182.09</v>
      </c>
      <c r="AN1069" s="145">
        <v>0</v>
      </c>
      <c r="AO1069" s="145">
        <v>0</v>
      </c>
      <c r="AP1069" s="145">
        <v>0</v>
      </c>
      <c r="AQ1069" s="145">
        <v>0</v>
      </c>
      <c r="AR1069" s="145">
        <v>0</v>
      </c>
      <c r="AS1069" s="144">
        <f t="shared" si="336"/>
        <v>2630787.4000000004</v>
      </c>
      <c r="AT1069" s="144"/>
      <c r="AU1069" s="146">
        <f t="shared" si="340"/>
        <v>2630787.4000000004</v>
      </c>
      <c r="AV1069" s="146">
        <f>IFERROR(VLOOKUP(J1069,Maksājumu_pieprasījumu_iesn.!G:BL,57,0),0)</f>
        <v>0</v>
      </c>
      <c r="AW1069" s="139">
        <f t="shared" si="330"/>
        <v>-2630787.4000000004</v>
      </c>
      <c r="AX1069" s="140">
        <f t="shared" si="337"/>
        <v>0</v>
      </c>
      <c r="AY1069" s="147"/>
      <c r="AZ1069" s="147"/>
      <c r="BA1069" s="149"/>
      <c r="BB1069" s="144"/>
      <c r="BC1069" s="144"/>
      <c r="BD1069" s="144"/>
      <c r="BE1069" s="144"/>
      <c r="BF1069" s="144"/>
      <c r="BG1069" s="144"/>
      <c r="BH1069" s="149"/>
      <c r="BI1069" s="149"/>
      <c r="BJ1069" s="149"/>
      <c r="BK1069" s="149"/>
      <c r="BL1069" s="149"/>
      <c r="BM1069" s="149"/>
      <c r="BN1069" s="149"/>
    </row>
    <row r="1070" spans="1:66" ht="63.75" hidden="1" customHeight="1" x14ac:dyDescent="0.2">
      <c r="A1070" s="142" t="s">
        <v>2104</v>
      </c>
      <c r="B1070" s="18" t="s">
        <v>233</v>
      </c>
      <c r="C1070" s="18" t="s">
        <v>234</v>
      </c>
      <c r="D1070" s="19" t="s">
        <v>583</v>
      </c>
      <c r="E1070" s="18">
        <v>1</v>
      </c>
      <c r="F1070" s="18" t="s">
        <v>4</v>
      </c>
      <c r="G1070" s="18" t="s">
        <v>5</v>
      </c>
      <c r="H1070" s="18" t="s">
        <v>3</v>
      </c>
      <c r="I1070" s="18"/>
      <c r="J1070" s="18" t="s">
        <v>261</v>
      </c>
      <c r="K1070" s="19" t="s">
        <v>262</v>
      </c>
      <c r="L1070" s="19"/>
      <c r="M1070" s="19"/>
      <c r="N1070" s="19" t="s">
        <v>263</v>
      </c>
      <c r="O1070" s="143"/>
      <c r="P1070" s="143"/>
      <c r="Q1070" s="143"/>
      <c r="R1070" s="143">
        <v>42824</v>
      </c>
      <c r="S1070" s="144">
        <v>5117330.6499999994</v>
      </c>
      <c r="T1070" s="144">
        <v>0</v>
      </c>
      <c r="U1070" s="145">
        <v>0</v>
      </c>
      <c r="V1070" s="145">
        <v>0</v>
      </c>
      <c r="W1070" s="145">
        <v>0</v>
      </c>
      <c r="X1070" s="145">
        <f t="shared" si="338"/>
        <v>0</v>
      </c>
      <c r="Y1070" s="145">
        <v>0</v>
      </c>
      <c r="Z1070" s="145">
        <v>0</v>
      </c>
      <c r="AA1070" s="145">
        <v>0</v>
      </c>
      <c r="AB1070" s="145">
        <v>5405.82</v>
      </c>
      <c r="AC1070" s="145">
        <v>9745.65</v>
      </c>
      <c r="AD1070" s="145">
        <v>0</v>
      </c>
      <c r="AE1070" s="145">
        <v>0</v>
      </c>
      <c r="AF1070" s="420">
        <v>14114.24</v>
      </c>
      <c r="AG1070" s="145">
        <v>0</v>
      </c>
      <c r="AH1070" s="145">
        <v>0</v>
      </c>
      <c r="AI1070" s="145">
        <v>21558.13</v>
      </c>
      <c r="AJ1070" s="145">
        <v>0</v>
      </c>
      <c r="AK1070" s="145">
        <f t="shared" si="339"/>
        <v>50823.839999999997</v>
      </c>
      <c r="AL1070" s="145">
        <v>1671033.04</v>
      </c>
      <c r="AM1070" s="145">
        <v>1642211.35</v>
      </c>
      <c r="AN1070" s="145">
        <v>1739160.22</v>
      </c>
      <c r="AO1070" s="145">
        <v>14102.2</v>
      </c>
      <c r="AP1070" s="145">
        <v>0</v>
      </c>
      <c r="AQ1070" s="145">
        <v>0</v>
      </c>
      <c r="AR1070" s="145">
        <v>0</v>
      </c>
      <c r="AS1070" s="144">
        <f t="shared" si="336"/>
        <v>5117330.6500000004</v>
      </c>
      <c r="AT1070" s="144"/>
      <c r="AU1070" s="146">
        <f>AS1070-AT1070</f>
        <v>5117330.6500000004</v>
      </c>
      <c r="AV1070" s="146">
        <f>IFERROR(VLOOKUP(J1070,Maksājumu_pieprasījumu_iesn.!G:BL,57,0),0)</f>
        <v>0</v>
      </c>
      <c r="AW1070" s="139">
        <f t="shared" si="330"/>
        <v>-5117330.6500000004</v>
      </c>
      <c r="AX1070" s="140">
        <f t="shared" si="337"/>
        <v>0</v>
      </c>
      <c r="AY1070" s="147"/>
      <c r="AZ1070" s="147"/>
      <c r="BA1070" s="149"/>
      <c r="BB1070" s="144"/>
      <c r="BC1070" s="144"/>
      <c r="BD1070" s="144"/>
      <c r="BE1070" s="144"/>
      <c r="BF1070" s="144"/>
      <c r="BG1070" s="144"/>
      <c r="BH1070" s="149"/>
      <c r="BI1070" s="149"/>
      <c r="BJ1070" s="149"/>
      <c r="BK1070" s="149"/>
      <c r="BL1070" s="149"/>
      <c r="BM1070" s="149"/>
      <c r="BN1070" s="149"/>
    </row>
    <row r="1071" spans="1:66" ht="51" hidden="1" customHeight="1" x14ac:dyDescent="0.2">
      <c r="A1071" s="142" t="s">
        <v>2104</v>
      </c>
      <c r="B1071" s="18" t="s">
        <v>233</v>
      </c>
      <c r="C1071" s="18" t="s">
        <v>234</v>
      </c>
      <c r="D1071" s="19" t="s">
        <v>583</v>
      </c>
      <c r="E1071" s="18">
        <v>1</v>
      </c>
      <c r="F1071" s="18" t="s">
        <v>4</v>
      </c>
      <c r="G1071" s="18" t="s">
        <v>5</v>
      </c>
      <c r="H1071" s="18" t="s">
        <v>3</v>
      </c>
      <c r="I1071" s="18"/>
      <c r="J1071" s="18" t="s">
        <v>264</v>
      </c>
      <c r="K1071" s="19" t="s">
        <v>265</v>
      </c>
      <c r="L1071" s="19"/>
      <c r="M1071" s="19"/>
      <c r="N1071" s="19" t="s">
        <v>266</v>
      </c>
      <c r="O1071" s="143"/>
      <c r="P1071" s="143"/>
      <c r="Q1071" s="143"/>
      <c r="R1071" s="143">
        <v>42740</v>
      </c>
      <c r="S1071" s="144">
        <v>3373613.4499999997</v>
      </c>
      <c r="T1071" s="144">
        <v>0</v>
      </c>
      <c r="U1071" s="145">
        <v>0</v>
      </c>
      <c r="V1071" s="145">
        <v>0</v>
      </c>
      <c r="W1071" s="145">
        <v>0</v>
      </c>
      <c r="X1071" s="145">
        <f t="shared" si="338"/>
        <v>0</v>
      </c>
      <c r="Y1071" s="145">
        <v>0</v>
      </c>
      <c r="Z1071" s="145">
        <v>21280.2</v>
      </c>
      <c r="AA1071" s="145">
        <v>0</v>
      </c>
      <c r="AB1071" s="145">
        <v>0</v>
      </c>
      <c r="AC1071" s="145">
        <v>6025.55</v>
      </c>
      <c r="AD1071" s="145">
        <v>0</v>
      </c>
      <c r="AE1071" s="145">
        <v>0</v>
      </c>
      <c r="AF1071" s="420">
        <v>325728.87</v>
      </c>
      <c r="AG1071" s="145">
        <v>0</v>
      </c>
      <c r="AH1071" s="145">
        <v>0</v>
      </c>
      <c r="AI1071" s="145">
        <v>106592.85</v>
      </c>
      <c r="AJ1071" s="145">
        <v>0</v>
      </c>
      <c r="AK1071" s="145">
        <f t="shared" si="339"/>
        <v>459627.47</v>
      </c>
      <c r="AL1071" s="145">
        <v>1261548.4700000002</v>
      </c>
      <c r="AM1071" s="145">
        <v>1652437.5099999998</v>
      </c>
      <c r="AN1071" s="145">
        <v>0</v>
      </c>
      <c r="AO1071" s="145">
        <v>0</v>
      </c>
      <c r="AP1071" s="145">
        <v>0</v>
      </c>
      <c r="AQ1071" s="145">
        <v>0</v>
      </c>
      <c r="AR1071" s="145">
        <v>0</v>
      </c>
      <c r="AS1071" s="144">
        <f t="shared" si="336"/>
        <v>3373613.45</v>
      </c>
      <c r="AT1071" s="144"/>
      <c r="AU1071" s="146">
        <f>AS1071-AT1071</f>
        <v>3373613.45</v>
      </c>
      <c r="AV1071" s="146" t="str">
        <f>IFERROR(VLOOKUP(J1071,Maksājumu_pieprasījumu_iesn.!G:BL,57,0),0)</f>
        <v>Projektā maksājumu plūsma samazinājusies un  izdevumu pārcelti uz turpmākiem maksājuma pieprasījumiem, jo   netika veikts avansa maksājums būvniekam (būvdarbu līgumā, kas noslēgts starp Rēzeknes tehnikumu un SIA Latvijas Energoceltnieks paredzēts avanss 20% apmērā no līguma summas (482 832.87 euro apmērā)). Iepriekšējā maksājumu  iesniegšanas grafikā bija ieplānota avansa izmaksa 15% apmērā, bet būvnieks atteicās no avansa izmaksas.</v>
      </c>
      <c r="AW1071" s="139" t="e">
        <f t="shared" si="330"/>
        <v>#VALUE!</v>
      </c>
      <c r="AX1071" s="140">
        <f t="shared" si="337"/>
        <v>0</v>
      </c>
      <c r="AY1071" s="147"/>
      <c r="AZ1071" s="147"/>
      <c r="BA1071" s="149"/>
      <c r="BB1071" s="144"/>
      <c r="BC1071" s="144"/>
      <c r="BD1071" s="144"/>
      <c r="BE1071" s="144"/>
      <c r="BF1071" s="144"/>
      <c r="BG1071" s="144"/>
      <c r="BH1071" s="149"/>
      <c r="BI1071" s="149"/>
      <c r="BJ1071" s="149"/>
      <c r="BK1071" s="149"/>
      <c r="BL1071" s="149"/>
      <c r="BM1071" s="149"/>
      <c r="BN1071" s="149"/>
    </row>
    <row r="1072" spans="1:66" ht="63.75" hidden="1" customHeight="1" x14ac:dyDescent="0.2">
      <c r="A1072" s="142" t="s">
        <v>2104</v>
      </c>
      <c r="B1072" s="18" t="s">
        <v>233</v>
      </c>
      <c r="C1072" s="18" t="s">
        <v>234</v>
      </c>
      <c r="D1072" s="19" t="s">
        <v>583</v>
      </c>
      <c r="E1072" s="18">
        <v>1</v>
      </c>
      <c r="F1072" s="18" t="s">
        <v>4</v>
      </c>
      <c r="G1072" s="18" t="s">
        <v>5</v>
      </c>
      <c r="H1072" s="18" t="s">
        <v>3</v>
      </c>
      <c r="I1072" s="18"/>
      <c r="J1072" s="18" t="s">
        <v>267</v>
      </c>
      <c r="K1072" s="19" t="s">
        <v>268</v>
      </c>
      <c r="L1072" s="19"/>
      <c r="M1072" s="19"/>
      <c r="N1072" s="19" t="s">
        <v>269</v>
      </c>
      <c r="O1072" s="143"/>
      <c r="P1072" s="143"/>
      <c r="Q1072" s="143"/>
      <c r="R1072" s="143">
        <v>42744</v>
      </c>
      <c r="S1072" s="144">
        <v>3469139.85</v>
      </c>
      <c r="T1072" s="144">
        <v>0</v>
      </c>
      <c r="U1072" s="145">
        <v>0</v>
      </c>
      <c r="V1072" s="145">
        <v>0</v>
      </c>
      <c r="W1072" s="145">
        <v>0</v>
      </c>
      <c r="X1072" s="145">
        <f t="shared" si="338"/>
        <v>0</v>
      </c>
      <c r="Y1072" s="145">
        <v>0</v>
      </c>
      <c r="Z1072" s="145">
        <v>12204.16</v>
      </c>
      <c r="AA1072" s="145">
        <v>4139.07</v>
      </c>
      <c r="AB1072" s="145">
        <v>0</v>
      </c>
      <c r="AC1072" s="145">
        <v>0</v>
      </c>
      <c r="AD1072" s="145">
        <v>13618.15</v>
      </c>
      <c r="AE1072" s="145">
        <v>0</v>
      </c>
      <c r="AF1072" s="145">
        <v>0</v>
      </c>
      <c r="AG1072" s="145">
        <v>10613.31</v>
      </c>
      <c r="AH1072" s="145">
        <v>0</v>
      </c>
      <c r="AI1072" s="145">
        <v>0</v>
      </c>
      <c r="AJ1072" s="145">
        <v>114927.23</v>
      </c>
      <c r="AK1072" s="145">
        <f t="shared" si="339"/>
        <v>155501.91999999998</v>
      </c>
      <c r="AL1072" s="145">
        <v>1260392.94</v>
      </c>
      <c r="AM1072" s="145">
        <v>2053244.99</v>
      </c>
      <c r="AN1072" s="145">
        <v>0</v>
      </c>
      <c r="AO1072" s="145">
        <v>0</v>
      </c>
      <c r="AP1072" s="145">
        <v>0</v>
      </c>
      <c r="AQ1072" s="145">
        <v>0</v>
      </c>
      <c r="AR1072" s="145">
        <v>0</v>
      </c>
      <c r="AS1072" s="144">
        <f t="shared" si="336"/>
        <v>3469139.8499999996</v>
      </c>
      <c r="AT1072" s="144"/>
      <c r="AU1072" s="146">
        <f t="shared" si="340"/>
        <v>3469139.8499999996</v>
      </c>
      <c r="AV1072" s="146">
        <f>IFERROR(VLOOKUP(J1072,Maksājumu_pieprasījumu_iesn.!G:BL,57,0),0)</f>
        <v>0</v>
      </c>
      <c r="AW1072" s="139">
        <f t="shared" si="330"/>
        <v>-3469139.8499999996</v>
      </c>
      <c r="AX1072" s="140">
        <f t="shared" si="337"/>
        <v>0</v>
      </c>
      <c r="AY1072" s="147"/>
      <c r="AZ1072" s="147"/>
      <c r="BA1072" s="149"/>
      <c r="BB1072" s="144"/>
      <c r="BC1072" s="144"/>
      <c r="BD1072" s="144"/>
      <c r="BE1072" s="144"/>
      <c r="BF1072" s="144"/>
      <c r="BG1072" s="144"/>
      <c r="BH1072" s="149"/>
      <c r="BI1072" s="149"/>
      <c r="BJ1072" s="149"/>
      <c r="BK1072" s="149"/>
      <c r="BL1072" s="149"/>
      <c r="BM1072" s="149"/>
      <c r="BN1072" s="149"/>
    </row>
    <row r="1073" spans="1:66" ht="51" hidden="1" customHeight="1" x14ac:dyDescent="0.2">
      <c r="A1073" s="142" t="s">
        <v>2104</v>
      </c>
      <c r="B1073" s="18" t="s">
        <v>233</v>
      </c>
      <c r="C1073" s="18" t="s">
        <v>234</v>
      </c>
      <c r="D1073" s="19" t="s">
        <v>583</v>
      </c>
      <c r="E1073" s="18">
        <v>1</v>
      </c>
      <c r="F1073" s="18" t="s">
        <v>4</v>
      </c>
      <c r="G1073" s="18" t="s">
        <v>5</v>
      </c>
      <c r="H1073" s="18" t="s">
        <v>3</v>
      </c>
      <c r="I1073" s="18"/>
      <c r="J1073" s="18" t="s">
        <v>270</v>
      </c>
      <c r="K1073" s="19" t="s">
        <v>271</v>
      </c>
      <c r="L1073" s="19"/>
      <c r="M1073" s="19"/>
      <c r="N1073" s="19" t="s">
        <v>272</v>
      </c>
      <c r="O1073" s="143"/>
      <c r="P1073" s="143"/>
      <c r="Q1073" s="143"/>
      <c r="R1073" s="143">
        <v>42718</v>
      </c>
      <c r="S1073" s="144">
        <v>1544349.7</v>
      </c>
      <c r="T1073" s="144">
        <v>0</v>
      </c>
      <c r="U1073" s="145">
        <v>0</v>
      </c>
      <c r="V1073" s="145">
        <v>0</v>
      </c>
      <c r="W1073" s="145">
        <v>0</v>
      </c>
      <c r="X1073" s="145">
        <f t="shared" si="338"/>
        <v>0</v>
      </c>
      <c r="Y1073" s="145">
        <v>3834.6</v>
      </c>
      <c r="Z1073" s="145">
        <v>3054.77</v>
      </c>
      <c r="AA1073" s="145">
        <v>0</v>
      </c>
      <c r="AB1073" s="145">
        <v>0</v>
      </c>
      <c r="AC1073" s="145">
        <v>11305.27</v>
      </c>
      <c r="AD1073" s="145">
        <v>0</v>
      </c>
      <c r="AE1073" s="145">
        <v>0</v>
      </c>
      <c r="AF1073" s="420">
        <v>7843.6</v>
      </c>
      <c r="AG1073" s="145">
        <v>0</v>
      </c>
      <c r="AH1073" s="145">
        <v>0</v>
      </c>
      <c r="AI1073" s="145">
        <v>47522.94</v>
      </c>
      <c r="AJ1073" s="145">
        <v>0</v>
      </c>
      <c r="AK1073" s="145">
        <f t="shared" si="339"/>
        <v>73561.179999999993</v>
      </c>
      <c r="AL1073" s="145">
        <v>474231.16000000003</v>
      </c>
      <c r="AM1073" s="145">
        <v>996557.35999999987</v>
      </c>
      <c r="AN1073" s="145">
        <v>0</v>
      </c>
      <c r="AO1073" s="145">
        <v>0</v>
      </c>
      <c r="AP1073" s="145">
        <v>0</v>
      </c>
      <c r="AQ1073" s="145">
        <v>0</v>
      </c>
      <c r="AR1073" s="145">
        <v>0</v>
      </c>
      <c r="AS1073" s="144">
        <f t="shared" si="336"/>
        <v>1544349.7</v>
      </c>
      <c r="AT1073" s="144"/>
      <c r="AU1073" s="146">
        <f>AS1073-AT1073</f>
        <v>1544349.7</v>
      </c>
      <c r="AV1073" s="146">
        <f>IFERROR(VLOOKUP(J1073,Maksājumu_pieprasījumu_iesn.!G:BL,57,0),0)</f>
        <v>0</v>
      </c>
      <c r="AW1073" s="139">
        <f t="shared" si="330"/>
        <v>-1544349.7</v>
      </c>
      <c r="AX1073" s="140">
        <f t="shared" si="337"/>
        <v>0</v>
      </c>
      <c r="AY1073" s="147"/>
      <c r="AZ1073" s="147"/>
      <c r="BA1073" s="149"/>
      <c r="BB1073" s="144"/>
      <c r="BC1073" s="144"/>
      <c r="BD1073" s="144"/>
      <c r="BE1073" s="144"/>
      <c r="BF1073" s="144"/>
      <c r="BG1073" s="144"/>
      <c r="BH1073" s="149"/>
      <c r="BI1073" s="149"/>
      <c r="BJ1073" s="149"/>
      <c r="BK1073" s="149"/>
      <c r="BL1073" s="149"/>
      <c r="BM1073" s="149"/>
      <c r="BN1073" s="149"/>
    </row>
    <row r="1074" spans="1:66" s="91" customFormat="1" ht="38.25" hidden="1" customHeight="1" x14ac:dyDescent="0.2">
      <c r="A1074" s="150" t="s">
        <v>2104</v>
      </c>
      <c r="B1074" s="18" t="s">
        <v>233</v>
      </c>
      <c r="C1074" s="18" t="s">
        <v>234</v>
      </c>
      <c r="D1074" s="19" t="s">
        <v>583</v>
      </c>
      <c r="E1074" s="55">
        <v>1</v>
      </c>
      <c r="F1074" s="55" t="s">
        <v>4</v>
      </c>
      <c r="G1074" s="55" t="s">
        <v>5</v>
      </c>
      <c r="H1074" s="55" t="s">
        <v>960</v>
      </c>
      <c r="I1074" s="55"/>
      <c r="J1074" s="55"/>
      <c r="K1074" s="19" t="s">
        <v>2211</v>
      </c>
      <c r="L1074" s="19"/>
      <c r="M1074" s="19"/>
      <c r="N1074" s="19" t="s">
        <v>2212</v>
      </c>
      <c r="O1074" s="188">
        <v>42916</v>
      </c>
      <c r="P1074" s="188"/>
      <c r="Q1074" s="188"/>
      <c r="R1074" s="188"/>
      <c r="S1074" s="147">
        <v>3110950.6999999997</v>
      </c>
      <c r="T1074" s="152">
        <v>0</v>
      </c>
      <c r="U1074" s="145">
        <v>0</v>
      </c>
      <c r="V1074" s="145">
        <v>0</v>
      </c>
      <c r="W1074" s="145">
        <v>0</v>
      </c>
      <c r="X1074" s="145">
        <f t="shared" si="338"/>
        <v>0</v>
      </c>
      <c r="Y1074" s="145">
        <v>0</v>
      </c>
      <c r="Z1074" s="145">
        <v>0</v>
      </c>
      <c r="AA1074" s="145">
        <v>0</v>
      </c>
      <c r="AB1074" s="145">
        <v>0</v>
      </c>
      <c r="AC1074" s="145">
        <v>0</v>
      </c>
      <c r="AD1074" s="145">
        <v>0</v>
      </c>
      <c r="AE1074" s="145">
        <v>0</v>
      </c>
      <c r="AF1074" s="145">
        <v>0</v>
      </c>
      <c r="AG1074" s="145">
        <v>0</v>
      </c>
      <c r="AH1074" s="145">
        <v>0</v>
      </c>
      <c r="AI1074" s="145">
        <v>0</v>
      </c>
      <c r="AJ1074" s="145">
        <v>0</v>
      </c>
      <c r="AK1074" s="145">
        <f t="shared" si="339"/>
        <v>0</v>
      </c>
      <c r="AL1074" s="145">
        <v>1651009</v>
      </c>
      <c r="AM1074" s="145">
        <v>1459942</v>
      </c>
      <c r="AN1074" s="145">
        <v>0</v>
      </c>
      <c r="AO1074" s="145">
        <v>0</v>
      </c>
      <c r="AP1074" s="145">
        <v>0</v>
      </c>
      <c r="AQ1074" s="145">
        <v>0</v>
      </c>
      <c r="AR1074" s="145">
        <v>0</v>
      </c>
      <c r="AS1074" s="145">
        <f t="shared" si="336"/>
        <v>3110951</v>
      </c>
      <c r="AT1074" s="145"/>
      <c r="AU1074" s="139">
        <f t="shared" si="340"/>
        <v>3110951</v>
      </c>
      <c r="AV1074" s="146">
        <f>IFERROR(VLOOKUP(J1074,Maksājumu_pieprasījumu_iesn.!G:BL,57,0),0)</f>
        <v>0</v>
      </c>
      <c r="AW1074" s="139">
        <f t="shared" si="330"/>
        <v>-3110951</v>
      </c>
      <c r="AX1074" s="140">
        <f t="shared" si="337"/>
        <v>-0.30000000027939677</v>
      </c>
      <c r="AY1074" s="147"/>
      <c r="AZ1074" s="147"/>
      <c r="BA1074" s="138"/>
      <c r="BB1074" s="145"/>
      <c r="BC1074" s="145"/>
      <c r="BD1074" s="145"/>
      <c r="BE1074" s="145"/>
      <c r="BF1074" s="145"/>
      <c r="BG1074" s="145"/>
      <c r="BH1074" s="138"/>
      <c r="BI1074" s="138"/>
      <c r="BJ1074" s="138"/>
      <c r="BK1074" s="138"/>
      <c r="BL1074" s="138"/>
      <c r="BM1074" s="138"/>
      <c r="BN1074" s="138"/>
    </row>
    <row r="1075" spans="1:66" s="91" customFormat="1" ht="63" hidden="1" customHeight="1" x14ac:dyDescent="0.2">
      <c r="A1075" s="150" t="s">
        <v>2104</v>
      </c>
      <c r="B1075" s="18" t="s">
        <v>233</v>
      </c>
      <c r="C1075" s="18" t="s">
        <v>234</v>
      </c>
      <c r="D1075" s="19" t="s">
        <v>583</v>
      </c>
      <c r="E1075" s="55">
        <v>1</v>
      </c>
      <c r="F1075" s="55" t="s">
        <v>4</v>
      </c>
      <c r="G1075" s="55" t="s">
        <v>5</v>
      </c>
      <c r="H1075" s="55" t="s">
        <v>3</v>
      </c>
      <c r="I1075" s="55"/>
      <c r="J1075" s="55"/>
      <c r="K1075" s="19" t="s">
        <v>662</v>
      </c>
      <c r="L1075" s="19"/>
      <c r="M1075" s="19"/>
      <c r="N1075" s="19" t="s">
        <v>2213</v>
      </c>
      <c r="O1075" s="235">
        <v>42855</v>
      </c>
      <c r="P1075" s="235"/>
      <c r="Q1075" s="235"/>
      <c r="R1075" s="188"/>
      <c r="S1075" s="147">
        <v>1537354.2</v>
      </c>
      <c r="T1075" s="152">
        <v>0</v>
      </c>
      <c r="U1075" s="145">
        <v>0</v>
      </c>
      <c r="V1075" s="145">
        <v>0</v>
      </c>
      <c r="W1075" s="145">
        <v>0</v>
      </c>
      <c r="X1075" s="145">
        <f t="shared" si="338"/>
        <v>0</v>
      </c>
      <c r="Y1075" s="145">
        <v>0</v>
      </c>
      <c r="Z1075" s="145">
        <v>0</v>
      </c>
      <c r="AA1075" s="145">
        <v>0</v>
      </c>
      <c r="AB1075" s="145">
        <v>0</v>
      </c>
      <c r="AC1075" s="145">
        <v>0</v>
      </c>
      <c r="AD1075" s="145">
        <v>0</v>
      </c>
      <c r="AE1075" s="145">
        <v>0</v>
      </c>
      <c r="AF1075" s="145">
        <v>0</v>
      </c>
      <c r="AG1075" s="145">
        <v>0</v>
      </c>
      <c r="AH1075" s="145">
        <v>0</v>
      </c>
      <c r="AI1075" s="145">
        <v>0</v>
      </c>
      <c r="AJ1075" s="145">
        <v>56270</v>
      </c>
      <c r="AK1075" s="145">
        <f t="shared" si="339"/>
        <v>56270</v>
      </c>
      <c r="AL1075" s="145">
        <v>1068661.3500000001</v>
      </c>
      <c r="AM1075" s="145">
        <v>196688.65</v>
      </c>
      <c r="AN1075" s="145">
        <v>0</v>
      </c>
      <c r="AO1075" s="145">
        <v>0</v>
      </c>
      <c r="AP1075" s="145">
        <v>0</v>
      </c>
      <c r="AQ1075" s="145">
        <v>0</v>
      </c>
      <c r="AR1075" s="145">
        <v>0</v>
      </c>
      <c r="AS1075" s="145">
        <f t="shared" si="336"/>
        <v>1321620</v>
      </c>
      <c r="AT1075" s="145"/>
      <c r="AU1075" s="139">
        <f t="shared" si="340"/>
        <v>1321620</v>
      </c>
      <c r="AV1075" s="146">
        <f>IFERROR(VLOOKUP(J1075,Maksājumu_pieprasījumu_iesn.!G:BL,57,0),0)</f>
        <v>0</v>
      </c>
      <c r="AW1075" s="139">
        <f t="shared" si="330"/>
        <v>-1321620</v>
      </c>
      <c r="AX1075" s="140">
        <f t="shared" si="337"/>
        <v>215734.19999999995</v>
      </c>
      <c r="AY1075" s="147">
        <v>215734.19999999995</v>
      </c>
      <c r="AZ1075" s="138" t="s">
        <v>2214</v>
      </c>
      <c r="BA1075" s="138" t="s">
        <v>2214</v>
      </c>
      <c r="BB1075" s="145"/>
      <c r="BC1075" s="145"/>
      <c r="BD1075" s="145"/>
      <c r="BE1075" s="145"/>
      <c r="BF1075" s="145"/>
      <c r="BG1075" s="145"/>
      <c r="BH1075" s="138"/>
      <c r="BI1075" s="138"/>
      <c r="BJ1075" s="138"/>
      <c r="BK1075" s="138"/>
      <c r="BL1075" s="138"/>
      <c r="BM1075" s="138"/>
      <c r="BN1075" s="138"/>
    </row>
    <row r="1076" spans="1:66" s="91" customFormat="1" ht="76.5" hidden="1" customHeight="1" x14ac:dyDescent="0.2">
      <c r="A1076" s="150" t="s">
        <v>2104</v>
      </c>
      <c r="B1076" s="18" t="s">
        <v>233</v>
      </c>
      <c r="C1076" s="18" t="s">
        <v>234</v>
      </c>
      <c r="D1076" s="19" t="s">
        <v>583</v>
      </c>
      <c r="E1076" s="55">
        <v>1</v>
      </c>
      <c r="F1076" s="55" t="s">
        <v>4</v>
      </c>
      <c r="G1076" s="55" t="s">
        <v>5</v>
      </c>
      <c r="H1076" s="55" t="s">
        <v>3</v>
      </c>
      <c r="I1076" s="55"/>
      <c r="J1076" s="55"/>
      <c r="K1076" s="19" t="s">
        <v>2215</v>
      </c>
      <c r="L1076" s="19"/>
      <c r="M1076" s="19"/>
      <c r="N1076" s="19"/>
      <c r="O1076" s="151" t="s">
        <v>2216</v>
      </c>
      <c r="P1076" s="151"/>
      <c r="Q1076" s="151"/>
      <c r="R1076" s="151"/>
      <c r="S1076" s="152">
        <v>4107827</v>
      </c>
      <c r="T1076" s="152"/>
      <c r="U1076" s="145">
        <v>0</v>
      </c>
      <c r="V1076" s="145">
        <v>0</v>
      </c>
      <c r="W1076" s="145">
        <v>0</v>
      </c>
      <c r="X1076" s="145">
        <f t="shared" si="338"/>
        <v>0</v>
      </c>
      <c r="Y1076" s="145">
        <v>0</v>
      </c>
      <c r="Z1076" s="145">
        <v>0</v>
      </c>
      <c r="AA1076" s="145">
        <v>0</v>
      </c>
      <c r="AB1076" s="145">
        <v>0</v>
      </c>
      <c r="AC1076" s="145">
        <v>0</v>
      </c>
      <c r="AD1076" s="145">
        <v>0</v>
      </c>
      <c r="AE1076" s="145">
        <v>0</v>
      </c>
      <c r="AF1076" s="145">
        <v>0</v>
      </c>
      <c r="AG1076" s="145">
        <v>0</v>
      </c>
      <c r="AH1076" s="145">
        <v>0</v>
      </c>
      <c r="AI1076" s="145">
        <v>0</v>
      </c>
      <c r="AJ1076" s="145">
        <v>0</v>
      </c>
      <c r="AK1076" s="145">
        <f t="shared" si="339"/>
        <v>0</v>
      </c>
      <c r="AL1076" s="145">
        <v>0</v>
      </c>
      <c r="AM1076" s="145">
        <v>0</v>
      </c>
      <c r="AN1076" s="145">
        <v>0</v>
      </c>
      <c r="AO1076" s="145">
        <v>0</v>
      </c>
      <c r="AP1076" s="145">
        <v>0</v>
      </c>
      <c r="AQ1076" s="145">
        <v>0</v>
      </c>
      <c r="AR1076" s="145">
        <v>0</v>
      </c>
      <c r="AS1076" s="145">
        <f t="shared" si="336"/>
        <v>0</v>
      </c>
      <c r="AT1076" s="145"/>
      <c r="AU1076" s="139">
        <f t="shared" si="340"/>
        <v>0</v>
      </c>
      <c r="AV1076" s="146">
        <f>IFERROR(VLOOKUP(J1076,Maksājumu_pieprasījumu_iesn.!G:BL,57,0),0)</f>
        <v>0</v>
      </c>
      <c r="AW1076" s="139">
        <f t="shared" si="330"/>
        <v>0</v>
      </c>
      <c r="AX1076" s="140">
        <f t="shared" si="337"/>
        <v>4107827</v>
      </c>
      <c r="AY1076" s="147"/>
      <c r="AZ1076" s="147"/>
      <c r="BA1076" s="138" t="s">
        <v>2217</v>
      </c>
      <c r="BB1076" s="145"/>
      <c r="BC1076" s="145"/>
      <c r="BD1076" s="145"/>
      <c r="BE1076" s="145"/>
      <c r="BF1076" s="145"/>
      <c r="BG1076" s="145"/>
      <c r="BH1076" s="138"/>
      <c r="BI1076" s="138"/>
      <c r="BJ1076" s="138"/>
      <c r="BK1076" s="138"/>
      <c r="BL1076" s="138"/>
      <c r="BM1076" s="138"/>
      <c r="BN1076" s="138"/>
    </row>
    <row r="1077" spans="1:66" s="320" customFormat="1" ht="51" hidden="1" customHeight="1" x14ac:dyDescent="0.2">
      <c r="A1077" s="131" t="s">
        <v>2104</v>
      </c>
      <c r="B1077" s="132" t="s">
        <v>233</v>
      </c>
      <c r="C1077" s="132" t="s">
        <v>234</v>
      </c>
      <c r="D1077" s="133" t="s">
        <v>583</v>
      </c>
      <c r="E1077" s="22">
        <v>2</v>
      </c>
      <c r="F1077" s="22" t="s">
        <v>4</v>
      </c>
      <c r="G1077" s="22" t="s">
        <v>5</v>
      </c>
      <c r="H1077" s="22" t="s">
        <v>3</v>
      </c>
      <c r="I1077" s="22" t="s">
        <v>1022</v>
      </c>
      <c r="J1077" s="134" t="s">
        <v>1026</v>
      </c>
      <c r="K1077" s="133"/>
      <c r="L1077" s="133"/>
      <c r="M1077" s="133"/>
      <c r="N1077" s="133"/>
      <c r="O1077" s="135"/>
      <c r="P1077" s="135"/>
      <c r="Q1077" s="135"/>
      <c r="R1077" s="135"/>
      <c r="S1077" s="136">
        <v>19084794</v>
      </c>
      <c r="T1077" s="136">
        <v>1164172</v>
      </c>
      <c r="U1077" s="137">
        <f>SUM(U1078:U1084)</f>
        <v>0</v>
      </c>
      <c r="V1077" s="137">
        <f>SUM(V1078:V1084)</f>
        <v>0</v>
      </c>
      <c r="W1077" s="137">
        <f>SUM(W1078:W1084)</f>
        <v>0</v>
      </c>
      <c r="X1077" s="138">
        <f>U1077+V1077+W1077</f>
        <v>0</v>
      </c>
      <c r="Y1077" s="137">
        <f t="shared" ref="Y1077:AR1077" si="341">SUM(Y1078:Y1084)</f>
        <v>0</v>
      </c>
      <c r="Z1077" s="137">
        <f t="shared" si="341"/>
        <v>0</v>
      </c>
      <c r="AA1077" s="137">
        <f t="shared" si="341"/>
        <v>0</v>
      </c>
      <c r="AB1077" s="137">
        <f t="shared" si="341"/>
        <v>2003115.95</v>
      </c>
      <c r="AC1077" s="137">
        <f t="shared" si="341"/>
        <v>0</v>
      </c>
      <c r="AD1077" s="137">
        <f t="shared" si="341"/>
        <v>0</v>
      </c>
      <c r="AE1077" s="137">
        <f t="shared" si="341"/>
        <v>104574.65</v>
      </c>
      <c r="AF1077" s="137">
        <f t="shared" si="341"/>
        <v>0</v>
      </c>
      <c r="AG1077" s="137">
        <f t="shared" si="341"/>
        <v>0</v>
      </c>
      <c r="AH1077" s="137">
        <f t="shared" si="341"/>
        <v>730698.25</v>
      </c>
      <c r="AI1077" s="137">
        <f t="shared" si="341"/>
        <v>158830.15</v>
      </c>
      <c r="AJ1077" s="137">
        <f t="shared" si="341"/>
        <v>2096.9500000000003</v>
      </c>
      <c r="AK1077" s="137">
        <f t="shared" si="341"/>
        <v>2999315.95</v>
      </c>
      <c r="AL1077" s="137">
        <f t="shared" si="341"/>
        <v>9672481.7100000009</v>
      </c>
      <c r="AM1077" s="137">
        <f t="shared" si="341"/>
        <v>3570485.14</v>
      </c>
      <c r="AN1077" s="137">
        <f t="shared" si="341"/>
        <v>900626</v>
      </c>
      <c r="AO1077" s="137">
        <f t="shared" si="341"/>
        <v>0</v>
      </c>
      <c r="AP1077" s="137">
        <f t="shared" si="341"/>
        <v>0</v>
      </c>
      <c r="AQ1077" s="137">
        <f t="shared" si="341"/>
        <v>0</v>
      </c>
      <c r="AR1077" s="137">
        <f t="shared" si="341"/>
        <v>0</v>
      </c>
      <c r="AS1077" s="137">
        <f t="shared" si="336"/>
        <v>17142908.800000001</v>
      </c>
      <c r="AT1077" s="153">
        <f>SUM(AT1078:AT1084)</f>
        <v>0</v>
      </c>
      <c r="AU1077" s="139">
        <f t="shared" si="340"/>
        <v>17142908.800000001</v>
      </c>
      <c r="AV1077" s="146">
        <f>IFERROR(VLOOKUP(J1077,Maksājumu_pieprasījumu_iesn.!G:BL,57,0),0)</f>
        <v>0</v>
      </c>
      <c r="AW1077" s="139">
        <f t="shared" si="330"/>
        <v>-17142908.800000001</v>
      </c>
      <c r="AX1077" s="140">
        <f t="shared" si="337"/>
        <v>777713.19999999925</v>
      </c>
      <c r="AY1077" s="147">
        <f>SUM(AY1078:AY1084)</f>
        <v>1064977.6000000001</v>
      </c>
      <c r="AZ1077" s="147"/>
      <c r="BA1077" s="138" t="s">
        <v>2218</v>
      </c>
      <c r="BB1077" s="140"/>
      <c r="BC1077" s="140">
        <f>X1077+AK1077+AL1077/2</f>
        <v>7835556.8050000006</v>
      </c>
      <c r="BD1077" s="140"/>
      <c r="BE1077" s="140">
        <f>BC1077/0.85</f>
        <v>9218302.1235294119</v>
      </c>
      <c r="BF1077" s="137"/>
      <c r="BG1077" s="137"/>
      <c r="BH1077" s="138">
        <v>0</v>
      </c>
      <c r="BI1077" s="138">
        <v>1829600.6835449601</v>
      </c>
      <c r="BJ1077" s="138"/>
      <c r="BK1077" s="138"/>
      <c r="BL1077" s="138">
        <v>4422925.0603447799</v>
      </c>
      <c r="BM1077" s="138"/>
      <c r="BN1077" s="138"/>
    </row>
    <row r="1078" spans="1:66" s="91" customFormat="1" ht="71.25" hidden="1" customHeight="1" x14ac:dyDescent="0.2">
      <c r="A1078" s="150" t="s">
        <v>2104</v>
      </c>
      <c r="B1078" s="18" t="s">
        <v>233</v>
      </c>
      <c r="C1078" s="18" t="s">
        <v>234</v>
      </c>
      <c r="D1078" s="19" t="s">
        <v>583</v>
      </c>
      <c r="E1078" s="55">
        <v>2</v>
      </c>
      <c r="F1078" s="55" t="s">
        <v>4</v>
      </c>
      <c r="G1078" s="55" t="s">
        <v>5</v>
      </c>
      <c r="H1078" s="55" t="s">
        <v>3</v>
      </c>
      <c r="I1078" s="55"/>
      <c r="J1078" s="55"/>
      <c r="K1078" s="19" t="s">
        <v>2219</v>
      </c>
      <c r="L1078" s="19"/>
      <c r="M1078" s="19"/>
      <c r="N1078" s="19"/>
      <c r="O1078" s="151">
        <v>42978</v>
      </c>
      <c r="P1078" s="151"/>
      <c r="Q1078" s="151"/>
      <c r="R1078" s="151" t="s">
        <v>2220</v>
      </c>
      <c r="S1078" s="189">
        <v>3993521</v>
      </c>
      <c r="T1078" s="152"/>
      <c r="U1078" s="145">
        <v>0</v>
      </c>
      <c r="V1078" s="145">
        <v>0</v>
      </c>
      <c r="W1078" s="145">
        <v>0</v>
      </c>
      <c r="X1078" s="145">
        <f t="shared" ref="X1078:X1084" si="342">W1078+V1078+U1078</f>
        <v>0</v>
      </c>
      <c r="Y1078" s="145">
        <v>0</v>
      </c>
      <c r="Z1078" s="145">
        <v>0</v>
      </c>
      <c r="AA1078" s="145">
        <v>0</v>
      </c>
      <c r="AB1078" s="145">
        <v>0</v>
      </c>
      <c r="AC1078" s="145">
        <v>0</v>
      </c>
      <c r="AD1078" s="145">
        <v>0</v>
      </c>
      <c r="AE1078" s="145">
        <v>0</v>
      </c>
      <c r="AF1078" s="145">
        <v>0</v>
      </c>
      <c r="AG1078" s="145">
        <v>0</v>
      </c>
      <c r="AH1078" s="145">
        <v>0</v>
      </c>
      <c r="AI1078" s="145">
        <v>0</v>
      </c>
      <c r="AJ1078" s="145">
        <v>0</v>
      </c>
      <c r="AK1078" s="145">
        <f t="shared" ref="AK1078:AK1084" si="343">SUM(Y1078:AJ1078)</f>
        <v>0</v>
      </c>
      <c r="AL1078" s="145">
        <v>1042100</v>
      </c>
      <c r="AM1078" s="145">
        <v>1304226.3999999999</v>
      </c>
      <c r="AN1078" s="145">
        <v>900626</v>
      </c>
      <c r="AO1078" s="145">
        <v>0</v>
      </c>
      <c r="AP1078" s="145">
        <v>0</v>
      </c>
      <c r="AQ1078" s="145">
        <v>0</v>
      </c>
      <c r="AR1078" s="145">
        <v>0</v>
      </c>
      <c r="AS1078" s="145">
        <f t="shared" si="336"/>
        <v>3246952.4</v>
      </c>
      <c r="AT1078" s="145"/>
      <c r="AU1078" s="139">
        <f t="shared" si="340"/>
        <v>3246952.4</v>
      </c>
      <c r="AV1078" s="146">
        <f>IFERROR(VLOOKUP(J1078,Maksājumu_pieprasījumu_iesn.!G:BL,57,0),0)</f>
        <v>0</v>
      </c>
      <c r="AW1078" s="139">
        <f t="shared" si="330"/>
        <v>-3246952.4</v>
      </c>
      <c r="AX1078" s="140">
        <f t="shared" si="337"/>
        <v>746568.60000000009</v>
      </c>
      <c r="AY1078" s="147">
        <v>746568.6</v>
      </c>
      <c r="AZ1078" s="138" t="s">
        <v>2221</v>
      </c>
      <c r="BA1078" s="138" t="s">
        <v>2221</v>
      </c>
      <c r="BB1078" s="145"/>
      <c r="BC1078" s="145"/>
      <c r="BD1078" s="145"/>
      <c r="BE1078" s="145"/>
      <c r="BF1078" s="145"/>
      <c r="BG1078" s="145"/>
      <c r="BH1078" s="138"/>
      <c r="BI1078" s="138"/>
      <c r="BJ1078" s="138"/>
      <c r="BK1078" s="138"/>
      <c r="BL1078" s="138"/>
      <c r="BM1078" s="138"/>
      <c r="BN1078" s="138"/>
    </row>
    <row r="1079" spans="1:66" ht="51" hidden="1" customHeight="1" x14ac:dyDescent="0.2">
      <c r="A1079" s="142" t="s">
        <v>2104</v>
      </c>
      <c r="B1079" s="18" t="s">
        <v>233</v>
      </c>
      <c r="C1079" s="18" t="s">
        <v>234</v>
      </c>
      <c r="D1079" s="19" t="s">
        <v>583</v>
      </c>
      <c r="E1079" s="18">
        <v>2</v>
      </c>
      <c r="F1079" s="18" t="s">
        <v>4</v>
      </c>
      <c r="G1079" s="18" t="s">
        <v>5</v>
      </c>
      <c r="H1079" s="18" t="s">
        <v>3</v>
      </c>
      <c r="I1079" s="18"/>
      <c r="J1079" s="18" t="s">
        <v>2222</v>
      </c>
      <c r="K1079" s="19" t="s">
        <v>2223</v>
      </c>
      <c r="L1079" s="19"/>
      <c r="M1079" s="19"/>
      <c r="N1079" s="19" t="s">
        <v>2224</v>
      </c>
      <c r="O1079" s="143"/>
      <c r="P1079" s="143"/>
      <c r="Q1079" s="143"/>
      <c r="R1079" s="187" t="s">
        <v>2225</v>
      </c>
      <c r="S1079" s="144">
        <v>974085.54999999993</v>
      </c>
      <c r="T1079" s="364">
        <v>0</v>
      </c>
      <c r="U1079" s="145">
        <v>0</v>
      </c>
      <c r="V1079" s="145">
        <v>0</v>
      </c>
      <c r="W1079" s="145">
        <v>0</v>
      </c>
      <c r="X1079" s="145">
        <f t="shared" si="342"/>
        <v>0</v>
      </c>
      <c r="Y1079" s="145">
        <v>0</v>
      </c>
      <c r="Z1079" s="145">
        <v>0</v>
      </c>
      <c r="AA1079" s="145">
        <v>0</v>
      </c>
      <c r="AB1079" s="145">
        <v>0</v>
      </c>
      <c r="AC1079" s="145">
        <v>0</v>
      </c>
      <c r="AD1079" s="145">
        <v>0</v>
      </c>
      <c r="AE1079" s="145">
        <v>0</v>
      </c>
      <c r="AF1079" s="145">
        <v>0</v>
      </c>
      <c r="AG1079" s="145">
        <v>0</v>
      </c>
      <c r="AH1079" s="145">
        <v>0</v>
      </c>
      <c r="AI1079" s="145">
        <v>0</v>
      </c>
      <c r="AJ1079" s="145">
        <v>0</v>
      </c>
      <c r="AK1079" s="145">
        <f t="shared" si="343"/>
        <v>0</v>
      </c>
      <c r="AL1079" s="145">
        <v>730564.16</v>
      </c>
      <c r="AM1079" s="145">
        <v>243521.39</v>
      </c>
      <c r="AN1079" s="145">
        <v>0</v>
      </c>
      <c r="AO1079" s="145">
        <v>0</v>
      </c>
      <c r="AP1079" s="145">
        <v>0</v>
      </c>
      <c r="AQ1079" s="145">
        <v>0</v>
      </c>
      <c r="AR1079" s="145">
        <v>0</v>
      </c>
      <c r="AS1079" s="144">
        <f t="shared" si="336"/>
        <v>974085.55</v>
      </c>
      <c r="AT1079" s="144"/>
      <c r="AU1079" s="146">
        <f t="shared" si="340"/>
        <v>974085.55</v>
      </c>
      <c r="AV1079" s="146">
        <f>IFERROR(VLOOKUP(J1079,Maksājumu_pieprasījumu_iesn.!G:BL,57,0),0)</f>
        <v>0</v>
      </c>
      <c r="AW1079" s="139">
        <f t="shared" si="330"/>
        <v>-974085.55</v>
      </c>
      <c r="AX1079" s="147"/>
      <c r="AY1079" s="147"/>
      <c r="AZ1079" s="147"/>
      <c r="BA1079" s="149"/>
      <c r="BB1079" s="144"/>
      <c r="BC1079" s="144"/>
      <c r="BD1079" s="144"/>
      <c r="BE1079" s="144"/>
      <c r="BF1079" s="144"/>
      <c r="BG1079" s="144"/>
      <c r="BH1079" s="149"/>
      <c r="BI1079" s="149"/>
      <c r="BJ1079" s="149"/>
      <c r="BK1079" s="149"/>
      <c r="BL1079" s="149"/>
      <c r="BM1079" s="149"/>
      <c r="BN1079" s="149"/>
    </row>
    <row r="1080" spans="1:66" ht="25.5" hidden="1" customHeight="1" x14ac:dyDescent="0.2">
      <c r="A1080" s="142" t="s">
        <v>2104</v>
      </c>
      <c r="B1080" s="18" t="s">
        <v>233</v>
      </c>
      <c r="C1080" s="18" t="s">
        <v>234</v>
      </c>
      <c r="D1080" s="19" t="s">
        <v>583</v>
      </c>
      <c r="E1080" s="18">
        <v>2</v>
      </c>
      <c r="F1080" s="18" t="s">
        <v>4</v>
      </c>
      <c r="G1080" s="18" t="s">
        <v>5</v>
      </c>
      <c r="H1080" s="18" t="s">
        <v>3</v>
      </c>
      <c r="I1080" s="18"/>
      <c r="J1080" s="18" t="s">
        <v>273</v>
      </c>
      <c r="K1080" s="19" t="s">
        <v>274</v>
      </c>
      <c r="L1080" s="19"/>
      <c r="M1080" s="19"/>
      <c r="N1080" s="19" t="s">
        <v>275</v>
      </c>
      <c r="O1080" s="143"/>
      <c r="P1080" s="143"/>
      <c r="Q1080" s="143"/>
      <c r="R1080" s="143">
        <v>42731</v>
      </c>
      <c r="S1080" s="144">
        <v>9307377.5999999996</v>
      </c>
      <c r="T1080" s="144">
        <v>0</v>
      </c>
      <c r="U1080" s="145">
        <v>0</v>
      </c>
      <c r="V1080" s="145">
        <v>0</v>
      </c>
      <c r="W1080" s="145">
        <v>0</v>
      </c>
      <c r="X1080" s="145">
        <f t="shared" si="342"/>
        <v>0</v>
      </c>
      <c r="Y1080" s="145">
        <v>0</v>
      </c>
      <c r="Z1080" s="145">
        <v>0</v>
      </c>
      <c r="AA1080" s="145">
        <v>0</v>
      </c>
      <c r="AB1080" s="145">
        <v>2003115.95</v>
      </c>
      <c r="AC1080" s="145">
        <v>0</v>
      </c>
      <c r="AD1080" s="166">
        <v>0</v>
      </c>
      <c r="AE1080" s="166">
        <v>104574.65</v>
      </c>
      <c r="AF1080" s="145">
        <v>0</v>
      </c>
      <c r="AG1080" s="145">
        <v>0</v>
      </c>
      <c r="AH1080" s="145">
        <v>730698.25</v>
      </c>
      <c r="AI1080" s="145">
        <v>0</v>
      </c>
      <c r="AJ1080" s="145">
        <v>0</v>
      </c>
      <c r="AK1080" s="145">
        <f t="shared" si="343"/>
        <v>2838388.85</v>
      </c>
      <c r="AL1080" s="145">
        <v>5538249.7999999998</v>
      </c>
      <c r="AM1080" s="145">
        <v>930738.95</v>
      </c>
      <c r="AN1080" s="145">
        <v>0</v>
      </c>
      <c r="AO1080" s="145">
        <v>0</v>
      </c>
      <c r="AP1080" s="145">
        <v>0</v>
      </c>
      <c r="AQ1080" s="145">
        <v>0</v>
      </c>
      <c r="AR1080" s="145">
        <v>0</v>
      </c>
      <c r="AS1080" s="144">
        <f t="shared" si="336"/>
        <v>9307377.5999999996</v>
      </c>
      <c r="AT1080" s="144"/>
      <c r="AU1080" s="146">
        <f t="shared" si="340"/>
        <v>9307377.5999999996</v>
      </c>
      <c r="AV1080" s="146">
        <f>IFERROR(VLOOKUP(J1080,Maksājumu_pieprasījumu_iesn.!G:BL,57,0),0)</f>
        <v>0</v>
      </c>
      <c r="AW1080" s="139">
        <f t="shared" si="330"/>
        <v>-9307377.5999999996</v>
      </c>
      <c r="AX1080" s="147"/>
      <c r="AY1080" s="147"/>
      <c r="AZ1080" s="147"/>
      <c r="BA1080" s="149"/>
      <c r="BB1080" s="144"/>
      <c r="BC1080" s="144"/>
      <c r="BD1080" s="144"/>
      <c r="BE1080" s="144"/>
      <c r="BF1080" s="144"/>
      <c r="BG1080" s="144"/>
      <c r="BH1080" s="149"/>
      <c r="BI1080" s="149"/>
      <c r="BJ1080" s="149"/>
      <c r="BK1080" s="149"/>
      <c r="BL1080" s="149"/>
      <c r="BM1080" s="149"/>
      <c r="BN1080" s="149"/>
    </row>
    <row r="1081" spans="1:66" s="91" customFormat="1" ht="38.25" hidden="1" customHeight="1" x14ac:dyDescent="0.2">
      <c r="A1081" s="150" t="s">
        <v>2104</v>
      </c>
      <c r="B1081" s="18" t="s">
        <v>233</v>
      </c>
      <c r="C1081" s="18" t="s">
        <v>234</v>
      </c>
      <c r="D1081" s="19" t="s">
        <v>583</v>
      </c>
      <c r="E1081" s="55">
        <v>2</v>
      </c>
      <c r="F1081" s="55" t="s">
        <v>4</v>
      </c>
      <c r="G1081" s="55" t="s">
        <v>5</v>
      </c>
      <c r="H1081" s="55" t="s">
        <v>3</v>
      </c>
      <c r="I1081" s="55"/>
      <c r="J1081" s="55"/>
      <c r="K1081" s="19" t="s">
        <v>2226</v>
      </c>
      <c r="L1081" s="19"/>
      <c r="M1081" s="19"/>
      <c r="N1081" s="19"/>
      <c r="O1081" s="151">
        <v>42855</v>
      </c>
      <c r="P1081" s="151"/>
      <c r="Q1081" s="151"/>
      <c r="R1081" s="151"/>
      <c r="S1081" s="144">
        <v>1810176.15</v>
      </c>
      <c r="T1081" s="364">
        <v>0</v>
      </c>
      <c r="U1081" s="145">
        <v>0</v>
      </c>
      <c r="V1081" s="145">
        <v>0</v>
      </c>
      <c r="W1081" s="145">
        <v>0</v>
      </c>
      <c r="X1081" s="145">
        <f t="shared" si="342"/>
        <v>0</v>
      </c>
      <c r="Y1081" s="145">
        <v>0</v>
      </c>
      <c r="Z1081" s="145">
        <v>0</v>
      </c>
      <c r="AA1081" s="145">
        <v>0</v>
      </c>
      <c r="AB1081" s="145">
        <v>0</v>
      </c>
      <c r="AC1081" s="145">
        <v>0</v>
      </c>
      <c r="AD1081" s="145">
        <v>0</v>
      </c>
      <c r="AE1081" s="145">
        <v>0</v>
      </c>
      <c r="AF1081" s="145">
        <v>0</v>
      </c>
      <c r="AG1081" s="145">
        <v>0</v>
      </c>
      <c r="AH1081" s="145">
        <v>0</v>
      </c>
      <c r="AI1081" s="145">
        <v>31555.4</v>
      </c>
      <c r="AJ1081" s="145">
        <v>2096.9500000000003</v>
      </c>
      <c r="AK1081" s="153">
        <f t="shared" si="343"/>
        <v>33652.35</v>
      </c>
      <c r="AL1081" s="145">
        <v>760387.9</v>
      </c>
      <c r="AM1081" s="145">
        <v>1016135.9</v>
      </c>
      <c r="AN1081" s="145">
        <v>0</v>
      </c>
      <c r="AO1081" s="145">
        <v>0</v>
      </c>
      <c r="AP1081" s="145">
        <v>0</v>
      </c>
      <c r="AQ1081" s="145">
        <v>0</v>
      </c>
      <c r="AR1081" s="145">
        <v>0</v>
      </c>
      <c r="AS1081" s="145">
        <f t="shared" si="336"/>
        <v>1810176.15</v>
      </c>
      <c r="AT1081" s="145"/>
      <c r="AU1081" s="139">
        <f t="shared" si="340"/>
        <v>1810176.15</v>
      </c>
      <c r="AV1081" s="146">
        <f>IFERROR(VLOOKUP(J1081,Maksājumu_pieprasījumu_iesn.!G:BL,57,0),0)</f>
        <v>0</v>
      </c>
      <c r="AW1081" s="139">
        <f t="shared" si="330"/>
        <v>-1810176.15</v>
      </c>
      <c r="AX1081" s="153"/>
      <c r="AY1081" s="147"/>
      <c r="AZ1081" s="147"/>
      <c r="BA1081" s="138"/>
      <c r="BB1081" s="145"/>
      <c r="BC1081" s="145"/>
      <c r="BD1081" s="145"/>
      <c r="BE1081" s="145"/>
      <c r="BF1081" s="145"/>
      <c r="BG1081" s="145"/>
      <c r="BH1081" s="138"/>
      <c r="BI1081" s="138"/>
      <c r="BJ1081" s="138"/>
      <c r="BK1081" s="138"/>
      <c r="BL1081" s="138"/>
      <c r="BM1081" s="138"/>
      <c r="BN1081" s="138"/>
    </row>
    <row r="1082" spans="1:66" s="91" customFormat="1" ht="89.25" hidden="1" customHeight="1" x14ac:dyDescent="0.2">
      <c r="A1082" s="150" t="s">
        <v>2104</v>
      </c>
      <c r="B1082" s="18" t="s">
        <v>233</v>
      </c>
      <c r="C1082" s="18" t="s">
        <v>234</v>
      </c>
      <c r="D1082" s="19" t="s">
        <v>583</v>
      </c>
      <c r="E1082" s="55">
        <v>2</v>
      </c>
      <c r="F1082" s="55" t="s">
        <v>4</v>
      </c>
      <c r="G1082" s="55" t="s">
        <v>5</v>
      </c>
      <c r="H1082" s="55" t="s">
        <v>3</v>
      </c>
      <c r="I1082" s="55"/>
      <c r="J1082" s="55"/>
      <c r="K1082" s="19" t="s">
        <v>2227</v>
      </c>
      <c r="L1082" s="19"/>
      <c r="M1082" s="19"/>
      <c r="N1082" s="19"/>
      <c r="O1082" s="151" t="s">
        <v>2216</v>
      </c>
      <c r="P1082" s="151"/>
      <c r="Q1082" s="151"/>
      <c r="R1082" s="151"/>
      <c r="S1082" s="189">
        <v>876908</v>
      </c>
      <c r="T1082" s="152"/>
      <c r="U1082" s="145">
        <v>0</v>
      </c>
      <c r="V1082" s="145">
        <v>0</v>
      </c>
      <c r="W1082" s="145">
        <v>0</v>
      </c>
      <c r="X1082" s="145">
        <f t="shared" si="342"/>
        <v>0</v>
      </c>
      <c r="Y1082" s="145">
        <v>0</v>
      </c>
      <c r="Z1082" s="145">
        <v>0</v>
      </c>
      <c r="AA1082" s="145">
        <v>0</v>
      </c>
      <c r="AB1082" s="145">
        <v>0</v>
      </c>
      <c r="AC1082" s="145">
        <v>0</v>
      </c>
      <c r="AD1082" s="145">
        <v>0</v>
      </c>
      <c r="AE1082" s="145">
        <v>0</v>
      </c>
      <c r="AF1082" s="145">
        <v>0</v>
      </c>
      <c r="AG1082" s="145">
        <v>0</v>
      </c>
      <c r="AH1082" s="145">
        <v>0</v>
      </c>
      <c r="AI1082" s="145">
        <v>0</v>
      </c>
      <c r="AJ1082" s="145">
        <v>0</v>
      </c>
      <c r="AK1082" s="145">
        <f t="shared" si="343"/>
        <v>0</v>
      </c>
      <c r="AL1082" s="145">
        <v>0</v>
      </c>
      <c r="AM1082" s="145">
        <v>0</v>
      </c>
      <c r="AN1082" s="145">
        <v>0</v>
      </c>
      <c r="AO1082" s="145">
        <v>0</v>
      </c>
      <c r="AP1082" s="145">
        <v>0</v>
      </c>
      <c r="AQ1082" s="145">
        <v>0</v>
      </c>
      <c r="AR1082" s="145">
        <v>0</v>
      </c>
      <c r="AS1082" s="145">
        <f t="shared" si="336"/>
        <v>0</v>
      </c>
      <c r="AT1082" s="145"/>
      <c r="AU1082" s="139">
        <f t="shared" si="340"/>
        <v>0</v>
      </c>
      <c r="AV1082" s="146">
        <f>IFERROR(VLOOKUP(J1082,Maksājumu_pieprasījumu_iesn.!G:BL,57,0),0)</f>
        <v>0</v>
      </c>
      <c r="AW1082" s="139">
        <f t="shared" si="330"/>
        <v>0</v>
      </c>
      <c r="AX1082" s="153"/>
      <c r="AY1082" s="147"/>
      <c r="AZ1082" s="147"/>
      <c r="BA1082" s="138" t="s">
        <v>2228</v>
      </c>
      <c r="BB1082" s="145"/>
      <c r="BC1082" s="145"/>
      <c r="BD1082" s="145"/>
      <c r="BE1082" s="145"/>
      <c r="BF1082" s="145"/>
      <c r="BG1082" s="145"/>
      <c r="BH1082" s="138"/>
      <c r="BI1082" s="138"/>
      <c r="BJ1082" s="138"/>
      <c r="BK1082" s="138"/>
      <c r="BL1082" s="138"/>
      <c r="BM1082" s="138"/>
      <c r="BN1082" s="138"/>
    </row>
    <row r="1083" spans="1:66" s="91" customFormat="1" ht="76.5" hidden="1" customHeight="1" x14ac:dyDescent="0.2">
      <c r="A1083" s="150" t="s">
        <v>2104</v>
      </c>
      <c r="B1083" s="18" t="s">
        <v>233</v>
      </c>
      <c r="C1083" s="18" t="s">
        <v>234</v>
      </c>
      <c r="D1083" s="19" t="s">
        <v>583</v>
      </c>
      <c r="E1083" s="55">
        <v>2</v>
      </c>
      <c r="F1083" s="55" t="s">
        <v>4</v>
      </c>
      <c r="G1083" s="55" t="s">
        <v>5</v>
      </c>
      <c r="H1083" s="55" t="s">
        <v>3</v>
      </c>
      <c r="I1083" s="55"/>
      <c r="J1083" s="55"/>
      <c r="K1083" s="19" t="s">
        <v>2229</v>
      </c>
      <c r="L1083" s="19"/>
      <c r="M1083" s="19"/>
      <c r="N1083" s="19"/>
      <c r="O1083" s="151">
        <v>43373</v>
      </c>
      <c r="P1083" s="151"/>
      <c r="Q1083" s="151"/>
      <c r="R1083" s="151"/>
      <c r="S1083" s="189"/>
      <c r="T1083" s="152"/>
      <c r="U1083" s="145">
        <v>0</v>
      </c>
      <c r="V1083" s="145">
        <v>0</v>
      </c>
      <c r="W1083" s="145">
        <v>0</v>
      </c>
      <c r="X1083" s="145">
        <f t="shared" si="342"/>
        <v>0</v>
      </c>
      <c r="Y1083" s="145">
        <v>0</v>
      </c>
      <c r="Z1083" s="145">
        <v>0</v>
      </c>
      <c r="AA1083" s="145">
        <v>0</v>
      </c>
      <c r="AB1083" s="145">
        <v>0</v>
      </c>
      <c r="AC1083" s="145">
        <v>0</v>
      </c>
      <c r="AD1083" s="145">
        <v>0</v>
      </c>
      <c r="AE1083" s="145">
        <v>0</v>
      </c>
      <c r="AF1083" s="145">
        <v>0</v>
      </c>
      <c r="AG1083" s="145">
        <v>0</v>
      </c>
      <c r="AH1083" s="145">
        <v>0</v>
      </c>
      <c r="AI1083" s="145">
        <v>0</v>
      </c>
      <c r="AJ1083" s="145">
        <v>0</v>
      </c>
      <c r="AK1083" s="145">
        <f t="shared" si="343"/>
        <v>0</v>
      </c>
      <c r="AL1083" s="153">
        <v>0</v>
      </c>
      <c r="AM1083" s="153">
        <v>0</v>
      </c>
      <c r="AN1083" s="153">
        <v>0</v>
      </c>
      <c r="AO1083" s="153">
        <v>0</v>
      </c>
      <c r="AP1083" s="153">
        <v>0</v>
      </c>
      <c r="AQ1083" s="153">
        <v>0</v>
      </c>
      <c r="AR1083" s="153">
        <v>0</v>
      </c>
      <c r="AS1083" s="153">
        <v>0</v>
      </c>
      <c r="AT1083" s="145"/>
      <c r="AU1083" s="139">
        <f t="shared" si="340"/>
        <v>0</v>
      </c>
      <c r="AV1083" s="146">
        <f>IFERROR(VLOOKUP(J1083,Maksājumu_pieprasījumu_iesn.!G:BL,57,0),0)</f>
        <v>0</v>
      </c>
      <c r="AW1083" s="139">
        <f t="shared" si="330"/>
        <v>0</v>
      </c>
      <c r="AX1083" s="153"/>
      <c r="AY1083" s="147"/>
      <c r="AZ1083" s="147"/>
      <c r="BA1083" s="138" t="s">
        <v>2230</v>
      </c>
      <c r="BB1083" s="153"/>
      <c r="BC1083" s="153"/>
      <c r="BD1083" s="153"/>
      <c r="BE1083" s="153"/>
      <c r="BF1083" s="153"/>
      <c r="BG1083" s="153"/>
      <c r="BH1083" s="138"/>
      <c r="BI1083" s="138"/>
      <c r="BJ1083" s="138"/>
      <c r="BK1083" s="138"/>
      <c r="BL1083" s="138"/>
      <c r="BM1083" s="138"/>
      <c r="BN1083" s="138"/>
    </row>
    <row r="1084" spans="1:66" s="91" customFormat="1" ht="124.5" hidden="1" customHeight="1" x14ac:dyDescent="0.2">
      <c r="A1084" s="150" t="s">
        <v>2104</v>
      </c>
      <c r="B1084" s="18" t="s">
        <v>233</v>
      </c>
      <c r="C1084" s="18" t="s">
        <v>234</v>
      </c>
      <c r="D1084" s="19" t="s">
        <v>583</v>
      </c>
      <c r="E1084" s="55">
        <v>2</v>
      </c>
      <c r="F1084" s="55" t="s">
        <v>4</v>
      </c>
      <c r="G1084" s="55" t="s">
        <v>5</v>
      </c>
      <c r="H1084" s="55" t="s">
        <v>960</v>
      </c>
      <c r="I1084" s="55"/>
      <c r="J1084" s="55"/>
      <c r="K1084" s="19" t="s">
        <v>893</v>
      </c>
      <c r="L1084" s="19"/>
      <c r="M1084" s="19"/>
      <c r="N1084" s="19" t="s">
        <v>2231</v>
      </c>
      <c r="O1084" s="151">
        <v>42916</v>
      </c>
      <c r="P1084" s="151"/>
      <c r="Q1084" s="151"/>
      <c r="R1084" s="151"/>
      <c r="S1084" s="147">
        <v>2122726</v>
      </c>
      <c r="T1084" s="152">
        <v>0</v>
      </c>
      <c r="U1084" s="145">
        <v>0</v>
      </c>
      <c r="V1084" s="145">
        <v>0</v>
      </c>
      <c r="W1084" s="145">
        <v>0</v>
      </c>
      <c r="X1084" s="145">
        <f t="shared" si="342"/>
        <v>0</v>
      </c>
      <c r="Y1084" s="145">
        <v>0</v>
      </c>
      <c r="Z1084" s="145">
        <v>0</v>
      </c>
      <c r="AA1084" s="145">
        <v>0</v>
      </c>
      <c r="AB1084" s="145">
        <v>0</v>
      </c>
      <c r="AC1084" s="145">
        <v>0</v>
      </c>
      <c r="AD1084" s="145">
        <v>0</v>
      </c>
      <c r="AE1084" s="145">
        <v>0</v>
      </c>
      <c r="AF1084" s="145">
        <v>0</v>
      </c>
      <c r="AG1084" s="145">
        <v>0</v>
      </c>
      <c r="AH1084" s="145">
        <v>0</v>
      </c>
      <c r="AI1084" s="145">
        <v>127274.74999999999</v>
      </c>
      <c r="AJ1084" s="145">
        <v>0</v>
      </c>
      <c r="AK1084" s="145">
        <f t="shared" si="343"/>
        <v>127274.74999999999</v>
      </c>
      <c r="AL1084" s="145">
        <v>1601179.85</v>
      </c>
      <c r="AM1084" s="145">
        <v>75862.5</v>
      </c>
      <c r="AN1084" s="145">
        <v>0</v>
      </c>
      <c r="AO1084" s="145">
        <v>0</v>
      </c>
      <c r="AP1084" s="145">
        <v>0</v>
      </c>
      <c r="AQ1084" s="145">
        <v>0</v>
      </c>
      <c r="AR1084" s="145">
        <v>0</v>
      </c>
      <c r="AS1084" s="145">
        <f>U1084+V1084+W1084+AK1084+AL1084+AM1084+AN1084+AO1084+AP1084+AQ1084+AR1084</f>
        <v>1804317.1</v>
      </c>
      <c r="AT1084" s="145"/>
      <c r="AU1084" s="139">
        <f t="shared" si="340"/>
        <v>1804317.1</v>
      </c>
      <c r="AV1084" s="146">
        <f>IFERROR(VLOOKUP(J1084,Maksājumu_pieprasījumu_iesn.!G:BL,57,0),0)</f>
        <v>0</v>
      </c>
      <c r="AW1084" s="139">
        <f t="shared" si="330"/>
        <v>-1804317.1</v>
      </c>
      <c r="AX1084" s="153">
        <f>S1084-T1084-AU1084</f>
        <v>318408.89999999991</v>
      </c>
      <c r="AY1084" s="147">
        <v>318409</v>
      </c>
      <c r="AZ1084" s="147"/>
      <c r="BA1084" s="138" t="s">
        <v>2232</v>
      </c>
      <c r="BB1084" s="145"/>
      <c r="BC1084" s="145"/>
      <c r="BD1084" s="145"/>
      <c r="BE1084" s="145"/>
      <c r="BF1084" s="145"/>
      <c r="BG1084" s="145"/>
      <c r="BH1084" s="138"/>
      <c r="BI1084" s="138"/>
      <c r="BJ1084" s="138"/>
      <c r="BK1084" s="138"/>
      <c r="BL1084" s="138"/>
      <c r="BM1084" s="138"/>
      <c r="BN1084" s="138"/>
    </row>
    <row r="1085" spans="1:66" s="91" customFormat="1" ht="25.5" hidden="1" x14ac:dyDescent="0.2">
      <c r="A1085" s="127" t="s">
        <v>2104</v>
      </c>
      <c r="B1085" s="127" t="s">
        <v>2233</v>
      </c>
      <c r="C1085" s="127" t="s">
        <v>1023</v>
      </c>
      <c r="D1085" s="128" t="s">
        <v>2234</v>
      </c>
      <c r="E1085" s="127"/>
      <c r="F1085" s="127"/>
      <c r="G1085" s="127" t="s">
        <v>5</v>
      </c>
      <c r="H1085" s="127"/>
      <c r="I1085" s="127"/>
      <c r="J1085" s="127"/>
      <c r="K1085" s="128"/>
      <c r="L1085" s="128"/>
      <c r="M1085" s="128"/>
      <c r="N1085" s="128"/>
      <c r="O1085" s="163"/>
      <c r="P1085" s="163"/>
      <c r="Q1085" s="163"/>
      <c r="R1085" s="163"/>
      <c r="S1085" s="164">
        <f>S1086</f>
        <v>12057418</v>
      </c>
      <c r="T1085" s="164">
        <f>T1086</f>
        <v>735445</v>
      </c>
      <c r="U1085" s="164">
        <f>U1086</f>
        <v>0</v>
      </c>
      <c r="V1085" s="164">
        <f>V1086</f>
        <v>0</v>
      </c>
      <c r="W1085" s="164">
        <f>W1086</f>
        <v>0</v>
      </c>
      <c r="X1085" s="129">
        <f>U1085+V1085+W1085</f>
        <v>0</v>
      </c>
      <c r="Y1085" s="164">
        <f t="shared" ref="Y1085:AT1085" si="344">Y1086</f>
        <v>0</v>
      </c>
      <c r="Z1085" s="164">
        <f t="shared" si="344"/>
        <v>0</v>
      </c>
      <c r="AA1085" s="164">
        <f t="shared" si="344"/>
        <v>0</v>
      </c>
      <c r="AB1085" s="164">
        <f t="shared" si="344"/>
        <v>0</v>
      </c>
      <c r="AC1085" s="164">
        <f t="shared" si="344"/>
        <v>0</v>
      </c>
      <c r="AD1085" s="164">
        <f t="shared" si="344"/>
        <v>0</v>
      </c>
      <c r="AE1085" s="164">
        <f t="shared" si="344"/>
        <v>0</v>
      </c>
      <c r="AF1085" s="164">
        <f t="shared" si="344"/>
        <v>0</v>
      </c>
      <c r="AG1085" s="164">
        <f t="shared" si="344"/>
        <v>0</v>
      </c>
      <c r="AH1085" s="164">
        <f t="shared" si="344"/>
        <v>0</v>
      </c>
      <c r="AI1085" s="164">
        <f t="shared" si="344"/>
        <v>0</v>
      </c>
      <c r="AJ1085" s="164">
        <f t="shared" si="344"/>
        <v>0</v>
      </c>
      <c r="AK1085" s="164">
        <f t="shared" si="344"/>
        <v>0</v>
      </c>
      <c r="AL1085" s="164">
        <f t="shared" si="344"/>
        <v>7473872.3499999996</v>
      </c>
      <c r="AM1085" s="164">
        <f t="shared" si="344"/>
        <v>2224675.25</v>
      </c>
      <c r="AN1085" s="164">
        <f t="shared" si="344"/>
        <v>1623425.2</v>
      </c>
      <c r="AO1085" s="164">
        <f t="shared" si="344"/>
        <v>0</v>
      </c>
      <c r="AP1085" s="164">
        <f t="shared" si="344"/>
        <v>0</v>
      </c>
      <c r="AQ1085" s="164">
        <f t="shared" si="344"/>
        <v>0</v>
      </c>
      <c r="AR1085" s="164">
        <f t="shared" si="344"/>
        <v>0</v>
      </c>
      <c r="AS1085" s="164">
        <f t="shared" si="344"/>
        <v>11321972.799999999</v>
      </c>
      <c r="AT1085" s="164">
        <f t="shared" si="344"/>
        <v>0</v>
      </c>
      <c r="AU1085" s="183">
        <f t="shared" si="340"/>
        <v>11321972.799999999</v>
      </c>
      <c r="AV1085" s="146">
        <f>IFERROR(VLOOKUP(J1085,Maksājumu_pieprasījumu_iesn.!G:BL,57,0),0)</f>
        <v>0</v>
      </c>
      <c r="AW1085" s="139">
        <f t="shared" si="330"/>
        <v>-11321972.799999999</v>
      </c>
      <c r="AX1085" s="164">
        <f>AX1086</f>
        <v>0.20000000111758709</v>
      </c>
      <c r="AY1085" s="164"/>
      <c r="AZ1085" s="164"/>
      <c r="BA1085" s="164"/>
      <c r="BB1085" s="164">
        <f>BB1086</f>
        <v>0</v>
      </c>
      <c r="BC1085" s="164">
        <f>BC1086</f>
        <v>3736936.1749999998</v>
      </c>
      <c r="BD1085" s="164">
        <f>BC1085*0.86</f>
        <v>3213765.1105</v>
      </c>
      <c r="BE1085" s="129">
        <f>BD1085/0.85</f>
        <v>3780900.13</v>
      </c>
      <c r="BF1085" s="164">
        <f>BF1086</f>
        <v>0</v>
      </c>
      <c r="BG1085" s="164">
        <f>BG1086</f>
        <v>0</v>
      </c>
      <c r="BH1085" s="129">
        <f>BH1086</f>
        <v>0</v>
      </c>
      <c r="BI1085" s="129">
        <f>BI1086</f>
        <v>1581018.9093557501</v>
      </c>
      <c r="BJ1085" s="129">
        <f>AK1085*0.86</f>
        <v>0</v>
      </c>
      <c r="BK1085" s="129">
        <f>BJ1085-BI1085</f>
        <v>-1581018.9093557501</v>
      </c>
      <c r="BL1085" s="129">
        <f>BL1086</f>
        <v>2811623.2986418102</v>
      </c>
      <c r="BM1085" s="129">
        <f>AL1085*0.86</f>
        <v>6427530.2209999999</v>
      </c>
      <c r="BN1085" s="129">
        <f>BM1085-BL1085</f>
        <v>3615906.9223581897</v>
      </c>
    </row>
    <row r="1086" spans="1:66" s="91" customFormat="1" ht="25.5" hidden="1" customHeight="1" x14ac:dyDescent="0.2">
      <c r="A1086" s="131" t="s">
        <v>2104</v>
      </c>
      <c r="B1086" s="132" t="s">
        <v>2233</v>
      </c>
      <c r="C1086" s="132" t="s">
        <v>2235</v>
      </c>
      <c r="D1086" s="133" t="s">
        <v>2234</v>
      </c>
      <c r="E1086" s="22" t="s">
        <v>3</v>
      </c>
      <c r="F1086" s="22" t="s">
        <v>4</v>
      </c>
      <c r="G1086" s="22" t="s">
        <v>5</v>
      </c>
      <c r="H1086" s="22" t="s">
        <v>3</v>
      </c>
      <c r="I1086" s="22" t="s">
        <v>1022</v>
      </c>
      <c r="J1086" s="134" t="s">
        <v>1026</v>
      </c>
      <c r="K1086" s="133"/>
      <c r="L1086" s="133"/>
      <c r="M1086" s="133"/>
      <c r="N1086" s="133"/>
      <c r="O1086" s="135"/>
      <c r="P1086" s="135"/>
      <c r="Q1086" s="135"/>
      <c r="R1086" s="135"/>
      <c r="S1086" s="136">
        <v>12057418</v>
      </c>
      <c r="T1086" s="136">
        <v>735445</v>
      </c>
      <c r="U1086" s="137">
        <f>SUM(U1087:U1095)</f>
        <v>0</v>
      </c>
      <c r="V1086" s="137">
        <f>SUM(V1087:V1095)</f>
        <v>0</v>
      </c>
      <c r="W1086" s="137">
        <f>SUM(W1087:W1095)</f>
        <v>0</v>
      </c>
      <c r="X1086" s="138">
        <f>U1086+V1086+W1086</f>
        <v>0</v>
      </c>
      <c r="Y1086" s="137">
        <f t="shared" ref="Y1086:AR1086" si="345">SUM(Y1087:Y1095)</f>
        <v>0</v>
      </c>
      <c r="Z1086" s="137">
        <f t="shared" si="345"/>
        <v>0</v>
      </c>
      <c r="AA1086" s="137">
        <f t="shared" si="345"/>
        <v>0</v>
      </c>
      <c r="AB1086" s="137">
        <f t="shared" si="345"/>
        <v>0</v>
      </c>
      <c r="AC1086" s="137">
        <f t="shared" si="345"/>
        <v>0</v>
      </c>
      <c r="AD1086" s="137">
        <f t="shared" si="345"/>
        <v>0</v>
      </c>
      <c r="AE1086" s="137">
        <f t="shared" si="345"/>
        <v>0</v>
      </c>
      <c r="AF1086" s="137">
        <f t="shared" si="345"/>
        <v>0</v>
      </c>
      <c r="AG1086" s="137">
        <f t="shared" si="345"/>
        <v>0</v>
      </c>
      <c r="AH1086" s="137">
        <f t="shared" si="345"/>
        <v>0</v>
      </c>
      <c r="AI1086" s="137">
        <f t="shared" si="345"/>
        <v>0</v>
      </c>
      <c r="AJ1086" s="137">
        <f t="shared" si="345"/>
        <v>0</v>
      </c>
      <c r="AK1086" s="137">
        <f t="shared" si="345"/>
        <v>0</v>
      </c>
      <c r="AL1086" s="137">
        <f t="shared" si="345"/>
        <v>7473872.3499999996</v>
      </c>
      <c r="AM1086" s="137">
        <f t="shared" si="345"/>
        <v>2224675.25</v>
      </c>
      <c r="AN1086" s="137">
        <f t="shared" si="345"/>
        <v>1623425.2</v>
      </c>
      <c r="AO1086" s="137">
        <f t="shared" si="345"/>
        <v>0</v>
      </c>
      <c r="AP1086" s="137">
        <f t="shared" si="345"/>
        <v>0</v>
      </c>
      <c r="AQ1086" s="137">
        <f t="shared" si="345"/>
        <v>0</v>
      </c>
      <c r="AR1086" s="137">
        <f t="shared" si="345"/>
        <v>0</v>
      </c>
      <c r="AS1086" s="137">
        <f t="shared" ref="AS1086:AS1095" si="346">U1086+V1086+W1086+AK1086+AL1086+AM1086+AN1086+AO1086+AP1086+AQ1086+AR1086</f>
        <v>11321972.799999999</v>
      </c>
      <c r="AT1086" s="137">
        <f>SUM(AT1087:AT1095)</f>
        <v>0</v>
      </c>
      <c r="AU1086" s="139">
        <f t="shared" si="340"/>
        <v>11321972.799999999</v>
      </c>
      <c r="AV1086" s="146">
        <f>IFERROR(VLOOKUP(J1086,Maksājumu_pieprasījumu_iesn.!G:BL,57,0),0)</f>
        <v>0</v>
      </c>
      <c r="AW1086" s="139">
        <f t="shared" si="330"/>
        <v>-11321972.799999999</v>
      </c>
      <c r="AX1086" s="140">
        <f>S1086-T1086-AU1086</f>
        <v>0.20000000111758709</v>
      </c>
      <c r="AY1086" s="137"/>
      <c r="AZ1086" s="137"/>
      <c r="BA1086" s="138" t="s">
        <v>2236</v>
      </c>
      <c r="BB1086" s="140"/>
      <c r="BC1086" s="140">
        <f>X1086+AK1086+AL1086/2</f>
        <v>3736936.1749999998</v>
      </c>
      <c r="BD1086" s="140"/>
      <c r="BE1086" s="140">
        <f>BC1086/0.85</f>
        <v>4396395.5</v>
      </c>
      <c r="BF1086" s="137"/>
      <c r="BG1086" s="137"/>
      <c r="BH1086" s="138">
        <v>0</v>
      </c>
      <c r="BI1086" s="138">
        <v>1581018.9093557501</v>
      </c>
      <c r="BJ1086" s="138"/>
      <c r="BK1086" s="138"/>
      <c r="BL1086" s="138">
        <v>2811623.2986418102</v>
      </c>
      <c r="BM1086" s="138"/>
      <c r="BN1086" s="138"/>
    </row>
    <row r="1087" spans="1:66" ht="51" hidden="1" customHeight="1" x14ac:dyDescent="0.2">
      <c r="A1087" s="142" t="s">
        <v>2104</v>
      </c>
      <c r="B1087" s="18" t="s">
        <v>2233</v>
      </c>
      <c r="C1087" s="18" t="s">
        <v>2235</v>
      </c>
      <c r="D1087" s="19" t="s">
        <v>2234</v>
      </c>
      <c r="E1087" s="18" t="s">
        <v>3</v>
      </c>
      <c r="F1087" s="18" t="s">
        <v>4</v>
      </c>
      <c r="G1087" s="18" t="s">
        <v>5</v>
      </c>
      <c r="H1087" s="18" t="s">
        <v>3</v>
      </c>
      <c r="I1087" s="18"/>
      <c r="J1087" s="18" t="s">
        <v>2237</v>
      </c>
      <c r="K1087" s="19" t="s">
        <v>2238</v>
      </c>
      <c r="L1087" s="19"/>
      <c r="M1087" s="19"/>
      <c r="N1087" s="365" t="s">
        <v>2239</v>
      </c>
      <c r="O1087" s="143"/>
      <c r="P1087" s="143"/>
      <c r="Q1087" s="143"/>
      <c r="R1087" s="187" t="s">
        <v>2240</v>
      </c>
      <c r="S1087" s="144">
        <v>5587077.2000000002</v>
      </c>
      <c r="T1087" s="172"/>
      <c r="U1087" s="145">
        <v>0</v>
      </c>
      <c r="V1087" s="145">
        <v>0</v>
      </c>
      <c r="W1087" s="145">
        <v>0</v>
      </c>
      <c r="X1087" s="145">
        <f t="shared" ref="X1087:X1095" si="347">W1087+V1087+U1087</f>
        <v>0</v>
      </c>
      <c r="Y1087" s="145">
        <v>0</v>
      </c>
      <c r="Z1087" s="145">
        <v>0</v>
      </c>
      <c r="AA1087" s="145">
        <v>0</v>
      </c>
      <c r="AB1087" s="145">
        <v>0</v>
      </c>
      <c r="AC1087" s="145">
        <v>0</v>
      </c>
      <c r="AD1087" s="145">
        <v>0</v>
      </c>
      <c r="AE1087" s="145">
        <v>0</v>
      </c>
      <c r="AF1087" s="145">
        <v>0</v>
      </c>
      <c r="AG1087" s="145">
        <v>0</v>
      </c>
      <c r="AH1087" s="145">
        <v>0</v>
      </c>
      <c r="AI1087" s="145">
        <v>0</v>
      </c>
      <c r="AJ1087" s="145">
        <v>0</v>
      </c>
      <c r="AK1087" s="145">
        <f t="shared" ref="AK1087:AK1095" si="348">SUM(Y1087:AJ1087)</f>
        <v>0</v>
      </c>
      <c r="AL1087" s="145">
        <v>3740000</v>
      </c>
      <c r="AM1087" s="145">
        <v>1020000</v>
      </c>
      <c r="AN1087" s="145">
        <v>827077.2</v>
      </c>
      <c r="AO1087" s="145">
        <v>0</v>
      </c>
      <c r="AP1087" s="145">
        <v>0</v>
      </c>
      <c r="AQ1087" s="145">
        <v>0</v>
      </c>
      <c r="AR1087" s="145">
        <v>0</v>
      </c>
      <c r="AS1087" s="144">
        <f t="shared" si="346"/>
        <v>5587077.2000000002</v>
      </c>
      <c r="AT1087" s="144"/>
      <c r="AU1087" s="146">
        <f t="shared" si="340"/>
        <v>5587077.2000000002</v>
      </c>
      <c r="AV1087" s="146">
        <f>IFERROR(VLOOKUP(J1087,Maksājumu_pieprasījumu_iesn.!G:BL,57,0),0)</f>
        <v>0</v>
      </c>
      <c r="AW1087" s="139">
        <f t="shared" si="330"/>
        <v>-5587077.2000000002</v>
      </c>
      <c r="AX1087" s="147"/>
      <c r="AY1087" s="147"/>
      <c r="AZ1087" s="147"/>
      <c r="BA1087" s="149"/>
      <c r="BB1087" s="144"/>
      <c r="BC1087" s="144"/>
      <c r="BD1087" s="144"/>
      <c r="BE1087" s="144"/>
      <c r="BF1087" s="144"/>
      <c r="BG1087" s="144"/>
      <c r="BH1087" s="149"/>
      <c r="BI1087" s="149"/>
      <c r="BJ1087" s="149"/>
      <c r="BK1087" s="149"/>
      <c r="BL1087" s="149"/>
      <c r="BM1087" s="149"/>
      <c r="BN1087" s="149"/>
    </row>
    <row r="1088" spans="1:66" ht="38.25" hidden="1" customHeight="1" x14ac:dyDescent="0.2">
      <c r="A1088" s="142" t="s">
        <v>2104</v>
      </c>
      <c r="B1088" s="18" t="s">
        <v>2233</v>
      </c>
      <c r="C1088" s="18" t="s">
        <v>2235</v>
      </c>
      <c r="D1088" s="19" t="s">
        <v>2234</v>
      </c>
      <c r="E1088" s="18" t="s">
        <v>3</v>
      </c>
      <c r="F1088" s="18" t="s">
        <v>4</v>
      </c>
      <c r="G1088" s="18" t="s">
        <v>5</v>
      </c>
      <c r="H1088" s="18" t="s">
        <v>3</v>
      </c>
      <c r="I1088" s="18"/>
      <c r="J1088" s="18" t="s">
        <v>2241</v>
      </c>
      <c r="K1088" s="19" t="s">
        <v>2242</v>
      </c>
      <c r="L1088" s="19"/>
      <c r="M1088" s="19"/>
      <c r="N1088" s="365" t="s">
        <v>2243</v>
      </c>
      <c r="O1088" s="143"/>
      <c r="P1088" s="143"/>
      <c r="Q1088" s="143"/>
      <c r="R1088" s="187" t="s">
        <v>2244</v>
      </c>
      <c r="S1088" s="144">
        <v>289429.25</v>
      </c>
      <c r="T1088" s="172"/>
      <c r="U1088" s="145">
        <v>0</v>
      </c>
      <c r="V1088" s="145">
        <v>0</v>
      </c>
      <c r="W1088" s="145">
        <v>0</v>
      </c>
      <c r="X1088" s="145">
        <f t="shared" si="347"/>
        <v>0</v>
      </c>
      <c r="Y1088" s="145">
        <v>0</v>
      </c>
      <c r="Z1088" s="145">
        <v>0</v>
      </c>
      <c r="AA1088" s="145">
        <v>0</v>
      </c>
      <c r="AB1088" s="145">
        <v>0</v>
      </c>
      <c r="AC1088" s="145">
        <v>0</v>
      </c>
      <c r="AD1088" s="145">
        <v>0</v>
      </c>
      <c r="AE1088" s="145">
        <v>0</v>
      </c>
      <c r="AF1088" s="145">
        <v>0</v>
      </c>
      <c r="AG1088" s="145">
        <v>0</v>
      </c>
      <c r="AH1088" s="145">
        <v>0</v>
      </c>
      <c r="AI1088" s="145">
        <v>0</v>
      </c>
      <c r="AJ1088" s="145">
        <v>0</v>
      </c>
      <c r="AK1088" s="145">
        <f t="shared" si="348"/>
        <v>0</v>
      </c>
      <c r="AL1088" s="145">
        <v>284835</v>
      </c>
      <c r="AM1088" s="145">
        <v>4594.25</v>
      </c>
      <c r="AN1088" s="145">
        <v>0</v>
      </c>
      <c r="AO1088" s="145">
        <v>0</v>
      </c>
      <c r="AP1088" s="145">
        <v>0</v>
      </c>
      <c r="AQ1088" s="145">
        <v>0</v>
      </c>
      <c r="AR1088" s="145">
        <v>0</v>
      </c>
      <c r="AS1088" s="144">
        <f t="shared" si="346"/>
        <v>289429.25</v>
      </c>
      <c r="AT1088" s="144"/>
      <c r="AU1088" s="146">
        <f t="shared" si="340"/>
        <v>289429.25</v>
      </c>
      <c r="AV1088" s="146">
        <f>IFERROR(VLOOKUP(J1088,Maksājumu_pieprasījumu_iesn.!G:BL,57,0),0)</f>
        <v>0</v>
      </c>
      <c r="AW1088" s="139">
        <f t="shared" si="330"/>
        <v>-289429.25</v>
      </c>
      <c r="AX1088" s="147"/>
      <c r="AY1088" s="147"/>
      <c r="AZ1088" s="147"/>
      <c r="BA1088" s="149"/>
      <c r="BB1088" s="144"/>
      <c r="BC1088" s="144"/>
      <c r="BD1088" s="144"/>
      <c r="BE1088" s="144"/>
      <c r="BF1088" s="144"/>
      <c r="BG1088" s="144"/>
      <c r="BH1088" s="149"/>
      <c r="BI1088" s="149"/>
      <c r="BJ1088" s="149"/>
      <c r="BK1088" s="149"/>
      <c r="BL1088" s="149"/>
      <c r="BM1088" s="149"/>
      <c r="BN1088" s="149"/>
    </row>
    <row r="1089" spans="1:66" ht="38.25" hidden="1" customHeight="1" x14ac:dyDescent="0.2">
      <c r="A1089" s="142" t="s">
        <v>2104</v>
      </c>
      <c r="B1089" s="18" t="s">
        <v>2233</v>
      </c>
      <c r="C1089" s="18" t="s">
        <v>2235</v>
      </c>
      <c r="D1089" s="19" t="s">
        <v>2234</v>
      </c>
      <c r="E1089" s="18" t="s">
        <v>3</v>
      </c>
      <c r="F1089" s="18" t="s">
        <v>4</v>
      </c>
      <c r="G1089" s="18" t="s">
        <v>5</v>
      </c>
      <c r="H1089" s="18" t="s">
        <v>3</v>
      </c>
      <c r="I1089" s="18"/>
      <c r="J1089" s="18" t="s">
        <v>2245</v>
      </c>
      <c r="K1089" s="19" t="s">
        <v>2246</v>
      </c>
      <c r="L1089" s="19"/>
      <c r="M1089" s="19"/>
      <c r="N1089" s="365" t="s">
        <v>2247</v>
      </c>
      <c r="O1089" s="143"/>
      <c r="P1089" s="143"/>
      <c r="Q1089" s="143"/>
      <c r="R1089" s="187" t="s">
        <v>2244</v>
      </c>
      <c r="S1089" s="144">
        <v>347291.3</v>
      </c>
      <c r="T1089" s="172"/>
      <c r="U1089" s="145">
        <v>0</v>
      </c>
      <c r="V1089" s="145">
        <v>0</v>
      </c>
      <c r="W1089" s="145">
        <v>0</v>
      </c>
      <c r="X1089" s="145">
        <f t="shared" si="347"/>
        <v>0</v>
      </c>
      <c r="Y1089" s="145">
        <v>0</v>
      </c>
      <c r="Z1089" s="145">
        <v>0</v>
      </c>
      <c r="AA1089" s="145">
        <v>0</v>
      </c>
      <c r="AB1089" s="145">
        <v>0</v>
      </c>
      <c r="AC1089" s="145">
        <v>0</v>
      </c>
      <c r="AD1089" s="145">
        <v>0</v>
      </c>
      <c r="AE1089" s="145">
        <v>0</v>
      </c>
      <c r="AF1089" s="145">
        <v>0</v>
      </c>
      <c r="AG1089" s="145">
        <v>0</v>
      </c>
      <c r="AH1089" s="145">
        <v>0</v>
      </c>
      <c r="AI1089" s="145">
        <v>0</v>
      </c>
      <c r="AJ1089" s="145">
        <v>0</v>
      </c>
      <c r="AK1089" s="145">
        <f t="shared" si="348"/>
        <v>0</v>
      </c>
      <c r="AL1089" s="145">
        <v>341732.3</v>
      </c>
      <c r="AM1089" s="145">
        <v>5559</v>
      </c>
      <c r="AN1089" s="145">
        <v>0</v>
      </c>
      <c r="AO1089" s="145">
        <v>0</v>
      </c>
      <c r="AP1089" s="145">
        <v>0</v>
      </c>
      <c r="AQ1089" s="145">
        <v>0</v>
      </c>
      <c r="AR1089" s="145">
        <v>0</v>
      </c>
      <c r="AS1089" s="144">
        <f t="shared" si="346"/>
        <v>347291.3</v>
      </c>
      <c r="AT1089" s="144"/>
      <c r="AU1089" s="146">
        <f t="shared" si="340"/>
        <v>347291.3</v>
      </c>
      <c r="AV1089" s="146">
        <f>IFERROR(VLOOKUP(J1089,Maksājumu_pieprasījumu_iesn.!G:BL,57,0),0)</f>
        <v>0</v>
      </c>
      <c r="AW1089" s="139">
        <f t="shared" si="330"/>
        <v>-347291.3</v>
      </c>
      <c r="AX1089" s="147"/>
      <c r="AY1089" s="147"/>
      <c r="AZ1089" s="147"/>
      <c r="BA1089" s="149"/>
      <c r="BB1089" s="144"/>
      <c r="BC1089" s="144"/>
      <c r="BD1089" s="144"/>
      <c r="BE1089" s="144"/>
      <c r="BF1089" s="144"/>
      <c r="BG1089" s="144"/>
      <c r="BH1089" s="149"/>
      <c r="BI1089" s="149"/>
      <c r="BJ1089" s="149"/>
      <c r="BK1089" s="149"/>
      <c r="BL1089" s="149"/>
      <c r="BM1089" s="149"/>
      <c r="BN1089" s="149"/>
    </row>
    <row r="1090" spans="1:66" ht="63.75" hidden="1" customHeight="1" x14ac:dyDescent="0.2">
      <c r="A1090" s="142" t="s">
        <v>2104</v>
      </c>
      <c r="B1090" s="18" t="s">
        <v>2233</v>
      </c>
      <c r="C1090" s="18" t="s">
        <v>2235</v>
      </c>
      <c r="D1090" s="19" t="s">
        <v>2234</v>
      </c>
      <c r="E1090" s="18" t="s">
        <v>3</v>
      </c>
      <c r="F1090" s="18" t="s">
        <v>4</v>
      </c>
      <c r="G1090" s="18" t="s">
        <v>5</v>
      </c>
      <c r="H1090" s="18" t="s">
        <v>3</v>
      </c>
      <c r="I1090" s="18"/>
      <c r="J1090" s="18" t="s">
        <v>2248</v>
      </c>
      <c r="K1090" s="19" t="s">
        <v>1388</v>
      </c>
      <c r="L1090" s="19"/>
      <c r="M1090" s="19"/>
      <c r="N1090" s="365" t="s">
        <v>2249</v>
      </c>
      <c r="O1090" s="143"/>
      <c r="P1090" s="143"/>
      <c r="Q1090" s="143"/>
      <c r="R1090" s="187" t="s">
        <v>2250</v>
      </c>
      <c r="S1090" s="144">
        <v>434699.35</v>
      </c>
      <c r="T1090" s="172"/>
      <c r="U1090" s="145">
        <v>0</v>
      </c>
      <c r="V1090" s="145">
        <v>0</v>
      </c>
      <c r="W1090" s="145">
        <v>0</v>
      </c>
      <c r="X1090" s="145">
        <f t="shared" si="347"/>
        <v>0</v>
      </c>
      <c r="Y1090" s="145">
        <v>0</v>
      </c>
      <c r="Z1090" s="145">
        <v>0</v>
      </c>
      <c r="AA1090" s="145">
        <v>0</v>
      </c>
      <c r="AB1090" s="145">
        <v>0</v>
      </c>
      <c r="AC1090" s="145">
        <v>0</v>
      </c>
      <c r="AD1090" s="145">
        <v>0</v>
      </c>
      <c r="AE1090" s="145">
        <v>0</v>
      </c>
      <c r="AF1090" s="145">
        <v>0</v>
      </c>
      <c r="AG1090" s="145">
        <v>0</v>
      </c>
      <c r="AH1090" s="145">
        <v>0</v>
      </c>
      <c r="AI1090" s="145">
        <v>0</v>
      </c>
      <c r="AJ1090" s="145">
        <v>0</v>
      </c>
      <c r="AK1090" s="145">
        <f t="shared" si="348"/>
        <v>0</v>
      </c>
      <c r="AL1090" s="145">
        <v>434699.35</v>
      </c>
      <c r="AM1090" s="145">
        <v>0</v>
      </c>
      <c r="AN1090" s="145">
        <v>0</v>
      </c>
      <c r="AO1090" s="145">
        <v>0</v>
      </c>
      <c r="AP1090" s="145">
        <v>0</v>
      </c>
      <c r="AQ1090" s="145">
        <v>0</v>
      </c>
      <c r="AR1090" s="145">
        <v>0</v>
      </c>
      <c r="AS1090" s="144">
        <f t="shared" si="346"/>
        <v>434699.35</v>
      </c>
      <c r="AT1090" s="144"/>
      <c r="AU1090" s="146">
        <f t="shared" si="340"/>
        <v>434699.35</v>
      </c>
      <c r="AV1090" s="146">
        <f>IFERROR(VLOOKUP(J1090,Maksājumu_pieprasījumu_iesn.!G:BL,57,0),0)</f>
        <v>0</v>
      </c>
      <c r="AW1090" s="139">
        <f t="shared" si="330"/>
        <v>-434699.35</v>
      </c>
      <c r="AX1090" s="147"/>
      <c r="AY1090" s="147"/>
      <c r="AZ1090" s="147"/>
      <c r="BA1090" s="149"/>
      <c r="BB1090" s="144"/>
      <c r="BC1090" s="144"/>
      <c r="BD1090" s="144"/>
      <c r="BE1090" s="144"/>
      <c r="BF1090" s="144"/>
      <c r="BG1090" s="144"/>
      <c r="BH1090" s="149"/>
      <c r="BI1090" s="149"/>
      <c r="BJ1090" s="149"/>
      <c r="BK1090" s="149"/>
      <c r="BL1090" s="149"/>
      <c r="BM1090" s="149"/>
      <c r="BN1090" s="149"/>
    </row>
    <row r="1091" spans="1:66" ht="38.25" hidden="1" customHeight="1" x14ac:dyDescent="0.2">
      <c r="A1091" s="142" t="s">
        <v>2104</v>
      </c>
      <c r="B1091" s="18" t="s">
        <v>2233</v>
      </c>
      <c r="C1091" s="18" t="s">
        <v>2235</v>
      </c>
      <c r="D1091" s="19" t="s">
        <v>2234</v>
      </c>
      <c r="E1091" s="18" t="s">
        <v>3</v>
      </c>
      <c r="F1091" s="18" t="s">
        <v>4</v>
      </c>
      <c r="G1091" s="18" t="s">
        <v>5</v>
      </c>
      <c r="H1091" s="18" t="s">
        <v>3</v>
      </c>
      <c r="I1091" s="18"/>
      <c r="J1091" s="18" t="s">
        <v>2251</v>
      </c>
      <c r="K1091" s="19" t="s">
        <v>1392</v>
      </c>
      <c r="L1091" s="19"/>
      <c r="M1091" s="19"/>
      <c r="N1091" s="365" t="s">
        <v>2252</v>
      </c>
      <c r="O1091" s="143"/>
      <c r="P1091" s="143"/>
      <c r="Q1091" s="143"/>
      <c r="R1091" s="187" t="s">
        <v>2253</v>
      </c>
      <c r="S1091" s="144">
        <v>3583572.8</v>
      </c>
      <c r="T1091" s="172"/>
      <c r="U1091" s="145">
        <v>0</v>
      </c>
      <c r="V1091" s="145">
        <v>0</v>
      </c>
      <c r="W1091" s="145">
        <v>0</v>
      </c>
      <c r="X1091" s="145">
        <f t="shared" si="347"/>
        <v>0</v>
      </c>
      <c r="Y1091" s="145">
        <v>0</v>
      </c>
      <c r="Z1091" s="145">
        <v>0</v>
      </c>
      <c r="AA1091" s="145">
        <v>0</v>
      </c>
      <c r="AB1091" s="145">
        <v>0</v>
      </c>
      <c r="AC1091" s="145">
        <v>0</v>
      </c>
      <c r="AD1091" s="145">
        <v>0</v>
      </c>
      <c r="AE1091" s="145">
        <v>0</v>
      </c>
      <c r="AF1091" s="145">
        <v>0</v>
      </c>
      <c r="AG1091" s="145">
        <v>0</v>
      </c>
      <c r="AH1091" s="145">
        <v>0</v>
      </c>
      <c r="AI1091" s="145">
        <v>0</v>
      </c>
      <c r="AJ1091" s="145">
        <v>0</v>
      </c>
      <c r="AK1091" s="145">
        <f t="shared" si="348"/>
        <v>0</v>
      </c>
      <c r="AL1091" s="145">
        <v>1592702.8</v>
      </c>
      <c r="AM1091" s="145">
        <v>1194522</v>
      </c>
      <c r="AN1091" s="145">
        <v>796348</v>
      </c>
      <c r="AO1091" s="145">
        <v>0</v>
      </c>
      <c r="AP1091" s="145">
        <v>0</v>
      </c>
      <c r="AQ1091" s="145">
        <v>0</v>
      </c>
      <c r="AR1091" s="145">
        <v>0</v>
      </c>
      <c r="AS1091" s="144">
        <f t="shared" si="346"/>
        <v>3583572.8</v>
      </c>
      <c r="AT1091" s="144"/>
      <c r="AU1091" s="146">
        <f t="shared" si="340"/>
        <v>3583572.8</v>
      </c>
      <c r="AV1091" s="146">
        <f>IFERROR(VLOOKUP(J1091,Maksājumu_pieprasījumu_iesn.!G:BL,57,0),0)</f>
        <v>0</v>
      </c>
      <c r="AW1091" s="139">
        <f t="shared" si="330"/>
        <v>-3583572.8</v>
      </c>
      <c r="AX1091" s="147"/>
      <c r="AY1091" s="147"/>
      <c r="AZ1091" s="147"/>
      <c r="BA1091" s="149"/>
      <c r="BB1091" s="144"/>
      <c r="BC1091" s="144"/>
      <c r="BD1091" s="144"/>
      <c r="BE1091" s="144"/>
      <c r="BF1091" s="144"/>
      <c r="BG1091" s="144"/>
      <c r="BH1091" s="149"/>
      <c r="BI1091" s="149"/>
      <c r="BJ1091" s="149"/>
      <c r="BK1091" s="149"/>
      <c r="BL1091" s="149"/>
      <c r="BM1091" s="149"/>
      <c r="BN1091" s="149"/>
    </row>
    <row r="1092" spans="1:66" ht="38.25" hidden="1" customHeight="1" x14ac:dyDescent="0.2">
      <c r="A1092" s="142" t="s">
        <v>2104</v>
      </c>
      <c r="B1092" s="18" t="s">
        <v>2233</v>
      </c>
      <c r="C1092" s="18" t="s">
        <v>2235</v>
      </c>
      <c r="D1092" s="19" t="s">
        <v>2234</v>
      </c>
      <c r="E1092" s="18" t="s">
        <v>3</v>
      </c>
      <c r="F1092" s="18" t="s">
        <v>4</v>
      </c>
      <c r="G1092" s="18" t="s">
        <v>5</v>
      </c>
      <c r="H1092" s="18" t="s">
        <v>3</v>
      </c>
      <c r="I1092" s="18"/>
      <c r="J1092" s="18" t="s">
        <v>2254</v>
      </c>
      <c r="K1092" s="19" t="s">
        <v>2255</v>
      </c>
      <c r="L1092" s="19"/>
      <c r="M1092" s="19"/>
      <c r="N1092" s="365" t="s">
        <v>2256</v>
      </c>
      <c r="O1092" s="143"/>
      <c r="P1092" s="143"/>
      <c r="Q1092" s="143"/>
      <c r="R1092" s="187" t="s">
        <v>2257</v>
      </c>
      <c r="S1092" s="144">
        <v>280675.09999999998</v>
      </c>
      <c r="T1092" s="172"/>
      <c r="U1092" s="145">
        <v>0</v>
      </c>
      <c r="V1092" s="145">
        <v>0</v>
      </c>
      <c r="W1092" s="145">
        <v>0</v>
      </c>
      <c r="X1092" s="145">
        <f t="shared" si="347"/>
        <v>0</v>
      </c>
      <c r="Y1092" s="145">
        <v>0</v>
      </c>
      <c r="Z1092" s="145">
        <v>0</v>
      </c>
      <c r="AA1092" s="145">
        <v>0</v>
      </c>
      <c r="AB1092" s="145">
        <v>0</v>
      </c>
      <c r="AC1092" s="145">
        <v>0</v>
      </c>
      <c r="AD1092" s="145">
        <v>0</v>
      </c>
      <c r="AE1092" s="145">
        <v>0</v>
      </c>
      <c r="AF1092" s="145">
        <v>0</v>
      </c>
      <c r="AG1092" s="145">
        <v>0</v>
      </c>
      <c r="AH1092" s="145">
        <v>0</v>
      </c>
      <c r="AI1092" s="145">
        <v>0</v>
      </c>
      <c r="AJ1092" s="145">
        <v>0</v>
      </c>
      <c r="AK1092" s="145">
        <f t="shared" si="348"/>
        <v>0</v>
      </c>
      <c r="AL1092" s="145">
        <v>280675.09999999998</v>
      </c>
      <c r="AM1092" s="145">
        <v>0</v>
      </c>
      <c r="AN1092" s="145">
        <v>0</v>
      </c>
      <c r="AO1092" s="145">
        <v>0</v>
      </c>
      <c r="AP1092" s="145">
        <v>0</v>
      </c>
      <c r="AQ1092" s="145">
        <v>0</v>
      </c>
      <c r="AR1092" s="145">
        <v>0</v>
      </c>
      <c r="AS1092" s="144">
        <f t="shared" si="346"/>
        <v>280675.09999999998</v>
      </c>
      <c r="AT1092" s="144"/>
      <c r="AU1092" s="146">
        <f t="shared" si="340"/>
        <v>280675.09999999998</v>
      </c>
      <c r="AV1092" s="146">
        <f>IFERROR(VLOOKUP(J1092,Maksājumu_pieprasījumu_iesn.!G:BL,57,0),0)</f>
        <v>0</v>
      </c>
      <c r="AW1092" s="139">
        <f t="shared" si="330"/>
        <v>-280675.09999999998</v>
      </c>
      <c r="AX1092" s="147"/>
      <c r="AY1092" s="147"/>
      <c r="AZ1092" s="147"/>
      <c r="BA1092" s="149"/>
      <c r="BB1092" s="144"/>
      <c r="BC1092" s="144"/>
      <c r="BD1092" s="144"/>
      <c r="BE1092" s="144"/>
      <c r="BF1092" s="144"/>
      <c r="BG1092" s="144"/>
      <c r="BH1092" s="149"/>
      <c r="BI1092" s="149"/>
      <c r="BJ1092" s="149"/>
      <c r="BK1092" s="149"/>
      <c r="BL1092" s="149"/>
      <c r="BM1092" s="149"/>
      <c r="BN1092" s="149"/>
    </row>
    <row r="1093" spans="1:66" ht="25.5" hidden="1" customHeight="1" x14ac:dyDescent="0.2">
      <c r="A1093" s="142" t="s">
        <v>2104</v>
      </c>
      <c r="B1093" s="18" t="s">
        <v>2233</v>
      </c>
      <c r="C1093" s="18" t="s">
        <v>2235</v>
      </c>
      <c r="D1093" s="19" t="s">
        <v>2234</v>
      </c>
      <c r="E1093" s="18" t="s">
        <v>3</v>
      </c>
      <c r="F1093" s="18" t="s">
        <v>4</v>
      </c>
      <c r="G1093" s="18" t="s">
        <v>5</v>
      </c>
      <c r="H1093" s="18" t="s">
        <v>3</v>
      </c>
      <c r="I1093" s="18"/>
      <c r="J1093" s="18" t="s">
        <v>2258</v>
      </c>
      <c r="K1093" s="19" t="s">
        <v>2259</v>
      </c>
      <c r="L1093" s="19"/>
      <c r="M1093" s="19"/>
      <c r="N1093" s="365" t="s">
        <v>2260</v>
      </c>
      <c r="O1093" s="143"/>
      <c r="P1093" s="143"/>
      <c r="Q1093" s="143"/>
      <c r="R1093" s="187" t="s">
        <v>2261</v>
      </c>
      <c r="S1093" s="144">
        <v>262515.7</v>
      </c>
      <c r="T1093" s="172"/>
      <c r="U1093" s="145">
        <v>0</v>
      </c>
      <c r="V1093" s="145">
        <v>0</v>
      </c>
      <c r="W1093" s="145">
        <v>0</v>
      </c>
      <c r="X1093" s="145">
        <f t="shared" si="347"/>
        <v>0</v>
      </c>
      <c r="Y1093" s="145">
        <v>0</v>
      </c>
      <c r="Z1093" s="145">
        <v>0</v>
      </c>
      <c r="AA1093" s="145">
        <v>0</v>
      </c>
      <c r="AB1093" s="145">
        <v>0</v>
      </c>
      <c r="AC1093" s="145">
        <v>0</v>
      </c>
      <c r="AD1093" s="145">
        <v>0</v>
      </c>
      <c r="AE1093" s="145">
        <v>0</v>
      </c>
      <c r="AF1093" s="145">
        <v>0</v>
      </c>
      <c r="AG1093" s="145">
        <v>0</v>
      </c>
      <c r="AH1093" s="145">
        <v>0</v>
      </c>
      <c r="AI1093" s="145">
        <v>0</v>
      </c>
      <c r="AJ1093" s="145">
        <v>0</v>
      </c>
      <c r="AK1093" s="145">
        <f t="shared" si="348"/>
        <v>0</v>
      </c>
      <c r="AL1093" s="145">
        <v>262515.7</v>
      </c>
      <c r="AM1093" s="145">
        <v>0</v>
      </c>
      <c r="AN1093" s="145">
        <v>0</v>
      </c>
      <c r="AO1093" s="145">
        <v>0</v>
      </c>
      <c r="AP1093" s="145">
        <v>0</v>
      </c>
      <c r="AQ1093" s="145">
        <v>0</v>
      </c>
      <c r="AR1093" s="145">
        <v>0</v>
      </c>
      <c r="AS1093" s="144">
        <f t="shared" si="346"/>
        <v>262515.7</v>
      </c>
      <c r="AT1093" s="144"/>
      <c r="AU1093" s="146">
        <f t="shared" si="340"/>
        <v>262515.7</v>
      </c>
      <c r="AV1093" s="146">
        <f>IFERROR(VLOOKUP(J1093,Maksājumu_pieprasījumu_iesn.!G:BL,57,0),0)</f>
        <v>0</v>
      </c>
      <c r="AW1093" s="139">
        <f t="shared" si="330"/>
        <v>-262515.7</v>
      </c>
      <c r="AX1093" s="147"/>
      <c r="AY1093" s="147"/>
      <c r="AZ1093" s="147"/>
      <c r="BA1093" s="149"/>
      <c r="BB1093" s="144"/>
      <c r="BC1093" s="144"/>
      <c r="BD1093" s="144"/>
      <c r="BE1093" s="144"/>
      <c r="BF1093" s="144"/>
      <c r="BG1093" s="144"/>
      <c r="BH1093" s="149"/>
      <c r="BI1093" s="149"/>
      <c r="BJ1093" s="149"/>
      <c r="BK1093" s="149"/>
      <c r="BL1093" s="149"/>
      <c r="BM1093" s="149"/>
      <c r="BN1093" s="149"/>
    </row>
    <row r="1094" spans="1:66" ht="51" hidden="1" customHeight="1" x14ac:dyDescent="0.2">
      <c r="A1094" s="142" t="s">
        <v>2104</v>
      </c>
      <c r="B1094" s="18" t="s">
        <v>2233</v>
      </c>
      <c r="C1094" s="18" t="s">
        <v>2235</v>
      </c>
      <c r="D1094" s="19" t="s">
        <v>2234</v>
      </c>
      <c r="E1094" s="18" t="s">
        <v>3</v>
      </c>
      <c r="F1094" s="18" t="s">
        <v>4</v>
      </c>
      <c r="G1094" s="18" t="s">
        <v>5</v>
      </c>
      <c r="H1094" s="18" t="s">
        <v>3</v>
      </c>
      <c r="I1094" s="18"/>
      <c r="J1094" s="18" t="s">
        <v>2262</v>
      </c>
      <c r="K1094" s="19" t="s">
        <v>2263</v>
      </c>
      <c r="L1094" s="19"/>
      <c r="M1094" s="19"/>
      <c r="N1094" s="365" t="s">
        <v>2264</v>
      </c>
      <c r="O1094" s="143"/>
      <c r="P1094" s="143"/>
      <c r="Q1094" s="143"/>
      <c r="R1094" s="187" t="s">
        <v>2265</v>
      </c>
      <c r="S1094" s="144">
        <v>285701.15000000002</v>
      </c>
      <c r="T1094" s="172"/>
      <c r="U1094" s="145">
        <v>0</v>
      </c>
      <c r="V1094" s="145">
        <v>0</v>
      </c>
      <c r="W1094" s="145">
        <v>0</v>
      </c>
      <c r="X1094" s="145">
        <f t="shared" si="347"/>
        <v>0</v>
      </c>
      <c r="Y1094" s="145">
        <v>0</v>
      </c>
      <c r="Z1094" s="145">
        <v>0</v>
      </c>
      <c r="AA1094" s="145">
        <v>0</v>
      </c>
      <c r="AB1094" s="145">
        <v>0</v>
      </c>
      <c r="AC1094" s="145">
        <v>0</v>
      </c>
      <c r="AD1094" s="145">
        <v>0</v>
      </c>
      <c r="AE1094" s="145">
        <v>0</v>
      </c>
      <c r="AF1094" s="145">
        <v>0</v>
      </c>
      <c r="AG1094" s="145">
        <v>0</v>
      </c>
      <c r="AH1094" s="145">
        <v>0</v>
      </c>
      <c r="AI1094" s="145">
        <v>0</v>
      </c>
      <c r="AJ1094" s="145">
        <v>0</v>
      </c>
      <c r="AK1094" s="145">
        <f t="shared" si="348"/>
        <v>0</v>
      </c>
      <c r="AL1094" s="145">
        <v>285701.15000000002</v>
      </c>
      <c r="AM1094" s="145">
        <v>0</v>
      </c>
      <c r="AN1094" s="145">
        <v>0</v>
      </c>
      <c r="AO1094" s="145">
        <v>0</v>
      </c>
      <c r="AP1094" s="145">
        <v>0</v>
      </c>
      <c r="AQ1094" s="145">
        <v>0</v>
      </c>
      <c r="AR1094" s="145">
        <v>0</v>
      </c>
      <c r="AS1094" s="144">
        <f t="shared" si="346"/>
        <v>285701.15000000002</v>
      </c>
      <c r="AT1094" s="144"/>
      <c r="AU1094" s="146">
        <f t="shared" si="340"/>
        <v>285701.15000000002</v>
      </c>
      <c r="AV1094" s="146">
        <f>IFERROR(VLOOKUP(J1094,Maksājumu_pieprasījumu_iesn.!G:BL,57,0),0)</f>
        <v>0</v>
      </c>
      <c r="AW1094" s="139">
        <f t="shared" si="330"/>
        <v>-285701.15000000002</v>
      </c>
      <c r="AX1094" s="147"/>
      <c r="AY1094" s="147"/>
      <c r="AZ1094" s="147"/>
      <c r="BA1094" s="149"/>
      <c r="BB1094" s="144"/>
      <c r="BC1094" s="144"/>
      <c r="BD1094" s="144"/>
      <c r="BE1094" s="144"/>
      <c r="BF1094" s="144"/>
      <c r="BG1094" s="144"/>
      <c r="BH1094" s="149"/>
      <c r="BI1094" s="149"/>
      <c r="BJ1094" s="149"/>
      <c r="BK1094" s="149"/>
      <c r="BL1094" s="149"/>
      <c r="BM1094" s="149"/>
      <c r="BN1094" s="149"/>
    </row>
    <row r="1095" spans="1:66" ht="38.25" hidden="1" customHeight="1" x14ac:dyDescent="0.2">
      <c r="A1095" s="142" t="s">
        <v>2104</v>
      </c>
      <c r="B1095" s="18" t="s">
        <v>2233</v>
      </c>
      <c r="C1095" s="18" t="s">
        <v>2235</v>
      </c>
      <c r="D1095" s="19" t="s">
        <v>2234</v>
      </c>
      <c r="E1095" s="18" t="s">
        <v>3</v>
      </c>
      <c r="F1095" s="18" t="s">
        <v>4</v>
      </c>
      <c r="G1095" s="18" t="s">
        <v>5</v>
      </c>
      <c r="H1095" s="18" t="s">
        <v>3</v>
      </c>
      <c r="I1095" s="18"/>
      <c r="J1095" s="18" t="s">
        <v>2266</v>
      </c>
      <c r="K1095" s="19" t="s">
        <v>2267</v>
      </c>
      <c r="L1095" s="19"/>
      <c r="M1095" s="19"/>
      <c r="N1095" s="365" t="s">
        <v>2268</v>
      </c>
      <c r="O1095" s="143"/>
      <c r="P1095" s="143"/>
      <c r="Q1095" s="143"/>
      <c r="R1095" s="187" t="s">
        <v>2265</v>
      </c>
      <c r="S1095" s="144">
        <v>251010.95</v>
      </c>
      <c r="T1095" s="172"/>
      <c r="U1095" s="145">
        <v>0</v>
      </c>
      <c r="V1095" s="145">
        <v>0</v>
      </c>
      <c r="W1095" s="145">
        <v>0</v>
      </c>
      <c r="X1095" s="145">
        <f t="shared" si="347"/>
        <v>0</v>
      </c>
      <c r="Y1095" s="145">
        <v>0</v>
      </c>
      <c r="Z1095" s="145">
        <v>0</v>
      </c>
      <c r="AA1095" s="145">
        <v>0</v>
      </c>
      <c r="AB1095" s="145">
        <v>0</v>
      </c>
      <c r="AC1095" s="145">
        <v>0</v>
      </c>
      <c r="AD1095" s="145">
        <v>0</v>
      </c>
      <c r="AE1095" s="145">
        <v>0</v>
      </c>
      <c r="AF1095" s="145">
        <v>0</v>
      </c>
      <c r="AG1095" s="145">
        <v>0</v>
      </c>
      <c r="AH1095" s="145">
        <v>0</v>
      </c>
      <c r="AI1095" s="145">
        <v>0</v>
      </c>
      <c r="AJ1095" s="145">
        <v>0</v>
      </c>
      <c r="AK1095" s="145">
        <f t="shared" si="348"/>
        <v>0</v>
      </c>
      <c r="AL1095" s="145">
        <v>251010.95</v>
      </c>
      <c r="AM1095" s="145">
        <v>0</v>
      </c>
      <c r="AN1095" s="145">
        <v>0</v>
      </c>
      <c r="AO1095" s="145">
        <v>0</v>
      </c>
      <c r="AP1095" s="145">
        <v>0</v>
      </c>
      <c r="AQ1095" s="145">
        <v>0</v>
      </c>
      <c r="AR1095" s="145">
        <v>0</v>
      </c>
      <c r="AS1095" s="144">
        <f t="shared" si="346"/>
        <v>251010.95</v>
      </c>
      <c r="AT1095" s="144"/>
      <c r="AU1095" s="146">
        <f t="shared" si="340"/>
        <v>251010.95</v>
      </c>
      <c r="AV1095" s="146">
        <f>IFERROR(VLOOKUP(J1095,Maksājumu_pieprasījumu_iesn.!G:BL,57,0),0)</f>
        <v>0</v>
      </c>
      <c r="AW1095" s="139">
        <f t="shared" si="330"/>
        <v>-251010.95</v>
      </c>
      <c r="AX1095" s="147"/>
      <c r="AY1095" s="147"/>
      <c r="AZ1095" s="147"/>
      <c r="BA1095" s="149"/>
      <c r="BB1095" s="144"/>
      <c r="BC1095" s="144"/>
      <c r="BD1095" s="144"/>
      <c r="BE1095" s="144"/>
      <c r="BF1095" s="144"/>
      <c r="BG1095" s="144"/>
      <c r="BH1095" s="149"/>
      <c r="BI1095" s="149"/>
      <c r="BJ1095" s="149"/>
      <c r="BK1095" s="149"/>
      <c r="BL1095" s="149"/>
      <c r="BM1095" s="149"/>
      <c r="BN1095" s="149"/>
    </row>
    <row r="1096" spans="1:66" s="91" customFormat="1" hidden="1" x14ac:dyDescent="0.2">
      <c r="A1096" s="127" t="s">
        <v>2104</v>
      </c>
      <c r="B1096" s="127" t="s">
        <v>276</v>
      </c>
      <c r="C1096" s="127" t="s">
        <v>1023</v>
      </c>
      <c r="D1096" s="128" t="s">
        <v>584</v>
      </c>
      <c r="E1096" s="127"/>
      <c r="F1096" s="127"/>
      <c r="G1096" s="127" t="s">
        <v>77</v>
      </c>
      <c r="H1096" s="127"/>
      <c r="I1096" s="127"/>
      <c r="J1096" s="127"/>
      <c r="K1096" s="128"/>
      <c r="L1096" s="128"/>
      <c r="M1096" s="128"/>
      <c r="N1096" s="366"/>
      <c r="O1096" s="163"/>
      <c r="P1096" s="163"/>
      <c r="Q1096" s="163"/>
      <c r="R1096" s="229"/>
      <c r="S1096" s="129">
        <f>S1097</f>
        <v>1275000</v>
      </c>
      <c r="T1096" s="129">
        <f>T1097</f>
        <v>0</v>
      </c>
      <c r="U1096" s="129">
        <f>U1097</f>
        <v>0</v>
      </c>
      <c r="V1096" s="129">
        <f>V1097</f>
        <v>0</v>
      </c>
      <c r="W1096" s="129">
        <f>W1097</f>
        <v>77168.050000000017</v>
      </c>
      <c r="X1096" s="129">
        <f>U1096+V1096+W1096</f>
        <v>77168.050000000017</v>
      </c>
      <c r="Y1096" s="129">
        <f t="shared" ref="Y1096:AT1096" si="349">Y1097</f>
        <v>11538.7</v>
      </c>
      <c r="Z1096" s="129">
        <f t="shared" si="349"/>
        <v>0</v>
      </c>
      <c r="AA1096" s="129">
        <f t="shared" si="349"/>
        <v>0</v>
      </c>
      <c r="AB1096" s="129">
        <f t="shared" si="349"/>
        <v>50314.59</v>
      </c>
      <c r="AC1096" s="129">
        <f t="shared" si="349"/>
        <v>0</v>
      </c>
      <c r="AD1096" s="129">
        <f t="shared" si="349"/>
        <v>148445.57</v>
      </c>
      <c r="AE1096" s="129">
        <f t="shared" si="349"/>
        <v>35516.79</v>
      </c>
      <c r="AF1096" s="129">
        <f t="shared" si="349"/>
        <v>0</v>
      </c>
      <c r="AG1096" s="129">
        <f t="shared" si="349"/>
        <v>0</v>
      </c>
      <c r="AH1096" s="129">
        <f t="shared" si="349"/>
        <v>64600</v>
      </c>
      <c r="AI1096" s="129">
        <f t="shared" si="349"/>
        <v>0</v>
      </c>
      <c r="AJ1096" s="129">
        <f t="shared" si="349"/>
        <v>0</v>
      </c>
      <c r="AK1096" s="129">
        <f t="shared" si="349"/>
        <v>310415.65000000002</v>
      </c>
      <c r="AL1096" s="129">
        <f t="shared" si="349"/>
        <v>425000</v>
      </c>
      <c r="AM1096" s="129">
        <f t="shared" si="349"/>
        <v>462416.3</v>
      </c>
      <c r="AN1096" s="129">
        <f t="shared" si="349"/>
        <v>0</v>
      </c>
      <c r="AO1096" s="129">
        <f t="shared" si="349"/>
        <v>0</v>
      </c>
      <c r="AP1096" s="129">
        <f t="shared" si="349"/>
        <v>0</v>
      </c>
      <c r="AQ1096" s="129">
        <f t="shared" si="349"/>
        <v>0</v>
      </c>
      <c r="AR1096" s="129">
        <f t="shared" si="349"/>
        <v>0</v>
      </c>
      <c r="AS1096" s="129">
        <f t="shared" si="349"/>
        <v>1275000</v>
      </c>
      <c r="AT1096" s="129">
        <f t="shared" si="349"/>
        <v>0</v>
      </c>
      <c r="AU1096" s="183">
        <f t="shared" si="340"/>
        <v>1275000</v>
      </c>
      <c r="AV1096" s="146">
        <f>IFERROR(VLOOKUP(J1096,Maksājumu_pieprasījumu_iesn.!G:BL,57,0),0)</f>
        <v>0</v>
      </c>
      <c r="AW1096" s="139">
        <f t="shared" si="330"/>
        <v>-1275000</v>
      </c>
      <c r="AX1096" s="129">
        <f>AX1097</f>
        <v>0</v>
      </c>
      <c r="AY1096" s="129">
        <f>AY1097</f>
        <v>0</v>
      </c>
      <c r="AZ1096" s="129"/>
      <c r="BA1096" s="164"/>
      <c r="BB1096" s="129">
        <f>BB1097</f>
        <v>0</v>
      </c>
      <c r="BC1096" s="129">
        <f>BC1097</f>
        <v>600083.70000000007</v>
      </c>
      <c r="BD1096" s="164">
        <f>BC1096*0.94</f>
        <v>564078.67800000007</v>
      </c>
      <c r="BE1096" s="129">
        <f>BD1096/0.85</f>
        <v>663621.97411764716</v>
      </c>
      <c r="BF1096" s="129">
        <f>BF1097</f>
        <v>0</v>
      </c>
      <c r="BG1096" s="129">
        <f>BG1097</f>
        <v>0</v>
      </c>
      <c r="BH1096" s="129">
        <f>BH1097</f>
        <v>170407.67999999999</v>
      </c>
      <c r="BI1096" s="129">
        <f>BI1097</f>
        <v>541911</v>
      </c>
      <c r="BJ1096" s="129">
        <f>AK1096*0.94</f>
        <v>291790.71100000001</v>
      </c>
      <c r="BK1096" s="129">
        <f>BJ1096-BI1096</f>
        <v>-250120.28899999999</v>
      </c>
      <c r="BL1096" s="129">
        <f>BL1097</f>
        <v>324512.46469928499</v>
      </c>
      <c r="BM1096" s="129">
        <f>AL1096*0.94</f>
        <v>399500</v>
      </c>
      <c r="BN1096" s="129">
        <f>BM1096-BL1096</f>
        <v>74987.535300715012</v>
      </c>
    </row>
    <row r="1097" spans="1:66" s="91" customFormat="1" ht="12.75" hidden="1" customHeight="1" x14ac:dyDescent="0.2">
      <c r="A1097" s="131" t="s">
        <v>2104</v>
      </c>
      <c r="B1097" s="132" t="s">
        <v>276</v>
      </c>
      <c r="C1097" s="132" t="s">
        <v>277</v>
      </c>
      <c r="D1097" s="133" t="s">
        <v>584</v>
      </c>
      <c r="E1097" s="22" t="s">
        <v>3</v>
      </c>
      <c r="F1097" s="22" t="s">
        <v>4</v>
      </c>
      <c r="G1097" s="22" t="s">
        <v>77</v>
      </c>
      <c r="H1097" s="22" t="s">
        <v>3</v>
      </c>
      <c r="I1097" s="22" t="s">
        <v>1022</v>
      </c>
      <c r="J1097" s="134" t="s">
        <v>1026</v>
      </c>
      <c r="K1097" s="133"/>
      <c r="L1097" s="133"/>
      <c r="M1097" s="133"/>
      <c r="N1097" s="133"/>
      <c r="O1097" s="135"/>
      <c r="P1097" s="135"/>
      <c r="Q1097" s="135"/>
      <c r="R1097" s="135"/>
      <c r="S1097" s="136">
        <v>1275000</v>
      </c>
      <c r="T1097" s="136">
        <v>0</v>
      </c>
      <c r="U1097" s="137">
        <f>SUM(U1098)</f>
        <v>0</v>
      </c>
      <c r="V1097" s="137">
        <f>SUM(V1098)</f>
        <v>0</v>
      </c>
      <c r="W1097" s="137">
        <f>SUM(W1098)</f>
        <v>77168.050000000017</v>
      </c>
      <c r="X1097" s="138">
        <f>U1097+V1097+W1097</f>
        <v>77168.050000000017</v>
      </c>
      <c r="Y1097" s="137">
        <f>SUM(Y1098)</f>
        <v>11538.7</v>
      </c>
      <c r="Z1097" s="137">
        <f t="shared" ref="Z1097:AQ1097" si="350">SUM(Z1098)</f>
        <v>0</v>
      </c>
      <c r="AA1097" s="137">
        <f t="shared" si="350"/>
        <v>0</v>
      </c>
      <c r="AB1097" s="137">
        <f t="shared" si="350"/>
        <v>50314.59</v>
      </c>
      <c r="AC1097" s="137">
        <f t="shared" si="350"/>
        <v>0</v>
      </c>
      <c r="AD1097" s="137">
        <f t="shared" si="350"/>
        <v>148445.57</v>
      </c>
      <c r="AE1097" s="137">
        <f t="shared" si="350"/>
        <v>35516.79</v>
      </c>
      <c r="AF1097" s="137">
        <f t="shared" si="350"/>
        <v>0</v>
      </c>
      <c r="AG1097" s="137">
        <f t="shared" si="350"/>
        <v>0</v>
      </c>
      <c r="AH1097" s="137">
        <f t="shared" si="350"/>
        <v>64600</v>
      </c>
      <c r="AI1097" s="137">
        <f t="shared" si="350"/>
        <v>0</v>
      </c>
      <c r="AJ1097" s="137">
        <f t="shared" si="350"/>
        <v>0</v>
      </c>
      <c r="AK1097" s="137">
        <f t="shared" si="350"/>
        <v>310415.65000000002</v>
      </c>
      <c r="AL1097" s="137">
        <f t="shared" si="350"/>
        <v>425000</v>
      </c>
      <c r="AM1097" s="137">
        <f t="shared" si="350"/>
        <v>462416.3</v>
      </c>
      <c r="AN1097" s="137">
        <f t="shared" si="350"/>
        <v>0</v>
      </c>
      <c r="AO1097" s="137">
        <f t="shared" si="350"/>
        <v>0</v>
      </c>
      <c r="AP1097" s="137">
        <f t="shared" si="350"/>
        <v>0</v>
      </c>
      <c r="AQ1097" s="137">
        <f t="shared" si="350"/>
        <v>0</v>
      </c>
      <c r="AR1097" s="137">
        <f>SUM(AR1098)</f>
        <v>0</v>
      </c>
      <c r="AS1097" s="137">
        <f>U1097+V1097+W1097+AK1097+AL1097+AM1097+AN1097+AO1097+AP1097+AQ1097+AR1097</f>
        <v>1275000</v>
      </c>
      <c r="AT1097" s="137">
        <f>SUM(AT1098)</f>
        <v>0</v>
      </c>
      <c r="AU1097" s="139">
        <f t="shared" si="340"/>
        <v>1275000</v>
      </c>
      <c r="AV1097" s="146">
        <f>IFERROR(VLOOKUP(J1097,Maksājumu_pieprasījumu_iesn.!G:BL,57,0),0)</f>
        <v>0</v>
      </c>
      <c r="AW1097" s="139">
        <f t="shared" si="330"/>
        <v>-1275000</v>
      </c>
      <c r="AX1097" s="140">
        <f>S1097-T1097-AU1097</f>
        <v>0</v>
      </c>
      <c r="AY1097" s="137"/>
      <c r="AZ1097" s="137"/>
      <c r="BA1097" s="138"/>
      <c r="BB1097" s="140"/>
      <c r="BC1097" s="140">
        <f>X1097+AK1097+AL1097/2</f>
        <v>600083.70000000007</v>
      </c>
      <c r="BD1097" s="140"/>
      <c r="BE1097" s="140">
        <f>BC1097/0.85</f>
        <v>705980.82352941192</v>
      </c>
      <c r="BF1097" s="137"/>
      <c r="BG1097" s="137"/>
      <c r="BH1097" s="138">
        <v>170407.67999999999</v>
      </c>
      <c r="BI1097" s="138">
        <v>541911</v>
      </c>
      <c r="BJ1097" s="138"/>
      <c r="BK1097" s="138"/>
      <c r="BL1097" s="138">
        <v>324512.46469928499</v>
      </c>
      <c r="BM1097" s="138"/>
      <c r="BN1097" s="138"/>
    </row>
    <row r="1098" spans="1:66" ht="38.25" hidden="1" customHeight="1" x14ac:dyDescent="0.2">
      <c r="A1098" s="142" t="s">
        <v>2104</v>
      </c>
      <c r="B1098" s="18" t="s">
        <v>276</v>
      </c>
      <c r="C1098" s="18" t="s">
        <v>277</v>
      </c>
      <c r="D1098" s="19" t="s">
        <v>584</v>
      </c>
      <c r="E1098" s="18" t="s">
        <v>3</v>
      </c>
      <c r="F1098" s="18" t="s">
        <v>4</v>
      </c>
      <c r="G1098" s="18" t="s">
        <v>77</v>
      </c>
      <c r="H1098" s="18" t="s">
        <v>3</v>
      </c>
      <c r="I1098" s="18"/>
      <c r="J1098" s="18" t="s">
        <v>278</v>
      </c>
      <c r="K1098" s="19" t="s">
        <v>279</v>
      </c>
      <c r="L1098" s="19"/>
      <c r="M1098" s="19"/>
      <c r="N1098" s="19" t="s">
        <v>280</v>
      </c>
      <c r="O1098" s="143"/>
      <c r="P1098" s="143"/>
      <c r="Q1098" s="143"/>
      <c r="R1098" s="143">
        <v>42437</v>
      </c>
      <c r="S1098" s="144">
        <v>1275000</v>
      </c>
      <c r="T1098" s="144"/>
      <c r="U1098" s="145">
        <v>0</v>
      </c>
      <c r="V1098" s="145">
        <v>0</v>
      </c>
      <c r="W1098" s="153">
        <v>77168.050000000017</v>
      </c>
      <c r="X1098" s="145">
        <f>W1098+V1098+U1098</f>
        <v>77168.050000000017</v>
      </c>
      <c r="Y1098" s="153">
        <v>11538.7</v>
      </c>
      <c r="Z1098" s="153">
        <v>0</v>
      </c>
      <c r="AA1098" s="153">
        <v>0</v>
      </c>
      <c r="AB1098" s="153">
        <v>50314.59</v>
      </c>
      <c r="AC1098" s="153">
        <v>0</v>
      </c>
      <c r="AD1098" s="166">
        <v>148445.57</v>
      </c>
      <c r="AE1098" s="166">
        <v>35516.79</v>
      </c>
      <c r="AF1098" s="145">
        <v>0</v>
      </c>
      <c r="AG1098" s="145">
        <v>0</v>
      </c>
      <c r="AH1098" s="145">
        <v>64600</v>
      </c>
      <c r="AI1098" s="145">
        <v>0</v>
      </c>
      <c r="AJ1098" s="145">
        <v>0</v>
      </c>
      <c r="AK1098" s="147">
        <f>Y1098+Z1098+AA1098+AB1098+AC1098+AD1098+AE1098+AF1098+AG1098+AH1098+AI1098+AJ1098</f>
        <v>310415.65000000002</v>
      </c>
      <c r="AL1098" s="153">
        <v>425000</v>
      </c>
      <c r="AM1098" s="153">
        <v>462416.3</v>
      </c>
      <c r="AN1098" s="153">
        <v>0</v>
      </c>
      <c r="AO1098" s="145">
        <v>0</v>
      </c>
      <c r="AP1098" s="145">
        <v>0</v>
      </c>
      <c r="AQ1098" s="145">
        <v>0</v>
      </c>
      <c r="AR1098" s="145">
        <v>0</v>
      </c>
      <c r="AS1098" s="144">
        <f>U1098+V1098+W1098+AK1098+AL1098+AM1098+AN1098+AO1098+AP1098+AQ1098+AR1098</f>
        <v>1275000</v>
      </c>
      <c r="AT1098" s="144"/>
      <c r="AU1098" s="146">
        <f t="shared" si="340"/>
        <v>1275000</v>
      </c>
      <c r="AV1098" s="146">
        <f>IFERROR(VLOOKUP(J1098,Maksājumu_pieprasījumu_iesn.!G:BL,57,0),0)</f>
        <v>0</v>
      </c>
      <c r="AW1098" s="139">
        <f t="shared" si="330"/>
        <v>-1275000</v>
      </c>
      <c r="AX1098" s="147"/>
      <c r="AY1098" s="213"/>
      <c r="AZ1098" s="213"/>
      <c r="BA1098" s="149"/>
      <c r="BB1098" s="147"/>
      <c r="BC1098" s="147"/>
      <c r="BD1098" s="147"/>
      <c r="BE1098" s="147"/>
      <c r="BF1098" s="147"/>
      <c r="BG1098" s="147"/>
      <c r="BH1098" s="149"/>
      <c r="BI1098" s="149"/>
      <c r="BJ1098" s="149"/>
      <c r="BK1098" s="149"/>
      <c r="BL1098" s="149"/>
      <c r="BM1098" s="149"/>
      <c r="BN1098" s="149"/>
    </row>
    <row r="1099" spans="1:66" ht="38.25" hidden="1" customHeight="1" x14ac:dyDescent="0.2">
      <c r="A1099" s="142" t="s">
        <v>2104</v>
      </c>
      <c r="B1099" s="18" t="s">
        <v>276</v>
      </c>
      <c r="C1099" s="18" t="s">
        <v>277</v>
      </c>
      <c r="D1099" s="19" t="s">
        <v>584</v>
      </c>
      <c r="E1099" s="18" t="s">
        <v>3</v>
      </c>
      <c r="F1099" s="18" t="s">
        <v>4</v>
      </c>
      <c r="G1099" s="18" t="s">
        <v>77</v>
      </c>
      <c r="H1099" s="18" t="s">
        <v>3</v>
      </c>
      <c r="I1099" s="18"/>
      <c r="J1099" s="18" t="s">
        <v>278</v>
      </c>
      <c r="K1099" s="19" t="s">
        <v>279</v>
      </c>
      <c r="L1099" s="19"/>
      <c r="M1099" s="19"/>
      <c r="N1099" s="19" t="s">
        <v>280</v>
      </c>
      <c r="O1099" s="143" t="s">
        <v>880</v>
      </c>
      <c r="P1099" s="143"/>
      <c r="Q1099" s="143"/>
      <c r="R1099" s="143"/>
      <c r="S1099" s="144"/>
      <c r="T1099" s="144"/>
      <c r="U1099" s="145"/>
      <c r="V1099" s="145"/>
      <c r="W1099" s="153">
        <v>103294.7</v>
      </c>
      <c r="X1099" s="145">
        <f>W1099+V1099+U1099</f>
        <v>103294.7</v>
      </c>
      <c r="Y1099" s="153"/>
      <c r="Z1099" s="153"/>
      <c r="AA1099" s="153"/>
      <c r="AB1099" s="153"/>
      <c r="AC1099" s="153">
        <v>71545.5</v>
      </c>
      <c r="AD1099" s="166"/>
      <c r="AE1099" s="166">
        <v>42500</v>
      </c>
      <c r="AF1099" s="145"/>
      <c r="AG1099" s="145"/>
      <c r="AH1099" s="145"/>
      <c r="AI1099" s="145">
        <v>122659.8</v>
      </c>
      <c r="AJ1099" s="145"/>
      <c r="AK1099" s="147">
        <f>Y1099+Z1099+AA1099+AB1099+AC1099+AD1099+AE1099+AF1099+AG1099+AH1099+AI1099+AJ1099</f>
        <v>236705.3</v>
      </c>
      <c r="AL1099" s="153">
        <v>42500</v>
      </c>
      <c r="AM1099" s="153"/>
      <c r="AN1099" s="153"/>
      <c r="AO1099" s="145"/>
      <c r="AP1099" s="145"/>
      <c r="AQ1099" s="145"/>
      <c r="AR1099" s="145"/>
      <c r="AS1099" s="142"/>
      <c r="AT1099" s="144">
        <f>U1099+V1099+W1099+AK1099+AL1099+AM1099+AN1099+AO1099+AP1099+AQ1099+AR1099</f>
        <v>382500</v>
      </c>
      <c r="AU1099" s="146"/>
      <c r="AV1099" s="146">
        <f>IFERROR(VLOOKUP(J1099,Maksājumu_pieprasījumu_iesn.!G:BL,57,0),0)</f>
        <v>0</v>
      </c>
      <c r="AW1099" s="139">
        <f t="shared" si="330"/>
        <v>0</v>
      </c>
      <c r="AX1099" s="147"/>
      <c r="AY1099" s="213"/>
      <c r="AZ1099" s="213"/>
      <c r="BA1099" s="149"/>
      <c r="BB1099" s="147"/>
      <c r="BC1099" s="147"/>
      <c r="BD1099" s="147"/>
      <c r="BE1099" s="147"/>
      <c r="BF1099" s="147"/>
      <c r="BG1099" s="147"/>
      <c r="BH1099" s="149"/>
      <c r="BI1099" s="149"/>
      <c r="BJ1099" s="149"/>
      <c r="BK1099" s="149"/>
      <c r="BL1099" s="149"/>
      <c r="BM1099" s="149"/>
      <c r="BN1099" s="149"/>
    </row>
    <row r="1100" spans="1:66" s="91" customFormat="1" hidden="1" x14ac:dyDescent="0.2">
      <c r="A1100" s="127" t="s">
        <v>2104</v>
      </c>
      <c r="B1100" s="127" t="s">
        <v>281</v>
      </c>
      <c r="C1100" s="127" t="s">
        <v>1023</v>
      </c>
      <c r="D1100" s="128" t="s">
        <v>2269</v>
      </c>
      <c r="E1100" s="127"/>
      <c r="F1100" s="127"/>
      <c r="G1100" s="127" t="s">
        <v>77</v>
      </c>
      <c r="H1100" s="127"/>
      <c r="I1100" s="127"/>
      <c r="J1100" s="127"/>
      <c r="K1100" s="128"/>
      <c r="L1100" s="128"/>
      <c r="M1100" s="128"/>
      <c r="N1100" s="128"/>
      <c r="O1100" s="163"/>
      <c r="P1100" s="163"/>
      <c r="Q1100" s="163"/>
      <c r="R1100" s="163"/>
      <c r="S1100" s="164">
        <f>S1101</f>
        <v>11866751</v>
      </c>
      <c r="T1100" s="164">
        <f t="shared" ref="T1100:BN1100" si="351">T1101</f>
        <v>0</v>
      </c>
      <c r="U1100" s="164">
        <f t="shared" si="351"/>
        <v>0</v>
      </c>
      <c r="V1100" s="164">
        <f t="shared" si="351"/>
        <v>0</v>
      </c>
      <c r="W1100" s="164">
        <f t="shared" si="351"/>
        <v>0</v>
      </c>
      <c r="X1100" s="164">
        <f t="shared" si="351"/>
        <v>0</v>
      </c>
      <c r="Y1100" s="164">
        <f t="shared" si="351"/>
        <v>0</v>
      </c>
      <c r="Z1100" s="164">
        <f t="shared" si="351"/>
        <v>180011.9</v>
      </c>
      <c r="AA1100" s="164">
        <f t="shared" si="351"/>
        <v>0</v>
      </c>
      <c r="AB1100" s="164">
        <f t="shared" si="351"/>
        <v>247862.35</v>
      </c>
      <c r="AC1100" s="164">
        <f t="shared" si="351"/>
        <v>0</v>
      </c>
      <c r="AD1100" s="164">
        <f t="shared" si="351"/>
        <v>1008607.29</v>
      </c>
      <c r="AE1100" s="164">
        <f t="shared" si="351"/>
        <v>0</v>
      </c>
      <c r="AF1100" s="164">
        <f t="shared" si="351"/>
        <v>0</v>
      </c>
      <c r="AG1100" s="164">
        <f t="shared" si="351"/>
        <v>983819.1</v>
      </c>
      <c r="AH1100" s="164">
        <f t="shared" si="351"/>
        <v>0</v>
      </c>
      <c r="AI1100" s="164">
        <f t="shared" si="351"/>
        <v>0</v>
      </c>
      <c r="AJ1100" s="164">
        <f t="shared" si="351"/>
        <v>983819.1</v>
      </c>
      <c r="AK1100" s="164">
        <f t="shared" si="351"/>
        <v>3404119.74</v>
      </c>
      <c r="AL1100" s="164">
        <f t="shared" si="351"/>
        <v>3820595.91</v>
      </c>
      <c r="AM1100" s="164">
        <f t="shared" si="351"/>
        <v>2998177.7800000003</v>
      </c>
      <c r="AN1100" s="164">
        <f t="shared" si="351"/>
        <v>1255880.9300000002</v>
      </c>
      <c r="AO1100" s="164">
        <f t="shared" si="351"/>
        <v>387976.64</v>
      </c>
      <c r="AP1100" s="164">
        <f t="shared" si="351"/>
        <v>0</v>
      </c>
      <c r="AQ1100" s="164">
        <f t="shared" si="351"/>
        <v>0</v>
      </c>
      <c r="AR1100" s="164">
        <f t="shared" si="351"/>
        <v>0</v>
      </c>
      <c r="AS1100" s="164">
        <f t="shared" si="351"/>
        <v>11866751</v>
      </c>
      <c r="AT1100" s="164">
        <f t="shared" si="351"/>
        <v>0</v>
      </c>
      <c r="AU1100" s="164">
        <f t="shared" si="351"/>
        <v>11866751</v>
      </c>
      <c r="AV1100" s="146">
        <f>IFERROR(VLOOKUP(J1100,Maksājumu_pieprasījumu_iesn.!G:BL,57,0),0)</f>
        <v>0</v>
      </c>
      <c r="AW1100" s="139">
        <f t="shared" si="330"/>
        <v>-11866751</v>
      </c>
      <c r="AX1100" s="164">
        <f t="shared" si="351"/>
        <v>0</v>
      </c>
      <c r="AY1100" s="164">
        <f t="shared" si="351"/>
        <v>0</v>
      </c>
      <c r="AZ1100" s="164"/>
      <c r="BA1100" s="164">
        <f t="shared" si="351"/>
        <v>0</v>
      </c>
      <c r="BB1100" s="164">
        <f t="shared" si="351"/>
        <v>0</v>
      </c>
      <c r="BC1100" s="164">
        <f t="shared" si="351"/>
        <v>5314417.6950000003</v>
      </c>
      <c r="BD1100" s="164">
        <f t="shared" si="351"/>
        <v>0</v>
      </c>
      <c r="BE1100" s="164">
        <f t="shared" si="351"/>
        <v>6252256.1117647067</v>
      </c>
      <c r="BF1100" s="164">
        <f t="shared" si="351"/>
        <v>0</v>
      </c>
      <c r="BG1100" s="164">
        <f t="shared" si="351"/>
        <v>0</v>
      </c>
      <c r="BH1100" s="164">
        <f t="shared" si="351"/>
        <v>0</v>
      </c>
      <c r="BI1100" s="164">
        <f t="shared" si="351"/>
        <v>2482840.6324999998</v>
      </c>
      <c r="BJ1100" s="164">
        <f t="shared" si="351"/>
        <v>0</v>
      </c>
      <c r="BK1100" s="164">
        <f t="shared" si="351"/>
        <v>0</v>
      </c>
      <c r="BL1100" s="164">
        <f t="shared" si="351"/>
        <v>2751619.46808177</v>
      </c>
      <c r="BM1100" s="164">
        <f t="shared" si="351"/>
        <v>0</v>
      </c>
      <c r="BN1100" s="164">
        <f t="shared" si="351"/>
        <v>0</v>
      </c>
    </row>
    <row r="1101" spans="1:66" s="91" customFormat="1" ht="25.5" hidden="1" customHeight="1" x14ac:dyDescent="0.2">
      <c r="A1101" s="131" t="s">
        <v>2104</v>
      </c>
      <c r="B1101" s="132" t="s">
        <v>281</v>
      </c>
      <c r="C1101" s="132" t="s">
        <v>282</v>
      </c>
      <c r="D1101" s="133" t="s">
        <v>2270</v>
      </c>
      <c r="E1101" s="22" t="s">
        <v>3</v>
      </c>
      <c r="F1101" s="22" t="s">
        <v>4</v>
      </c>
      <c r="G1101" s="22" t="s">
        <v>77</v>
      </c>
      <c r="H1101" s="22" t="s">
        <v>3</v>
      </c>
      <c r="I1101" s="22" t="s">
        <v>1022</v>
      </c>
      <c r="J1101" s="134" t="s">
        <v>1026</v>
      </c>
      <c r="K1101" s="133"/>
      <c r="L1101" s="133"/>
      <c r="M1101" s="133"/>
      <c r="N1101" s="133"/>
      <c r="O1101" s="135"/>
      <c r="P1101" s="135"/>
      <c r="Q1101" s="135"/>
      <c r="R1101" s="135"/>
      <c r="S1101" s="136">
        <v>11866751</v>
      </c>
      <c r="T1101" s="136">
        <v>0</v>
      </c>
      <c r="U1101" s="137">
        <f>SUM(U1102)</f>
        <v>0</v>
      </c>
      <c r="V1101" s="137">
        <f>SUM(V1102)</f>
        <v>0</v>
      </c>
      <c r="W1101" s="137">
        <f>SUM(W1102)</f>
        <v>0</v>
      </c>
      <c r="X1101" s="138">
        <f>U1101+V1101+W1101</f>
        <v>0</v>
      </c>
      <c r="Y1101" s="137">
        <f t="shared" ref="Y1101:AR1101" si="352">SUM(Y1102)</f>
        <v>0</v>
      </c>
      <c r="Z1101" s="137">
        <f t="shared" si="352"/>
        <v>180011.9</v>
      </c>
      <c r="AA1101" s="137">
        <f t="shared" si="352"/>
        <v>0</v>
      </c>
      <c r="AB1101" s="137">
        <f t="shared" si="352"/>
        <v>247862.35</v>
      </c>
      <c r="AC1101" s="137">
        <f t="shared" si="352"/>
        <v>0</v>
      </c>
      <c r="AD1101" s="137">
        <f t="shared" si="352"/>
        <v>1008607.29</v>
      </c>
      <c r="AE1101" s="137">
        <f t="shared" si="352"/>
        <v>0</v>
      </c>
      <c r="AF1101" s="137">
        <f t="shared" si="352"/>
        <v>0</v>
      </c>
      <c r="AG1101" s="137">
        <f t="shared" si="352"/>
        <v>983819.1</v>
      </c>
      <c r="AH1101" s="137">
        <f t="shared" si="352"/>
        <v>0</v>
      </c>
      <c r="AI1101" s="137">
        <f t="shared" si="352"/>
        <v>0</v>
      </c>
      <c r="AJ1101" s="137">
        <f t="shared" si="352"/>
        <v>983819.1</v>
      </c>
      <c r="AK1101" s="137">
        <f t="shared" si="352"/>
        <v>3404119.74</v>
      </c>
      <c r="AL1101" s="137">
        <f t="shared" si="352"/>
        <v>3820595.91</v>
      </c>
      <c r="AM1101" s="137">
        <f t="shared" si="352"/>
        <v>2998177.7800000003</v>
      </c>
      <c r="AN1101" s="137">
        <f t="shared" si="352"/>
        <v>1255880.9300000002</v>
      </c>
      <c r="AO1101" s="137">
        <f t="shared" si="352"/>
        <v>387976.64</v>
      </c>
      <c r="AP1101" s="137">
        <f t="shared" si="352"/>
        <v>0</v>
      </c>
      <c r="AQ1101" s="137">
        <f t="shared" si="352"/>
        <v>0</v>
      </c>
      <c r="AR1101" s="137">
        <f t="shared" si="352"/>
        <v>0</v>
      </c>
      <c r="AS1101" s="137">
        <f>U1101+V1101+W1101+AK1101+AL1101+AM1101+AN1101+AO1101+AP1101+AQ1101+AR1101</f>
        <v>11866751</v>
      </c>
      <c r="AT1101" s="137">
        <f>AT1102</f>
        <v>0</v>
      </c>
      <c r="AU1101" s="139">
        <f t="shared" si="340"/>
        <v>11866751</v>
      </c>
      <c r="AV1101" s="146">
        <f>IFERROR(VLOOKUP(J1101,Maksājumu_pieprasījumu_iesn.!G:BL,57,0),0)</f>
        <v>0</v>
      </c>
      <c r="AW1101" s="139">
        <f t="shared" si="330"/>
        <v>-11866751</v>
      </c>
      <c r="AX1101" s="140">
        <f>S1101-T1101-AU1101</f>
        <v>0</v>
      </c>
      <c r="AY1101" s="137"/>
      <c r="AZ1101" s="137"/>
      <c r="BA1101" s="138"/>
      <c r="BB1101" s="140"/>
      <c r="BC1101" s="140">
        <f>X1101+AK1101+AL1101/2</f>
        <v>5314417.6950000003</v>
      </c>
      <c r="BD1101" s="140"/>
      <c r="BE1101" s="140">
        <f>BC1101/0.85</f>
        <v>6252256.1117647067</v>
      </c>
      <c r="BF1101" s="137"/>
      <c r="BG1101" s="137"/>
      <c r="BH1101" s="138">
        <v>0</v>
      </c>
      <c r="BI1101" s="138">
        <v>2482840.6324999998</v>
      </c>
      <c r="BJ1101" s="138"/>
      <c r="BK1101" s="138"/>
      <c r="BL1101" s="138">
        <v>2751619.46808177</v>
      </c>
      <c r="BM1101" s="138"/>
      <c r="BN1101" s="138"/>
    </row>
    <row r="1102" spans="1:66" ht="38.25" hidden="1" customHeight="1" x14ac:dyDescent="0.2">
      <c r="A1102" s="142" t="s">
        <v>2104</v>
      </c>
      <c r="B1102" s="18" t="s">
        <v>281</v>
      </c>
      <c r="C1102" s="18" t="s">
        <v>282</v>
      </c>
      <c r="D1102" s="19" t="s">
        <v>283</v>
      </c>
      <c r="E1102" s="18" t="s">
        <v>3</v>
      </c>
      <c r="F1102" s="18" t="s">
        <v>4</v>
      </c>
      <c r="G1102" s="18" t="s">
        <v>77</v>
      </c>
      <c r="H1102" s="18" t="s">
        <v>3</v>
      </c>
      <c r="I1102" s="18"/>
      <c r="J1102" s="18" t="s">
        <v>284</v>
      </c>
      <c r="K1102" s="19" t="s">
        <v>285</v>
      </c>
      <c r="L1102" s="19"/>
      <c r="M1102" s="19"/>
      <c r="N1102" s="19" t="s">
        <v>286</v>
      </c>
      <c r="O1102" s="143"/>
      <c r="P1102" s="143"/>
      <c r="Q1102" s="143"/>
      <c r="R1102" s="143">
        <v>42660</v>
      </c>
      <c r="S1102" s="144">
        <v>11866751</v>
      </c>
      <c r="T1102" s="144"/>
      <c r="U1102" s="145">
        <v>0</v>
      </c>
      <c r="V1102" s="145">
        <v>0</v>
      </c>
      <c r="W1102" s="145">
        <v>0</v>
      </c>
      <c r="X1102" s="145">
        <f>W1102+V1102+U1102</f>
        <v>0</v>
      </c>
      <c r="Y1102" s="145">
        <v>0</v>
      </c>
      <c r="Z1102" s="145">
        <v>180011.9</v>
      </c>
      <c r="AA1102" s="145">
        <v>0</v>
      </c>
      <c r="AB1102" s="145">
        <v>247862.35</v>
      </c>
      <c r="AC1102" s="145">
        <v>0</v>
      </c>
      <c r="AD1102" s="145">
        <v>1008607.29</v>
      </c>
      <c r="AE1102" s="145">
        <v>0</v>
      </c>
      <c r="AF1102" s="145">
        <v>0</v>
      </c>
      <c r="AG1102" s="145">
        <v>983819.1</v>
      </c>
      <c r="AH1102" s="145">
        <v>0</v>
      </c>
      <c r="AI1102" s="145">
        <v>0</v>
      </c>
      <c r="AJ1102" s="145">
        <v>983819.1</v>
      </c>
      <c r="AK1102" s="145">
        <f>SUM(Y1102:AJ1102)</f>
        <v>3404119.74</v>
      </c>
      <c r="AL1102" s="145">
        <v>3820595.91</v>
      </c>
      <c r="AM1102" s="145">
        <v>2998177.7800000003</v>
      </c>
      <c r="AN1102" s="145">
        <v>1255880.9300000002</v>
      </c>
      <c r="AO1102" s="145">
        <v>387976.64</v>
      </c>
      <c r="AP1102" s="145">
        <v>0</v>
      </c>
      <c r="AQ1102" s="145">
        <v>0</v>
      </c>
      <c r="AR1102" s="145">
        <v>0</v>
      </c>
      <c r="AS1102" s="144">
        <f>U1102+V1102+W1102+AK1102+AL1102+AM1102+AN1102+AO1102+AP1102+AQ1102+AR1102</f>
        <v>11866751</v>
      </c>
      <c r="AT1102" s="144">
        <v>0</v>
      </c>
      <c r="AU1102" s="146">
        <f t="shared" si="340"/>
        <v>11866751</v>
      </c>
      <c r="AV1102" s="146" t="str">
        <f>IFERROR(VLOOKUP(J1102,Maksājumu_pieprasījumu_iesn.!G:BL,57,0),0)</f>
        <v>Aizkavējusies sadarbības līgumu slēgšana ar projekta sadarbības partneriem, ko ietekmē, piemēram, viena no sadarbības partneriem - Rīgas Pedagoģijas un izglītības vadības akadēmijas (RPIVA) reorganizācija, kā arī tas, ka citu sadarbības partneru darbinieki - augstskolu docētāji atvaļinājuma laikā, kas iekrīt vasarā, nevar veikt darba pienākumus projektā. Tāpat īstenotājs skaidro, ka IKT jomas iepirkumi tiek pakārtoti Izglītības un zinātnes ministrijas iepirkumu grafikam, jo vairākiem Izglītības un zinātnes ministrijas Eiropas Sociālā fonda projektiem ir līdzīgi iepirkuma priekšmeti un tiek plānota vienota iepirkumu procedūra.</v>
      </c>
      <c r="AW1102" s="139" t="e">
        <f t="shared" si="330"/>
        <v>#VALUE!</v>
      </c>
      <c r="AX1102" s="147"/>
      <c r="AY1102" s="147"/>
      <c r="AZ1102" s="147"/>
      <c r="BA1102" s="149"/>
      <c r="BB1102" s="144"/>
      <c r="BC1102" s="144"/>
      <c r="BD1102" s="144"/>
      <c r="BE1102" s="144"/>
      <c r="BF1102" s="144"/>
      <c r="BG1102" s="144"/>
      <c r="BH1102" s="149"/>
      <c r="BI1102" s="149"/>
      <c r="BJ1102" s="149"/>
      <c r="BK1102" s="149"/>
      <c r="BL1102" s="149"/>
      <c r="BM1102" s="149"/>
      <c r="BN1102" s="149"/>
    </row>
    <row r="1103" spans="1:66" s="91" customFormat="1" ht="25.5" hidden="1" x14ac:dyDescent="0.2">
      <c r="A1103" s="127" t="s">
        <v>2104</v>
      </c>
      <c r="B1103" s="127" t="s">
        <v>287</v>
      </c>
      <c r="C1103" s="127" t="s">
        <v>1023</v>
      </c>
      <c r="D1103" s="128" t="s">
        <v>2271</v>
      </c>
      <c r="E1103" s="127"/>
      <c r="F1103" s="127"/>
      <c r="G1103" s="127" t="s">
        <v>77</v>
      </c>
      <c r="H1103" s="127"/>
      <c r="I1103" s="127"/>
      <c r="J1103" s="127"/>
      <c r="K1103" s="128"/>
      <c r="L1103" s="128"/>
      <c r="M1103" s="128"/>
      <c r="N1103" s="128"/>
      <c r="O1103" s="163"/>
      <c r="P1103" s="163"/>
      <c r="Q1103" s="163"/>
      <c r="R1103" s="163"/>
      <c r="S1103" s="164">
        <f>S1104+S1106</f>
        <v>31987828</v>
      </c>
      <c r="T1103" s="164">
        <f>T1104+T1106</f>
        <v>1989172</v>
      </c>
      <c r="U1103" s="164">
        <f>U1104+U1106</f>
        <v>0</v>
      </c>
      <c r="V1103" s="164">
        <f>V1104+V1106</f>
        <v>0</v>
      </c>
      <c r="W1103" s="164">
        <f>W1104+W1106</f>
        <v>14168.29</v>
      </c>
      <c r="X1103" s="129">
        <f>U1103+V1103+W1103</f>
        <v>14168.29</v>
      </c>
      <c r="Y1103" s="164">
        <f t="shared" ref="Y1103:AT1103" si="353">Y1104+Y1106</f>
        <v>12387.36</v>
      </c>
      <c r="Z1103" s="164">
        <f t="shared" si="353"/>
        <v>0</v>
      </c>
      <c r="AA1103" s="164">
        <f t="shared" si="353"/>
        <v>0</v>
      </c>
      <c r="AB1103" s="164">
        <f t="shared" si="353"/>
        <v>133538.89000000001</v>
      </c>
      <c r="AC1103" s="164">
        <f t="shared" si="353"/>
        <v>0</v>
      </c>
      <c r="AD1103" s="164">
        <f t="shared" si="353"/>
        <v>0</v>
      </c>
      <c r="AE1103" s="164">
        <f t="shared" si="353"/>
        <v>580589.1</v>
      </c>
      <c r="AF1103" s="164">
        <f t="shared" si="353"/>
        <v>0</v>
      </c>
      <c r="AG1103" s="164">
        <f t="shared" si="353"/>
        <v>0</v>
      </c>
      <c r="AH1103" s="164">
        <f t="shared" si="353"/>
        <v>1461835.95</v>
      </c>
      <c r="AI1103" s="164">
        <f t="shared" si="353"/>
        <v>0</v>
      </c>
      <c r="AJ1103" s="164">
        <f t="shared" si="353"/>
        <v>0</v>
      </c>
      <c r="AK1103" s="164">
        <f t="shared" si="353"/>
        <v>2188351.2999999998</v>
      </c>
      <c r="AL1103" s="164">
        <f t="shared" si="353"/>
        <v>7620198.1500000004</v>
      </c>
      <c r="AM1103" s="164">
        <f t="shared" si="353"/>
        <v>9622909.5</v>
      </c>
      <c r="AN1103" s="164">
        <f t="shared" si="353"/>
        <v>8544897.8499999996</v>
      </c>
      <c r="AO1103" s="164">
        <f t="shared" si="353"/>
        <v>2008131.26</v>
      </c>
      <c r="AP1103" s="164">
        <f t="shared" si="353"/>
        <v>0</v>
      </c>
      <c r="AQ1103" s="164">
        <f t="shared" si="353"/>
        <v>0</v>
      </c>
      <c r="AR1103" s="164">
        <f t="shared" si="353"/>
        <v>0</v>
      </c>
      <c r="AS1103" s="164">
        <f t="shared" si="353"/>
        <v>29998656.350000001</v>
      </c>
      <c r="AT1103" s="164">
        <f t="shared" si="353"/>
        <v>0</v>
      </c>
      <c r="AU1103" s="183">
        <f t="shared" si="340"/>
        <v>29998656.350000001</v>
      </c>
      <c r="AV1103" s="146">
        <f>IFERROR(VLOOKUP(J1103,Maksājumu_pieprasījumu_iesn.!G:BL,57,0),0)</f>
        <v>0</v>
      </c>
      <c r="AW1103" s="139">
        <f t="shared" si="330"/>
        <v>-29998656.350000001</v>
      </c>
      <c r="AX1103" s="164">
        <f>AX1104+AX1106</f>
        <v>-0.35000000149011612</v>
      </c>
      <c r="AY1103" s="164"/>
      <c r="AZ1103" s="164"/>
      <c r="BA1103" s="164"/>
      <c r="BB1103" s="164">
        <f>BB1104+BB1106</f>
        <v>0</v>
      </c>
      <c r="BC1103" s="164">
        <f>BC1104+BC1106</f>
        <v>6012618.665</v>
      </c>
      <c r="BD1103" s="164">
        <f>BC1103*0.94</f>
        <v>5651861.5450999998</v>
      </c>
      <c r="BE1103" s="129">
        <f>BD1103/0.85</f>
        <v>6649248.8765882356</v>
      </c>
      <c r="BF1103" s="164">
        <f>BF1104+BF1106</f>
        <v>0</v>
      </c>
      <c r="BG1103" s="164">
        <f>BG1104+BG1106</f>
        <v>0</v>
      </c>
      <c r="BH1103" s="129">
        <f>BH1104+BH1106</f>
        <v>14168.29</v>
      </c>
      <c r="BI1103" s="129">
        <f>BI1104+BI1106</f>
        <v>1034650</v>
      </c>
      <c r="BJ1103" s="129">
        <f>AK1103*0.94</f>
        <v>2057050.2219999996</v>
      </c>
      <c r="BK1103" s="129">
        <f>BJ1103-BI1103</f>
        <v>1022400.2219999996</v>
      </c>
      <c r="BL1103" s="129">
        <f>BL1104+BL1106</f>
        <v>4579314.1849002484</v>
      </c>
      <c r="BM1103" s="129">
        <f>AL1103*0.94</f>
        <v>7162986.2609999999</v>
      </c>
      <c r="BN1103" s="129">
        <f>BM1103-BL1103</f>
        <v>2583672.0760997515</v>
      </c>
    </row>
    <row r="1104" spans="1:66" s="91" customFormat="1" ht="12.75" hidden="1" customHeight="1" x14ac:dyDescent="0.2">
      <c r="A1104" s="131" t="s">
        <v>2104</v>
      </c>
      <c r="B1104" s="132" t="s">
        <v>287</v>
      </c>
      <c r="C1104" s="132" t="s">
        <v>288</v>
      </c>
      <c r="D1104" s="133" t="s">
        <v>585</v>
      </c>
      <c r="E1104" s="22" t="s">
        <v>3</v>
      </c>
      <c r="F1104" s="22" t="s">
        <v>4</v>
      </c>
      <c r="G1104" s="22" t="s">
        <v>77</v>
      </c>
      <c r="H1104" s="22" t="s">
        <v>3</v>
      </c>
      <c r="I1104" s="22" t="s">
        <v>1022</v>
      </c>
      <c r="J1104" s="134" t="s">
        <v>1026</v>
      </c>
      <c r="K1104" s="133"/>
      <c r="L1104" s="133"/>
      <c r="M1104" s="133"/>
      <c r="N1104" s="133"/>
      <c r="O1104" s="135"/>
      <c r="P1104" s="135"/>
      <c r="Q1104" s="135"/>
      <c r="R1104" s="135"/>
      <c r="S1104" s="136">
        <v>2794247</v>
      </c>
      <c r="T1104" s="136">
        <v>0</v>
      </c>
      <c r="U1104" s="137">
        <f>SUM(U1105)</f>
        <v>0</v>
      </c>
      <c r="V1104" s="137">
        <f>SUM(V1105)</f>
        <v>0</v>
      </c>
      <c r="W1104" s="137">
        <f>SUM(W1105)</f>
        <v>14168.29</v>
      </c>
      <c r="X1104" s="138">
        <f>U1104+V1104+W1104</f>
        <v>14168.29</v>
      </c>
      <c r="Y1104" s="137">
        <f t="shared" ref="Y1104:AR1104" si="354">SUM(Y1105)</f>
        <v>12387.36</v>
      </c>
      <c r="Z1104" s="137">
        <f t="shared" si="354"/>
        <v>0</v>
      </c>
      <c r="AA1104" s="137">
        <f t="shared" si="354"/>
        <v>0</v>
      </c>
      <c r="AB1104" s="137">
        <f t="shared" si="354"/>
        <v>101320.89</v>
      </c>
      <c r="AC1104" s="137">
        <f t="shared" si="354"/>
        <v>0</v>
      </c>
      <c r="AD1104" s="137">
        <f t="shared" si="354"/>
        <v>0</v>
      </c>
      <c r="AE1104" s="137">
        <f t="shared" si="354"/>
        <v>155589.1</v>
      </c>
      <c r="AF1104" s="137">
        <f t="shared" si="354"/>
        <v>0</v>
      </c>
      <c r="AG1104" s="137">
        <f t="shared" si="354"/>
        <v>0</v>
      </c>
      <c r="AH1104" s="137">
        <f t="shared" si="354"/>
        <v>207049.8</v>
      </c>
      <c r="AI1104" s="137">
        <f t="shared" si="354"/>
        <v>0</v>
      </c>
      <c r="AJ1104" s="137">
        <f t="shared" si="354"/>
        <v>0</v>
      </c>
      <c r="AK1104" s="137">
        <f t="shared" si="354"/>
        <v>476347.14999999997</v>
      </c>
      <c r="AL1104" s="137">
        <f t="shared" si="354"/>
        <v>820198.15</v>
      </c>
      <c r="AM1104" s="137">
        <f t="shared" si="354"/>
        <v>826052.95000000007</v>
      </c>
      <c r="AN1104" s="137">
        <f t="shared" si="354"/>
        <v>546577.19999999995</v>
      </c>
      <c r="AO1104" s="137">
        <f t="shared" si="354"/>
        <v>110903.26</v>
      </c>
      <c r="AP1104" s="137">
        <f t="shared" si="354"/>
        <v>0</v>
      </c>
      <c r="AQ1104" s="137">
        <f t="shared" si="354"/>
        <v>0</v>
      </c>
      <c r="AR1104" s="137">
        <f t="shared" si="354"/>
        <v>0</v>
      </c>
      <c r="AS1104" s="137">
        <f>U1104+V1104+W1104+AK1104+AL1104+AM1104+AN1104+AO1104+AP1104+AQ1104+AR1104</f>
        <v>2794247</v>
      </c>
      <c r="AT1104" s="137">
        <f>AT1105</f>
        <v>0</v>
      </c>
      <c r="AU1104" s="139">
        <f t="shared" si="340"/>
        <v>2794247</v>
      </c>
      <c r="AV1104" s="146">
        <f>IFERROR(VLOOKUP(J1104,Maksājumu_pieprasījumu_iesn.!G:BL,57,0),0)</f>
        <v>0</v>
      </c>
      <c r="AW1104" s="139">
        <f t="shared" ref="AW1104:AW1167" si="355">AV1104-AU1104</f>
        <v>-2794247</v>
      </c>
      <c r="AX1104" s="140">
        <f>S1104-T1104-AU1104</f>
        <v>0</v>
      </c>
      <c r="AY1104" s="137"/>
      <c r="AZ1104" s="137"/>
      <c r="BA1104" s="138"/>
      <c r="BB1104" s="140"/>
      <c r="BC1104" s="140">
        <f>X1104+AK1104+AL1104/2</f>
        <v>900614.5149999999</v>
      </c>
      <c r="BD1104" s="140"/>
      <c r="BE1104" s="140">
        <f>BC1104/0.85</f>
        <v>1059546.4882352941</v>
      </c>
      <c r="BF1104" s="137"/>
      <c r="BG1104" s="137"/>
      <c r="BH1104" s="138">
        <v>14168.29</v>
      </c>
      <c r="BI1104" s="138">
        <v>335870</v>
      </c>
      <c r="BJ1104" s="138"/>
      <c r="BK1104" s="138"/>
      <c r="BL1104" s="138">
        <v>651462.18490024796</v>
      </c>
      <c r="BM1104" s="138"/>
      <c r="BN1104" s="138"/>
    </row>
    <row r="1105" spans="1:66" ht="38.25" hidden="1" customHeight="1" x14ac:dyDescent="0.2">
      <c r="A1105" s="142" t="s">
        <v>2104</v>
      </c>
      <c r="B1105" s="18" t="s">
        <v>287</v>
      </c>
      <c r="C1105" s="18" t="s">
        <v>288</v>
      </c>
      <c r="D1105" s="19" t="s">
        <v>585</v>
      </c>
      <c r="E1105" s="18" t="s">
        <v>3</v>
      </c>
      <c r="F1105" s="18" t="s">
        <v>4</v>
      </c>
      <c r="G1105" s="18" t="s">
        <v>77</v>
      </c>
      <c r="H1105" s="18" t="s">
        <v>3</v>
      </c>
      <c r="I1105" s="18"/>
      <c r="J1105" s="18" t="s">
        <v>289</v>
      </c>
      <c r="K1105" s="19" t="s">
        <v>285</v>
      </c>
      <c r="L1105" s="19"/>
      <c r="M1105" s="19"/>
      <c r="N1105" s="19" t="s">
        <v>290</v>
      </c>
      <c r="O1105" s="143"/>
      <c r="P1105" s="143"/>
      <c r="Q1105" s="143"/>
      <c r="R1105" s="143">
        <v>42674</v>
      </c>
      <c r="S1105" s="144">
        <v>2794247</v>
      </c>
      <c r="T1105" s="144"/>
      <c r="U1105" s="145">
        <v>0</v>
      </c>
      <c r="V1105" s="145">
        <v>0</v>
      </c>
      <c r="W1105" s="145">
        <v>14168.29</v>
      </c>
      <c r="X1105" s="145">
        <f>W1105+V1105+U1105</f>
        <v>14168.29</v>
      </c>
      <c r="Y1105" s="145">
        <v>12387.36</v>
      </c>
      <c r="Z1105" s="145">
        <v>0</v>
      </c>
      <c r="AA1105" s="145">
        <v>0</v>
      </c>
      <c r="AB1105" s="145">
        <v>101320.89</v>
      </c>
      <c r="AC1105" s="145">
        <v>0</v>
      </c>
      <c r="AD1105" s="166">
        <v>0</v>
      </c>
      <c r="AE1105" s="166">
        <v>155589.1</v>
      </c>
      <c r="AF1105" s="145">
        <v>0</v>
      </c>
      <c r="AG1105" s="145">
        <v>0</v>
      </c>
      <c r="AH1105" s="145">
        <v>207049.8</v>
      </c>
      <c r="AI1105" s="145">
        <v>0</v>
      </c>
      <c r="AJ1105" s="145">
        <v>0</v>
      </c>
      <c r="AK1105" s="145">
        <f>SUM(Y1105:AJ1105)</f>
        <v>476347.14999999997</v>
      </c>
      <c r="AL1105" s="145">
        <v>820198.15</v>
      </c>
      <c r="AM1105" s="145">
        <v>826052.95000000007</v>
      </c>
      <c r="AN1105" s="145">
        <v>546577.19999999995</v>
      </c>
      <c r="AO1105" s="145">
        <v>110903.26</v>
      </c>
      <c r="AP1105" s="145">
        <v>0</v>
      </c>
      <c r="AQ1105" s="145">
        <v>0</v>
      </c>
      <c r="AR1105" s="145">
        <v>0</v>
      </c>
      <c r="AS1105" s="144">
        <f>U1105+V1105+W1105+AK1105+AL1105+AM1105+AN1105+AO1105+AP1105+AQ1105+AR1105</f>
        <v>2794247</v>
      </c>
      <c r="AT1105" s="144">
        <v>0</v>
      </c>
      <c r="AU1105" s="146">
        <f t="shared" si="340"/>
        <v>2794247</v>
      </c>
      <c r="AV1105" s="146">
        <f>IFERROR(VLOOKUP(J1105,Maksājumu_pieprasījumu_iesn.!G:BL,57,0),0)</f>
        <v>0</v>
      </c>
      <c r="AW1105" s="139">
        <f t="shared" si="355"/>
        <v>-2794247</v>
      </c>
      <c r="AX1105" s="147"/>
      <c r="AY1105" s="147"/>
      <c r="AZ1105" s="147"/>
      <c r="BA1105" s="149"/>
      <c r="BB1105" s="144"/>
      <c r="BC1105" s="144"/>
      <c r="BD1105" s="144"/>
      <c r="BE1105" s="144"/>
      <c r="BF1105" s="144"/>
      <c r="BG1105" s="144"/>
      <c r="BH1105" s="149"/>
      <c r="BI1105" s="149"/>
      <c r="BJ1105" s="149"/>
      <c r="BK1105" s="149"/>
      <c r="BL1105" s="149"/>
      <c r="BM1105" s="149"/>
      <c r="BN1105" s="149"/>
    </row>
    <row r="1106" spans="1:66" s="91" customFormat="1" ht="25.5" hidden="1" customHeight="1" x14ac:dyDescent="0.2">
      <c r="A1106" s="131" t="s">
        <v>2104</v>
      </c>
      <c r="B1106" s="132" t="s">
        <v>287</v>
      </c>
      <c r="C1106" s="132" t="s">
        <v>291</v>
      </c>
      <c r="D1106" s="133" t="s">
        <v>586</v>
      </c>
      <c r="E1106" s="22" t="s">
        <v>3</v>
      </c>
      <c r="F1106" s="22" t="s">
        <v>4</v>
      </c>
      <c r="G1106" s="22" t="s">
        <v>77</v>
      </c>
      <c r="H1106" s="22" t="s">
        <v>3</v>
      </c>
      <c r="I1106" s="22" t="s">
        <v>1022</v>
      </c>
      <c r="J1106" s="134" t="s">
        <v>1026</v>
      </c>
      <c r="K1106" s="133"/>
      <c r="L1106" s="133"/>
      <c r="M1106" s="133"/>
      <c r="N1106" s="133"/>
      <c r="O1106" s="135"/>
      <c r="P1106" s="135"/>
      <c r="Q1106" s="135"/>
      <c r="R1106" s="135"/>
      <c r="S1106" s="136">
        <v>29193581</v>
      </c>
      <c r="T1106" s="136">
        <v>1989172</v>
      </c>
      <c r="U1106" s="137">
        <f>SUM(U1107)</f>
        <v>0</v>
      </c>
      <c r="V1106" s="137">
        <f>SUM(V1107)</f>
        <v>0</v>
      </c>
      <c r="W1106" s="137">
        <f>SUM(W1107)</f>
        <v>0</v>
      </c>
      <c r="X1106" s="138">
        <f>U1106+V1106+W1106</f>
        <v>0</v>
      </c>
      <c r="Y1106" s="137">
        <f t="shared" ref="Y1106:AR1106" si="356">SUM(Y1107)</f>
        <v>0</v>
      </c>
      <c r="Z1106" s="137">
        <f t="shared" si="356"/>
        <v>0</v>
      </c>
      <c r="AA1106" s="137">
        <f t="shared" si="356"/>
        <v>0</v>
      </c>
      <c r="AB1106" s="137">
        <f t="shared" si="356"/>
        <v>32218</v>
      </c>
      <c r="AC1106" s="137">
        <f t="shared" si="356"/>
        <v>0</v>
      </c>
      <c r="AD1106" s="137">
        <f t="shared" si="356"/>
        <v>0</v>
      </c>
      <c r="AE1106" s="137">
        <f t="shared" si="356"/>
        <v>425000</v>
      </c>
      <c r="AF1106" s="137">
        <f t="shared" si="356"/>
        <v>0</v>
      </c>
      <c r="AG1106" s="137">
        <f t="shared" si="356"/>
        <v>0</v>
      </c>
      <c r="AH1106" s="137">
        <f t="shared" si="356"/>
        <v>1254786.1499999999</v>
      </c>
      <c r="AI1106" s="137">
        <f t="shared" si="356"/>
        <v>0</v>
      </c>
      <c r="AJ1106" s="137">
        <f t="shared" si="356"/>
        <v>0</v>
      </c>
      <c r="AK1106" s="137">
        <f t="shared" si="356"/>
        <v>1712004.15</v>
      </c>
      <c r="AL1106" s="137">
        <f t="shared" si="356"/>
        <v>6800000</v>
      </c>
      <c r="AM1106" s="137">
        <f t="shared" si="356"/>
        <v>8796856.5500000007</v>
      </c>
      <c r="AN1106" s="137">
        <f t="shared" si="356"/>
        <v>7998320.6500000004</v>
      </c>
      <c r="AO1106" s="137">
        <f t="shared" si="356"/>
        <v>1897228</v>
      </c>
      <c r="AP1106" s="137">
        <f t="shared" si="356"/>
        <v>0</v>
      </c>
      <c r="AQ1106" s="137">
        <f t="shared" si="356"/>
        <v>0</v>
      </c>
      <c r="AR1106" s="137">
        <f t="shared" si="356"/>
        <v>0</v>
      </c>
      <c r="AS1106" s="137">
        <f>U1106+V1106+W1106+AK1106+AL1106+AM1106+AN1106+AO1106+AP1106+AQ1106+AR1106</f>
        <v>27204409.350000001</v>
      </c>
      <c r="AT1106" s="137">
        <f>AT1107</f>
        <v>0</v>
      </c>
      <c r="AU1106" s="139">
        <f t="shared" si="340"/>
        <v>27204409.350000001</v>
      </c>
      <c r="AV1106" s="146">
        <f>IFERROR(VLOOKUP(J1106,Maksājumu_pieprasījumu_iesn.!G:BL,57,0),0)</f>
        <v>0</v>
      </c>
      <c r="AW1106" s="139">
        <f t="shared" si="355"/>
        <v>-27204409.350000001</v>
      </c>
      <c r="AX1106" s="140">
        <f>S1106-T1106-AU1106</f>
        <v>-0.35000000149011612</v>
      </c>
      <c r="AY1106" s="137"/>
      <c r="AZ1106" s="137"/>
      <c r="BA1106" s="138"/>
      <c r="BB1106" s="140"/>
      <c r="BC1106" s="140">
        <f>X1106+AK1106+AL1106/2</f>
        <v>5112004.1500000004</v>
      </c>
      <c r="BD1106" s="140"/>
      <c r="BE1106" s="140">
        <f>BC1106/0.85</f>
        <v>6014122.5294117657</v>
      </c>
      <c r="BF1106" s="137"/>
      <c r="BG1106" s="137"/>
      <c r="BH1106" s="138">
        <v>0</v>
      </c>
      <c r="BI1106" s="138">
        <v>698780</v>
      </c>
      <c r="BJ1106" s="138"/>
      <c r="BK1106" s="138"/>
      <c r="BL1106" s="138">
        <v>3927852</v>
      </c>
      <c r="BM1106" s="138"/>
      <c r="BN1106" s="138"/>
    </row>
    <row r="1107" spans="1:66" ht="25.5" hidden="1" customHeight="1" x14ac:dyDescent="0.2">
      <c r="A1107" s="142" t="s">
        <v>2104</v>
      </c>
      <c r="B1107" s="18" t="s">
        <v>287</v>
      </c>
      <c r="C1107" s="18" t="s">
        <v>291</v>
      </c>
      <c r="D1107" s="19" t="s">
        <v>586</v>
      </c>
      <c r="E1107" s="18" t="s">
        <v>3</v>
      </c>
      <c r="F1107" s="18" t="s">
        <v>4</v>
      </c>
      <c r="G1107" s="18" t="s">
        <v>77</v>
      </c>
      <c r="H1107" s="18" t="s">
        <v>3</v>
      </c>
      <c r="I1107" s="18"/>
      <c r="J1107" s="18" t="s">
        <v>293</v>
      </c>
      <c r="K1107" s="19" t="s">
        <v>285</v>
      </c>
      <c r="L1107" s="19"/>
      <c r="M1107" s="19"/>
      <c r="N1107" s="19" t="s">
        <v>292</v>
      </c>
      <c r="O1107" s="143"/>
      <c r="P1107" s="143"/>
      <c r="Q1107" s="143"/>
      <c r="R1107" s="143">
        <v>42736</v>
      </c>
      <c r="S1107" s="144">
        <v>27204409</v>
      </c>
      <c r="T1107" s="144"/>
      <c r="U1107" s="145">
        <v>0</v>
      </c>
      <c r="V1107" s="145">
        <v>0</v>
      </c>
      <c r="W1107" s="145">
        <v>0</v>
      </c>
      <c r="X1107" s="145">
        <f>W1107+V1107+U1107</f>
        <v>0</v>
      </c>
      <c r="Y1107" s="145">
        <v>0</v>
      </c>
      <c r="Z1107" s="145">
        <v>0</v>
      </c>
      <c r="AA1107" s="145">
        <v>0</v>
      </c>
      <c r="AB1107" s="153">
        <v>32218</v>
      </c>
      <c r="AC1107" s="145">
        <v>0</v>
      </c>
      <c r="AD1107" s="166">
        <v>0</v>
      </c>
      <c r="AE1107" s="166">
        <v>425000</v>
      </c>
      <c r="AF1107" s="145">
        <v>0</v>
      </c>
      <c r="AG1107" s="145">
        <v>0</v>
      </c>
      <c r="AH1107" s="145">
        <v>1254786.1499999999</v>
      </c>
      <c r="AI1107" s="145">
        <v>0</v>
      </c>
      <c r="AJ1107" s="145">
        <v>0</v>
      </c>
      <c r="AK1107" s="153">
        <f>SUM(Y1107:AJ1107)</f>
        <v>1712004.15</v>
      </c>
      <c r="AL1107" s="153">
        <v>6800000</v>
      </c>
      <c r="AM1107" s="153">
        <v>8796856.5500000007</v>
      </c>
      <c r="AN1107" s="153">
        <v>7998320.6500000004</v>
      </c>
      <c r="AO1107" s="153">
        <v>1897228</v>
      </c>
      <c r="AP1107" s="145">
        <v>0</v>
      </c>
      <c r="AQ1107" s="145">
        <v>0</v>
      </c>
      <c r="AR1107" s="145">
        <v>0</v>
      </c>
      <c r="AS1107" s="144">
        <f>U1107+V1107+W1107+AK1107+AL1107+AM1107+AN1107+AO1107+AP1107+AQ1107+AR1107</f>
        <v>27204409.350000001</v>
      </c>
      <c r="AT1107" s="144">
        <v>0</v>
      </c>
      <c r="AU1107" s="146">
        <f t="shared" si="340"/>
        <v>27204409.350000001</v>
      </c>
      <c r="AV1107" s="146" t="str">
        <f>IFERROR(VLOOKUP(J1107,Maksājumu_pieprasījumu_iesn.!G:BL,57,0),0)</f>
        <v>Projektā aizkavējusies iepirkumu veikšana - iepirkumi tiek pakārtoti Izglītības un zinātnes ministrijas vienotajam iepirkumam, ņemot vērā līdzīgos iepirkuma priekšmetus. Attiecīgi kavējas arī  pārējo projektā plānoto pasākumu uzsākšana. Lai intensificētu plānoto maksājumu plūsmu, finansējuma saņēmējs ir precizējis plānoto maksājumu pieprasījumu iesniegšanas grafiku, paredzot 2017. gada nogalē tos iesniegt biežāk.</v>
      </c>
      <c r="AW1107" s="139" t="e">
        <f t="shared" si="355"/>
        <v>#VALUE!</v>
      </c>
      <c r="AX1107" s="147"/>
      <c r="AY1107" s="147"/>
      <c r="AZ1107" s="147"/>
      <c r="BA1107" s="149"/>
      <c r="BB1107" s="147"/>
      <c r="BC1107" s="147"/>
      <c r="BD1107" s="147"/>
      <c r="BE1107" s="147"/>
      <c r="BF1107" s="147"/>
      <c r="BG1107" s="147"/>
      <c r="BH1107" s="149"/>
      <c r="BI1107" s="149"/>
      <c r="BJ1107" s="149"/>
      <c r="BK1107" s="149"/>
      <c r="BL1107" s="149"/>
      <c r="BM1107" s="149"/>
      <c r="BN1107" s="149"/>
    </row>
    <row r="1108" spans="1:66" s="91" customFormat="1" ht="25.5" hidden="1" x14ac:dyDescent="0.2">
      <c r="A1108" s="127" t="s">
        <v>2104</v>
      </c>
      <c r="B1108" s="127" t="s">
        <v>294</v>
      </c>
      <c r="C1108" s="127" t="s">
        <v>1023</v>
      </c>
      <c r="D1108" s="128" t="s">
        <v>587</v>
      </c>
      <c r="E1108" s="127"/>
      <c r="F1108" s="127"/>
      <c r="G1108" s="127" t="s">
        <v>77</v>
      </c>
      <c r="H1108" s="127"/>
      <c r="I1108" s="127"/>
      <c r="J1108" s="127"/>
      <c r="K1108" s="128"/>
      <c r="L1108" s="128"/>
      <c r="M1108" s="128"/>
      <c r="N1108" s="128"/>
      <c r="O1108" s="163"/>
      <c r="P1108" s="163"/>
      <c r="Q1108" s="163"/>
      <c r="R1108" s="163"/>
      <c r="S1108" s="164">
        <f>S1109</f>
        <v>7650000</v>
      </c>
      <c r="T1108" s="164">
        <f>T1109</f>
        <v>0</v>
      </c>
      <c r="U1108" s="164">
        <f>U1109</f>
        <v>0</v>
      </c>
      <c r="V1108" s="164">
        <f>V1109</f>
        <v>0</v>
      </c>
      <c r="W1108" s="164">
        <f>W1109</f>
        <v>234516.74</v>
      </c>
      <c r="X1108" s="129">
        <f>U1108+V1108+W1108</f>
        <v>234516.74</v>
      </c>
      <c r="Y1108" s="164">
        <f t="shared" ref="Y1108:AT1108" si="357">Y1109</f>
        <v>0</v>
      </c>
      <c r="Z1108" s="164">
        <f t="shared" si="357"/>
        <v>61726</v>
      </c>
      <c r="AA1108" s="164">
        <f t="shared" si="357"/>
        <v>0</v>
      </c>
      <c r="AB1108" s="164">
        <f t="shared" si="357"/>
        <v>0</v>
      </c>
      <c r="AC1108" s="164">
        <f t="shared" si="357"/>
        <v>569993.85</v>
      </c>
      <c r="AD1108" s="164">
        <f t="shared" si="357"/>
        <v>0</v>
      </c>
      <c r="AE1108" s="164">
        <f t="shared" si="357"/>
        <v>0</v>
      </c>
      <c r="AF1108" s="164">
        <f t="shared" si="357"/>
        <v>654748.19999999995</v>
      </c>
      <c r="AG1108" s="164">
        <f t="shared" si="357"/>
        <v>0</v>
      </c>
      <c r="AH1108" s="164">
        <f t="shared" si="357"/>
        <v>0</v>
      </c>
      <c r="AI1108" s="164">
        <f t="shared" si="357"/>
        <v>654748.19999999995</v>
      </c>
      <c r="AJ1108" s="164">
        <f t="shared" si="357"/>
        <v>0</v>
      </c>
      <c r="AK1108" s="164">
        <f>AK1109</f>
        <v>1941216.2499999998</v>
      </c>
      <c r="AL1108" s="164">
        <f t="shared" si="357"/>
        <v>3608882.9800000004</v>
      </c>
      <c r="AM1108" s="164">
        <f t="shared" si="357"/>
        <v>1865362.94</v>
      </c>
      <c r="AN1108" s="164">
        <f t="shared" si="357"/>
        <v>0</v>
      </c>
      <c r="AO1108" s="164">
        <f t="shared" si="357"/>
        <v>0</v>
      </c>
      <c r="AP1108" s="164">
        <f t="shared" si="357"/>
        <v>0</v>
      </c>
      <c r="AQ1108" s="164">
        <f t="shared" si="357"/>
        <v>0</v>
      </c>
      <c r="AR1108" s="164">
        <f t="shared" si="357"/>
        <v>0</v>
      </c>
      <c r="AS1108" s="164">
        <f>AS1109</f>
        <v>7649978.9100000001</v>
      </c>
      <c r="AT1108" s="164">
        <f t="shared" si="357"/>
        <v>0</v>
      </c>
      <c r="AU1108" s="183">
        <f t="shared" ref="AU1108:AU1113" si="358">AS1108-AT1108</f>
        <v>7649978.9100000001</v>
      </c>
      <c r="AV1108" s="146">
        <f>IFERROR(VLOOKUP(J1108,Maksājumu_pieprasījumu_iesn.!G:BL,57,0),0)</f>
        <v>0</v>
      </c>
      <c r="AW1108" s="139">
        <f t="shared" si="355"/>
        <v>-7649978.9100000001</v>
      </c>
      <c r="AX1108" s="164">
        <f>AX1109</f>
        <v>21.089999999850988</v>
      </c>
      <c r="AY1108" s="164">
        <f>AY1109</f>
        <v>21</v>
      </c>
      <c r="AZ1108" s="164"/>
      <c r="BA1108" s="164"/>
      <c r="BB1108" s="164">
        <f>BB1109</f>
        <v>0</v>
      </c>
      <c r="BC1108" s="164">
        <f>BC1109</f>
        <v>3980174.48</v>
      </c>
      <c r="BD1108" s="164">
        <f>BC1108*0.94</f>
        <v>3741364.0111999996</v>
      </c>
      <c r="BE1108" s="129">
        <f>BD1108/0.85</f>
        <v>4401604.7190588228</v>
      </c>
      <c r="BF1108" s="164">
        <f>BF1109</f>
        <v>0</v>
      </c>
      <c r="BG1108" s="164">
        <f>BG1109</f>
        <v>0</v>
      </c>
      <c r="BH1108" s="129">
        <f>BH1109</f>
        <v>234516.74</v>
      </c>
      <c r="BI1108" s="129">
        <f>BI1109</f>
        <v>1455408.075</v>
      </c>
      <c r="BJ1108" s="129">
        <f>AK1108*0.94</f>
        <v>1824743.2749999997</v>
      </c>
      <c r="BK1108" s="129">
        <f>BJ1108-BI1108</f>
        <v>369335.19999999972</v>
      </c>
      <c r="BL1108" s="129">
        <f>BL1109</f>
        <v>2520549.7839925098</v>
      </c>
      <c r="BM1108" s="129">
        <f>AL1108*0.94</f>
        <v>3392350.0012000003</v>
      </c>
      <c r="BN1108" s="129">
        <f>BM1108-BL1108</f>
        <v>871800.21720749047</v>
      </c>
    </row>
    <row r="1109" spans="1:66" s="91" customFormat="1" ht="38.25" hidden="1" customHeight="1" x14ac:dyDescent="0.2">
      <c r="A1109" s="131" t="s">
        <v>2104</v>
      </c>
      <c r="B1109" s="132" t="s">
        <v>294</v>
      </c>
      <c r="C1109" s="132" t="s">
        <v>295</v>
      </c>
      <c r="D1109" s="133" t="s">
        <v>587</v>
      </c>
      <c r="E1109" s="22" t="s">
        <v>3</v>
      </c>
      <c r="F1109" s="22" t="s">
        <v>4</v>
      </c>
      <c r="G1109" s="22" t="s">
        <v>77</v>
      </c>
      <c r="H1109" s="22" t="s">
        <v>3</v>
      </c>
      <c r="I1109" s="22" t="s">
        <v>1022</v>
      </c>
      <c r="J1109" s="134" t="s">
        <v>1026</v>
      </c>
      <c r="K1109" s="133"/>
      <c r="L1109" s="133"/>
      <c r="M1109" s="133"/>
      <c r="N1109" s="133"/>
      <c r="O1109" s="135"/>
      <c r="P1109" s="135"/>
      <c r="Q1109" s="135"/>
      <c r="R1109" s="135"/>
      <c r="S1109" s="136">
        <v>7650000</v>
      </c>
      <c r="T1109" s="136">
        <v>0</v>
      </c>
      <c r="U1109" s="137">
        <f>SUM(U1110)</f>
        <v>0</v>
      </c>
      <c r="V1109" s="137">
        <f>SUM(V1110)</f>
        <v>0</v>
      </c>
      <c r="W1109" s="137">
        <f>SUM(W1110)</f>
        <v>234516.74</v>
      </c>
      <c r="X1109" s="138">
        <f>U1109+V1109+W1109</f>
        <v>234516.74</v>
      </c>
      <c r="Y1109" s="137">
        <f t="shared" ref="Y1109:AR1109" si="359">SUM(Y1110)</f>
        <v>0</v>
      </c>
      <c r="Z1109" s="137">
        <f t="shared" si="359"/>
        <v>61726</v>
      </c>
      <c r="AA1109" s="137">
        <f t="shared" si="359"/>
        <v>0</v>
      </c>
      <c r="AB1109" s="137">
        <f t="shared" si="359"/>
        <v>0</v>
      </c>
      <c r="AC1109" s="137">
        <f t="shared" si="359"/>
        <v>569993.85</v>
      </c>
      <c r="AD1109" s="137">
        <f t="shared" si="359"/>
        <v>0</v>
      </c>
      <c r="AE1109" s="137">
        <f t="shared" si="359"/>
        <v>0</v>
      </c>
      <c r="AF1109" s="137">
        <f t="shared" si="359"/>
        <v>654748.19999999995</v>
      </c>
      <c r="AG1109" s="137">
        <f t="shared" si="359"/>
        <v>0</v>
      </c>
      <c r="AH1109" s="137">
        <f t="shared" si="359"/>
        <v>0</v>
      </c>
      <c r="AI1109" s="137">
        <f t="shared" si="359"/>
        <v>654748.19999999995</v>
      </c>
      <c r="AJ1109" s="137">
        <f t="shared" si="359"/>
        <v>0</v>
      </c>
      <c r="AK1109" s="137">
        <f>SUM(AK1110)</f>
        <v>1941216.2499999998</v>
      </c>
      <c r="AL1109" s="137">
        <f t="shared" si="359"/>
        <v>3608882.9800000004</v>
      </c>
      <c r="AM1109" s="137">
        <f t="shared" si="359"/>
        <v>1865362.94</v>
      </c>
      <c r="AN1109" s="137">
        <f t="shared" si="359"/>
        <v>0</v>
      </c>
      <c r="AO1109" s="137">
        <f t="shared" si="359"/>
        <v>0</v>
      </c>
      <c r="AP1109" s="137">
        <f t="shared" si="359"/>
        <v>0</v>
      </c>
      <c r="AQ1109" s="137">
        <f t="shared" si="359"/>
        <v>0</v>
      </c>
      <c r="AR1109" s="137">
        <f t="shared" si="359"/>
        <v>0</v>
      </c>
      <c r="AS1109" s="137">
        <f>U1109+V1109+W1109+AK1109+AL1109+AM1109+AN1109+AO1109+AP1109+AQ1109+AR1109</f>
        <v>7649978.9100000001</v>
      </c>
      <c r="AT1109" s="137">
        <f>AT1110</f>
        <v>0</v>
      </c>
      <c r="AU1109" s="139">
        <f t="shared" si="358"/>
        <v>7649978.9100000001</v>
      </c>
      <c r="AV1109" s="146">
        <f>IFERROR(VLOOKUP(J1109,Maksājumu_pieprasījumu_iesn.!G:BL,57,0),0)</f>
        <v>0</v>
      </c>
      <c r="AW1109" s="139">
        <f t="shared" si="355"/>
        <v>-7649978.9100000001</v>
      </c>
      <c r="AX1109" s="140">
        <f>S1109-T1109-AU1109</f>
        <v>21.089999999850988</v>
      </c>
      <c r="AY1109" s="137">
        <v>21</v>
      </c>
      <c r="AZ1109" s="137"/>
      <c r="BA1109" s="138" t="s">
        <v>2272</v>
      </c>
      <c r="BB1109" s="140"/>
      <c r="BC1109" s="140">
        <f>X1109+AK1109+AL1109/2</f>
        <v>3980174.48</v>
      </c>
      <c r="BD1109" s="140"/>
      <c r="BE1109" s="140">
        <f>BC1109/0.85</f>
        <v>4682558.2117647063</v>
      </c>
      <c r="BF1109" s="137"/>
      <c r="BG1109" s="137"/>
      <c r="BH1109" s="138">
        <v>234516.74</v>
      </c>
      <c r="BI1109" s="138">
        <v>1455408.075</v>
      </c>
      <c r="BJ1109" s="138"/>
      <c r="BK1109" s="138"/>
      <c r="BL1109" s="138">
        <v>2520549.7839925098</v>
      </c>
      <c r="BM1109" s="138"/>
      <c r="BN1109" s="138"/>
    </row>
    <row r="1110" spans="1:66" ht="25.5" hidden="1" customHeight="1" x14ac:dyDescent="0.2">
      <c r="A1110" s="158" t="s">
        <v>2104</v>
      </c>
      <c r="B1110" s="20" t="s">
        <v>294</v>
      </c>
      <c r="C1110" s="20" t="s">
        <v>295</v>
      </c>
      <c r="D1110" s="21" t="s">
        <v>587</v>
      </c>
      <c r="E1110" s="20" t="s">
        <v>3</v>
      </c>
      <c r="F1110" s="20" t="s">
        <v>4</v>
      </c>
      <c r="G1110" s="20" t="s">
        <v>77</v>
      </c>
      <c r="H1110" s="20" t="s">
        <v>3</v>
      </c>
      <c r="I1110" s="20"/>
      <c r="J1110" s="20" t="s">
        <v>296</v>
      </c>
      <c r="K1110" s="21" t="s">
        <v>297</v>
      </c>
      <c r="L1110" s="21"/>
      <c r="M1110" s="21"/>
      <c r="N1110" s="21" t="s">
        <v>298</v>
      </c>
      <c r="O1110" s="159"/>
      <c r="P1110" s="159"/>
      <c r="Q1110" s="159"/>
      <c r="R1110" s="159">
        <v>42310</v>
      </c>
      <c r="S1110" s="147">
        <v>7649978.9100000001</v>
      </c>
      <c r="T1110" s="147"/>
      <c r="U1110" s="153">
        <v>0</v>
      </c>
      <c r="V1110" s="153">
        <v>0</v>
      </c>
      <c r="W1110" s="153">
        <v>234516.74</v>
      </c>
      <c r="X1110" s="153">
        <f>W1110+V1110+U1110</f>
        <v>234516.74</v>
      </c>
      <c r="Y1110" s="153">
        <v>0</v>
      </c>
      <c r="Z1110" s="153">
        <v>61726</v>
      </c>
      <c r="AA1110" s="153">
        <v>0</v>
      </c>
      <c r="AB1110" s="153">
        <v>0</v>
      </c>
      <c r="AC1110" s="153">
        <v>569993.85</v>
      </c>
      <c r="AD1110" s="153">
        <v>0</v>
      </c>
      <c r="AE1110" s="153">
        <v>0</v>
      </c>
      <c r="AF1110" s="420">
        <v>654748.19999999995</v>
      </c>
      <c r="AG1110" s="153">
        <v>0</v>
      </c>
      <c r="AH1110" s="153">
        <v>0</v>
      </c>
      <c r="AI1110" s="153">
        <v>654748.19999999995</v>
      </c>
      <c r="AJ1110" s="153">
        <v>0</v>
      </c>
      <c r="AK1110" s="153">
        <f>SUM(Y1110:AJ1110)</f>
        <v>1941216.2499999998</v>
      </c>
      <c r="AL1110" s="153">
        <v>3608882.9800000004</v>
      </c>
      <c r="AM1110" s="153">
        <v>1865362.94</v>
      </c>
      <c r="AN1110" s="153">
        <v>0</v>
      </c>
      <c r="AO1110" s="153">
        <v>0</v>
      </c>
      <c r="AP1110" s="153">
        <v>0</v>
      </c>
      <c r="AQ1110" s="153">
        <v>0</v>
      </c>
      <c r="AR1110" s="153">
        <v>0</v>
      </c>
      <c r="AS1110" s="367">
        <f>U1110+V1110+W1110+AK1110+AL1110+AM1110+AN1110+AO1110+AP1110+AQ1110+AR1110</f>
        <v>7649978.9100000001</v>
      </c>
      <c r="AT1110" s="276"/>
      <c r="AU1110" s="146">
        <f t="shared" si="358"/>
        <v>7649978.9100000001</v>
      </c>
      <c r="AV1110" s="146" t="str">
        <f>IFERROR(VLOOKUP(J1110,Maksājumu_pieprasījumu_iesn.!G:BL,57,0),0)</f>
        <v>Finansējuma saņēmējs ir aktualizējis maksājumu prognozi (26.05.2017.), pamatojoties uz sadarbības partneru (pašvaldību) iesniegtajām prognozēm par projektā iesaistāmo mērķa grupas dalībnieku skaitu.</v>
      </c>
      <c r="AW1110" s="139" t="e">
        <f t="shared" si="355"/>
        <v>#VALUE!</v>
      </c>
      <c r="AX1110" s="276"/>
      <c r="AY1110" s="158"/>
      <c r="AZ1110" s="158"/>
      <c r="BA1110" s="149"/>
      <c r="BB1110" s="147"/>
      <c r="BC1110" s="147"/>
      <c r="BD1110" s="147"/>
      <c r="BE1110" s="147"/>
      <c r="BF1110" s="147"/>
      <c r="BG1110" s="147"/>
      <c r="BH1110" s="149"/>
      <c r="BI1110" s="149"/>
      <c r="BJ1110" s="149"/>
      <c r="BK1110" s="149"/>
      <c r="BL1110" s="149"/>
      <c r="BM1110" s="149"/>
      <c r="BN1110" s="149"/>
    </row>
    <row r="1111" spans="1:66" s="91" customFormat="1" ht="38.25" hidden="1" x14ac:dyDescent="0.2">
      <c r="A1111" s="127" t="s">
        <v>2104</v>
      </c>
      <c r="B1111" s="127" t="s">
        <v>299</v>
      </c>
      <c r="C1111" s="127" t="s">
        <v>1023</v>
      </c>
      <c r="D1111" s="128" t="s">
        <v>588</v>
      </c>
      <c r="E1111" s="127"/>
      <c r="F1111" s="127"/>
      <c r="G1111" s="127" t="s">
        <v>77</v>
      </c>
      <c r="H1111" s="127"/>
      <c r="I1111" s="127"/>
      <c r="J1111" s="127"/>
      <c r="K1111" s="128"/>
      <c r="L1111" s="128"/>
      <c r="M1111" s="128"/>
      <c r="N1111" s="128"/>
      <c r="O1111" s="163"/>
      <c r="P1111" s="163"/>
      <c r="Q1111" s="163"/>
      <c r="R1111" s="163"/>
      <c r="S1111" s="164">
        <f>S1112</f>
        <v>33840519</v>
      </c>
      <c r="T1111" s="164">
        <f>T1112</f>
        <v>2580099</v>
      </c>
      <c r="U1111" s="164">
        <f>U1112</f>
        <v>0</v>
      </c>
      <c r="V1111" s="164">
        <f>V1112</f>
        <v>0</v>
      </c>
      <c r="W1111" s="164">
        <f>W1112</f>
        <v>0</v>
      </c>
      <c r="X1111" s="129">
        <f>U1111+V1111+W1111</f>
        <v>0</v>
      </c>
      <c r="Y1111" s="164">
        <f t="shared" ref="Y1111:AT1111" si="360">Y1112</f>
        <v>0</v>
      </c>
      <c r="Z1111" s="164">
        <f t="shared" si="360"/>
        <v>0</v>
      </c>
      <c r="AA1111" s="164">
        <f t="shared" si="360"/>
        <v>0</v>
      </c>
      <c r="AB1111" s="164">
        <f t="shared" si="360"/>
        <v>30971.11</v>
      </c>
      <c r="AC1111" s="164">
        <f t="shared" si="360"/>
        <v>160676.32</v>
      </c>
      <c r="AD1111" s="164">
        <f t="shared" si="360"/>
        <v>0</v>
      </c>
      <c r="AE1111" s="164">
        <f t="shared" si="360"/>
        <v>0</v>
      </c>
      <c r="AF1111" s="164">
        <f t="shared" si="360"/>
        <v>523892.99</v>
      </c>
      <c r="AG1111" s="164">
        <f t="shared" si="360"/>
        <v>0</v>
      </c>
      <c r="AH1111" s="164">
        <f t="shared" si="360"/>
        <v>0</v>
      </c>
      <c r="AI1111" s="164">
        <f t="shared" si="360"/>
        <v>1378052.39</v>
      </c>
      <c r="AJ1111" s="164">
        <f t="shared" si="360"/>
        <v>0</v>
      </c>
      <c r="AK1111" s="164">
        <f>AK1112</f>
        <v>2093592.8099999998</v>
      </c>
      <c r="AL1111" s="164">
        <f t="shared" si="360"/>
        <v>5410228.7699999996</v>
      </c>
      <c r="AM1111" s="164">
        <f t="shared" si="360"/>
        <v>6003165.8099999996</v>
      </c>
      <c r="AN1111" s="164">
        <f t="shared" si="360"/>
        <v>6102975.6599999992</v>
      </c>
      <c r="AO1111" s="164">
        <f t="shared" si="360"/>
        <v>5566838.6099999994</v>
      </c>
      <c r="AP1111" s="164">
        <f t="shared" si="360"/>
        <v>5118544.1500000004</v>
      </c>
      <c r="AQ1111" s="164">
        <f t="shared" si="360"/>
        <v>965074.44</v>
      </c>
      <c r="AR1111" s="164">
        <f t="shared" si="360"/>
        <v>0</v>
      </c>
      <c r="AS1111" s="164">
        <f>AS1112</f>
        <v>31260420.249999996</v>
      </c>
      <c r="AT1111" s="164">
        <f t="shared" si="360"/>
        <v>0</v>
      </c>
      <c r="AU1111" s="183">
        <f t="shared" si="358"/>
        <v>31260420.249999996</v>
      </c>
      <c r="AV1111" s="146">
        <f>IFERROR(VLOOKUP(J1111,Maksājumu_pieprasījumu_iesn.!G:BL,57,0),0)</f>
        <v>0</v>
      </c>
      <c r="AW1111" s="139">
        <f t="shared" si="355"/>
        <v>-31260420.249999996</v>
      </c>
      <c r="AX1111" s="164">
        <f>AX1112</f>
        <v>-0.2499999962747097</v>
      </c>
      <c r="AY1111" s="164"/>
      <c r="AZ1111" s="164"/>
      <c r="BA1111" s="164"/>
      <c r="BB1111" s="164">
        <f>BB1112</f>
        <v>0</v>
      </c>
      <c r="BC1111" s="164">
        <f>BC1112</f>
        <v>4798707.1949999994</v>
      </c>
      <c r="BD1111" s="164">
        <f>BC1111*0.94</f>
        <v>4510784.7632999988</v>
      </c>
      <c r="BE1111" s="129">
        <f>BD1111/0.85</f>
        <v>5306805.6038823519</v>
      </c>
      <c r="BF1111" s="164">
        <f>BF1112</f>
        <v>0</v>
      </c>
      <c r="BG1111" s="164">
        <f>BG1112</f>
        <v>0</v>
      </c>
      <c r="BH1111" s="129">
        <f>BH1112</f>
        <v>0</v>
      </c>
      <c r="BI1111" s="129">
        <f>BI1112</f>
        <v>1607718</v>
      </c>
      <c r="BJ1111" s="129">
        <f>AK1111*0.94</f>
        <v>1967977.2413999997</v>
      </c>
      <c r="BK1111" s="129">
        <f>BJ1111-BI1111</f>
        <v>360259.24139999971</v>
      </c>
      <c r="BL1111" s="129">
        <f>BL1112</f>
        <v>4615566.1706247004</v>
      </c>
      <c r="BM1111" s="129">
        <f>AL1111*0.94</f>
        <v>5085615.0437999992</v>
      </c>
      <c r="BN1111" s="129">
        <f>BM1111-BL1111</f>
        <v>470048.8731752988</v>
      </c>
    </row>
    <row r="1112" spans="1:66" s="91" customFormat="1" ht="38.25" hidden="1" customHeight="1" x14ac:dyDescent="0.2">
      <c r="A1112" s="131" t="s">
        <v>2104</v>
      </c>
      <c r="B1112" s="132" t="s">
        <v>299</v>
      </c>
      <c r="C1112" s="132" t="s">
        <v>300</v>
      </c>
      <c r="D1112" s="133" t="s">
        <v>588</v>
      </c>
      <c r="E1112" s="22" t="s">
        <v>3</v>
      </c>
      <c r="F1112" s="22" t="s">
        <v>4</v>
      </c>
      <c r="G1112" s="22" t="s">
        <v>77</v>
      </c>
      <c r="H1112" s="22" t="s">
        <v>3</v>
      </c>
      <c r="I1112" s="22" t="s">
        <v>1022</v>
      </c>
      <c r="J1112" s="134" t="s">
        <v>1026</v>
      </c>
      <c r="K1112" s="133"/>
      <c r="L1112" s="133"/>
      <c r="M1112" s="133"/>
      <c r="N1112" s="133"/>
      <c r="O1112" s="135"/>
      <c r="P1112" s="135"/>
      <c r="Q1112" s="135"/>
      <c r="R1112" s="135"/>
      <c r="S1112" s="136">
        <v>33840519</v>
      </c>
      <c r="T1112" s="136">
        <v>2580099</v>
      </c>
      <c r="U1112" s="137">
        <f>SUM(U1113)</f>
        <v>0</v>
      </c>
      <c r="V1112" s="137">
        <f>SUM(V1113)</f>
        <v>0</v>
      </c>
      <c r="W1112" s="137">
        <f>SUM(W1113)</f>
        <v>0</v>
      </c>
      <c r="X1112" s="138">
        <f>U1112+V1112+W1112</f>
        <v>0</v>
      </c>
      <c r="Y1112" s="137">
        <f t="shared" ref="Y1112:AR1112" si="361">SUM(Y1113)</f>
        <v>0</v>
      </c>
      <c r="Z1112" s="137">
        <f t="shared" si="361"/>
        <v>0</v>
      </c>
      <c r="AA1112" s="137">
        <f t="shared" si="361"/>
        <v>0</v>
      </c>
      <c r="AB1112" s="137">
        <f t="shared" si="361"/>
        <v>30971.11</v>
      </c>
      <c r="AC1112" s="137">
        <f t="shared" si="361"/>
        <v>160676.32</v>
      </c>
      <c r="AD1112" s="137">
        <f t="shared" si="361"/>
        <v>0</v>
      </c>
      <c r="AE1112" s="137">
        <f t="shared" si="361"/>
        <v>0</v>
      </c>
      <c r="AF1112" s="137">
        <f t="shared" si="361"/>
        <v>523892.99</v>
      </c>
      <c r="AG1112" s="137">
        <f t="shared" si="361"/>
        <v>0</v>
      </c>
      <c r="AH1112" s="137">
        <f t="shared" si="361"/>
        <v>0</v>
      </c>
      <c r="AI1112" s="137">
        <f t="shared" si="361"/>
        <v>1378052.39</v>
      </c>
      <c r="AJ1112" s="137">
        <f t="shared" si="361"/>
        <v>0</v>
      </c>
      <c r="AK1112" s="137">
        <f>SUM(AK1113)</f>
        <v>2093592.8099999998</v>
      </c>
      <c r="AL1112" s="137">
        <f t="shared" si="361"/>
        <v>5410228.7699999996</v>
      </c>
      <c r="AM1112" s="137">
        <f t="shared" si="361"/>
        <v>6003165.8099999996</v>
      </c>
      <c r="AN1112" s="137">
        <f t="shared" si="361"/>
        <v>6102975.6599999992</v>
      </c>
      <c r="AO1112" s="137">
        <f t="shared" si="361"/>
        <v>5566838.6099999994</v>
      </c>
      <c r="AP1112" s="137">
        <f t="shared" si="361"/>
        <v>5118544.1500000004</v>
      </c>
      <c r="AQ1112" s="137">
        <f t="shared" si="361"/>
        <v>965074.44</v>
      </c>
      <c r="AR1112" s="137">
        <f t="shared" si="361"/>
        <v>0</v>
      </c>
      <c r="AS1112" s="137">
        <f>U1112+V1112+W1112+AK1112+AL1112+AM1112+AN1112+AO1112+AP1112+AQ1112+AR1112</f>
        <v>31260420.249999996</v>
      </c>
      <c r="AT1112" s="137">
        <f>AT1113</f>
        <v>0</v>
      </c>
      <c r="AU1112" s="139">
        <f t="shared" si="358"/>
        <v>31260420.249999996</v>
      </c>
      <c r="AV1112" s="146">
        <f>IFERROR(VLOOKUP(J1112,Maksājumu_pieprasījumu_iesn.!G:BL,57,0),0)</f>
        <v>0</v>
      </c>
      <c r="AW1112" s="139">
        <f t="shared" si="355"/>
        <v>-31260420.249999996</v>
      </c>
      <c r="AX1112" s="140">
        <f>S1112-T1112-AU1112</f>
        <v>-0.2499999962747097</v>
      </c>
      <c r="AY1112" s="137"/>
      <c r="AZ1112" s="137"/>
      <c r="BA1112" s="138"/>
      <c r="BB1112" s="140"/>
      <c r="BC1112" s="140">
        <f>X1112+AK1112+AL1112/2</f>
        <v>4798707.1949999994</v>
      </c>
      <c r="BD1112" s="140"/>
      <c r="BE1112" s="140">
        <f>BC1112/0.85</f>
        <v>5645537.8764705872</v>
      </c>
      <c r="BF1112" s="137"/>
      <c r="BG1112" s="137"/>
      <c r="BH1112" s="138">
        <v>0</v>
      </c>
      <c r="BI1112" s="138">
        <v>1607718</v>
      </c>
      <c r="BJ1112" s="138"/>
      <c r="BK1112" s="138"/>
      <c r="BL1112" s="138">
        <v>4615566.1706247004</v>
      </c>
      <c r="BM1112" s="138"/>
      <c r="BN1112" s="138"/>
    </row>
    <row r="1113" spans="1:66" ht="25.5" hidden="1" customHeight="1" x14ac:dyDescent="0.2">
      <c r="A1113" s="142" t="s">
        <v>2104</v>
      </c>
      <c r="B1113" s="18" t="s">
        <v>299</v>
      </c>
      <c r="C1113" s="18" t="s">
        <v>300</v>
      </c>
      <c r="D1113" s="19" t="s">
        <v>588</v>
      </c>
      <c r="E1113" s="18" t="s">
        <v>3</v>
      </c>
      <c r="F1113" s="18" t="s">
        <v>4</v>
      </c>
      <c r="G1113" s="18" t="s">
        <v>77</v>
      </c>
      <c r="H1113" s="18" t="s">
        <v>3</v>
      </c>
      <c r="I1113" s="18"/>
      <c r="J1113" s="18" t="s">
        <v>301</v>
      </c>
      <c r="K1113" s="19" t="s">
        <v>302</v>
      </c>
      <c r="L1113" s="19"/>
      <c r="M1113" s="19"/>
      <c r="N1113" s="19" t="s">
        <v>303</v>
      </c>
      <c r="O1113" s="143"/>
      <c r="P1113" s="143"/>
      <c r="Q1113" s="143"/>
      <c r="R1113" s="143">
        <v>42810</v>
      </c>
      <c r="S1113" s="144">
        <v>31260420</v>
      </c>
      <c r="T1113" s="144"/>
      <c r="U1113" s="145">
        <v>0</v>
      </c>
      <c r="V1113" s="145">
        <v>0</v>
      </c>
      <c r="W1113" s="145">
        <v>0</v>
      </c>
      <c r="X1113" s="145">
        <f>W1113+V1113+U1113</f>
        <v>0</v>
      </c>
      <c r="Y1113" s="145">
        <v>0</v>
      </c>
      <c r="Z1113" s="145">
        <v>0</v>
      </c>
      <c r="AA1113" s="145">
        <v>0</v>
      </c>
      <c r="AB1113" s="145">
        <v>30971.11</v>
      </c>
      <c r="AC1113" s="145">
        <v>160676.32</v>
      </c>
      <c r="AD1113" s="145">
        <v>0</v>
      </c>
      <c r="AE1113" s="145">
        <v>0</v>
      </c>
      <c r="AF1113" s="420">
        <v>523892.99</v>
      </c>
      <c r="AG1113" s="145">
        <v>0</v>
      </c>
      <c r="AH1113" s="145">
        <v>0</v>
      </c>
      <c r="AI1113" s="145">
        <v>1378052.39</v>
      </c>
      <c r="AJ1113" s="145">
        <v>0</v>
      </c>
      <c r="AK1113" s="145">
        <f>SUM(Y1113:AJ1113)</f>
        <v>2093592.8099999998</v>
      </c>
      <c r="AL1113" s="145">
        <v>5410228.7699999996</v>
      </c>
      <c r="AM1113" s="145">
        <v>6003165.8099999996</v>
      </c>
      <c r="AN1113" s="145">
        <v>6102975.6599999992</v>
      </c>
      <c r="AO1113" s="145">
        <v>5566838.6099999994</v>
      </c>
      <c r="AP1113" s="145">
        <v>5118544.1500000004</v>
      </c>
      <c r="AQ1113" s="145">
        <v>965074.44</v>
      </c>
      <c r="AR1113" s="145">
        <v>0</v>
      </c>
      <c r="AS1113" s="144">
        <f>U1113+V1113+W1113+AK1113+AL1113+AM1113+AN1113+AO1113+AP1113+AQ1113+AR1113</f>
        <v>31260420.249999996</v>
      </c>
      <c r="AT1113" s="144">
        <v>0</v>
      </c>
      <c r="AU1113" s="146">
        <f t="shared" si="358"/>
        <v>31260420.249999996</v>
      </c>
      <c r="AV1113" s="146" t="str">
        <f>IFERROR(VLOOKUP(J1113,Maksājumu_pieprasījumu_iesn.!G:BL,57,0),0)</f>
        <v xml:space="preserve">Maksājuma pieprasījuma iesniegšanas termiņš pārcelts uz 11.09.2017., jo tiek gaidīts amatu saskaņojums no Valsts kancelejas.  Plānotā  summa samazināta, jo vēl nav pieņemti darbā visi darbinieki (uz nākamajiem maksājumu pieprasījumiem plānotie izdevumi algām, darba vietām u.c.)  Daļa darbību un atbalsta pasākumu īstenošana  tiks uzsākta pēc noslēgtajiem sadarbības līgumiem ar pašvaldībām un profesionālās izglītības iestādēm sākot no septembra. Daļa  izdevumu pārcelti uz nākamiem  maksājuma pieprasījumiem, jo ir nelielas nobīdes saistībā ar iepirkumiem.
</v>
      </c>
      <c r="AW1113" s="139" t="e">
        <f t="shared" si="355"/>
        <v>#VALUE!</v>
      </c>
      <c r="AX1113" s="147"/>
      <c r="AY1113" s="147"/>
      <c r="AZ1113" s="147"/>
      <c r="BA1113" s="149"/>
      <c r="BB1113" s="144"/>
      <c r="BC1113" s="144"/>
      <c r="BD1113" s="144"/>
      <c r="BE1113" s="144"/>
      <c r="BF1113" s="144"/>
      <c r="BG1113" s="144"/>
      <c r="BH1113" s="149"/>
      <c r="BI1113" s="149"/>
      <c r="BJ1113" s="149"/>
      <c r="BK1113" s="149"/>
      <c r="BL1113" s="149"/>
      <c r="BM1113" s="149"/>
      <c r="BN1113" s="149"/>
    </row>
    <row r="1114" spans="1:66" s="91" customFormat="1" hidden="1" x14ac:dyDescent="0.2">
      <c r="A1114" s="127" t="s">
        <v>2104</v>
      </c>
      <c r="B1114" s="127" t="s">
        <v>304</v>
      </c>
      <c r="C1114" s="127" t="s">
        <v>1023</v>
      </c>
      <c r="D1114" s="128" t="s">
        <v>589</v>
      </c>
      <c r="E1114" s="127"/>
      <c r="F1114" s="127"/>
      <c r="G1114" s="127" t="s">
        <v>77</v>
      </c>
      <c r="H1114" s="127"/>
      <c r="I1114" s="127"/>
      <c r="J1114" s="127"/>
      <c r="K1114" s="128"/>
      <c r="L1114" s="128"/>
      <c r="M1114" s="128"/>
      <c r="N1114" s="128"/>
      <c r="O1114" s="163"/>
      <c r="P1114" s="163"/>
      <c r="Q1114" s="163"/>
      <c r="R1114" s="163"/>
      <c r="S1114" s="164">
        <f>S1115</f>
        <v>19618584</v>
      </c>
      <c r="T1114" s="164">
        <f>T1115</f>
        <v>1219986</v>
      </c>
      <c r="U1114" s="164">
        <f>U1115</f>
        <v>0</v>
      </c>
      <c r="V1114" s="164">
        <f>V1115</f>
        <v>0</v>
      </c>
      <c r="W1114" s="164">
        <f>W1115</f>
        <v>114482.35</v>
      </c>
      <c r="X1114" s="129">
        <f>U1114+V1114+W1114</f>
        <v>114482.35</v>
      </c>
      <c r="Y1114" s="164">
        <f t="shared" ref="Y1114:AT1114" si="362">Y1115</f>
        <v>0</v>
      </c>
      <c r="Z1114" s="164">
        <f t="shared" si="362"/>
        <v>0</v>
      </c>
      <c r="AA1114" s="164">
        <f t="shared" si="362"/>
        <v>94929.43</v>
      </c>
      <c r="AB1114" s="164">
        <f t="shared" si="362"/>
        <v>0</v>
      </c>
      <c r="AC1114" s="164">
        <f t="shared" si="362"/>
        <v>0</v>
      </c>
      <c r="AD1114" s="164">
        <f t="shared" si="362"/>
        <v>1336443.58</v>
      </c>
      <c r="AE1114" s="164">
        <f t="shared" si="362"/>
        <v>0</v>
      </c>
      <c r="AF1114" s="164">
        <f t="shared" si="362"/>
        <v>0</v>
      </c>
      <c r="AG1114" s="164">
        <f t="shared" si="362"/>
        <v>1404765.99</v>
      </c>
      <c r="AH1114" s="164">
        <f t="shared" si="362"/>
        <v>0</v>
      </c>
      <c r="AI1114" s="164">
        <f t="shared" si="362"/>
        <v>0</v>
      </c>
      <c r="AJ1114" s="164">
        <f t="shared" si="362"/>
        <v>0</v>
      </c>
      <c r="AK1114" s="164">
        <f t="shared" si="362"/>
        <v>2836139</v>
      </c>
      <c r="AL1114" s="164">
        <f t="shared" si="362"/>
        <v>5006016.6900000004</v>
      </c>
      <c r="AM1114" s="164">
        <f t="shared" si="362"/>
        <v>4494972.2100000009</v>
      </c>
      <c r="AN1114" s="164">
        <f t="shared" si="362"/>
        <v>4461679.96</v>
      </c>
      <c r="AO1114" s="164">
        <f t="shared" si="362"/>
        <v>1485307.79</v>
      </c>
      <c r="AP1114" s="164">
        <f t="shared" si="362"/>
        <v>0</v>
      </c>
      <c r="AQ1114" s="164">
        <f t="shared" si="362"/>
        <v>0</v>
      </c>
      <c r="AR1114" s="164">
        <f t="shared" si="362"/>
        <v>0</v>
      </c>
      <c r="AS1114" s="164">
        <f t="shared" si="362"/>
        <v>18398598</v>
      </c>
      <c r="AT1114" s="164">
        <f t="shared" si="362"/>
        <v>0</v>
      </c>
      <c r="AU1114" s="183">
        <f t="shared" si="340"/>
        <v>18398598</v>
      </c>
      <c r="AV1114" s="146">
        <f>IFERROR(VLOOKUP(J1114,Maksājumu_pieprasījumu_iesn.!G:BL,57,0),0)</f>
        <v>0</v>
      </c>
      <c r="AW1114" s="139">
        <f t="shared" si="355"/>
        <v>-18398598</v>
      </c>
      <c r="AX1114" s="164">
        <f>AX1115</f>
        <v>0</v>
      </c>
      <c r="AY1114" s="164"/>
      <c r="AZ1114" s="164"/>
      <c r="BA1114" s="164"/>
      <c r="BB1114" s="164">
        <f>BB1115</f>
        <v>0</v>
      </c>
      <c r="BC1114" s="164">
        <f>BC1115</f>
        <v>5453629.6950000003</v>
      </c>
      <c r="BD1114" s="164">
        <f>BC1114*0.94</f>
        <v>5126411.9133000001</v>
      </c>
      <c r="BE1114" s="129">
        <f>BD1114/0.85</f>
        <v>6031072.8391764713</v>
      </c>
      <c r="BF1114" s="164">
        <f>BF1115</f>
        <v>0</v>
      </c>
      <c r="BG1114" s="164">
        <f>BG1115</f>
        <v>0</v>
      </c>
      <c r="BH1114" s="129">
        <f>BH1115</f>
        <v>0</v>
      </c>
      <c r="BI1114" s="129">
        <f>BI1115</f>
        <v>1684013.61</v>
      </c>
      <c r="BJ1114" s="129">
        <f>AK1114*0.94</f>
        <v>2665970.6599999997</v>
      </c>
      <c r="BK1114" s="129">
        <f>BJ1114-BI1114</f>
        <v>981957.04999999958</v>
      </c>
      <c r="BL1114" s="129">
        <f>BL1115</f>
        <v>3710596</v>
      </c>
      <c r="BM1114" s="129">
        <f>AL1114*0.94</f>
        <v>4705655.6886</v>
      </c>
      <c r="BN1114" s="129">
        <f>BM1114-BL1114</f>
        <v>995059.68859999999</v>
      </c>
    </row>
    <row r="1115" spans="1:66" s="91" customFormat="1" ht="12.75" hidden="1" customHeight="1" x14ac:dyDescent="0.2">
      <c r="A1115" s="131" t="s">
        <v>2104</v>
      </c>
      <c r="B1115" s="132" t="s">
        <v>304</v>
      </c>
      <c r="C1115" s="132" t="s">
        <v>305</v>
      </c>
      <c r="D1115" s="133" t="s">
        <v>589</v>
      </c>
      <c r="E1115" s="22" t="s">
        <v>3</v>
      </c>
      <c r="F1115" s="22" t="s">
        <v>4</v>
      </c>
      <c r="G1115" s="22" t="s">
        <v>77</v>
      </c>
      <c r="H1115" s="22" t="s">
        <v>3</v>
      </c>
      <c r="I1115" s="22" t="s">
        <v>1022</v>
      </c>
      <c r="J1115" s="134" t="s">
        <v>1026</v>
      </c>
      <c r="K1115" s="133"/>
      <c r="L1115" s="133"/>
      <c r="M1115" s="133"/>
      <c r="N1115" s="133"/>
      <c r="O1115" s="135"/>
      <c r="P1115" s="135"/>
      <c r="Q1115" s="135"/>
      <c r="R1115" s="135"/>
      <c r="S1115" s="136">
        <v>19618584</v>
      </c>
      <c r="T1115" s="136">
        <v>1219986</v>
      </c>
      <c r="U1115" s="137">
        <f>SUM(U1116)</f>
        <v>0</v>
      </c>
      <c r="V1115" s="137">
        <f>SUM(V1116)</f>
        <v>0</v>
      </c>
      <c r="W1115" s="137">
        <f>SUM(W1116)</f>
        <v>114482.35</v>
      </c>
      <c r="X1115" s="138">
        <f>U1115+V1115+W1115</f>
        <v>114482.35</v>
      </c>
      <c r="Y1115" s="137">
        <f t="shared" ref="Y1115:AR1115" si="363">SUM(Y1116)</f>
        <v>0</v>
      </c>
      <c r="Z1115" s="137">
        <f t="shared" si="363"/>
        <v>0</v>
      </c>
      <c r="AA1115" s="137">
        <f t="shared" si="363"/>
        <v>94929.43</v>
      </c>
      <c r="AB1115" s="137">
        <f t="shared" si="363"/>
        <v>0</v>
      </c>
      <c r="AC1115" s="137">
        <f t="shared" si="363"/>
        <v>0</v>
      </c>
      <c r="AD1115" s="137">
        <f t="shared" si="363"/>
        <v>1336443.58</v>
      </c>
      <c r="AE1115" s="137">
        <f t="shared" si="363"/>
        <v>0</v>
      </c>
      <c r="AF1115" s="137">
        <f t="shared" si="363"/>
        <v>0</v>
      </c>
      <c r="AG1115" s="137">
        <f t="shared" si="363"/>
        <v>1404765.99</v>
      </c>
      <c r="AH1115" s="137">
        <f t="shared" si="363"/>
        <v>0</v>
      </c>
      <c r="AI1115" s="137">
        <f t="shared" si="363"/>
        <v>0</v>
      </c>
      <c r="AJ1115" s="137">
        <f t="shared" si="363"/>
        <v>0</v>
      </c>
      <c r="AK1115" s="137">
        <f t="shared" si="363"/>
        <v>2836139</v>
      </c>
      <c r="AL1115" s="137">
        <f t="shared" si="363"/>
        <v>5006016.6900000004</v>
      </c>
      <c r="AM1115" s="137">
        <f t="shared" si="363"/>
        <v>4494972.2100000009</v>
      </c>
      <c r="AN1115" s="137">
        <f t="shared" si="363"/>
        <v>4461679.96</v>
      </c>
      <c r="AO1115" s="137">
        <f t="shared" si="363"/>
        <v>1485307.79</v>
      </c>
      <c r="AP1115" s="137">
        <f t="shared" si="363"/>
        <v>0</v>
      </c>
      <c r="AQ1115" s="137">
        <f t="shared" si="363"/>
        <v>0</v>
      </c>
      <c r="AR1115" s="137">
        <f t="shared" si="363"/>
        <v>0</v>
      </c>
      <c r="AS1115" s="137">
        <f>U1115+V1115+W1115+AK1115+AL1115+AM1115+AN1115+AO1115+AP1115+AQ1115+AR1115</f>
        <v>18398598</v>
      </c>
      <c r="AT1115" s="137">
        <f>AT1116</f>
        <v>0</v>
      </c>
      <c r="AU1115" s="139">
        <f t="shared" si="340"/>
        <v>18398598</v>
      </c>
      <c r="AV1115" s="146">
        <f>IFERROR(VLOOKUP(J1115,Maksājumu_pieprasījumu_iesn.!G:BL,57,0),0)</f>
        <v>0</v>
      </c>
      <c r="AW1115" s="139">
        <f t="shared" si="355"/>
        <v>-18398598</v>
      </c>
      <c r="AX1115" s="140">
        <f>S1115-T1115-AU1115</f>
        <v>0</v>
      </c>
      <c r="AY1115" s="137"/>
      <c r="AZ1115" s="137"/>
      <c r="BA1115" s="138"/>
      <c r="BB1115" s="140"/>
      <c r="BC1115" s="140">
        <f>X1115+AK1115+AL1115/2</f>
        <v>5453629.6950000003</v>
      </c>
      <c r="BD1115" s="140"/>
      <c r="BE1115" s="140">
        <f>BC1115/0.85</f>
        <v>6416034.9352941178</v>
      </c>
      <c r="BF1115" s="137"/>
      <c r="BG1115" s="137"/>
      <c r="BH1115" s="138">
        <v>0</v>
      </c>
      <c r="BI1115" s="138">
        <v>1684013.61</v>
      </c>
      <c r="BJ1115" s="138"/>
      <c r="BK1115" s="138"/>
      <c r="BL1115" s="138">
        <v>3710596</v>
      </c>
      <c r="BM1115" s="138"/>
      <c r="BN1115" s="138"/>
    </row>
    <row r="1116" spans="1:66" ht="25.5" hidden="1" customHeight="1" x14ac:dyDescent="0.2">
      <c r="A1116" s="142" t="s">
        <v>2104</v>
      </c>
      <c r="B1116" s="18" t="s">
        <v>304</v>
      </c>
      <c r="C1116" s="18" t="s">
        <v>305</v>
      </c>
      <c r="D1116" s="19" t="s">
        <v>589</v>
      </c>
      <c r="E1116" s="18" t="s">
        <v>3</v>
      </c>
      <c r="F1116" s="18" t="s">
        <v>4</v>
      </c>
      <c r="G1116" s="18" t="s">
        <v>77</v>
      </c>
      <c r="H1116" s="18" t="s">
        <v>3</v>
      </c>
      <c r="I1116" s="18"/>
      <c r="J1116" s="18" t="s">
        <v>306</v>
      </c>
      <c r="K1116" s="19" t="s">
        <v>7</v>
      </c>
      <c r="L1116" s="19"/>
      <c r="M1116" s="19"/>
      <c r="N1116" s="19" t="s">
        <v>307</v>
      </c>
      <c r="O1116" s="143"/>
      <c r="P1116" s="143"/>
      <c r="Q1116" s="143"/>
      <c r="R1116" s="143">
        <v>42703</v>
      </c>
      <c r="S1116" s="144">
        <v>18398598</v>
      </c>
      <c r="T1116" s="144"/>
      <c r="U1116" s="145">
        <v>0</v>
      </c>
      <c r="V1116" s="145">
        <v>0</v>
      </c>
      <c r="W1116" s="145">
        <v>114482.35</v>
      </c>
      <c r="X1116" s="145">
        <f>W1116+V1116+U1116</f>
        <v>114482.35</v>
      </c>
      <c r="Y1116" s="145">
        <v>0</v>
      </c>
      <c r="Z1116" s="145">
        <v>0</v>
      </c>
      <c r="AA1116" s="145">
        <v>94929.43</v>
      </c>
      <c r="AB1116" s="145">
        <v>0</v>
      </c>
      <c r="AC1116" s="145">
        <v>0</v>
      </c>
      <c r="AD1116" s="145">
        <v>1336443.58</v>
      </c>
      <c r="AE1116" s="145">
        <v>0</v>
      </c>
      <c r="AF1116" s="145">
        <v>0</v>
      </c>
      <c r="AG1116" s="145">
        <v>1404765.99</v>
      </c>
      <c r="AH1116" s="145">
        <v>0</v>
      </c>
      <c r="AI1116" s="145">
        <v>0</v>
      </c>
      <c r="AJ1116" s="145">
        <v>0</v>
      </c>
      <c r="AK1116" s="145">
        <f>SUM(Y1116:AJ1116)</f>
        <v>2836139</v>
      </c>
      <c r="AL1116" s="145">
        <v>5006016.6900000004</v>
      </c>
      <c r="AM1116" s="145">
        <v>4494972.2100000009</v>
      </c>
      <c r="AN1116" s="145">
        <v>4461679.96</v>
      </c>
      <c r="AO1116" s="145">
        <v>1485307.79</v>
      </c>
      <c r="AP1116" s="145">
        <v>0</v>
      </c>
      <c r="AQ1116" s="145">
        <v>0</v>
      </c>
      <c r="AR1116" s="145">
        <v>0</v>
      </c>
      <c r="AS1116" s="144">
        <f>U1116+V1116+W1116+AK1116+AL1116+AM1116+AN1116+AO1116+AP1116+AQ1116+AR1116</f>
        <v>18398598</v>
      </c>
      <c r="AT1116" s="144">
        <v>0</v>
      </c>
      <c r="AU1116" s="146">
        <f t="shared" si="340"/>
        <v>18398598</v>
      </c>
      <c r="AV1116" s="146" t="str">
        <f>IFERROR(VLOOKUP(J1116,Maksājumu_pieprasījumu_iesn.!G:BL,57,0),0)</f>
        <v>29.06.2017. ir aktualizēts plānoto maksājuma pieprasījumu iesniegšanas grafiks, jo ieilgusi sadarbības partneru iesniegto karjeras atbalsta plānu pārbaude un apstiprināšana, kā arī vairāki sadarbības partneri nav varējuši nodrošināt Ministru kabineta noteikumu prasību - piesaistīt vienu pedagogu-karjeras konsultantu uz 700 izglītojamiem. Izglītības un zinātnes ministrija veic grozījumus Ministru kabineta noteikumos, paredzot izņēmumus šīs prasības piemērošanā. Lai paātrinātu maksājumu veikšanas  procesus, centrālā finanšu un līgumu aģentūra ir vienojušies ar Valsts izglītības attīstības aģentūru par ārpuskārtas maksājuma pieprasījuma iesniegšanu novembrī, lai veicinātu 2017.gada mērķa izpildi.</v>
      </c>
      <c r="AW1116" s="139" t="e">
        <f t="shared" si="355"/>
        <v>#VALUE!</v>
      </c>
      <c r="AX1116" s="147"/>
      <c r="AY1116" s="147"/>
      <c r="AZ1116" s="147"/>
      <c r="BA1116" s="149"/>
      <c r="BB1116" s="144"/>
      <c r="BC1116" s="144"/>
      <c r="BD1116" s="144"/>
      <c r="BE1116" s="144"/>
      <c r="BF1116" s="144"/>
      <c r="BG1116" s="144"/>
      <c r="BH1116" s="149"/>
      <c r="BI1116" s="149"/>
      <c r="BJ1116" s="149"/>
      <c r="BK1116" s="149"/>
      <c r="BL1116" s="149"/>
      <c r="BM1116" s="149"/>
      <c r="BN1116" s="149"/>
    </row>
    <row r="1117" spans="1:66" s="91" customFormat="1" ht="25.5" hidden="1" x14ac:dyDescent="0.2">
      <c r="A1117" s="127" t="s">
        <v>2104</v>
      </c>
      <c r="B1117" s="127" t="s">
        <v>308</v>
      </c>
      <c r="C1117" s="127" t="s">
        <v>1023</v>
      </c>
      <c r="D1117" s="128" t="s">
        <v>2273</v>
      </c>
      <c r="E1117" s="127"/>
      <c r="F1117" s="127"/>
      <c r="G1117" s="127" t="s">
        <v>77</v>
      </c>
      <c r="H1117" s="127"/>
      <c r="I1117" s="127"/>
      <c r="J1117" s="127"/>
      <c r="K1117" s="128"/>
      <c r="L1117" s="128"/>
      <c r="M1117" s="128"/>
      <c r="N1117" s="128"/>
      <c r="O1117" s="163"/>
      <c r="P1117" s="163"/>
      <c r="Q1117" s="163"/>
      <c r="R1117" s="163"/>
      <c r="S1117" s="164">
        <f>S1118+S1120+S1122</f>
        <v>9404705</v>
      </c>
      <c r="T1117" s="164">
        <f>T1118+T1120+T1122</f>
        <v>584834</v>
      </c>
      <c r="U1117" s="164">
        <f>U1118+U1120+U1122</f>
        <v>0</v>
      </c>
      <c r="V1117" s="164">
        <f>V1118+V1120+V1122</f>
        <v>0</v>
      </c>
      <c r="W1117" s="164">
        <f>W1118+W1120+W1122</f>
        <v>113840.36</v>
      </c>
      <c r="X1117" s="129">
        <f>U1117+V1117+W1117</f>
        <v>113840.36</v>
      </c>
      <c r="Y1117" s="164">
        <f t="shared" ref="Y1117:AT1117" si="364">Y1118+Y1120+Y1122</f>
        <v>12439.2</v>
      </c>
      <c r="Z1117" s="164">
        <f t="shared" si="364"/>
        <v>260891.95</v>
      </c>
      <c r="AA1117" s="164">
        <f t="shared" si="364"/>
        <v>0</v>
      </c>
      <c r="AB1117" s="164">
        <f t="shared" si="364"/>
        <v>142121.09</v>
      </c>
      <c r="AC1117" s="164">
        <f t="shared" si="364"/>
        <v>0</v>
      </c>
      <c r="AD1117" s="164">
        <f t="shared" si="364"/>
        <v>0</v>
      </c>
      <c r="AE1117" s="164">
        <f t="shared" si="364"/>
        <v>142121.09</v>
      </c>
      <c r="AF1117" s="164">
        <f t="shared" si="364"/>
        <v>0</v>
      </c>
      <c r="AG1117" s="164">
        <f t="shared" si="364"/>
        <v>0</v>
      </c>
      <c r="AH1117" s="164">
        <f t="shared" si="364"/>
        <v>142121.09</v>
      </c>
      <c r="AI1117" s="164">
        <f t="shared" si="364"/>
        <v>0</v>
      </c>
      <c r="AJ1117" s="164">
        <f t="shared" si="364"/>
        <v>0</v>
      </c>
      <c r="AK1117" s="164">
        <f t="shared" si="364"/>
        <v>699694.41999999993</v>
      </c>
      <c r="AL1117" s="164">
        <f t="shared" si="364"/>
        <v>1054446.8</v>
      </c>
      <c r="AM1117" s="164">
        <f t="shared" si="364"/>
        <v>1484629.1400000001</v>
      </c>
      <c r="AN1117" s="164">
        <f t="shared" si="364"/>
        <v>1353232.96</v>
      </c>
      <c r="AO1117" s="164">
        <f t="shared" si="364"/>
        <v>526025</v>
      </c>
      <c r="AP1117" s="164">
        <f t="shared" si="364"/>
        <v>315502</v>
      </c>
      <c r="AQ1117" s="164">
        <f t="shared" si="364"/>
        <v>0</v>
      </c>
      <c r="AR1117" s="164">
        <f t="shared" si="364"/>
        <v>0</v>
      </c>
      <c r="AS1117" s="164">
        <f t="shared" si="364"/>
        <v>5547370.6799999997</v>
      </c>
      <c r="AT1117" s="164">
        <f t="shared" si="364"/>
        <v>0</v>
      </c>
      <c r="AU1117" s="183">
        <f t="shared" si="340"/>
        <v>5547370.6799999997</v>
      </c>
      <c r="AV1117" s="146">
        <f>IFERROR(VLOOKUP(J1117,Maksājumu_pieprasījumu_iesn.!G:BL,57,0),0)</f>
        <v>0</v>
      </c>
      <c r="AW1117" s="139">
        <f t="shared" si="355"/>
        <v>-5547370.6799999997</v>
      </c>
      <c r="AX1117" s="164">
        <f>AX1118+AX1120+AX1122</f>
        <v>3272500.32</v>
      </c>
      <c r="AY1117" s="164">
        <f>AY1118+AY1121+AY1122</f>
        <v>3272500</v>
      </c>
      <c r="AZ1117" s="164"/>
      <c r="BA1117" s="164"/>
      <c r="BB1117" s="164">
        <f>BB1118+BB1120+BB1122</f>
        <v>0</v>
      </c>
      <c r="BC1117" s="164">
        <f>BC1118+BC1120+BC1122</f>
        <v>1340758.18</v>
      </c>
      <c r="BD1117" s="164">
        <f>BC1117*0.94</f>
        <v>1260312.6891999999</v>
      </c>
      <c r="BE1117" s="129">
        <f>BD1117/0.85</f>
        <v>1482720.8108235293</v>
      </c>
      <c r="BF1117" s="164">
        <f>BF1118+BF1120+BF1122</f>
        <v>0</v>
      </c>
      <c r="BG1117" s="164">
        <f>BG1118+BG1120+BG1122</f>
        <v>0</v>
      </c>
      <c r="BH1117" s="129">
        <f>BH1118+BH1120+BH1122</f>
        <v>0</v>
      </c>
      <c r="BI1117" s="129">
        <f>BI1118+BI1120+BI1122</f>
        <v>740783.08200000005</v>
      </c>
      <c r="BJ1117" s="129">
        <f>AK1117*0.94</f>
        <v>657712.75479999988</v>
      </c>
      <c r="BK1117" s="129">
        <f>BJ1117-BI1117</f>
        <v>-83070.327200000174</v>
      </c>
      <c r="BL1117" s="129">
        <f>BL1118+BL1120+BL1122</f>
        <v>1153020.7876213589</v>
      </c>
      <c r="BM1117" s="129">
        <f>AL1117*0.94</f>
        <v>991179.99199999997</v>
      </c>
      <c r="BN1117" s="129">
        <f>BM1117-BL1117</f>
        <v>-161840.79562135891</v>
      </c>
    </row>
    <row r="1118" spans="1:66" s="91" customFormat="1" ht="25.5" hidden="1" customHeight="1" x14ac:dyDescent="0.2">
      <c r="A1118" s="131" t="s">
        <v>2104</v>
      </c>
      <c r="B1118" s="132" t="s">
        <v>308</v>
      </c>
      <c r="C1118" s="132" t="s">
        <v>309</v>
      </c>
      <c r="D1118" s="133" t="s">
        <v>590</v>
      </c>
      <c r="E1118" s="22">
        <v>1</v>
      </c>
      <c r="F1118" s="22" t="s">
        <v>4</v>
      </c>
      <c r="G1118" s="22" t="s">
        <v>77</v>
      </c>
      <c r="H1118" s="22" t="s">
        <v>3</v>
      </c>
      <c r="I1118" s="22" t="s">
        <v>1022</v>
      </c>
      <c r="J1118" s="134" t="s">
        <v>1026</v>
      </c>
      <c r="K1118" s="133"/>
      <c r="L1118" s="133"/>
      <c r="M1118" s="133"/>
      <c r="N1118" s="133"/>
      <c r="O1118" s="135"/>
      <c r="P1118" s="135"/>
      <c r="Q1118" s="135"/>
      <c r="R1118" s="135"/>
      <c r="S1118" s="136">
        <v>2040000</v>
      </c>
      <c r="T1118" s="136">
        <v>0</v>
      </c>
      <c r="U1118" s="137">
        <f>SUM(U1119)</f>
        <v>0</v>
      </c>
      <c r="V1118" s="137">
        <f>SUM(V1119)</f>
        <v>0</v>
      </c>
      <c r="W1118" s="137">
        <f>SUM(W1119)</f>
        <v>113840.36</v>
      </c>
      <c r="X1118" s="138">
        <f>U1118+V1118+W1118</f>
        <v>113840.36</v>
      </c>
      <c r="Y1118" s="137">
        <f t="shared" ref="Y1118:AR1118" si="365">SUM(Y1119)</f>
        <v>12439.2</v>
      </c>
      <c r="Z1118" s="137">
        <f t="shared" si="365"/>
        <v>260891.95</v>
      </c>
      <c r="AA1118" s="137">
        <f t="shared" si="365"/>
        <v>0</v>
      </c>
      <c r="AB1118" s="137">
        <f t="shared" si="365"/>
        <v>142121.09</v>
      </c>
      <c r="AC1118" s="137">
        <f t="shared" si="365"/>
        <v>0</v>
      </c>
      <c r="AD1118" s="137">
        <f t="shared" si="365"/>
        <v>0</v>
      </c>
      <c r="AE1118" s="137">
        <f t="shared" si="365"/>
        <v>142121.09</v>
      </c>
      <c r="AF1118" s="137">
        <f t="shared" si="365"/>
        <v>0</v>
      </c>
      <c r="AG1118" s="137">
        <f t="shared" si="365"/>
        <v>0</v>
      </c>
      <c r="AH1118" s="137">
        <f t="shared" si="365"/>
        <v>142121.09</v>
      </c>
      <c r="AI1118" s="137">
        <f t="shared" si="365"/>
        <v>0</v>
      </c>
      <c r="AJ1118" s="137">
        <f t="shared" si="365"/>
        <v>0</v>
      </c>
      <c r="AK1118" s="137">
        <f t="shared" si="365"/>
        <v>699694.41999999993</v>
      </c>
      <c r="AL1118" s="137">
        <f t="shared" si="365"/>
        <v>615002.80000000005</v>
      </c>
      <c r="AM1118" s="137">
        <f t="shared" si="365"/>
        <v>497940.14</v>
      </c>
      <c r="AN1118" s="137">
        <f t="shared" si="365"/>
        <v>113521.96</v>
      </c>
      <c r="AO1118" s="137">
        <f t="shared" si="365"/>
        <v>0</v>
      </c>
      <c r="AP1118" s="137">
        <f t="shared" si="365"/>
        <v>0</v>
      </c>
      <c r="AQ1118" s="137">
        <f t="shared" si="365"/>
        <v>0</v>
      </c>
      <c r="AR1118" s="137">
        <f t="shared" si="365"/>
        <v>0</v>
      </c>
      <c r="AS1118" s="137">
        <f>U1118+V1118+W1118+AK1118+AL1118+AM1118+AN1118+AO1118+AP1118+AQ1118+AR1118</f>
        <v>2039999.6800000002</v>
      </c>
      <c r="AT1118" s="137">
        <f>AT1119</f>
        <v>0</v>
      </c>
      <c r="AU1118" s="139">
        <f t="shared" si="340"/>
        <v>2039999.6800000002</v>
      </c>
      <c r="AV1118" s="146">
        <f>IFERROR(VLOOKUP(J1118,Maksājumu_pieprasījumu_iesn.!G:BL,57,0),0)</f>
        <v>0</v>
      </c>
      <c r="AW1118" s="139">
        <f t="shared" si="355"/>
        <v>-2039999.6800000002</v>
      </c>
      <c r="AX1118" s="140">
        <f>S1118-T1118-AU1118</f>
        <v>0.31999999983236194</v>
      </c>
      <c r="AY1118" s="137"/>
      <c r="AZ1118" s="137"/>
      <c r="BA1118" s="138"/>
      <c r="BB1118" s="140"/>
      <c r="BC1118" s="140">
        <f>X1118+AK1118+AL1118/2</f>
        <v>1121036.18</v>
      </c>
      <c r="BD1118" s="140"/>
      <c r="BE1118" s="140">
        <f>BC1118/0.85</f>
        <v>1318866.094117647</v>
      </c>
      <c r="BF1118" s="137"/>
      <c r="BG1118" s="137"/>
      <c r="BH1118" s="138">
        <v>0</v>
      </c>
      <c r="BI1118" s="138">
        <v>740783.08200000005</v>
      </c>
      <c r="BJ1118" s="138"/>
      <c r="BK1118" s="138"/>
      <c r="BL1118" s="138">
        <v>599613</v>
      </c>
      <c r="BM1118" s="138"/>
      <c r="BN1118" s="138"/>
    </row>
    <row r="1119" spans="1:66" ht="25.5" hidden="1" customHeight="1" x14ac:dyDescent="0.2">
      <c r="A1119" s="142" t="s">
        <v>2104</v>
      </c>
      <c r="B1119" s="18" t="s">
        <v>308</v>
      </c>
      <c r="C1119" s="18" t="s">
        <v>309</v>
      </c>
      <c r="D1119" s="19" t="s">
        <v>590</v>
      </c>
      <c r="E1119" s="18">
        <v>1</v>
      </c>
      <c r="F1119" s="18" t="s">
        <v>4</v>
      </c>
      <c r="G1119" s="18" t="s">
        <v>77</v>
      </c>
      <c r="H1119" s="18" t="s">
        <v>3</v>
      </c>
      <c r="I1119" s="18"/>
      <c r="J1119" s="18" t="s">
        <v>310</v>
      </c>
      <c r="K1119" s="19" t="s">
        <v>311</v>
      </c>
      <c r="L1119" s="19"/>
      <c r="M1119" s="19"/>
      <c r="N1119" s="19" t="s">
        <v>312</v>
      </c>
      <c r="O1119" s="143"/>
      <c r="P1119" s="143"/>
      <c r="Q1119" s="143"/>
      <c r="R1119" s="143">
        <v>42580</v>
      </c>
      <c r="S1119" s="144">
        <v>2039998.68</v>
      </c>
      <c r="T1119" s="144"/>
      <c r="U1119" s="145">
        <v>0</v>
      </c>
      <c r="V1119" s="145">
        <v>0</v>
      </c>
      <c r="W1119" s="145">
        <v>113840.36</v>
      </c>
      <c r="X1119" s="145">
        <f>W1119+V1119+U1119</f>
        <v>113840.36</v>
      </c>
      <c r="Y1119" s="145">
        <v>12439.2</v>
      </c>
      <c r="Z1119" s="145">
        <v>260891.95</v>
      </c>
      <c r="AA1119" s="145">
        <v>0</v>
      </c>
      <c r="AB1119" s="145">
        <v>142121.09</v>
      </c>
      <c r="AC1119" s="145">
        <v>0</v>
      </c>
      <c r="AD1119" s="166">
        <v>0</v>
      </c>
      <c r="AE1119" s="166">
        <v>142121.09</v>
      </c>
      <c r="AF1119" s="145">
        <v>0</v>
      </c>
      <c r="AG1119" s="145">
        <v>0</v>
      </c>
      <c r="AH1119" s="145">
        <v>142121.09</v>
      </c>
      <c r="AI1119" s="145">
        <v>0</v>
      </c>
      <c r="AJ1119" s="145">
        <v>0</v>
      </c>
      <c r="AK1119" s="145">
        <f>SUM(Y1119:AJ1119)</f>
        <v>699694.41999999993</v>
      </c>
      <c r="AL1119" s="145">
        <v>615002.80000000005</v>
      </c>
      <c r="AM1119" s="145">
        <v>497940.14</v>
      </c>
      <c r="AN1119" s="145">
        <v>113521.96</v>
      </c>
      <c r="AO1119" s="145">
        <v>0</v>
      </c>
      <c r="AP1119" s="145">
        <v>0</v>
      </c>
      <c r="AQ1119" s="145">
        <v>0</v>
      </c>
      <c r="AR1119" s="145">
        <v>0</v>
      </c>
      <c r="AS1119" s="144">
        <f>U1119+V1119+W1119+AK1119+AL1119+AM1119+AN1119+AO1119+AP1119+AQ1119+AR1119</f>
        <v>2039999.6800000002</v>
      </c>
      <c r="AT1119" s="144">
        <v>0</v>
      </c>
      <c r="AU1119" s="146">
        <f t="shared" si="340"/>
        <v>2039999.6800000002</v>
      </c>
      <c r="AV1119" s="146">
        <f>IFERROR(VLOOKUP(J1119,Maksājumu_pieprasījumu_iesn.!G:BL,57,0),0)</f>
        <v>0</v>
      </c>
      <c r="AW1119" s="139">
        <f t="shared" si="355"/>
        <v>-2039999.6800000002</v>
      </c>
      <c r="AX1119" s="147"/>
      <c r="AY1119" s="147"/>
      <c r="AZ1119" s="147"/>
      <c r="BA1119" s="149"/>
      <c r="BB1119" s="144"/>
      <c r="BC1119" s="144"/>
      <c r="BD1119" s="144"/>
      <c r="BE1119" s="144"/>
      <c r="BF1119" s="144"/>
      <c r="BG1119" s="144"/>
      <c r="BH1119" s="149"/>
      <c r="BI1119" s="149"/>
      <c r="BJ1119" s="149"/>
      <c r="BK1119" s="149"/>
      <c r="BL1119" s="149"/>
      <c r="BM1119" s="149"/>
      <c r="BN1119" s="149"/>
    </row>
    <row r="1120" spans="1:66" s="320" customFormat="1" ht="25.5" hidden="1" customHeight="1" x14ac:dyDescent="0.2">
      <c r="A1120" s="131" t="s">
        <v>2104</v>
      </c>
      <c r="B1120" s="132" t="s">
        <v>308</v>
      </c>
      <c r="C1120" s="132" t="s">
        <v>309</v>
      </c>
      <c r="D1120" s="133" t="s">
        <v>590</v>
      </c>
      <c r="E1120" s="22">
        <v>2</v>
      </c>
      <c r="F1120" s="22" t="s">
        <v>4</v>
      </c>
      <c r="G1120" s="22" t="s">
        <v>77</v>
      </c>
      <c r="H1120" s="22" t="s">
        <v>3</v>
      </c>
      <c r="I1120" s="22" t="s">
        <v>1022</v>
      </c>
      <c r="J1120" s="134" t="s">
        <v>1026</v>
      </c>
      <c r="K1120" s="133"/>
      <c r="L1120" s="133"/>
      <c r="M1120" s="133"/>
      <c r="N1120" s="133"/>
      <c r="O1120" s="135"/>
      <c r="P1120" s="135"/>
      <c r="Q1120" s="135"/>
      <c r="R1120" s="135"/>
      <c r="S1120" s="136">
        <v>3272500</v>
      </c>
      <c r="T1120" s="136">
        <v>0</v>
      </c>
      <c r="U1120" s="137">
        <v>0</v>
      </c>
      <c r="V1120" s="137">
        <v>0</v>
      </c>
      <c r="W1120" s="137">
        <v>0</v>
      </c>
      <c r="X1120" s="138">
        <f>U1120+V1120+W1120</f>
        <v>0</v>
      </c>
      <c r="Y1120" s="137">
        <v>0</v>
      </c>
      <c r="Z1120" s="137">
        <v>0</v>
      </c>
      <c r="AA1120" s="137">
        <v>0</v>
      </c>
      <c r="AB1120" s="137">
        <v>0</v>
      </c>
      <c r="AC1120" s="137">
        <v>0</v>
      </c>
      <c r="AD1120" s="137">
        <v>0</v>
      </c>
      <c r="AE1120" s="137">
        <v>0</v>
      </c>
      <c r="AF1120" s="137">
        <v>0</v>
      </c>
      <c r="AG1120" s="137">
        <v>0</v>
      </c>
      <c r="AH1120" s="137">
        <v>0</v>
      </c>
      <c r="AI1120" s="137">
        <v>0</v>
      </c>
      <c r="AJ1120" s="137">
        <v>0</v>
      </c>
      <c r="AK1120" s="137">
        <f>SUM(Y1120:AJ1120)</f>
        <v>0</v>
      </c>
      <c r="AL1120" s="137">
        <v>0</v>
      </c>
      <c r="AM1120" s="137">
        <v>0</v>
      </c>
      <c r="AN1120" s="137">
        <v>0</v>
      </c>
      <c r="AO1120" s="137">
        <v>0</v>
      </c>
      <c r="AP1120" s="137">
        <v>0</v>
      </c>
      <c r="AQ1120" s="137">
        <v>0</v>
      </c>
      <c r="AR1120" s="137">
        <v>0</v>
      </c>
      <c r="AS1120" s="137">
        <f>AS1121</f>
        <v>0</v>
      </c>
      <c r="AT1120" s="137"/>
      <c r="AU1120" s="139">
        <f t="shared" si="340"/>
        <v>0</v>
      </c>
      <c r="AV1120" s="146">
        <f>IFERROR(VLOOKUP(J1120,Maksājumu_pieprasījumu_iesn.!G:BL,57,0),0)</f>
        <v>0</v>
      </c>
      <c r="AW1120" s="139">
        <f t="shared" si="355"/>
        <v>0</v>
      </c>
      <c r="AX1120" s="140">
        <f>S1120-T1120-AU1120</f>
        <v>3272500</v>
      </c>
      <c r="AY1120" s="137"/>
      <c r="AZ1120" s="137"/>
      <c r="BA1120" s="138" t="s">
        <v>2274</v>
      </c>
      <c r="BB1120" s="140"/>
      <c r="BC1120" s="140">
        <f>X1120+AK1120+AL1120/2</f>
        <v>0</v>
      </c>
      <c r="BD1120" s="140"/>
      <c r="BE1120" s="140">
        <f>BC1120/0.85</f>
        <v>0</v>
      </c>
      <c r="BF1120" s="137"/>
      <c r="BG1120" s="137"/>
      <c r="BH1120" s="138">
        <v>0</v>
      </c>
      <c r="BI1120" s="138">
        <v>0</v>
      </c>
      <c r="BJ1120" s="138"/>
      <c r="BK1120" s="138"/>
      <c r="BL1120" s="138">
        <v>553407.78762135899</v>
      </c>
      <c r="BM1120" s="138"/>
      <c r="BN1120" s="138"/>
    </row>
    <row r="1121" spans="1:66" s="368" customFormat="1" ht="25.5" hidden="1" customHeight="1" x14ac:dyDescent="0.2">
      <c r="A1121" s="173" t="s">
        <v>2104</v>
      </c>
      <c r="B1121" s="132" t="s">
        <v>308</v>
      </c>
      <c r="C1121" s="132" t="s">
        <v>309</v>
      </c>
      <c r="D1121" s="133"/>
      <c r="E1121" s="132"/>
      <c r="F1121" s="132"/>
      <c r="G1121" s="132"/>
      <c r="H1121" s="132"/>
      <c r="I1121" s="132"/>
      <c r="J1121" s="132" t="s">
        <v>2275</v>
      </c>
      <c r="K1121" s="133"/>
      <c r="L1121" s="133"/>
      <c r="M1121" s="133"/>
      <c r="N1121" s="133"/>
      <c r="O1121" s="230"/>
      <c r="P1121" s="230"/>
      <c r="Q1121" s="230"/>
      <c r="R1121" s="230"/>
      <c r="S1121" s="165"/>
      <c r="T1121" s="165"/>
      <c r="U1121" s="137"/>
      <c r="V1121" s="137"/>
      <c r="W1121" s="137"/>
      <c r="X1121" s="138"/>
      <c r="Y1121" s="137"/>
      <c r="Z1121" s="137"/>
      <c r="AA1121" s="137"/>
      <c r="AB1121" s="137"/>
      <c r="AC1121" s="137"/>
      <c r="AD1121" s="137"/>
      <c r="AE1121" s="137"/>
      <c r="AF1121" s="137"/>
      <c r="AG1121" s="137"/>
      <c r="AH1121" s="137"/>
      <c r="AI1121" s="137"/>
      <c r="AJ1121" s="137"/>
      <c r="AK1121" s="137"/>
      <c r="AL1121" s="137"/>
      <c r="AM1121" s="137"/>
      <c r="AN1121" s="137"/>
      <c r="AO1121" s="137"/>
      <c r="AP1121" s="137"/>
      <c r="AQ1121" s="137"/>
      <c r="AR1121" s="137"/>
      <c r="AS1121" s="165"/>
      <c r="AT1121" s="165"/>
      <c r="AU1121" s="146">
        <f t="shared" si="340"/>
        <v>0</v>
      </c>
      <c r="AV1121" s="146">
        <f>IFERROR(VLOOKUP(J1121,Maksājumu_pieprasījumu_iesn.!G:BL,57,0),0)</f>
        <v>0</v>
      </c>
      <c r="AW1121" s="139">
        <f t="shared" si="355"/>
        <v>0</v>
      </c>
      <c r="AX1121" s="165"/>
      <c r="AY1121" s="165">
        <v>3272500</v>
      </c>
      <c r="AZ1121" s="165"/>
      <c r="BA1121" s="138" t="s">
        <v>2274</v>
      </c>
      <c r="BB1121" s="231"/>
      <c r="BC1121" s="231"/>
      <c r="BD1121" s="231"/>
      <c r="BE1121" s="231"/>
      <c r="BF1121" s="165"/>
      <c r="BG1121" s="165"/>
      <c r="BH1121" s="149"/>
      <c r="BI1121" s="149"/>
      <c r="BJ1121" s="149"/>
      <c r="BK1121" s="149"/>
      <c r="BL1121" s="149"/>
      <c r="BM1121" s="149"/>
      <c r="BN1121" s="149"/>
    </row>
    <row r="1122" spans="1:66" s="91" customFormat="1" ht="76.5" hidden="1" customHeight="1" x14ac:dyDescent="0.2">
      <c r="A1122" s="131" t="s">
        <v>2104</v>
      </c>
      <c r="B1122" s="132" t="s">
        <v>308</v>
      </c>
      <c r="C1122" s="132" t="s">
        <v>2276</v>
      </c>
      <c r="D1122" s="133" t="s">
        <v>2277</v>
      </c>
      <c r="E1122" s="22" t="s">
        <v>3</v>
      </c>
      <c r="F1122" s="22" t="s">
        <v>4</v>
      </c>
      <c r="G1122" s="22" t="s">
        <v>77</v>
      </c>
      <c r="H1122" s="22" t="s">
        <v>3</v>
      </c>
      <c r="I1122" s="22" t="s">
        <v>1022</v>
      </c>
      <c r="J1122" s="134" t="s">
        <v>1026</v>
      </c>
      <c r="K1122" s="133"/>
      <c r="L1122" s="133"/>
      <c r="M1122" s="133"/>
      <c r="N1122" s="133"/>
      <c r="O1122" s="135"/>
      <c r="P1122" s="135"/>
      <c r="Q1122" s="135"/>
      <c r="R1122" s="135"/>
      <c r="S1122" s="136">
        <v>4092205</v>
      </c>
      <c r="T1122" s="136">
        <v>584834</v>
      </c>
      <c r="U1122" s="137">
        <v>0</v>
      </c>
      <c r="V1122" s="137">
        <v>0</v>
      </c>
      <c r="W1122" s="137">
        <v>0</v>
      </c>
      <c r="X1122" s="138">
        <f>U1122+V1122+W1122</f>
        <v>0</v>
      </c>
      <c r="Y1122" s="137">
        <v>0</v>
      </c>
      <c r="Z1122" s="137">
        <v>0</v>
      </c>
      <c r="AA1122" s="137">
        <v>0</v>
      </c>
      <c r="AB1122" s="137">
        <v>0</v>
      </c>
      <c r="AC1122" s="137">
        <v>0</v>
      </c>
      <c r="AD1122" s="137">
        <v>0</v>
      </c>
      <c r="AE1122" s="137">
        <v>0</v>
      </c>
      <c r="AF1122" s="137">
        <v>0</v>
      </c>
      <c r="AG1122" s="137">
        <v>0</v>
      </c>
      <c r="AH1122" s="137">
        <v>0</v>
      </c>
      <c r="AI1122" s="137">
        <v>0</v>
      </c>
      <c r="AJ1122" s="137">
        <v>0</v>
      </c>
      <c r="AK1122" s="137">
        <f>SUM(Y1122:AJ1122)</f>
        <v>0</v>
      </c>
      <c r="AL1122" s="137">
        <f t="shared" ref="AL1122:AT1122" si="366">AL1123</f>
        <v>439444</v>
      </c>
      <c r="AM1122" s="137">
        <f t="shared" si="366"/>
        <v>986689</v>
      </c>
      <c r="AN1122" s="137">
        <f t="shared" si="366"/>
        <v>1239711</v>
      </c>
      <c r="AO1122" s="137">
        <f t="shared" si="366"/>
        <v>526025</v>
      </c>
      <c r="AP1122" s="137">
        <f t="shared" si="366"/>
        <v>315502</v>
      </c>
      <c r="AQ1122" s="137">
        <f t="shared" si="366"/>
        <v>0</v>
      </c>
      <c r="AR1122" s="137">
        <f t="shared" si="366"/>
        <v>0</v>
      </c>
      <c r="AS1122" s="137">
        <f t="shared" si="366"/>
        <v>3507371</v>
      </c>
      <c r="AT1122" s="137">
        <f t="shared" si="366"/>
        <v>0</v>
      </c>
      <c r="AU1122" s="139">
        <f t="shared" ref="AU1122:AU1185" si="367">AS1122-AT1122</f>
        <v>3507371</v>
      </c>
      <c r="AV1122" s="146">
        <f>IFERROR(VLOOKUP(J1122,Maksājumu_pieprasījumu_iesn.!G:BL,57,0),0)</f>
        <v>0</v>
      </c>
      <c r="AW1122" s="139">
        <f t="shared" si="355"/>
        <v>-3507371</v>
      </c>
      <c r="AX1122" s="140">
        <f>S1122-T1122-AU1122</f>
        <v>0</v>
      </c>
      <c r="AY1122" s="137"/>
      <c r="AZ1122" s="137"/>
      <c r="BA1122" s="138" t="s">
        <v>2278</v>
      </c>
      <c r="BB1122" s="140"/>
      <c r="BC1122" s="140">
        <f>X1122+AK1122+AL1122/2</f>
        <v>219722</v>
      </c>
      <c r="BD1122" s="140"/>
      <c r="BE1122" s="140">
        <f>BC1122/0.85</f>
        <v>258496.4705882353</v>
      </c>
      <c r="BF1122" s="137"/>
      <c r="BG1122" s="137"/>
      <c r="BH1122" s="138">
        <v>0</v>
      </c>
      <c r="BI1122" s="138">
        <v>0</v>
      </c>
      <c r="BJ1122" s="138"/>
      <c r="BK1122" s="138"/>
      <c r="BL1122" s="138">
        <v>0</v>
      </c>
      <c r="BM1122" s="138"/>
      <c r="BN1122" s="138"/>
    </row>
    <row r="1123" spans="1:66" s="221" customFormat="1" ht="76.5" hidden="1" customHeight="1" x14ac:dyDescent="0.2">
      <c r="A1123" s="150" t="s">
        <v>2104</v>
      </c>
      <c r="B1123" s="132" t="s">
        <v>308</v>
      </c>
      <c r="C1123" s="132" t="s">
        <v>2276</v>
      </c>
      <c r="D1123" s="133" t="s">
        <v>2277</v>
      </c>
      <c r="E1123" s="22" t="s">
        <v>3</v>
      </c>
      <c r="F1123" s="22" t="s">
        <v>4</v>
      </c>
      <c r="G1123" s="22" t="s">
        <v>77</v>
      </c>
      <c r="H1123" s="22" t="s">
        <v>3</v>
      </c>
      <c r="I1123" s="22"/>
      <c r="J1123" s="22"/>
      <c r="K1123" s="19" t="s">
        <v>311</v>
      </c>
      <c r="L1123" s="19"/>
      <c r="M1123" s="19"/>
      <c r="N1123" s="133"/>
      <c r="O1123" s="232">
        <v>43008</v>
      </c>
      <c r="P1123" s="232"/>
      <c r="Q1123" s="232"/>
      <c r="R1123" s="135"/>
      <c r="S1123" s="136"/>
      <c r="T1123" s="136"/>
      <c r="U1123" s="137"/>
      <c r="V1123" s="137"/>
      <c r="W1123" s="137"/>
      <c r="X1123" s="145">
        <f>W1123+V1123+U1123</f>
        <v>0</v>
      </c>
      <c r="Y1123" s="137"/>
      <c r="Z1123" s="137"/>
      <c r="AA1123" s="137"/>
      <c r="AB1123" s="137"/>
      <c r="AC1123" s="137"/>
      <c r="AD1123" s="137"/>
      <c r="AE1123" s="137"/>
      <c r="AF1123" s="137"/>
      <c r="AG1123" s="137"/>
      <c r="AH1123" s="137"/>
      <c r="AI1123" s="137"/>
      <c r="AJ1123" s="137"/>
      <c r="AK1123" s="137"/>
      <c r="AL1123" s="139">
        <v>439444</v>
      </c>
      <c r="AM1123" s="326">
        <v>986689</v>
      </c>
      <c r="AN1123" s="326">
        <v>1239711</v>
      </c>
      <c r="AO1123" s="326">
        <f>818441-292416</f>
        <v>526025</v>
      </c>
      <c r="AP1123" s="326">
        <f>607919-292417</f>
        <v>315502</v>
      </c>
      <c r="AQ1123" s="137"/>
      <c r="AR1123" s="137"/>
      <c r="AS1123" s="153">
        <f>U1123+V1123+W1123+AK1123+AL1123+AM1123+AN1123+AO1123+AP1123+AQ1123+AR1123</f>
        <v>3507371</v>
      </c>
      <c r="AT1123" s="137"/>
      <c r="AU1123" s="139">
        <f t="shared" si="367"/>
        <v>3507371</v>
      </c>
      <c r="AV1123" s="146">
        <f>IFERROR(VLOOKUP(J1123,Maksājumu_pieprasījumu_iesn.!G:BL,57,0),0)</f>
        <v>0</v>
      </c>
      <c r="AW1123" s="139">
        <f t="shared" si="355"/>
        <v>-3507371</v>
      </c>
      <c r="AX1123" s="137"/>
      <c r="AY1123" s="137" t="s">
        <v>1085</v>
      </c>
      <c r="AZ1123" s="137"/>
      <c r="BA1123" s="138" t="s">
        <v>2278</v>
      </c>
      <c r="BB1123" s="139"/>
      <c r="BC1123" s="139"/>
      <c r="BD1123" s="139"/>
      <c r="BE1123" s="139"/>
      <c r="BF1123" s="139"/>
      <c r="BG1123" s="139"/>
      <c r="BH1123" s="138"/>
      <c r="BI1123" s="138"/>
      <c r="BJ1123" s="138"/>
      <c r="BK1123" s="138"/>
      <c r="BL1123" s="138"/>
      <c r="BM1123" s="138"/>
      <c r="BN1123" s="138"/>
    </row>
    <row r="1124" spans="1:66" s="221" customFormat="1" hidden="1" x14ac:dyDescent="0.2">
      <c r="A1124" s="127" t="s">
        <v>2104</v>
      </c>
      <c r="B1124" s="127" t="s">
        <v>313</v>
      </c>
      <c r="C1124" s="127" t="s">
        <v>1023</v>
      </c>
      <c r="D1124" s="128" t="s">
        <v>591</v>
      </c>
      <c r="E1124" s="127"/>
      <c r="F1124" s="127"/>
      <c r="G1124" s="127" t="s">
        <v>77</v>
      </c>
      <c r="H1124" s="127"/>
      <c r="I1124" s="127"/>
      <c r="J1124" s="127"/>
      <c r="K1124" s="128"/>
      <c r="L1124" s="128"/>
      <c r="M1124" s="128"/>
      <c r="N1124" s="128"/>
      <c r="O1124" s="229"/>
      <c r="P1124" s="229"/>
      <c r="Q1124" s="229"/>
      <c r="R1124" s="163"/>
      <c r="S1124" s="164">
        <f>S1125</f>
        <v>22979380</v>
      </c>
      <c r="T1124" s="164">
        <f>T1125</f>
        <v>1428978.6074669461</v>
      </c>
      <c r="U1124" s="164">
        <f>U1125</f>
        <v>0</v>
      </c>
      <c r="V1124" s="164">
        <f>V1125</f>
        <v>0</v>
      </c>
      <c r="W1124" s="164">
        <f>W1125</f>
        <v>0</v>
      </c>
      <c r="X1124" s="129">
        <f>U1124+V1124+W1124</f>
        <v>0</v>
      </c>
      <c r="Y1124" s="164">
        <f t="shared" ref="Y1124:AT1124" si="368">Y1125</f>
        <v>10391.51</v>
      </c>
      <c r="Z1124" s="164">
        <f t="shared" si="368"/>
        <v>0</v>
      </c>
      <c r="AA1124" s="164">
        <f t="shared" si="368"/>
        <v>0</v>
      </c>
      <c r="AB1124" s="164">
        <f t="shared" si="368"/>
        <v>0</v>
      </c>
      <c r="AC1124" s="164">
        <f t="shared" si="368"/>
        <v>32734</v>
      </c>
      <c r="AD1124" s="164">
        <f t="shared" si="368"/>
        <v>0</v>
      </c>
      <c r="AE1124" s="164">
        <f t="shared" si="368"/>
        <v>42500</v>
      </c>
      <c r="AF1124" s="164">
        <f t="shared" si="368"/>
        <v>0</v>
      </c>
      <c r="AG1124" s="164">
        <f t="shared" si="368"/>
        <v>0</v>
      </c>
      <c r="AH1124" s="164">
        <f t="shared" si="368"/>
        <v>68000</v>
      </c>
      <c r="AI1124" s="164">
        <f t="shared" si="368"/>
        <v>0</v>
      </c>
      <c r="AJ1124" s="164">
        <f t="shared" si="368"/>
        <v>0</v>
      </c>
      <c r="AK1124" s="164">
        <f t="shared" si="368"/>
        <v>153625.51</v>
      </c>
      <c r="AL1124" s="164">
        <f t="shared" si="368"/>
        <v>2031627.5</v>
      </c>
      <c r="AM1124" s="164">
        <f t="shared" si="368"/>
        <v>4556510</v>
      </c>
      <c r="AN1124" s="164">
        <f t="shared" si="368"/>
        <v>4556510</v>
      </c>
      <c r="AO1124" s="164">
        <f t="shared" si="368"/>
        <v>4556510</v>
      </c>
      <c r="AP1124" s="164">
        <f t="shared" si="368"/>
        <v>4556510</v>
      </c>
      <c r="AQ1124" s="164">
        <f t="shared" si="368"/>
        <v>1139107.99</v>
      </c>
      <c r="AR1124" s="164">
        <f t="shared" si="368"/>
        <v>0</v>
      </c>
      <c r="AS1124" s="164">
        <f t="shared" si="368"/>
        <v>21550400.999999996</v>
      </c>
      <c r="AT1124" s="164">
        <f t="shared" si="368"/>
        <v>0</v>
      </c>
      <c r="AU1124" s="183">
        <f t="shared" si="367"/>
        <v>21550400.999999996</v>
      </c>
      <c r="AV1124" s="146">
        <f>IFERROR(VLOOKUP(J1124,Maksājumu_pieprasījumu_iesn.!G:BL,57,0),0)</f>
        <v>0</v>
      </c>
      <c r="AW1124" s="139">
        <f t="shared" si="355"/>
        <v>-21550400.999999996</v>
      </c>
      <c r="AX1124" s="164">
        <f>AX1125</f>
        <v>0.39253305643796921</v>
      </c>
      <c r="AY1124" s="164"/>
      <c r="AZ1124" s="164"/>
      <c r="BA1124" s="164"/>
      <c r="BB1124" s="164">
        <f>BB1125</f>
        <v>0</v>
      </c>
      <c r="BC1124" s="164">
        <f>BC1125</f>
        <v>1169439.26</v>
      </c>
      <c r="BD1124" s="164">
        <f>BC1124*0.94</f>
        <v>1099272.9043999999</v>
      </c>
      <c r="BE1124" s="129">
        <f>BD1124/0.85</f>
        <v>1293262.2404705882</v>
      </c>
      <c r="BF1124" s="164">
        <f>BF1125</f>
        <v>0</v>
      </c>
      <c r="BG1124" s="164">
        <f>BG1125</f>
        <v>0</v>
      </c>
      <c r="BH1124" s="129">
        <f>BH1125</f>
        <v>0</v>
      </c>
      <c r="BI1124" s="129">
        <f>BI1125</f>
        <v>1760588.5</v>
      </c>
      <c r="BJ1124" s="129">
        <f>AK1124*0.94</f>
        <v>144407.97940000001</v>
      </c>
      <c r="BK1124" s="129">
        <f>BJ1124-BI1124</f>
        <v>-1616180.5205999999</v>
      </c>
      <c r="BL1124" s="129">
        <f>BL1125</f>
        <v>3466911</v>
      </c>
      <c r="BM1124" s="129">
        <f>AL1124*0.94</f>
        <v>1909729.8499999999</v>
      </c>
      <c r="BN1124" s="129">
        <f>BM1124-BL1124</f>
        <v>-1557181.1500000001</v>
      </c>
    </row>
    <row r="1125" spans="1:66" s="91" customFormat="1" ht="12.75" hidden="1" customHeight="1" x14ac:dyDescent="0.2">
      <c r="A1125" s="131" t="s">
        <v>2104</v>
      </c>
      <c r="B1125" s="132" t="s">
        <v>313</v>
      </c>
      <c r="C1125" s="132" t="s">
        <v>314</v>
      </c>
      <c r="D1125" s="133" t="s">
        <v>591</v>
      </c>
      <c r="E1125" s="22" t="s">
        <v>3</v>
      </c>
      <c r="F1125" s="22" t="s">
        <v>4</v>
      </c>
      <c r="G1125" s="22" t="s">
        <v>77</v>
      </c>
      <c r="H1125" s="22" t="s">
        <v>3</v>
      </c>
      <c r="I1125" s="22" t="s">
        <v>1022</v>
      </c>
      <c r="J1125" s="134" t="s">
        <v>1026</v>
      </c>
      <c r="K1125" s="133"/>
      <c r="L1125" s="133"/>
      <c r="M1125" s="133"/>
      <c r="N1125" s="133"/>
      <c r="O1125" s="135"/>
      <c r="P1125" s="135"/>
      <c r="Q1125" s="135"/>
      <c r="R1125" s="135"/>
      <c r="S1125" s="136">
        <v>22979380</v>
      </c>
      <c r="T1125" s="136">
        <v>1428978.6074669461</v>
      </c>
      <c r="U1125" s="137">
        <f>SUM(U1126)</f>
        <v>0</v>
      </c>
      <c r="V1125" s="137">
        <f>SUM(V1126)</f>
        <v>0</v>
      </c>
      <c r="W1125" s="137">
        <f>SUM(W1126)</f>
        <v>0</v>
      </c>
      <c r="X1125" s="138">
        <f>U1125+V1125+W1125</f>
        <v>0</v>
      </c>
      <c r="Y1125" s="137">
        <f t="shared" ref="Y1125:AS1125" si="369">SUM(Y1126)</f>
        <v>10391.51</v>
      </c>
      <c r="Z1125" s="137">
        <f t="shared" si="369"/>
        <v>0</v>
      </c>
      <c r="AA1125" s="137">
        <f t="shared" si="369"/>
        <v>0</v>
      </c>
      <c r="AB1125" s="137">
        <f t="shared" si="369"/>
        <v>0</v>
      </c>
      <c r="AC1125" s="137">
        <f t="shared" si="369"/>
        <v>32734</v>
      </c>
      <c r="AD1125" s="137">
        <f t="shared" si="369"/>
        <v>0</v>
      </c>
      <c r="AE1125" s="137">
        <f t="shared" si="369"/>
        <v>42500</v>
      </c>
      <c r="AF1125" s="137">
        <f t="shared" si="369"/>
        <v>0</v>
      </c>
      <c r="AG1125" s="137">
        <f t="shared" si="369"/>
        <v>0</v>
      </c>
      <c r="AH1125" s="137">
        <f t="shared" si="369"/>
        <v>68000</v>
      </c>
      <c r="AI1125" s="137">
        <f t="shared" si="369"/>
        <v>0</v>
      </c>
      <c r="AJ1125" s="137">
        <f t="shared" si="369"/>
        <v>0</v>
      </c>
      <c r="AK1125" s="137">
        <f t="shared" si="369"/>
        <v>153625.51</v>
      </c>
      <c r="AL1125" s="137">
        <f t="shared" si="369"/>
        <v>2031627.5</v>
      </c>
      <c r="AM1125" s="137">
        <f t="shared" si="369"/>
        <v>4556510</v>
      </c>
      <c r="AN1125" s="137">
        <f t="shared" si="369"/>
        <v>4556510</v>
      </c>
      <c r="AO1125" s="137">
        <f t="shared" si="369"/>
        <v>4556510</v>
      </c>
      <c r="AP1125" s="137">
        <f t="shared" si="369"/>
        <v>4556510</v>
      </c>
      <c r="AQ1125" s="137">
        <f t="shared" si="369"/>
        <v>1139107.99</v>
      </c>
      <c r="AR1125" s="137">
        <f t="shared" si="369"/>
        <v>0</v>
      </c>
      <c r="AS1125" s="137">
        <f t="shared" si="369"/>
        <v>21550400.999999996</v>
      </c>
      <c r="AT1125" s="137">
        <f>AT1126</f>
        <v>0</v>
      </c>
      <c r="AU1125" s="139">
        <f t="shared" si="367"/>
        <v>21550400.999999996</v>
      </c>
      <c r="AV1125" s="146">
        <f>IFERROR(VLOOKUP(J1125,Maksājumu_pieprasījumu_iesn.!G:BL,57,0),0)</f>
        <v>0</v>
      </c>
      <c r="AW1125" s="139">
        <f t="shared" si="355"/>
        <v>-21550400.999999996</v>
      </c>
      <c r="AX1125" s="140">
        <f>S1125-T1125-AU1125</f>
        <v>0.39253305643796921</v>
      </c>
      <c r="AY1125" s="137"/>
      <c r="AZ1125" s="137"/>
      <c r="BA1125" s="138"/>
      <c r="BB1125" s="140"/>
      <c r="BC1125" s="140">
        <f>X1125+AK1125+AL1125/2</f>
        <v>1169439.26</v>
      </c>
      <c r="BD1125" s="140"/>
      <c r="BE1125" s="140">
        <f>BC1125/0.85</f>
        <v>1375810.8941176471</v>
      </c>
      <c r="BF1125" s="137"/>
      <c r="BG1125" s="137"/>
      <c r="BH1125" s="138">
        <v>0</v>
      </c>
      <c r="BI1125" s="138">
        <v>1760588.5</v>
      </c>
      <c r="BJ1125" s="138"/>
      <c r="BK1125" s="138"/>
      <c r="BL1125" s="138">
        <v>3466911</v>
      </c>
      <c r="BM1125" s="138"/>
      <c r="BN1125" s="138"/>
    </row>
    <row r="1126" spans="1:66" ht="25.5" hidden="1" customHeight="1" x14ac:dyDescent="0.2">
      <c r="A1126" s="142" t="s">
        <v>2104</v>
      </c>
      <c r="B1126" s="18" t="s">
        <v>313</v>
      </c>
      <c r="C1126" s="18" t="s">
        <v>314</v>
      </c>
      <c r="D1126" s="19" t="s">
        <v>591</v>
      </c>
      <c r="E1126" s="18" t="s">
        <v>3</v>
      </c>
      <c r="F1126" s="18" t="s">
        <v>4</v>
      </c>
      <c r="G1126" s="18" t="s">
        <v>77</v>
      </c>
      <c r="H1126" s="18" t="s">
        <v>3</v>
      </c>
      <c r="I1126" s="18"/>
      <c r="J1126" s="18" t="s">
        <v>315</v>
      </c>
      <c r="K1126" s="19" t="s">
        <v>7</v>
      </c>
      <c r="L1126" s="19"/>
      <c r="M1126" s="19"/>
      <c r="N1126" s="19" t="s">
        <v>316</v>
      </c>
      <c r="O1126" s="143"/>
      <c r="P1126" s="143"/>
      <c r="Q1126" s="143"/>
      <c r="R1126" s="143">
        <v>42727</v>
      </c>
      <c r="S1126" s="144">
        <v>21550401</v>
      </c>
      <c r="T1126" s="144"/>
      <c r="U1126" s="145">
        <v>0</v>
      </c>
      <c r="V1126" s="145">
        <v>0</v>
      </c>
      <c r="W1126" s="145">
        <v>0</v>
      </c>
      <c r="X1126" s="145">
        <f>W1126+V1126+U1126</f>
        <v>0</v>
      </c>
      <c r="Y1126" s="145">
        <v>10391.51</v>
      </c>
      <c r="Z1126" s="145">
        <v>0</v>
      </c>
      <c r="AA1126" s="145">
        <v>0</v>
      </c>
      <c r="AB1126" s="145">
        <v>0</v>
      </c>
      <c r="AC1126" s="145">
        <v>32734</v>
      </c>
      <c r="AD1126" s="166">
        <v>0</v>
      </c>
      <c r="AE1126" s="166">
        <v>42500</v>
      </c>
      <c r="AF1126" s="145">
        <v>0</v>
      </c>
      <c r="AG1126" s="145">
        <v>0</v>
      </c>
      <c r="AH1126" s="145">
        <v>68000</v>
      </c>
      <c r="AI1126" s="145">
        <v>0</v>
      </c>
      <c r="AJ1126" s="145">
        <v>0</v>
      </c>
      <c r="AK1126" s="145">
        <f>SUM(Y1126:AJ1126)</f>
        <v>153625.51</v>
      </c>
      <c r="AL1126" s="145">
        <v>2031627.5</v>
      </c>
      <c r="AM1126" s="145">
        <v>4556510</v>
      </c>
      <c r="AN1126" s="145">
        <v>4556510</v>
      </c>
      <c r="AO1126" s="145">
        <v>4556510</v>
      </c>
      <c r="AP1126" s="145">
        <v>4556510</v>
      </c>
      <c r="AQ1126" s="145">
        <v>1139107.99</v>
      </c>
      <c r="AR1126" s="145">
        <v>0</v>
      </c>
      <c r="AS1126" s="144">
        <f>U1126+V1126+W1126+AK1126+AL1126+AM1126+AN1126+AO1126+AP1126+AQ1126+AR1126</f>
        <v>21550400.999999996</v>
      </c>
      <c r="AT1126" s="144">
        <v>0</v>
      </c>
      <c r="AU1126" s="146">
        <f t="shared" si="367"/>
        <v>21550400.999999996</v>
      </c>
      <c r="AV1126" s="146">
        <f>IFERROR(VLOOKUP(J1126,Maksājumu_pieprasījumu_iesn.!G:BL,57,0),0)</f>
        <v>0</v>
      </c>
      <c r="AW1126" s="139">
        <f t="shared" si="355"/>
        <v>-21550400.999999996</v>
      </c>
      <c r="AX1126" s="147"/>
      <c r="AY1126" s="147"/>
      <c r="AZ1126" s="147"/>
      <c r="BA1126" s="149"/>
      <c r="BB1126" s="144"/>
      <c r="BC1126" s="144"/>
      <c r="BD1126" s="144"/>
      <c r="BE1126" s="144"/>
      <c r="BF1126" s="144"/>
      <c r="BG1126" s="144"/>
      <c r="BH1126" s="149"/>
      <c r="BI1126" s="149"/>
      <c r="BJ1126" s="149"/>
      <c r="BK1126" s="149"/>
      <c r="BL1126" s="149"/>
      <c r="BM1126" s="149"/>
      <c r="BN1126" s="149"/>
    </row>
    <row r="1127" spans="1:66" s="91" customFormat="1" ht="25.5" hidden="1" x14ac:dyDescent="0.2">
      <c r="A1127" s="127" t="s">
        <v>2104</v>
      </c>
      <c r="B1127" s="127" t="s">
        <v>317</v>
      </c>
      <c r="C1127" s="127" t="s">
        <v>1023</v>
      </c>
      <c r="D1127" s="128" t="s">
        <v>592</v>
      </c>
      <c r="E1127" s="127"/>
      <c r="F1127" s="127"/>
      <c r="G1127" s="127" t="s">
        <v>77</v>
      </c>
      <c r="H1127" s="127"/>
      <c r="I1127" s="127"/>
      <c r="J1127" s="127"/>
      <c r="K1127" s="128"/>
      <c r="L1127" s="128"/>
      <c r="M1127" s="128"/>
      <c r="N1127" s="128"/>
      <c r="O1127" s="163"/>
      <c r="P1127" s="163"/>
      <c r="Q1127" s="163"/>
      <c r="R1127" s="163"/>
      <c r="S1127" s="164">
        <f>S1128</f>
        <v>18646580</v>
      </c>
      <c r="T1127" s="164">
        <f>T1128</f>
        <v>1159542.3341456992</v>
      </c>
      <c r="U1127" s="164">
        <f>U1128</f>
        <v>0</v>
      </c>
      <c r="V1127" s="164">
        <f>V1128</f>
        <v>0</v>
      </c>
      <c r="W1127" s="164">
        <f>W1128</f>
        <v>0</v>
      </c>
      <c r="X1127" s="129">
        <f>U1127+V1127+W1127</f>
        <v>0</v>
      </c>
      <c r="Y1127" s="164">
        <f t="shared" ref="Y1127:AT1127" si="370">Y1128</f>
        <v>0</v>
      </c>
      <c r="Z1127" s="164">
        <f t="shared" si="370"/>
        <v>18015.939999999999</v>
      </c>
      <c r="AA1127" s="164">
        <f t="shared" si="370"/>
        <v>0</v>
      </c>
      <c r="AB1127" s="164">
        <f t="shared" si="370"/>
        <v>0</v>
      </c>
      <c r="AC1127" s="164">
        <f t="shared" si="370"/>
        <v>90791.7</v>
      </c>
      <c r="AD1127" s="164">
        <f t="shared" si="370"/>
        <v>0</v>
      </c>
      <c r="AE1127" s="164">
        <f t="shared" si="370"/>
        <v>0</v>
      </c>
      <c r="AF1127" s="164">
        <f t="shared" si="370"/>
        <v>425000</v>
      </c>
      <c r="AG1127" s="164">
        <f t="shared" si="370"/>
        <v>0</v>
      </c>
      <c r="AH1127" s="164">
        <f t="shared" si="370"/>
        <v>0</v>
      </c>
      <c r="AI1127" s="164">
        <f t="shared" si="370"/>
        <v>425000</v>
      </c>
      <c r="AJ1127" s="164">
        <f t="shared" si="370"/>
        <v>0</v>
      </c>
      <c r="AK1127" s="164">
        <f>AK1128</f>
        <v>958807.64</v>
      </c>
      <c r="AL1127" s="164">
        <f t="shared" si="370"/>
        <v>5586598.3799999999</v>
      </c>
      <c r="AM1127" s="164">
        <f t="shared" si="370"/>
        <v>2586674.14</v>
      </c>
      <c r="AN1127" s="164">
        <f t="shared" si="370"/>
        <v>2375255.4</v>
      </c>
      <c r="AO1127" s="164">
        <f t="shared" si="370"/>
        <v>2117832.9</v>
      </c>
      <c r="AP1127" s="164">
        <f t="shared" si="370"/>
        <v>1948682.9</v>
      </c>
      <c r="AQ1127" s="164">
        <f t="shared" si="370"/>
        <v>1913186.64</v>
      </c>
      <c r="AR1127" s="164">
        <f t="shared" si="370"/>
        <v>0</v>
      </c>
      <c r="AS1127" s="164">
        <f>AS1128</f>
        <v>17487038</v>
      </c>
      <c r="AT1127" s="164">
        <f t="shared" si="370"/>
        <v>0</v>
      </c>
      <c r="AU1127" s="183">
        <f>AS1127-AT1127</f>
        <v>17487038</v>
      </c>
      <c r="AV1127" s="146">
        <f>IFERROR(VLOOKUP(J1127,Maksājumu_pieprasījumu_iesn.!G:BL,57,0),0)</f>
        <v>0</v>
      </c>
      <c r="AW1127" s="139">
        <f t="shared" si="355"/>
        <v>-17487038</v>
      </c>
      <c r="AX1127" s="164">
        <f>AX1128</f>
        <v>-0.33414569869637489</v>
      </c>
      <c r="AY1127" s="164"/>
      <c r="AZ1127" s="164"/>
      <c r="BA1127" s="164"/>
      <c r="BB1127" s="164">
        <f>BB1128</f>
        <v>0</v>
      </c>
      <c r="BC1127" s="164">
        <f>BC1128</f>
        <v>3752106.83</v>
      </c>
      <c r="BD1127" s="164">
        <f>BC1127*0.94</f>
        <v>3526980.4202000001</v>
      </c>
      <c r="BE1127" s="129">
        <f>BD1127/0.85</f>
        <v>4149388.729647059</v>
      </c>
      <c r="BF1127" s="164">
        <f>BF1128</f>
        <v>0</v>
      </c>
      <c r="BG1127" s="164">
        <f>BG1128</f>
        <v>0</v>
      </c>
      <c r="BH1127" s="129">
        <f>BH1128</f>
        <v>0</v>
      </c>
      <c r="BI1127" s="129">
        <f>BI1128</f>
        <v>1477844.6240000001</v>
      </c>
      <c r="BJ1127" s="129">
        <f>AK1127*0.94</f>
        <v>901279.18160000001</v>
      </c>
      <c r="BK1127" s="129">
        <f>BJ1127-BI1127</f>
        <v>-576565.44240000006</v>
      </c>
      <c r="BL1127" s="129">
        <f>BL1128</f>
        <v>2826010.2156835701</v>
      </c>
      <c r="BM1127" s="129">
        <f>AL1127*0.94</f>
        <v>5251402.4771999996</v>
      </c>
      <c r="BN1127" s="129">
        <f>BM1127-BL1127</f>
        <v>2425392.2615164295</v>
      </c>
    </row>
    <row r="1128" spans="1:66" s="91" customFormat="1" ht="25.5" hidden="1" customHeight="1" x14ac:dyDescent="0.2">
      <c r="A1128" s="131" t="s">
        <v>2104</v>
      </c>
      <c r="B1128" s="132" t="s">
        <v>317</v>
      </c>
      <c r="C1128" s="132" t="s">
        <v>318</v>
      </c>
      <c r="D1128" s="133" t="s">
        <v>592</v>
      </c>
      <c r="E1128" s="22" t="s">
        <v>3</v>
      </c>
      <c r="F1128" s="22" t="s">
        <v>4</v>
      </c>
      <c r="G1128" s="22" t="s">
        <v>77</v>
      </c>
      <c r="H1128" s="22" t="s">
        <v>3</v>
      </c>
      <c r="I1128" s="22" t="s">
        <v>1022</v>
      </c>
      <c r="J1128" s="134" t="s">
        <v>1026</v>
      </c>
      <c r="K1128" s="133"/>
      <c r="L1128" s="133"/>
      <c r="M1128" s="133"/>
      <c r="N1128" s="133"/>
      <c r="O1128" s="135"/>
      <c r="P1128" s="135"/>
      <c r="Q1128" s="135"/>
      <c r="R1128" s="135"/>
      <c r="S1128" s="136">
        <v>18646580</v>
      </c>
      <c r="T1128" s="136">
        <v>1159542.3341456992</v>
      </c>
      <c r="U1128" s="137">
        <f>SUM(U1129)</f>
        <v>0</v>
      </c>
      <c r="V1128" s="137">
        <f>SUM(V1129)</f>
        <v>0</v>
      </c>
      <c r="W1128" s="137">
        <f>SUM(W1129)</f>
        <v>0</v>
      </c>
      <c r="X1128" s="138">
        <f>U1128+V1128+W1128</f>
        <v>0</v>
      </c>
      <c r="Y1128" s="137">
        <f t="shared" ref="Y1128:AR1128" si="371">SUM(Y1129)</f>
        <v>0</v>
      </c>
      <c r="Z1128" s="137">
        <f t="shared" si="371"/>
        <v>18015.939999999999</v>
      </c>
      <c r="AA1128" s="137">
        <f t="shared" si="371"/>
        <v>0</v>
      </c>
      <c r="AB1128" s="137">
        <f t="shared" si="371"/>
        <v>0</v>
      </c>
      <c r="AC1128" s="137">
        <f t="shared" si="371"/>
        <v>90791.7</v>
      </c>
      <c r="AD1128" s="137">
        <f t="shared" si="371"/>
        <v>0</v>
      </c>
      <c r="AE1128" s="137">
        <f t="shared" si="371"/>
        <v>0</v>
      </c>
      <c r="AF1128" s="137">
        <f t="shared" si="371"/>
        <v>425000</v>
      </c>
      <c r="AG1128" s="137">
        <f t="shared" si="371"/>
        <v>0</v>
      </c>
      <c r="AH1128" s="137">
        <f t="shared" si="371"/>
        <v>0</v>
      </c>
      <c r="AI1128" s="137">
        <f t="shared" si="371"/>
        <v>425000</v>
      </c>
      <c r="AJ1128" s="137">
        <f t="shared" si="371"/>
        <v>0</v>
      </c>
      <c r="AK1128" s="137">
        <f>SUM(AK1129)</f>
        <v>958807.64</v>
      </c>
      <c r="AL1128" s="137">
        <f t="shared" si="371"/>
        <v>5586598.3799999999</v>
      </c>
      <c r="AM1128" s="137">
        <f t="shared" si="371"/>
        <v>2586674.14</v>
      </c>
      <c r="AN1128" s="137">
        <f t="shared" si="371"/>
        <v>2375255.4</v>
      </c>
      <c r="AO1128" s="137">
        <f t="shared" si="371"/>
        <v>2117832.9</v>
      </c>
      <c r="AP1128" s="137">
        <f t="shared" si="371"/>
        <v>1948682.9</v>
      </c>
      <c r="AQ1128" s="137">
        <f t="shared" si="371"/>
        <v>1913186.64</v>
      </c>
      <c r="AR1128" s="137">
        <f t="shared" si="371"/>
        <v>0</v>
      </c>
      <c r="AS1128" s="137">
        <f>U1128+V1128+W1128+AK1128+AL1128+AM1128+AN1128+AO1128+AP1128+AQ1128+AR1128</f>
        <v>17487038</v>
      </c>
      <c r="AT1128" s="137">
        <f>SUM(AT1129)</f>
        <v>0</v>
      </c>
      <c r="AU1128" s="139">
        <f>AS1128-AT1128</f>
        <v>17487038</v>
      </c>
      <c r="AV1128" s="146">
        <f>IFERROR(VLOOKUP(J1128,Maksājumu_pieprasījumu_iesn.!G:BL,57,0),0)</f>
        <v>0</v>
      </c>
      <c r="AW1128" s="139">
        <f t="shared" si="355"/>
        <v>-17487038</v>
      </c>
      <c r="AX1128" s="140">
        <f>S1128-T1128-AU1128</f>
        <v>-0.33414569869637489</v>
      </c>
      <c r="AY1128" s="137"/>
      <c r="AZ1128" s="137"/>
      <c r="BA1128" s="138"/>
      <c r="BB1128" s="140"/>
      <c r="BC1128" s="140">
        <f>X1128+AK1128+AL1128/2</f>
        <v>3752106.83</v>
      </c>
      <c r="BD1128" s="140"/>
      <c r="BE1128" s="140">
        <f>BC1128/0.85</f>
        <v>4414243.3294117646</v>
      </c>
      <c r="BF1128" s="137"/>
      <c r="BG1128" s="137"/>
      <c r="BH1128" s="138">
        <v>0</v>
      </c>
      <c r="BI1128" s="138">
        <v>1477844.6240000001</v>
      </c>
      <c r="BJ1128" s="138"/>
      <c r="BK1128" s="138"/>
      <c r="BL1128" s="138">
        <v>2826010.2156835701</v>
      </c>
      <c r="BM1128" s="138"/>
      <c r="BN1128" s="138"/>
    </row>
    <row r="1129" spans="1:66" ht="51" hidden="1" customHeight="1" x14ac:dyDescent="0.2">
      <c r="A1129" s="142" t="s">
        <v>2104</v>
      </c>
      <c r="B1129" s="18" t="s">
        <v>317</v>
      </c>
      <c r="C1129" s="18" t="s">
        <v>318</v>
      </c>
      <c r="D1129" s="19" t="s">
        <v>592</v>
      </c>
      <c r="E1129" s="18" t="s">
        <v>3</v>
      </c>
      <c r="F1129" s="18" t="s">
        <v>4</v>
      </c>
      <c r="G1129" s="18" t="s">
        <v>77</v>
      </c>
      <c r="H1129" s="18" t="s">
        <v>3</v>
      </c>
      <c r="I1129" s="18"/>
      <c r="J1129" s="18" t="s">
        <v>319</v>
      </c>
      <c r="K1129" s="19" t="s">
        <v>320</v>
      </c>
      <c r="L1129" s="19"/>
      <c r="M1129" s="19"/>
      <c r="N1129" s="19" t="s">
        <v>321</v>
      </c>
      <c r="O1129" s="143"/>
      <c r="P1129" s="143"/>
      <c r="Q1129" s="143"/>
      <c r="R1129" s="143">
        <v>42762</v>
      </c>
      <c r="S1129" s="144">
        <v>17487038</v>
      </c>
      <c r="T1129" s="144"/>
      <c r="U1129" s="145"/>
      <c r="V1129" s="145">
        <v>0</v>
      </c>
      <c r="W1129" s="145">
        <v>0</v>
      </c>
      <c r="X1129" s="145">
        <f>W1129+V1129+U1129</f>
        <v>0</v>
      </c>
      <c r="Y1129" s="145">
        <v>0</v>
      </c>
      <c r="Z1129" s="153">
        <v>18015.939999999999</v>
      </c>
      <c r="AA1129" s="153">
        <v>0</v>
      </c>
      <c r="AB1129" s="153">
        <v>0</v>
      </c>
      <c r="AC1129" s="153">
        <v>90791.7</v>
      </c>
      <c r="AD1129" s="153">
        <v>0</v>
      </c>
      <c r="AE1129" s="145">
        <v>0</v>
      </c>
      <c r="AF1129" s="420">
        <v>425000</v>
      </c>
      <c r="AG1129" s="153">
        <v>0</v>
      </c>
      <c r="AH1129" s="145">
        <v>0</v>
      </c>
      <c r="AI1129" s="153">
        <v>425000</v>
      </c>
      <c r="AJ1129" s="145">
        <v>0</v>
      </c>
      <c r="AK1129" s="153">
        <f>SUM(Y1129:AJ1129)</f>
        <v>958807.64</v>
      </c>
      <c r="AL1129" s="153">
        <v>5586598.3799999999</v>
      </c>
      <c r="AM1129" s="153">
        <v>2586674.14</v>
      </c>
      <c r="AN1129" s="153">
        <v>2375255.4</v>
      </c>
      <c r="AO1129" s="153">
        <v>2117832.9</v>
      </c>
      <c r="AP1129" s="153">
        <v>1948682.9</v>
      </c>
      <c r="AQ1129" s="153">
        <v>1913186.64</v>
      </c>
      <c r="AR1129" s="145">
        <v>0</v>
      </c>
      <c r="AS1129" s="144">
        <f>U1129+V1129+W1129+AK1129+AL1129+AM1129+AN1129+AO1129+AP1129+AQ1129+AR1129</f>
        <v>17487038</v>
      </c>
      <c r="AT1129" s="369"/>
      <c r="AU1129" s="146">
        <f>AS1129-AT1129</f>
        <v>17487038</v>
      </c>
      <c r="AV1129" s="146" t="str">
        <f>IFERROR(VLOOKUP(J1129,Maksājumu_pieprasījumu_iesn.!G:BL,57,0),0)</f>
        <v xml:space="preserve">Sākotnēji  plānotie avansi pārcelti uz vēlāku laiku, jo projekta ieviešanu kavējuši sarežģījumi ieviešanā un par risinājumiem ilgstoši Izglītības un zinātnes ministrijas (IZM) un Latvijas darba devēju konfederācijas (LDDK) nespēja vienoties (par darba vidē balstītu mācību ieviešanu (saturu, ilgumu, formu)). Tas kavējis arī grozījumu izstrādi nozares  normatīvajos aktos, kas nosaka kārtību, kādā organizē un īsteno darba vidē balstītas mācības. Pozitīvi, ka IZM tomēr rada iespēju ņemt vērā LDDK galvenos priekšlikumus un minētie MK noteikumu grozījumi 2017.gada 19.septembrī stājušies spēkā. </v>
      </c>
      <c r="AW1129" s="139" t="e">
        <f t="shared" si="355"/>
        <v>#VALUE!</v>
      </c>
      <c r="AX1129" s="370"/>
      <c r="AY1129" s="203"/>
      <c r="AZ1129" s="203"/>
      <c r="BA1129" s="149"/>
      <c r="BB1129" s="147"/>
      <c r="BC1129" s="147"/>
      <c r="BD1129" s="147"/>
      <c r="BE1129" s="147"/>
      <c r="BF1129" s="147"/>
      <c r="BG1129" s="147"/>
      <c r="BH1129" s="149"/>
      <c r="BI1129" s="149"/>
      <c r="BJ1129" s="149"/>
      <c r="BK1129" s="149"/>
      <c r="BL1129" s="149"/>
      <c r="BM1129" s="149"/>
      <c r="BN1129" s="149"/>
    </row>
    <row r="1130" spans="1:66" ht="51" hidden="1" customHeight="1" x14ac:dyDescent="0.2">
      <c r="A1130" s="142" t="s">
        <v>2104</v>
      </c>
      <c r="B1130" s="18" t="s">
        <v>317</v>
      </c>
      <c r="C1130" s="18" t="s">
        <v>318</v>
      </c>
      <c r="D1130" s="19" t="s">
        <v>592</v>
      </c>
      <c r="E1130" s="18" t="s">
        <v>3</v>
      </c>
      <c r="F1130" s="18" t="s">
        <v>4</v>
      </c>
      <c r="G1130" s="18" t="s">
        <v>77</v>
      </c>
      <c r="H1130" s="18" t="s">
        <v>3</v>
      </c>
      <c r="I1130" s="18"/>
      <c r="J1130" s="18" t="s">
        <v>319</v>
      </c>
      <c r="K1130" s="19" t="s">
        <v>320</v>
      </c>
      <c r="L1130" s="19"/>
      <c r="M1130" s="19"/>
      <c r="N1130" s="19" t="s">
        <v>321</v>
      </c>
      <c r="O1130" s="143" t="s">
        <v>880</v>
      </c>
      <c r="P1130" s="143"/>
      <c r="Q1130" s="143"/>
      <c r="R1130" s="143"/>
      <c r="S1130" s="144"/>
      <c r="T1130" s="144"/>
      <c r="U1130" s="145"/>
      <c r="V1130" s="145"/>
      <c r="W1130" s="145"/>
      <c r="X1130" s="145">
        <f>W1130+V1130+U1130</f>
        <v>0</v>
      </c>
      <c r="Y1130" s="145"/>
      <c r="Z1130" s="153">
        <v>172410.85</v>
      </c>
      <c r="AA1130" s="153"/>
      <c r="AB1130" s="153">
        <v>210310.57</v>
      </c>
      <c r="AC1130" s="153"/>
      <c r="AD1130" s="153">
        <v>127500</v>
      </c>
      <c r="AE1130" s="145"/>
      <c r="AF1130" s="153"/>
      <c r="AG1130" s="153">
        <v>255000</v>
      </c>
      <c r="AH1130" s="145"/>
      <c r="AI1130" s="153"/>
      <c r="AJ1130" s="145"/>
      <c r="AK1130" s="153">
        <f>SUM(Y1130:AJ1130)</f>
        <v>765221.42</v>
      </c>
      <c r="AL1130" s="153">
        <v>1360000</v>
      </c>
      <c r="AM1130" s="153">
        <v>765000</v>
      </c>
      <c r="AN1130" s="153">
        <v>765000</v>
      </c>
      <c r="AO1130" s="153">
        <v>765000</v>
      </c>
      <c r="AP1130" s="153">
        <v>765000</v>
      </c>
      <c r="AQ1130" s="153">
        <v>680000</v>
      </c>
      <c r="AR1130" s="145"/>
      <c r="AS1130" s="86"/>
      <c r="AT1130" s="144">
        <f>U1130+V1130+W1130+AK1130+AL1130+AM1130+AN1130+AO1130+AP1130+AQ1130+AR1130</f>
        <v>5865221.4199999999</v>
      </c>
      <c r="AU1130" s="146"/>
      <c r="AV1130" s="146" t="str">
        <f>IFERROR(VLOOKUP(J1130,Maksājumu_pieprasījumu_iesn.!G:BL,57,0),0)</f>
        <v xml:space="preserve">Sākotnēji  plānotie avansi pārcelti uz vēlāku laiku, jo projekta ieviešanu kavējuši sarežģījumi ieviešanā un par risinājumiem ilgstoši Izglītības un zinātnes ministrijas (IZM) un Latvijas darba devēju konfederācijas (LDDK) nespēja vienoties (par darba vidē balstītu mācību ieviešanu (saturu, ilgumu, formu)). Tas kavējis arī grozījumu izstrādi nozares  normatīvajos aktos, kas nosaka kārtību, kādā organizē un īsteno darba vidē balstītas mācības. Pozitīvi, ka IZM tomēr rada iespēju ņemt vērā LDDK galvenos priekšlikumus un minētie MK noteikumu grozījumi 2017.gada 19.septembrī stājušies spēkā. </v>
      </c>
      <c r="AW1130" s="139" t="e">
        <f t="shared" si="355"/>
        <v>#VALUE!</v>
      </c>
      <c r="AX1130" s="370"/>
      <c r="AY1130" s="203"/>
      <c r="AZ1130" s="203"/>
      <c r="BA1130" s="149"/>
      <c r="BB1130" s="147"/>
      <c r="BC1130" s="147"/>
      <c r="BD1130" s="147"/>
      <c r="BE1130" s="147"/>
      <c r="BF1130" s="147"/>
      <c r="BG1130" s="147"/>
      <c r="BH1130" s="149"/>
      <c r="BI1130" s="149"/>
      <c r="BJ1130" s="149"/>
      <c r="BK1130" s="149"/>
      <c r="BL1130" s="149"/>
      <c r="BM1130" s="149"/>
      <c r="BN1130" s="149"/>
    </row>
    <row r="1131" spans="1:66" s="91" customFormat="1" ht="38.25" hidden="1" x14ac:dyDescent="0.2">
      <c r="A1131" s="127" t="s">
        <v>2104</v>
      </c>
      <c r="B1131" s="127" t="s">
        <v>322</v>
      </c>
      <c r="C1131" s="127" t="s">
        <v>1023</v>
      </c>
      <c r="D1131" s="128" t="s">
        <v>593</v>
      </c>
      <c r="E1131" s="127"/>
      <c r="F1131" s="127"/>
      <c r="G1131" s="127" t="s">
        <v>77</v>
      </c>
      <c r="H1131" s="127"/>
      <c r="I1131" s="127"/>
      <c r="J1131" s="127"/>
      <c r="K1131" s="128"/>
      <c r="L1131" s="128"/>
      <c r="M1131" s="128"/>
      <c r="N1131" s="128"/>
      <c r="O1131" s="163"/>
      <c r="P1131" s="163"/>
      <c r="Q1131" s="163"/>
      <c r="R1131" s="163"/>
      <c r="S1131" s="164">
        <f>S1132</f>
        <v>10996033</v>
      </c>
      <c r="T1131" s="164">
        <f>T1132</f>
        <v>683791.11725384148</v>
      </c>
      <c r="U1131" s="164">
        <f>U1132</f>
        <v>0</v>
      </c>
      <c r="V1131" s="164">
        <f>V1132</f>
        <v>0</v>
      </c>
      <c r="W1131" s="164">
        <f>W1132</f>
        <v>0</v>
      </c>
      <c r="X1131" s="129">
        <f>U1131+V1131+W1131</f>
        <v>0</v>
      </c>
      <c r="Y1131" s="164">
        <f t="shared" ref="Y1131:AT1131" si="372">Y1132</f>
        <v>0</v>
      </c>
      <c r="Z1131" s="164">
        <f t="shared" si="372"/>
        <v>37292</v>
      </c>
      <c r="AA1131" s="164">
        <f t="shared" si="372"/>
        <v>0</v>
      </c>
      <c r="AB1131" s="164">
        <f t="shared" si="372"/>
        <v>52038</v>
      </c>
      <c r="AC1131" s="164">
        <f t="shared" si="372"/>
        <v>0</v>
      </c>
      <c r="AD1131" s="164">
        <f t="shared" si="372"/>
        <v>0</v>
      </c>
      <c r="AE1131" s="164">
        <f t="shared" si="372"/>
        <v>465122.55</v>
      </c>
      <c r="AF1131" s="164">
        <f t="shared" si="372"/>
        <v>0</v>
      </c>
      <c r="AG1131" s="164">
        <f t="shared" si="372"/>
        <v>0</v>
      </c>
      <c r="AH1131" s="164">
        <f t="shared" si="372"/>
        <v>705330</v>
      </c>
      <c r="AI1131" s="164">
        <f t="shared" si="372"/>
        <v>0</v>
      </c>
      <c r="AJ1131" s="164">
        <f t="shared" si="372"/>
        <v>0</v>
      </c>
      <c r="AK1131" s="164">
        <f t="shared" si="372"/>
        <v>1259782.55</v>
      </c>
      <c r="AL1131" s="164">
        <f t="shared" si="372"/>
        <v>5140322</v>
      </c>
      <c r="AM1131" s="164">
        <f t="shared" si="372"/>
        <v>2126881.9</v>
      </c>
      <c r="AN1131" s="164">
        <f t="shared" si="372"/>
        <v>996482.20000000007</v>
      </c>
      <c r="AO1131" s="164">
        <f t="shared" si="372"/>
        <v>692400.65</v>
      </c>
      <c r="AP1131" s="164">
        <f t="shared" si="372"/>
        <v>96372.5</v>
      </c>
      <c r="AQ1131" s="164">
        <f t="shared" si="372"/>
        <v>0</v>
      </c>
      <c r="AR1131" s="164">
        <f t="shared" si="372"/>
        <v>0</v>
      </c>
      <c r="AS1131" s="164">
        <f t="shared" si="372"/>
        <v>10312241.799999999</v>
      </c>
      <c r="AT1131" s="164">
        <f t="shared" si="372"/>
        <v>0</v>
      </c>
      <c r="AU1131" s="183">
        <f t="shared" si="367"/>
        <v>10312241.799999999</v>
      </c>
      <c r="AV1131" s="146">
        <f>IFERROR(VLOOKUP(J1131,Maksājumu_pieprasījumu_iesn.!G:BL,57,0),0)</f>
        <v>0</v>
      </c>
      <c r="AW1131" s="139">
        <f t="shared" si="355"/>
        <v>-10312241.799999999</v>
      </c>
      <c r="AX1131" s="164">
        <f>AX1132</f>
        <v>8.2746159285306931E-2</v>
      </c>
      <c r="AY1131" s="164"/>
      <c r="AZ1131" s="164"/>
      <c r="BA1131" s="164"/>
      <c r="BB1131" s="164">
        <f>BB1132</f>
        <v>0</v>
      </c>
      <c r="BC1131" s="164">
        <f>BC1132</f>
        <v>3829943.55</v>
      </c>
      <c r="BD1131" s="164">
        <f>BC1131*0.94</f>
        <v>3600146.9369999995</v>
      </c>
      <c r="BE1131" s="129">
        <f>BD1131/0.85</f>
        <v>4235466.9847058821</v>
      </c>
      <c r="BF1131" s="164">
        <f>BF1132</f>
        <v>0</v>
      </c>
      <c r="BG1131" s="164">
        <f>BG1132</f>
        <v>0</v>
      </c>
      <c r="BH1131" s="129">
        <f>BH1132</f>
        <v>0</v>
      </c>
      <c r="BI1131" s="129">
        <f>BI1132</f>
        <v>1218524</v>
      </c>
      <c r="BJ1131" s="129">
        <f>AK1131*0.94</f>
        <v>1184195.5970000001</v>
      </c>
      <c r="BK1131" s="129">
        <f>BJ1131-BI1131</f>
        <v>-34328.402999999933</v>
      </c>
      <c r="BL1131" s="129">
        <f>BL1132</f>
        <v>4221563</v>
      </c>
      <c r="BM1131" s="129">
        <f>AL1131*0.94</f>
        <v>4831902.68</v>
      </c>
      <c r="BN1131" s="129">
        <f>BM1131-BL1131</f>
        <v>610339.6799999997</v>
      </c>
    </row>
    <row r="1132" spans="1:66" s="91" customFormat="1" ht="38.25" hidden="1" customHeight="1" x14ac:dyDescent="0.2">
      <c r="A1132" s="131" t="s">
        <v>2104</v>
      </c>
      <c r="B1132" s="132" t="s">
        <v>322</v>
      </c>
      <c r="C1132" s="132" t="s">
        <v>323</v>
      </c>
      <c r="D1132" s="133" t="s">
        <v>593</v>
      </c>
      <c r="E1132" s="22" t="s">
        <v>3</v>
      </c>
      <c r="F1132" s="22" t="s">
        <v>4</v>
      </c>
      <c r="G1132" s="22" t="s">
        <v>77</v>
      </c>
      <c r="H1132" s="22" t="s">
        <v>3</v>
      </c>
      <c r="I1132" s="22" t="s">
        <v>1022</v>
      </c>
      <c r="J1132" s="134" t="s">
        <v>1026</v>
      </c>
      <c r="K1132" s="133"/>
      <c r="L1132" s="133"/>
      <c r="M1132" s="133"/>
      <c r="N1132" s="133"/>
      <c r="O1132" s="135"/>
      <c r="P1132" s="135"/>
      <c r="Q1132" s="135"/>
      <c r="R1132" s="135"/>
      <c r="S1132" s="136">
        <v>10996033</v>
      </c>
      <c r="T1132" s="136">
        <v>683791.11725384148</v>
      </c>
      <c r="U1132" s="137">
        <f>SUM(U1133)</f>
        <v>0</v>
      </c>
      <c r="V1132" s="137">
        <f>SUM(V1133)</f>
        <v>0</v>
      </c>
      <c r="W1132" s="137">
        <f>SUM(W1133)</f>
        <v>0</v>
      </c>
      <c r="X1132" s="138">
        <f>U1132+V1132+W1132</f>
        <v>0</v>
      </c>
      <c r="Y1132" s="137">
        <f t="shared" ref="Y1132:AR1132" si="373">SUM(Y1133)</f>
        <v>0</v>
      </c>
      <c r="Z1132" s="137">
        <f t="shared" si="373"/>
        <v>37292</v>
      </c>
      <c r="AA1132" s="137">
        <f t="shared" si="373"/>
        <v>0</v>
      </c>
      <c r="AB1132" s="137">
        <f t="shared" si="373"/>
        <v>52038</v>
      </c>
      <c r="AC1132" s="137">
        <f t="shared" si="373"/>
        <v>0</v>
      </c>
      <c r="AD1132" s="137">
        <f t="shared" si="373"/>
        <v>0</v>
      </c>
      <c r="AE1132" s="137">
        <f t="shared" si="373"/>
        <v>465122.55</v>
      </c>
      <c r="AF1132" s="137">
        <f t="shared" si="373"/>
        <v>0</v>
      </c>
      <c r="AG1132" s="137">
        <f t="shared" si="373"/>
        <v>0</v>
      </c>
      <c r="AH1132" s="137">
        <f t="shared" si="373"/>
        <v>705330</v>
      </c>
      <c r="AI1132" s="137">
        <f t="shared" si="373"/>
        <v>0</v>
      </c>
      <c r="AJ1132" s="137">
        <f t="shared" si="373"/>
        <v>0</v>
      </c>
      <c r="AK1132" s="137">
        <f t="shared" si="373"/>
        <v>1259782.55</v>
      </c>
      <c r="AL1132" s="137">
        <f t="shared" si="373"/>
        <v>5140322</v>
      </c>
      <c r="AM1132" s="137">
        <f t="shared" si="373"/>
        <v>2126881.9</v>
      </c>
      <c r="AN1132" s="137">
        <f t="shared" si="373"/>
        <v>996482.20000000007</v>
      </c>
      <c r="AO1132" s="137">
        <f t="shared" si="373"/>
        <v>692400.65</v>
      </c>
      <c r="AP1132" s="137">
        <f t="shared" si="373"/>
        <v>96372.5</v>
      </c>
      <c r="AQ1132" s="137">
        <f t="shared" si="373"/>
        <v>0</v>
      </c>
      <c r="AR1132" s="137">
        <f t="shared" si="373"/>
        <v>0</v>
      </c>
      <c r="AS1132" s="137">
        <f>U1132+V1132+W1132+AK1132+AL1132+AM1132+AN1132+AO1132+AP1132+AQ1132+AR1132</f>
        <v>10312241.799999999</v>
      </c>
      <c r="AT1132" s="137">
        <f>AT1133</f>
        <v>0</v>
      </c>
      <c r="AU1132" s="139">
        <f t="shared" si="367"/>
        <v>10312241.799999999</v>
      </c>
      <c r="AV1132" s="146">
        <f>IFERROR(VLOOKUP(J1132,Maksājumu_pieprasījumu_iesn.!G:BL,57,0),0)</f>
        <v>0</v>
      </c>
      <c r="AW1132" s="139">
        <f t="shared" si="355"/>
        <v>-10312241.799999999</v>
      </c>
      <c r="AX1132" s="140">
        <f>S1132-T1132-AU1132</f>
        <v>8.2746159285306931E-2</v>
      </c>
      <c r="AY1132" s="137"/>
      <c r="AZ1132" s="137"/>
      <c r="BA1132" s="138"/>
      <c r="BB1132" s="140"/>
      <c r="BC1132" s="140">
        <f>X1132+AK1132+AL1132/2</f>
        <v>3829943.55</v>
      </c>
      <c r="BD1132" s="140"/>
      <c r="BE1132" s="140">
        <f>BC1132/0.85</f>
        <v>4505815.9411764704</v>
      </c>
      <c r="BF1132" s="137"/>
      <c r="BG1132" s="137"/>
      <c r="BH1132" s="138">
        <v>0</v>
      </c>
      <c r="BI1132" s="138">
        <v>1218524</v>
      </c>
      <c r="BJ1132" s="138"/>
      <c r="BK1132" s="138"/>
      <c r="BL1132" s="138">
        <v>4221563</v>
      </c>
      <c r="BM1132" s="138"/>
      <c r="BN1132" s="138"/>
    </row>
    <row r="1133" spans="1:66" ht="38.25" hidden="1" customHeight="1" x14ac:dyDescent="0.2">
      <c r="A1133" s="142" t="s">
        <v>2104</v>
      </c>
      <c r="B1133" s="18" t="s">
        <v>322</v>
      </c>
      <c r="C1133" s="18" t="s">
        <v>323</v>
      </c>
      <c r="D1133" s="19" t="s">
        <v>593</v>
      </c>
      <c r="E1133" s="18" t="s">
        <v>3</v>
      </c>
      <c r="F1133" s="18" t="s">
        <v>4</v>
      </c>
      <c r="G1133" s="18" t="s">
        <v>77</v>
      </c>
      <c r="H1133" s="18" t="s">
        <v>3</v>
      </c>
      <c r="I1133" s="18"/>
      <c r="J1133" s="18" t="s">
        <v>324</v>
      </c>
      <c r="K1133" s="19" t="s">
        <v>285</v>
      </c>
      <c r="L1133" s="19"/>
      <c r="M1133" s="19"/>
      <c r="N1133" s="19" t="s">
        <v>325</v>
      </c>
      <c r="O1133" s="143"/>
      <c r="P1133" s="143"/>
      <c r="Q1133" s="143"/>
      <c r="R1133" s="143">
        <v>42720</v>
      </c>
      <c r="S1133" s="144">
        <v>10312242</v>
      </c>
      <c r="T1133" s="144"/>
      <c r="U1133" s="145">
        <v>0</v>
      </c>
      <c r="V1133" s="145">
        <v>0</v>
      </c>
      <c r="W1133" s="145">
        <v>0</v>
      </c>
      <c r="X1133" s="145">
        <f>W1133+V1133+U1133</f>
        <v>0</v>
      </c>
      <c r="Y1133" s="145">
        <v>0</v>
      </c>
      <c r="Z1133" s="153">
        <v>37292</v>
      </c>
      <c r="AA1133" s="153">
        <v>0</v>
      </c>
      <c r="AB1133" s="153">
        <v>52038</v>
      </c>
      <c r="AC1133" s="145">
        <v>0</v>
      </c>
      <c r="AD1133" s="166">
        <v>0</v>
      </c>
      <c r="AE1133" s="166">
        <v>465122.55</v>
      </c>
      <c r="AF1133" s="145">
        <v>0</v>
      </c>
      <c r="AG1133" s="145">
        <v>0</v>
      </c>
      <c r="AH1133" s="145">
        <v>705330</v>
      </c>
      <c r="AI1133" s="145">
        <v>0</v>
      </c>
      <c r="AJ1133" s="145">
        <v>0</v>
      </c>
      <c r="AK1133" s="153">
        <f>SUM(Y1133:AJ1133)</f>
        <v>1259782.55</v>
      </c>
      <c r="AL1133" s="153">
        <v>5140322</v>
      </c>
      <c r="AM1133" s="145">
        <v>2126881.9</v>
      </c>
      <c r="AN1133" s="145">
        <v>996482.20000000007</v>
      </c>
      <c r="AO1133" s="145">
        <v>692400.65</v>
      </c>
      <c r="AP1133" s="153">
        <v>96372.5</v>
      </c>
      <c r="AQ1133" s="145">
        <v>0</v>
      </c>
      <c r="AR1133" s="145">
        <v>0</v>
      </c>
      <c r="AS1133" s="144">
        <f>U1133+V1133+W1133+AK1133+AL1133+AM1133+AN1133+AO1133+AP1133+AQ1133+AR1133</f>
        <v>10312241.799999999</v>
      </c>
      <c r="AT1133" s="144">
        <v>0</v>
      </c>
      <c r="AU1133" s="146">
        <f t="shared" si="367"/>
        <v>10312241.799999999</v>
      </c>
      <c r="AV1133" s="146" t="str">
        <f>IFERROR(VLOOKUP(J1133,Maksājumu_pieprasījumu_iesn.!G:BL,57,0),0)</f>
        <v xml:space="preserve">Ietekmē novēlotā projekta īstenošanas uzsākšana. Kavējas arī iepirkumu līgumu slēgšana, jo vienu no iepirkumiem (vairākās daļās) nācies izsludināt atkārtoti. </v>
      </c>
      <c r="AW1133" s="139" t="e">
        <f t="shared" si="355"/>
        <v>#VALUE!</v>
      </c>
      <c r="AX1133" s="147"/>
      <c r="AY1133" s="147"/>
      <c r="AZ1133" s="147"/>
      <c r="BA1133" s="149"/>
      <c r="BB1133" s="147"/>
      <c r="BC1133" s="147"/>
      <c r="BD1133" s="147"/>
      <c r="BE1133" s="147"/>
      <c r="BF1133" s="147"/>
      <c r="BG1133" s="147"/>
      <c r="BH1133" s="149"/>
      <c r="BI1133" s="149"/>
      <c r="BJ1133" s="149"/>
      <c r="BK1133" s="149"/>
      <c r="BL1133" s="149"/>
      <c r="BM1133" s="149"/>
      <c r="BN1133" s="149"/>
    </row>
    <row r="1134" spans="1:66" s="91" customFormat="1" ht="25.5" hidden="1" x14ac:dyDescent="0.2">
      <c r="A1134" s="127" t="s">
        <v>2104</v>
      </c>
      <c r="B1134" s="127" t="s">
        <v>326</v>
      </c>
      <c r="C1134" s="127" t="s">
        <v>1023</v>
      </c>
      <c r="D1134" s="128" t="s">
        <v>594</v>
      </c>
      <c r="E1134" s="127"/>
      <c r="F1134" s="127"/>
      <c r="G1134" s="127" t="s">
        <v>77</v>
      </c>
      <c r="H1134" s="127"/>
      <c r="I1134" s="127"/>
      <c r="J1134" s="127"/>
      <c r="K1134" s="128"/>
      <c r="L1134" s="128"/>
      <c r="M1134" s="128"/>
      <c r="N1134" s="128"/>
      <c r="O1134" s="163"/>
      <c r="P1134" s="163"/>
      <c r="Q1134" s="163"/>
      <c r="R1134" s="163"/>
      <c r="S1134" s="164">
        <f>S1135</f>
        <v>5516580</v>
      </c>
      <c r="T1134" s="164">
        <f>T1135</f>
        <v>343049.93461007229</v>
      </c>
      <c r="U1134" s="164">
        <f>U1135</f>
        <v>0</v>
      </c>
      <c r="V1134" s="164">
        <f>V1135</f>
        <v>0</v>
      </c>
      <c r="W1134" s="164">
        <f>W1135</f>
        <v>0</v>
      </c>
      <c r="X1134" s="129">
        <f>U1134+V1134+W1134</f>
        <v>0</v>
      </c>
      <c r="Y1134" s="164">
        <f t="shared" ref="Y1134:AT1134" si="374">Y1135</f>
        <v>32952.800000000003</v>
      </c>
      <c r="Z1134" s="164">
        <f t="shared" si="374"/>
        <v>0</v>
      </c>
      <c r="AA1134" s="164">
        <f t="shared" si="374"/>
        <v>0</v>
      </c>
      <c r="AB1134" s="164">
        <f t="shared" si="374"/>
        <v>256394.85</v>
      </c>
      <c r="AC1134" s="164">
        <f t="shared" si="374"/>
        <v>0</v>
      </c>
      <c r="AD1134" s="164">
        <f t="shared" si="374"/>
        <v>0</v>
      </c>
      <c r="AE1134" s="164">
        <f t="shared" si="374"/>
        <v>178701.45</v>
      </c>
      <c r="AF1134" s="164">
        <f t="shared" si="374"/>
        <v>0</v>
      </c>
      <c r="AG1134" s="164">
        <f t="shared" si="374"/>
        <v>0</v>
      </c>
      <c r="AH1134" s="164">
        <f t="shared" si="374"/>
        <v>153296.65</v>
      </c>
      <c r="AI1134" s="164">
        <f t="shared" si="374"/>
        <v>0</v>
      </c>
      <c r="AJ1134" s="164">
        <f t="shared" si="374"/>
        <v>0</v>
      </c>
      <c r="AK1134" s="164">
        <f t="shared" si="374"/>
        <v>621345.75</v>
      </c>
      <c r="AL1134" s="164">
        <f t="shared" si="374"/>
        <v>886513.45</v>
      </c>
      <c r="AM1134" s="164">
        <f t="shared" si="374"/>
        <v>960999.8</v>
      </c>
      <c r="AN1134" s="164">
        <f t="shared" si="374"/>
        <v>1039217.65</v>
      </c>
      <c r="AO1134" s="164">
        <f t="shared" si="374"/>
        <v>807905.45</v>
      </c>
      <c r="AP1134" s="164">
        <f t="shared" si="374"/>
        <v>714584.8</v>
      </c>
      <c r="AQ1134" s="164">
        <f t="shared" si="374"/>
        <v>142963.1</v>
      </c>
      <c r="AR1134" s="164">
        <f t="shared" si="374"/>
        <v>0</v>
      </c>
      <c r="AS1134" s="164">
        <f t="shared" si="374"/>
        <v>5173529.9999999991</v>
      </c>
      <c r="AT1134" s="164">
        <f t="shared" si="374"/>
        <v>0</v>
      </c>
      <c r="AU1134" s="183">
        <f t="shared" si="367"/>
        <v>5173529.9999999991</v>
      </c>
      <c r="AV1134" s="146">
        <f>IFERROR(VLOOKUP(J1134,Maksājumu_pieprasījumu_iesn.!G:BL,57,0),0)</f>
        <v>0</v>
      </c>
      <c r="AW1134" s="139">
        <f t="shared" si="355"/>
        <v>-5173529.9999999991</v>
      </c>
      <c r="AX1134" s="164">
        <f>AX1135</f>
        <v>6.5389928407967091E-2</v>
      </c>
      <c r="AY1134" s="164"/>
      <c r="AZ1134" s="164"/>
      <c r="BA1134" s="164"/>
      <c r="BB1134" s="164">
        <f>BB1135</f>
        <v>0</v>
      </c>
      <c r="BC1134" s="164">
        <f>BC1135</f>
        <v>1064602.4750000001</v>
      </c>
      <c r="BD1134" s="164">
        <f>BC1134*0.94</f>
        <v>1000726.3265000001</v>
      </c>
      <c r="BE1134" s="129">
        <f>BD1134/0.85</f>
        <v>1177325.0900000001</v>
      </c>
      <c r="BF1134" s="164">
        <f>BF1135</f>
        <v>0</v>
      </c>
      <c r="BG1134" s="164">
        <f>BG1135</f>
        <v>0</v>
      </c>
      <c r="BH1134" s="129">
        <f>BH1135</f>
        <v>0</v>
      </c>
      <c r="BI1134" s="129">
        <f>BI1135</f>
        <v>478887</v>
      </c>
      <c r="BJ1134" s="129">
        <f>AK1134*0.94</f>
        <v>584065.005</v>
      </c>
      <c r="BK1134" s="129">
        <f>BJ1134-BI1134</f>
        <v>105178.005</v>
      </c>
      <c r="BL1134" s="129">
        <f>BL1135</f>
        <v>728572.13097023405</v>
      </c>
      <c r="BM1134" s="129">
        <f>AL1134*0.94</f>
        <v>833322.64299999992</v>
      </c>
      <c r="BN1134" s="129">
        <f>BM1134-BL1134</f>
        <v>104750.51202976587</v>
      </c>
    </row>
    <row r="1135" spans="1:66" s="91" customFormat="1" ht="25.5" hidden="1" customHeight="1" x14ac:dyDescent="0.2">
      <c r="A1135" s="131" t="s">
        <v>2104</v>
      </c>
      <c r="B1135" s="132" t="s">
        <v>326</v>
      </c>
      <c r="C1135" s="132" t="s">
        <v>327</v>
      </c>
      <c r="D1135" s="133" t="s">
        <v>594</v>
      </c>
      <c r="E1135" s="22" t="s">
        <v>3</v>
      </c>
      <c r="F1135" s="22" t="s">
        <v>4</v>
      </c>
      <c r="G1135" s="22" t="s">
        <v>77</v>
      </c>
      <c r="H1135" s="22" t="s">
        <v>3</v>
      </c>
      <c r="I1135" s="22" t="s">
        <v>1022</v>
      </c>
      <c r="J1135" s="134" t="s">
        <v>1026</v>
      </c>
      <c r="K1135" s="133"/>
      <c r="L1135" s="133"/>
      <c r="M1135" s="133"/>
      <c r="N1135" s="133"/>
      <c r="O1135" s="135"/>
      <c r="P1135" s="135"/>
      <c r="Q1135" s="135"/>
      <c r="R1135" s="135"/>
      <c r="S1135" s="136">
        <v>5516580</v>
      </c>
      <c r="T1135" s="136">
        <v>343049.93461007229</v>
      </c>
      <c r="U1135" s="137">
        <f>SUM(U1136)</f>
        <v>0</v>
      </c>
      <c r="V1135" s="137">
        <f>SUM(V1136)</f>
        <v>0</v>
      </c>
      <c r="W1135" s="137">
        <f>SUM(W1136)</f>
        <v>0</v>
      </c>
      <c r="X1135" s="138">
        <f>U1135+V1135+W1135</f>
        <v>0</v>
      </c>
      <c r="Y1135" s="137">
        <f t="shared" ref="Y1135:AR1135" si="375">SUM(Y1136)</f>
        <v>32952.800000000003</v>
      </c>
      <c r="Z1135" s="137">
        <f t="shared" si="375"/>
        <v>0</v>
      </c>
      <c r="AA1135" s="137">
        <f t="shared" si="375"/>
        <v>0</v>
      </c>
      <c r="AB1135" s="137">
        <f t="shared" si="375"/>
        <v>256394.85</v>
      </c>
      <c r="AC1135" s="137">
        <f t="shared" si="375"/>
        <v>0</v>
      </c>
      <c r="AD1135" s="137">
        <f t="shared" si="375"/>
        <v>0</v>
      </c>
      <c r="AE1135" s="137">
        <f t="shared" si="375"/>
        <v>178701.45</v>
      </c>
      <c r="AF1135" s="137">
        <f t="shared" si="375"/>
        <v>0</v>
      </c>
      <c r="AG1135" s="137">
        <f t="shared" si="375"/>
        <v>0</v>
      </c>
      <c r="AH1135" s="137">
        <f t="shared" si="375"/>
        <v>153296.65</v>
      </c>
      <c r="AI1135" s="137">
        <f t="shared" si="375"/>
        <v>0</v>
      </c>
      <c r="AJ1135" s="137">
        <f t="shared" si="375"/>
        <v>0</v>
      </c>
      <c r="AK1135" s="137">
        <f t="shared" si="375"/>
        <v>621345.75</v>
      </c>
      <c r="AL1135" s="137">
        <f t="shared" si="375"/>
        <v>886513.45</v>
      </c>
      <c r="AM1135" s="137">
        <f t="shared" si="375"/>
        <v>960999.8</v>
      </c>
      <c r="AN1135" s="137">
        <f t="shared" si="375"/>
        <v>1039217.65</v>
      </c>
      <c r="AO1135" s="137">
        <f t="shared" si="375"/>
        <v>807905.45</v>
      </c>
      <c r="AP1135" s="137">
        <f t="shared" si="375"/>
        <v>714584.8</v>
      </c>
      <c r="AQ1135" s="137">
        <f t="shared" si="375"/>
        <v>142963.1</v>
      </c>
      <c r="AR1135" s="137">
        <f t="shared" si="375"/>
        <v>0</v>
      </c>
      <c r="AS1135" s="137">
        <f>U1135+V1135+W1135+AK1135+AL1135+AM1135+AN1135+AO1135+AP1135+AQ1135+AR1135</f>
        <v>5173529.9999999991</v>
      </c>
      <c r="AT1135" s="137">
        <f>AT1136</f>
        <v>0</v>
      </c>
      <c r="AU1135" s="139">
        <f t="shared" si="367"/>
        <v>5173529.9999999991</v>
      </c>
      <c r="AV1135" s="146">
        <f>IFERROR(VLOOKUP(J1135,Maksājumu_pieprasījumu_iesn.!G:BL,57,0),0)</f>
        <v>0</v>
      </c>
      <c r="AW1135" s="139">
        <f t="shared" si="355"/>
        <v>-5173529.9999999991</v>
      </c>
      <c r="AX1135" s="140">
        <f>S1135-T1135-AU1135</f>
        <v>6.5389928407967091E-2</v>
      </c>
      <c r="AY1135" s="137"/>
      <c r="AZ1135" s="137"/>
      <c r="BA1135" s="138"/>
      <c r="BB1135" s="140"/>
      <c r="BC1135" s="140">
        <f>X1135+AK1135+AL1135/2</f>
        <v>1064602.4750000001</v>
      </c>
      <c r="BD1135" s="140"/>
      <c r="BE1135" s="140">
        <f>BC1135/0.85</f>
        <v>1252473.5000000002</v>
      </c>
      <c r="BF1135" s="137"/>
      <c r="BG1135" s="137"/>
      <c r="BH1135" s="138">
        <v>0</v>
      </c>
      <c r="BI1135" s="138">
        <v>478887</v>
      </c>
      <c r="BJ1135" s="138"/>
      <c r="BK1135" s="138"/>
      <c r="BL1135" s="138">
        <v>728572.13097023405</v>
      </c>
      <c r="BM1135" s="138"/>
      <c r="BN1135" s="138"/>
    </row>
    <row r="1136" spans="1:66" ht="38.25" hidden="1" customHeight="1" x14ac:dyDescent="0.2">
      <c r="A1136" s="142" t="s">
        <v>2104</v>
      </c>
      <c r="B1136" s="18" t="s">
        <v>326</v>
      </c>
      <c r="C1136" s="18" t="s">
        <v>327</v>
      </c>
      <c r="D1136" s="19" t="s">
        <v>594</v>
      </c>
      <c r="E1136" s="18" t="s">
        <v>3</v>
      </c>
      <c r="F1136" s="18" t="s">
        <v>4</v>
      </c>
      <c r="G1136" s="18" t="s">
        <v>77</v>
      </c>
      <c r="H1136" s="18" t="s">
        <v>3</v>
      </c>
      <c r="I1136" s="18"/>
      <c r="J1136" s="18" t="s">
        <v>328</v>
      </c>
      <c r="K1136" s="19" t="s">
        <v>285</v>
      </c>
      <c r="L1136" s="19"/>
      <c r="M1136" s="19"/>
      <c r="N1136" s="19" t="s">
        <v>329</v>
      </c>
      <c r="O1136" s="143"/>
      <c r="P1136" s="143"/>
      <c r="Q1136" s="143"/>
      <c r="R1136" s="143">
        <v>42698</v>
      </c>
      <c r="S1136" s="144">
        <v>5173530</v>
      </c>
      <c r="T1136" s="144"/>
      <c r="U1136" s="145">
        <v>0</v>
      </c>
      <c r="V1136" s="145">
        <v>0</v>
      </c>
      <c r="W1136" s="145">
        <v>0</v>
      </c>
      <c r="X1136" s="145">
        <f>W1136+V1136+U1136</f>
        <v>0</v>
      </c>
      <c r="Y1136" s="145">
        <v>32952.800000000003</v>
      </c>
      <c r="Z1136" s="145">
        <v>0</v>
      </c>
      <c r="AA1136" s="145">
        <v>0</v>
      </c>
      <c r="AB1136" s="145">
        <v>256394.85</v>
      </c>
      <c r="AC1136" s="145">
        <v>0</v>
      </c>
      <c r="AD1136" s="166">
        <v>0</v>
      </c>
      <c r="AE1136" s="166">
        <v>178701.45</v>
      </c>
      <c r="AF1136" s="145">
        <v>0</v>
      </c>
      <c r="AG1136" s="145">
        <v>0</v>
      </c>
      <c r="AH1136" s="145">
        <v>153296.65</v>
      </c>
      <c r="AI1136" s="145">
        <v>0</v>
      </c>
      <c r="AJ1136" s="145">
        <v>0</v>
      </c>
      <c r="AK1136" s="145">
        <f>SUM(Y1136:AJ1136)</f>
        <v>621345.75</v>
      </c>
      <c r="AL1136" s="145">
        <v>886513.45</v>
      </c>
      <c r="AM1136" s="145">
        <v>960999.8</v>
      </c>
      <c r="AN1136" s="145">
        <v>1039217.65</v>
      </c>
      <c r="AO1136" s="145">
        <v>807905.45</v>
      </c>
      <c r="AP1136" s="145">
        <v>714584.8</v>
      </c>
      <c r="AQ1136" s="145">
        <v>142963.1</v>
      </c>
      <c r="AR1136" s="145">
        <v>0</v>
      </c>
      <c r="AS1136" s="144">
        <f>U1136+V1136+W1136+AK1136+AL1136+AM1136+AN1136+AO1136+AP1136+AQ1136+AR1136</f>
        <v>5173529.9999999991</v>
      </c>
      <c r="AT1136" s="144">
        <v>0</v>
      </c>
      <c r="AU1136" s="146">
        <f t="shared" si="367"/>
        <v>5173529.9999999991</v>
      </c>
      <c r="AV1136" s="146" t="str">
        <f>IFERROR(VLOOKUP(J1136,Maksājumu_pieprasījumu_iesn.!G:BL,57,0),0)</f>
        <v>Plānotas intensificētas darbības rudenī. Pedagogiem un iesaistītajam personālam  darba grafiks ir pakārtots mācību gadam un vasara ir atvaļinājumu laiks.</v>
      </c>
      <c r="AW1136" s="139" t="e">
        <f t="shared" si="355"/>
        <v>#VALUE!</v>
      </c>
      <c r="AX1136" s="147"/>
      <c r="AY1136" s="147"/>
      <c r="AZ1136" s="147"/>
      <c r="BA1136" s="149"/>
      <c r="BB1136" s="144"/>
      <c r="BC1136" s="144"/>
      <c r="BD1136" s="144"/>
      <c r="BE1136" s="144"/>
      <c r="BF1136" s="144"/>
      <c r="BG1136" s="144"/>
      <c r="BH1136" s="149"/>
      <c r="BI1136" s="149"/>
      <c r="BJ1136" s="149"/>
      <c r="BK1136" s="149"/>
      <c r="BL1136" s="149"/>
      <c r="BM1136" s="149"/>
      <c r="BN1136" s="149"/>
    </row>
    <row r="1137" spans="1:66" s="91" customFormat="1" ht="12.75" hidden="1" customHeight="1" x14ac:dyDescent="0.2">
      <c r="A1137" s="190" t="s">
        <v>2279</v>
      </c>
      <c r="B1137" s="120" t="s">
        <v>1020</v>
      </c>
      <c r="C1137" s="121" t="s">
        <v>77</v>
      </c>
      <c r="D1137" s="122" t="s">
        <v>2280</v>
      </c>
      <c r="E1137" s="121"/>
      <c r="F1137" s="121"/>
      <c r="G1137" s="121" t="s">
        <v>77</v>
      </c>
      <c r="H1137" s="121"/>
      <c r="I1137" s="121"/>
      <c r="J1137" s="123"/>
      <c r="K1137" s="191"/>
      <c r="L1137" s="191"/>
      <c r="M1137" s="191"/>
      <c r="N1137" s="191"/>
      <c r="O1137" s="192"/>
      <c r="P1137" s="192"/>
      <c r="Q1137" s="192"/>
      <c r="R1137" s="192"/>
      <c r="S1137" s="179">
        <f>S1141+S1148+S1151+S1154+S1164+S1171+S1180+S1183+S1427+S1430</f>
        <v>225160749.69999999</v>
      </c>
      <c r="T1137" s="179">
        <f>T1141+T1148+T1151+T1154+T1164+T1171+T1180+T1183+T1427+T1430</f>
        <v>14001679.090627547</v>
      </c>
      <c r="U1137" s="179">
        <f>U1141+U1148+U1151+U1154+U1164+U1171+U1180+U1183+U1427+U1430</f>
        <v>0</v>
      </c>
      <c r="V1137" s="179">
        <f>V1141+V1148+V1151+V1154+V1164+V1171+V1180+V1183+V1427+V1430</f>
        <v>294900.92000000004</v>
      </c>
      <c r="W1137" s="179">
        <f>W1141+W1148+W1151+W1154+W1164+W1171+W1180+W1183+W1427+W1430</f>
        <v>5367050.53</v>
      </c>
      <c r="X1137" s="125">
        <f>U1137+V1137+W1137</f>
        <v>5661951.4500000002</v>
      </c>
      <c r="Y1137" s="179">
        <f t="shared" ref="Y1137:AY1137" si="376">Y1141+Y1148+Y1151+Y1154+Y1164+Y1171+Y1180+Y1183+Y1427+Y1430</f>
        <v>2676283.7199999997</v>
      </c>
      <c r="Z1137" s="179">
        <f t="shared" si="376"/>
        <v>75960.740000000005</v>
      </c>
      <c r="AA1137" s="179">
        <f t="shared" si="376"/>
        <v>387593.32999999996</v>
      </c>
      <c r="AB1137" s="179">
        <f t="shared" si="376"/>
        <v>2047070.26</v>
      </c>
      <c r="AC1137" s="179">
        <f t="shared" si="376"/>
        <v>131395.15</v>
      </c>
      <c r="AD1137" s="179">
        <f t="shared" si="376"/>
        <v>1068646.1100000001</v>
      </c>
      <c r="AE1137" s="179">
        <f t="shared" si="376"/>
        <v>4801285.24</v>
      </c>
      <c r="AF1137" s="179">
        <f t="shared" si="376"/>
        <v>208250</v>
      </c>
      <c r="AG1137" s="179">
        <f t="shared" si="376"/>
        <v>1107277.5</v>
      </c>
      <c r="AH1137" s="179">
        <f t="shared" si="376"/>
        <v>7919341.4900000002</v>
      </c>
      <c r="AI1137" s="179">
        <f t="shared" si="376"/>
        <v>227286.09999999998</v>
      </c>
      <c r="AJ1137" s="179">
        <f t="shared" si="376"/>
        <v>1747087.3499999999</v>
      </c>
      <c r="AK1137" s="179">
        <f>AK1141+AK1148+AK1151+AK1154+AK1164+AK1171+AK1180+AK1183+AK1427+AK1430</f>
        <v>22397476.989999998</v>
      </c>
      <c r="AL1137" s="179">
        <f t="shared" si="376"/>
        <v>50978195.578461535</v>
      </c>
      <c r="AM1137" s="179">
        <f t="shared" si="376"/>
        <v>41637421.96544379</v>
      </c>
      <c r="AN1137" s="179">
        <f t="shared" si="376"/>
        <v>27733574.752453342</v>
      </c>
      <c r="AO1137" s="179">
        <f t="shared" si="376"/>
        <v>25541438.558678966</v>
      </c>
      <c r="AP1137" s="179">
        <f t="shared" si="376"/>
        <v>21625504.69496236</v>
      </c>
      <c r="AQ1137" s="179">
        <f t="shared" si="376"/>
        <v>3499380.51</v>
      </c>
      <c r="AR1137" s="179">
        <f t="shared" si="376"/>
        <v>0</v>
      </c>
      <c r="AS1137" s="179">
        <f>AS1141+AS1148+AS1151+AS1154+AS1164+AS1171+AS1180+AS1183+AS1427+AS1430</f>
        <v>199074944.5</v>
      </c>
      <c r="AT1137" s="179">
        <f t="shared" si="376"/>
        <v>1383161.54</v>
      </c>
      <c r="AU1137" s="179">
        <f>AU1141+AU1148+AU1151+AU1154+AU1164+AU1171+AU1180+AU1183+AU1427+AU1430</f>
        <v>197691782.96000001</v>
      </c>
      <c r="AV1137" s="146">
        <f>IFERROR(VLOOKUP(J1137,Maksājumu_pieprasījumu_iesn.!G:BL,57,0),0)</f>
        <v>0</v>
      </c>
      <c r="AW1137" s="139">
        <f t="shared" si="355"/>
        <v>-197691782.96000001</v>
      </c>
      <c r="AX1137" s="179">
        <f>AX1141+AX1148+AX1151+AX1154+AX1164+AX1171+AX1180+AX1183+AX1427+AX1430</f>
        <v>13467287.649372447</v>
      </c>
      <c r="AY1137" s="179">
        <f t="shared" si="376"/>
        <v>12091392.109999996</v>
      </c>
      <c r="AZ1137" s="179"/>
      <c r="BA1137" s="125"/>
      <c r="BB1137" s="179">
        <v>86060737</v>
      </c>
      <c r="BC1137" s="125">
        <f>X1137+AK1137+AL1137/2</f>
        <v>53548526.229230762</v>
      </c>
      <c r="BD1137" s="179">
        <f>BD1141+BD1148+BD1151+BD1154+BD1164+BD1171+BD1180+BD1183+BD1427+BD1430</f>
        <v>50335614.65547692</v>
      </c>
      <c r="BE1137" s="179">
        <f>BE1141+BE1148+BE1151+BE1154+BE1164+BE1171+BE1180+BE1183+BE1427+BE1430</f>
        <v>59218370.182914026</v>
      </c>
      <c r="BF1137" s="125">
        <f>BE1137-BB1137</f>
        <v>-26842366.817085974</v>
      </c>
      <c r="BG1137" s="352">
        <f>BE1137/BB1137</f>
        <v>0.68809973336521657</v>
      </c>
      <c r="BH1137" s="125">
        <f t="shared" ref="BH1137:BN1137" si="377">BH1141+BH1148+BH1151+BH1154+BH1164+BH1171+BH1180+BH1183+BH1427+BH1430</f>
        <v>5331704.8899999997</v>
      </c>
      <c r="BI1137" s="125">
        <f t="shared" si="377"/>
        <v>23754320.890000001</v>
      </c>
      <c r="BJ1137" s="125">
        <f>BJ1141+BJ1148+BJ1151+BJ1154+BJ1164+BJ1171+BJ1180+BJ1183+BJ1427+BJ1430</f>
        <v>21053628.3706</v>
      </c>
      <c r="BK1137" s="125">
        <f>BK1141+BK1148+BK1151+BK1154+BK1164+BK1171+BK1180+BK1183+BK1427+BK1430</f>
        <v>-2700692.519400002</v>
      </c>
      <c r="BL1137" s="125">
        <f t="shared" si="377"/>
        <v>38976899.400515892</v>
      </c>
      <c r="BM1137" s="125">
        <f t="shared" si="377"/>
        <v>47919503.843753844</v>
      </c>
      <c r="BN1137" s="125">
        <f t="shared" si="377"/>
        <v>8942604.4432379454</v>
      </c>
    </row>
    <row r="1138" spans="1:66" s="91" customFormat="1" ht="12.75" hidden="1" customHeight="1" x14ac:dyDescent="0.2">
      <c r="A1138" s="190" t="s">
        <v>2279</v>
      </c>
      <c r="B1138" s="120" t="s">
        <v>1020</v>
      </c>
      <c r="C1138" s="121" t="s">
        <v>5</v>
      </c>
      <c r="D1138" s="122" t="s">
        <v>2280</v>
      </c>
      <c r="E1138" s="121"/>
      <c r="F1138" s="121"/>
      <c r="G1138" s="121" t="s">
        <v>5</v>
      </c>
      <c r="H1138" s="121"/>
      <c r="I1138" s="121"/>
      <c r="J1138" s="123"/>
      <c r="K1138" s="191"/>
      <c r="L1138" s="191"/>
      <c r="M1138" s="191"/>
      <c r="N1138" s="191"/>
      <c r="O1138" s="192"/>
      <c r="P1138" s="192"/>
      <c r="Q1138" s="192"/>
      <c r="R1138" s="192"/>
      <c r="S1138" s="179">
        <f>S1433+S1554</f>
        <v>193377447</v>
      </c>
      <c r="T1138" s="179">
        <f>T1433+T1554</f>
        <v>11795105</v>
      </c>
      <c r="U1138" s="179">
        <f>U1433+U1554</f>
        <v>0</v>
      </c>
      <c r="V1138" s="179">
        <f>V1433+V1554</f>
        <v>0</v>
      </c>
      <c r="W1138" s="179">
        <f>W1433+W1554</f>
        <v>7770.17</v>
      </c>
      <c r="X1138" s="125">
        <f>U1138+V1138+W1138</f>
        <v>7770.17</v>
      </c>
      <c r="Y1138" s="179">
        <f t="shared" ref="Y1138:AY1138" si="378">Y1433+Y1554</f>
        <v>22502.37</v>
      </c>
      <c r="Z1138" s="179">
        <f t="shared" si="378"/>
        <v>0</v>
      </c>
      <c r="AA1138" s="179">
        <f t="shared" si="378"/>
        <v>0</v>
      </c>
      <c r="AB1138" s="179">
        <f t="shared" si="378"/>
        <v>29663.95</v>
      </c>
      <c r="AC1138" s="179">
        <f t="shared" si="378"/>
        <v>0</v>
      </c>
      <c r="AD1138" s="179">
        <f t="shared" si="378"/>
        <v>0</v>
      </c>
      <c r="AE1138" s="179">
        <f t="shared" si="378"/>
        <v>259607.65</v>
      </c>
      <c r="AF1138" s="179">
        <f t="shared" si="378"/>
        <v>0</v>
      </c>
      <c r="AG1138" s="179">
        <f t="shared" si="378"/>
        <v>0</v>
      </c>
      <c r="AH1138" s="179">
        <f t="shared" si="378"/>
        <v>504074.41000000003</v>
      </c>
      <c r="AI1138" s="179">
        <f t="shared" si="378"/>
        <v>0</v>
      </c>
      <c r="AJ1138" s="179">
        <f t="shared" si="378"/>
        <v>184319.6586583023</v>
      </c>
      <c r="AK1138" s="179">
        <f t="shared" si="378"/>
        <v>1000168.0386583023</v>
      </c>
      <c r="AL1138" s="179">
        <f t="shared" si="378"/>
        <v>34528618.218619779</v>
      </c>
      <c r="AM1138" s="179">
        <f t="shared" si="378"/>
        <v>24851289.150930826</v>
      </c>
      <c r="AN1138" s="179">
        <f t="shared" si="378"/>
        <v>22775455.639069177</v>
      </c>
      <c r="AO1138" s="179">
        <f t="shared" si="378"/>
        <v>19696592.100000001</v>
      </c>
      <c r="AP1138" s="179">
        <f t="shared" si="378"/>
        <v>28208839.050000001</v>
      </c>
      <c r="AQ1138" s="179">
        <f t="shared" si="378"/>
        <v>7969269.5</v>
      </c>
      <c r="AR1138" s="179">
        <f t="shared" si="378"/>
        <v>604649.75</v>
      </c>
      <c r="AS1138" s="179">
        <f t="shared" si="378"/>
        <v>139642651.6172781</v>
      </c>
      <c r="AT1138" s="179">
        <f t="shared" si="378"/>
        <v>0</v>
      </c>
      <c r="AU1138" s="179">
        <f t="shared" si="378"/>
        <v>139642651.6172781</v>
      </c>
      <c r="AV1138" s="146">
        <f>IFERROR(VLOOKUP(J1138,Maksājumu_pieprasījumu_iesn.!G:BL,57,0),0)</f>
        <v>0</v>
      </c>
      <c r="AW1138" s="139">
        <f t="shared" si="355"/>
        <v>-139642651.6172781</v>
      </c>
      <c r="AX1138" s="179">
        <f t="shared" si="378"/>
        <v>41939690.382721916</v>
      </c>
      <c r="AY1138" s="179">
        <f t="shared" si="378"/>
        <v>41939690</v>
      </c>
      <c r="AZ1138" s="179"/>
      <c r="BA1138" s="125"/>
      <c r="BB1138" s="179">
        <v>53957741</v>
      </c>
      <c r="BC1138" s="125">
        <f>X1138+AK1138+AL1138/2</f>
        <v>18272247.317968193</v>
      </c>
      <c r="BD1138" s="179">
        <f>BD1433+BD1554</f>
        <v>15714132.693452645</v>
      </c>
      <c r="BE1138" s="179">
        <f>BE1433+BE1554</f>
        <v>18487214.933473703</v>
      </c>
      <c r="BF1138" s="125">
        <f>BE1138-BB1138</f>
        <v>-35470526.066526294</v>
      </c>
      <c r="BG1138" s="352">
        <f>BE1138/BB1138</f>
        <v>0.34262396073018886</v>
      </c>
      <c r="BH1138" s="125">
        <f t="shared" ref="BH1138:BN1138" si="379">BH1433+BH1554</f>
        <v>6646.15</v>
      </c>
      <c r="BI1138" s="125">
        <f t="shared" si="379"/>
        <v>4665283.7772499993</v>
      </c>
      <c r="BJ1138" s="125">
        <f t="shared" si="379"/>
        <v>860144.51324613998</v>
      </c>
      <c r="BK1138" s="125">
        <f t="shared" si="379"/>
        <v>-3805139.2640038598</v>
      </c>
      <c r="BL1138" s="125">
        <f t="shared" si="379"/>
        <v>21222973.787465002</v>
      </c>
      <c r="BM1138" s="125">
        <f t="shared" si="379"/>
        <v>29694611.66801301</v>
      </c>
      <c r="BN1138" s="125">
        <f t="shared" si="379"/>
        <v>8471637.8805480096</v>
      </c>
    </row>
    <row r="1139" spans="1:66" s="91" customFormat="1" ht="12.75" hidden="1" customHeight="1" x14ac:dyDescent="0.2">
      <c r="A1139" s="190" t="s">
        <v>2281</v>
      </c>
      <c r="B1139" s="120" t="s">
        <v>1020</v>
      </c>
      <c r="C1139" s="121" t="s">
        <v>77</v>
      </c>
      <c r="D1139" s="122" t="s">
        <v>2280</v>
      </c>
      <c r="E1139" s="121"/>
      <c r="F1139" s="121"/>
      <c r="G1139" s="121" t="s">
        <v>77</v>
      </c>
      <c r="H1139" s="121"/>
      <c r="I1139" s="121"/>
      <c r="J1139" s="123"/>
      <c r="K1139" s="191"/>
      <c r="L1139" s="191"/>
      <c r="M1139" s="191"/>
      <c r="N1139" s="191"/>
      <c r="O1139" s="192"/>
      <c r="P1139" s="192"/>
      <c r="Q1139" s="192"/>
      <c r="R1139" s="192"/>
      <c r="S1139" s="179">
        <f t="shared" ref="S1139:AT1139" si="380">S1141+S1148+S1151+S1154+S1164+S1171+S1180+S1183+S1427+S1430</f>
        <v>225160749.69999999</v>
      </c>
      <c r="T1139" s="179">
        <f t="shared" si="380"/>
        <v>14001679.090627547</v>
      </c>
      <c r="U1139" s="179">
        <f t="shared" si="380"/>
        <v>0</v>
      </c>
      <c r="V1139" s="179">
        <f t="shared" si="380"/>
        <v>294900.92000000004</v>
      </c>
      <c r="W1139" s="179">
        <f t="shared" si="380"/>
        <v>5367050.53</v>
      </c>
      <c r="X1139" s="179">
        <f t="shared" si="380"/>
        <v>5661951.4500000002</v>
      </c>
      <c r="Y1139" s="179">
        <f t="shared" si="380"/>
        <v>2676283.7199999997</v>
      </c>
      <c r="Z1139" s="179">
        <f t="shared" si="380"/>
        <v>75960.740000000005</v>
      </c>
      <c r="AA1139" s="179">
        <f t="shared" si="380"/>
        <v>387593.32999999996</v>
      </c>
      <c r="AB1139" s="179">
        <f t="shared" si="380"/>
        <v>2047070.26</v>
      </c>
      <c r="AC1139" s="179">
        <f t="shared" si="380"/>
        <v>131395.15</v>
      </c>
      <c r="AD1139" s="179">
        <f t="shared" si="380"/>
        <v>1068646.1100000001</v>
      </c>
      <c r="AE1139" s="179">
        <f t="shared" si="380"/>
        <v>4801285.24</v>
      </c>
      <c r="AF1139" s="179">
        <f t="shared" si="380"/>
        <v>208250</v>
      </c>
      <c r="AG1139" s="179">
        <f t="shared" si="380"/>
        <v>1107277.5</v>
      </c>
      <c r="AH1139" s="179">
        <f t="shared" si="380"/>
        <v>7919341.4900000002</v>
      </c>
      <c r="AI1139" s="179">
        <f t="shared" si="380"/>
        <v>227286.09999999998</v>
      </c>
      <c r="AJ1139" s="179">
        <f t="shared" si="380"/>
        <v>1747087.3499999999</v>
      </c>
      <c r="AK1139" s="179">
        <f>AK1141+AK1148+AK1151+AK1154+AK1164+AK1171+AK1180+AK1183+AK1427+AK1430</f>
        <v>22397476.989999998</v>
      </c>
      <c r="AL1139" s="179">
        <f t="shared" si="380"/>
        <v>50978195.578461535</v>
      </c>
      <c r="AM1139" s="179">
        <f t="shared" si="380"/>
        <v>41637421.96544379</v>
      </c>
      <c r="AN1139" s="179">
        <f t="shared" si="380"/>
        <v>27733574.752453342</v>
      </c>
      <c r="AO1139" s="179">
        <f t="shared" si="380"/>
        <v>25541438.558678966</v>
      </c>
      <c r="AP1139" s="179">
        <f t="shared" si="380"/>
        <v>21625504.69496236</v>
      </c>
      <c r="AQ1139" s="179">
        <f t="shared" si="380"/>
        <v>3499380.51</v>
      </c>
      <c r="AR1139" s="179">
        <f t="shared" si="380"/>
        <v>0</v>
      </c>
      <c r="AS1139" s="179">
        <f>AS1141+AS1148+AS1151+AS1154+AS1164+AS1171+AS1180+AS1183+AS1427+AS1430</f>
        <v>199074944.5</v>
      </c>
      <c r="AT1139" s="179">
        <f t="shared" si="380"/>
        <v>1383161.54</v>
      </c>
      <c r="AU1139" s="351">
        <f>AS1139-AT1139</f>
        <v>197691782.96000001</v>
      </c>
      <c r="AV1139" s="146">
        <f>IFERROR(VLOOKUP(J1139,Maksājumu_pieprasījumu_iesn.!G:BL,57,0),0)</f>
        <v>0</v>
      </c>
      <c r="AW1139" s="139">
        <f t="shared" si="355"/>
        <v>-197691782.96000001</v>
      </c>
      <c r="AX1139" s="179">
        <f>AX1141+AX1148+AX1151+AX1154+AX1164+AX1171+AX1180+AX1183+AX1427+AX1430</f>
        <v>13467287.649372447</v>
      </c>
      <c r="AY1139" s="179">
        <f>AY1141+AY1148+AY1151+AY1154+AY1164+AY1171+AY1180+AY1183+AY1427+AY1430</f>
        <v>12091392.109999996</v>
      </c>
      <c r="AZ1139" s="179"/>
      <c r="BA1139" s="125"/>
      <c r="BB1139" s="179">
        <v>75452300</v>
      </c>
      <c r="BC1139" s="125">
        <f>X1139+AK1139+AL1139/2</f>
        <v>53548526.229230762</v>
      </c>
      <c r="BD1139" s="179">
        <f>BD1141+BD1148+BD1151+BD1154+BD1164+BD1171+BD1180+BD1183+BD1427+BD1430</f>
        <v>50335614.65547692</v>
      </c>
      <c r="BE1139" s="179">
        <f>BE1141+BE1148+BE1151+BE1154+BE1164+BE1171+BE1180+BE1183+BE1427+BE1430</f>
        <v>59218370.182914026</v>
      </c>
      <c r="BF1139" s="125">
        <f>BE1139-BB1139</f>
        <v>-16233929.817085974</v>
      </c>
      <c r="BG1139" s="352">
        <f>BE1139/BB1139</f>
        <v>0.78484512974308307</v>
      </c>
      <c r="BH1139" s="125">
        <f t="shared" ref="BH1139:BN1139" si="381">BH1141+BH1148+BH1151+BH1154+BH1164+BH1171+BH1180+BH1183+BH1427+BH1430</f>
        <v>5331704.8899999997</v>
      </c>
      <c r="BI1139" s="125">
        <f t="shared" si="381"/>
        <v>23754320.890000001</v>
      </c>
      <c r="BJ1139" s="125">
        <f>BJ1141+BJ1148+BJ1151+BJ1154+BJ1164+BJ1171+BJ1180+BJ1183+BJ1427+BJ1430</f>
        <v>21053628.3706</v>
      </c>
      <c r="BK1139" s="125">
        <f>BK1141+BK1148+BK1151+BK1154+BK1164+BK1171+BK1180+BK1183+BK1427+BK1430</f>
        <v>-2700692.519400002</v>
      </c>
      <c r="BL1139" s="125">
        <f t="shared" si="381"/>
        <v>38976899.400515892</v>
      </c>
      <c r="BM1139" s="125">
        <f t="shared" si="381"/>
        <v>47919503.843753844</v>
      </c>
      <c r="BN1139" s="125">
        <f t="shared" si="381"/>
        <v>8942604.4432379454</v>
      </c>
    </row>
    <row r="1140" spans="1:66" s="91" customFormat="1" ht="12.75" hidden="1" customHeight="1" x14ac:dyDescent="0.2">
      <c r="A1140" s="190" t="s">
        <v>2281</v>
      </c>
      <c r="B1140" s="120" t="s">
        <v>1020</v>
      </c>
      <c r="C1140" s="121" t="s">
        <v>5</v>
      </c>
      <c r="D1140" s="122" t="s">
        <v>2280</v>
      </c>
      <c r="E1140" s="121"/>
      <c r="F1140" s="121"/>
      <c r="G1140" s="121" t="s">
        <v>5</v>
      </c>
      <c r="H1140" s="121"/>
      <c r="I1140" s="121"/>
      <c r="J1140" s="123"/>
      <c r="K1140" s="191"/>
      <c r="L1140" s="191"/>
      <c r="M1140" s="191"/>
      <c r="N1140" s="191"/>
      <c r="O1140" s="192"/>
      <c r="P1140" s="192"/>
      <c r="Q1140" s="192"/>
      <c r="R1140" s="192"/>
      <c r="S1140" s="179">
        <f t="shared" ref="S1140:AT1140" si="382">S1433+S1554</f>
        <v>193377447</v>
      </c>
      <c r="T1140" s="179">
        <f t="shared" si="382"/>
        <v>11795105</v>
      </c>
      <c r="U1140" s="179">
        <f t="shared" si="382"/>
        <v>0</v>
      </c>
      <c r="V1140" s="179">
        <f t="shared" si="382"/>
        <v>0</v>
      </c>
      <c r="W1140" s="179">
        <f t="shared" si="382"/>
        <v>7770.17</v>
      </c>
      <c r="X1140" s="179">
        <f t="shared" si="382"/>
        <v>7770.17</v>
      </c>
      <c r="Y1140" s="179">
        <f t="shared" si="382"/>
        <v>22502.37</v>
      </c>
      <c r="Z1140" s="179">
        <f t="shared" si="382"/>
        <v>0</v>
      </c>
      <c r="AA1140" s="179">
        <f t="shared" si="382"/>
        <v>0</v>
      </c>
      <c r="AB1140" s="179">
        <f t="shared" si="382"/>
        <v>29663.95</v>
      </c>
      <c r="AC1140" s="179">
        <f t="shared" si="382"/>
        <v>0</v>
      </c>
      <c r="AD1140" s="179">
        <f t="shared" si="382"/>
        <v>0</v>
      </c>
      <c r="AE1140" s="179">
        <f t="shared" si="382"/>
        <v>259607.65</v>
      </c>
      <c r="AF1140" s="179">
        <f t="shared" si="382"/>
        <v>0</v>
      </c>
      <c r="AG1140" s="179">
        <f t="shared" si="382"/>
        <v>0</v>
      </c>
      <c r="AH1140" s="179">
        <f t="shared" si="382"/>
        <v>504074.41000000003</v>
      </c>
      <c r="AI1140" s="179">
        <f t="shared" si="382"/>
        <v>0</v>
      </c>
      <c r="AJ1140" s="179">
        <f t="shared" si="382"/>
        <v>184319.6586583023</v>
      </c>
      <c r="AK1140" s="179">
        <f t="shared" si="382"/>
        <v>1000168.0386583023</v>
      </c>
      <c r="AL1140" s="179">
        <f t="shared" si="382"/>
        <v>34528618.218619779</v>
      </c>
      <c r="AM1140" s="179">
        <f t="shared" si="382"/>
        <v>24851289.150930826</v>
      </c>
      <c r="AN1140" s="179">
        <f t="shared" si="382"/>
        <v>22775455.639069177</v>
      </c>
      <c r="AO1140" s="179">
        <f t="shared" si="382"/>
        <v>19696592.100000001</v>
      </c>
      <c r="AP1140" s="179">
        <f t="shared" si="382"/>
        <v>28208839.050000001</v>
      </c>
      <c r="AQ1140" s="179">
        <f t="shared" si="382"/>
        <v>7969269.5</v>
      </c>
      <c r="AR1140" s="179">
        <f t="shared" si="382"/>
        <v>604649.75</v>
      </c>
      <c r="AS1140" s="179">
        <f t="shared" si="382"/>
        <v>139642651.6172781</v>
      </c>
      <c r="AT1140" s="179">
        <f t="shared" si="382"/>
        <v>0</v>
      </c>
      <c r="AU1140" s="351">
        <f t="shared" si="367"/>
        <v>139642651.6172781</v>
      </c>
      <c r="AV1140" s="146">
        <f>IFERROR(VLOOKUP(J1140,Maksājumu_pieprasījumu_iesn.!G:BL,57,0),0)</f>
        <v>0</v>
      </c>
      <c r="AW1140" s="139">
        <f t="shared" si="355"/>
        <v>-139642651.6172781</v>
      </c>
      <c r="AX1140" s="179">
        <f>AX1433+AX1554</f>
        <v>41939690.382721916</v>
      </c>
      <c r="AY1140" s="179">
        <f>AY1433+AY1554</f>
        <v>41939690</v>
      </c>
      <c r="AZ1140" s="179"/>
      <c r="BA1140" s="125"/>
      <c r="BB1140" s="179">
        <v>26665244</v>
      </c>
      <c r="BC1140" s="125">
        <f>X1140+AK1140+AL1140/2</f>
        <v>18272247.317968193</v>
      </c>
      <c r="BD1140" s="179">
        <f>BD1433+BD1554</f>
        <v>15714132.693452645</v>
      </c>
      <c r="BE1140" s="179">
        <f>BE1433+BE1554</f>
        <v>18487214.933473703</v>
      </c>
      <c r="BF1140" s="125">
        <f>BE1140-BB1140</f>
        <v>-8178029.0665262975</v>
      </c>
      <c r="BG1140" s="352">
        <f>BE1140/BB1140</f>
        <v>0.69330754796294769</v>
      </c>
      <c r="BH1140" s="125">
        <f t="shared" ref="BH1140:BN1140" si="383">BH1433+BH1554</f>
        <v>6646.15</v>
      </c>
      <c r="BI1140" s="125">
        <f t="shared" si="383"/>
        <v>4665283.7772499993</v>
      </c>
      <c r="BJ1140" s="125">
        <f t="shared" si="383"/>
        <v>860144.51324613998</v>
      </c>
      <c r="BK1140" s="125">
        <f t="shared" si="383"/>
        <v>-3805139.2640038598</v>
      </c>
      <c r="BL1140" s="125">
        <f t="shared" si="383"/>
        <v>21222973.787465002</v>
      </c>
      <c r="BM1140" s="125">
        <f t="shared" si="383"/>
        <v>29694611.66801301</v>
      </c>
      <c r="BN1140" s="125">
        <f t="shared" si="383"/>
        <v>8471637.8805480096</v>
      </c>
    </row>
    <row r="1141" spans="1:66" s="91" customFormat="1" ht="38.25" hidden="1" x14ac:dyDescent="0.2">
      <c r="A1141" s="127" t="s">
        <v>2279</v>
      </c>
      <c r="B1141" s="127" t="s">
        <v>330</v>
      </c>
      <c r="C1141" s="127" t="s">
        <v>1023</v>
      </c>
      <c r="D1141" s="128" t="s">
        <v>2282</v>
      </c>
      <c r="E1141" s="127"/>
      <c r="F1141" s="127"/>
      <c r="G1141" s="127" t="s">
        <v>77</v>
      </c>
      <c r="H1141" s="127"/>
      <c r="I1141" s="127"/>
      <c r="J1141" s="127"/>
      <c r="K1141" s="128"/>
      <c r="L1141" s="128"/>
      <c r="M1141" s="128"/>
      <c r="N1141" s="128"/>
      <c r="O1141" s="163"/>
      <c r="P1141" s="163"/>
      <c r="Q1141" s="163"/>
      <c r="R1141" s="163"/>
      <c r="S1141" s="164">
        <f>S1142+S1144+S1146</f>
        <v>75793771</v>
      </c>
      <c r="T1141" s="164">
        <f>T1142+T1144+T1146</f>
        <v>5436027.0906275501</v>
      </c>
      <c r="U1141" s="164">
        <f>U1142+U1144+U1146</f>
        <v>0</v>
      </c>
      <c r="V1141" s="164">
        <f>V1142+V1144+V1146</f>
        <v>279718.15000000002</v>
      </c>
      <c r="W1141" s="164">
        <f>W1142+W1144+W1146</f>
        <v>3607661.7099999995</v>
      </c>
      <c r="X1141" s="129">
        <f>U1141+V1141+W1141</f>
        <v>3887379.8599999994</v>
      </c>
      <c r="Y1141" s="164">
        <f t="shared" ref="Y1141:AT1141" si="384">Y1142+Y1144+Y1146</f>
        <v>1651077.9</v>
      </c>
      <c r="Z1141" s="164">
        <f t="shared" si="384"/>
        <v>0</v>
      </c>
      <c r="AA1141" s="164">
        <f t="shared" si="384"/>
        <v>0</v>
      </c>
      <c r="AB1141" s="164">
        <f t="shared" si="384"/>
        <v>1406141.98</v>
      </c>
      <c r="AC1141" s="164">
        <f t="shared" si="384"/>
        <v>0</v>
      </c>
      <c r="AD1141" s="164">
        <f t="shared" si="384"/>
        <v>0</v>
      </c>
      <c r="AE1141" s="164">
        <f t="shared" si="384"/>
        <v>3320768.2700000005</v>
      </c>
      <c r="AF1141" s="164">
        <f t="shared" si="384"/>
        <v>0</v>
      </c>
      <c r="AG1141" s="164">
        <f t="shared" si="384"/>
        <v>0</v>
      </c>
      <c r="AH1141" s="164">
        <f t="shared" si="384"/>
        <v>5475962.2800000003</v>
      </c>
      <c r="AI1141" s="164">
        <f t="shared" si="384"/>
        <v>0</v>
      </c>
      <c r="AJ1141" s="164">
        <f t="shared" si="384"/>
        <v>0</v>
      </c>
      <c r="AK1141" s="164">
        <f t="shared" si="384"/>
        <v>11853950.43</v>
      </c>
      <c r="AL1141" s="164">
        <f t="shared" si="384"/>
        <v>18540400.129999999</v>
      </c>
      <c r="AM1141" s="164">
        <f t="shared" si="384"/>
        <v>15226418.709999999</v>
      </c>
      <c r="AN1141" s="164">
        <f t="shared" si="384"/>
        <v>8697224.2800000012</v>
      </c>
      <c r="AO1141" s="164">
        <f t="shared" si="384"/>
        <v>8082030.9500000002</v>
      </c>
      <c r="AP1141" s="164">
        <f t="shared" si="384"/>
        <v>3395969.69</v>
      </c>
      <c r="AQ1141" s="164">
        <f t="shared" si="384"/>
        <v>674252.67</v>
      </c>
      <c r="AR1141" s="164">
        <f t="shared" si="384"/>
        <v>0</v>
      </c>
      <c r="AS1141" s="164">
        <f t="shared" si="384"/>
        <v>70357626.719999999</v>
      </c>
      <c r="AT1141" s="164">
        <f t="shared" si="384"/>
        <v>0</v>
      </c>
      <c r="AU1141" s="183">
        <f t="shared" si="367"/>
        <v>70357626.719999999</v>
      </c>
      <c r="AV1141" s="146">
        <f>IFERROR(VLOOKUP(J1141,Maksājumu_pieprasījumu_iesn.!G:BL,57,0),0)</f>
        <v>0</v>
      </c>
      <c r="AW1141" s="139">
        <f t="shared" si="355"/>
        <v>-70357626.719999999</v>
      </c>
      <c r="AX1141" s="164">
        <f>AX1142+AX1144+AX1146</f>
        <v>117.1893724501133</v>
      </c>
      <c r="AY1141" s="164">
        <f>AY1143</f>
        <v>117</v>
      </c>
      <c r="AZ1141" s="164"/>
      <c r="BA1141" s="164"/>
      <c r="BB1141" s="164">
        <f>BB1142+BB1144+BB1146</f>
        <v>0</v>
      </c>
      <c r="BC1141" s="164">
        <f>BC1142+BC1144+BC1146</f>
        <v>25011530.354999997</v>
      </c>
      <c r="BD1141" s="164">
        <f>BC1141*0.94</f>
        <v>23510838.533699997</v>
      </c>
      <c r="BE1141" s="129">
        <f>BD1141/0.85</f>
        <v>27659810.039647054</v>
      </c>
      <c r="BF1141" s="164">
        <f>BF1142+BF1144+BF1146</f>
        <v>0</v>
      </c>
      <c r="BG1141" s="164">
        <f>BG1142+BG1144+BG1146</f>
        <v>0</v>
      </c>
      <c r="BH1141" s="129">
        <f>BH1142+BH1144+BH1146</f>
        <v>3869669.9999999995</v>
      </c>
      <c r="BI1141" s="129">
        <f>BI1142+BI1144+BI1146</f>
        <v>9385254.120000001</v>
      </c>
      <c r="BJ1141" s="129">
        <f>AK1141*0.94</f>
        <v>11142713.404199999</v>
      </c>
      <c r="BK1141" s="129">
        <f>BJ1141-BI1141</f>
        <v>1757459.2841999978</v>
      </c>
      <c r="BL1141" s="129">
        <f>BL1142+BL1144+BL1146</f>
        <v>14495764</v>
      </c>
      <c r="BM1141" s="129">
        <f>AL1141*0.94</f>
        <v>17427976.122199997</v>
      </c>
      <c r="BN1141" s="129">
        <f>BM1141-BL1141</f>
        <v>2932212.1221999973</v>
      </c>
    </row>
    <row r="1142" spans="1:66" s="91" customFormat="1" ht="25.5" hidden="1" customHeight="1" x14ac:dyDescent="0.2">
      <c r="A1142" s="131" t="s">
        <v>2279</v>
      </c>
      <c r="B1142" s="132" t="s">
        <v>330</v>
      </c>
      <c r="C1142" s="132" t="s">
        <v>331</v>
      </c>
      <c r="D1142" s="133" t="s">
        <v>333</v>
      </c>
      <c r="E1142" s="22" t="s">
        <v>3</v>
      </c>
      <c r="F1142" s="22" t="s">
        <v>210</v>
      </c>
      <c r="G1142" s="22" t="s">
        <v>77</v>
      </c>
      <c r="H1142" s="22" t="s">
        <v>3</v>
      </c>
      <c r="I1142" s="22" t="s">
        <v>1022</v>
      </c>
      <c r="J1142" s="134" t="s">
        <v>1026</v>
      </c>
      <c r="K1142" s="133"/>
      <c r="L1142" s="133"/>
      <c r="M1142" s="133"/>
      <c r="N1142" s="133"/>
      <c r="O1142" s="135"/>
      <c r="P1142" s="135"/>
      <c r="Q1142" s="135"/>
      <c r="R1142" s="135"/>
      <c r="S1142" s="136">
        <v>31636001</v>
      </c>
      <c r="T1142" s="136">
        <v>1186027.0906275464</v>
      </c>
      <c r="U1142" s="137">
        <f>SUM(U1143)</f>
        <v>0</v>
      </c>
      <c r="V1142" s="137">
        <f>SUM(V1143)</f>
        <v>279718.15000000002</v>
      </c>
      <c r="W1142" s="137">
        <f>SUM(W1143)</f>
        <v>2850352.76</v>
      </c>
      <c r="X1142" s="138">
        <f>U1142+V1142+W1142</f>
        <v>3130070.9099999997</v>
      </c>
      <c r="Y1142" s="137">
        <f t="shared" ref="Y1142:AR1142" si="385">SUM(Y1143)</f>
        <v>1177618.43</v>
      </c>
      <c r="Z1142" s="137">
        <f t="shared" si="385"/>
        <v>0</v>
      </c>
      <c r="AA1142" s="137">
        <f t="shared" si="385"/>
        <v>0</v>
      </c>
      <c r="AB1142" s="137">
        <f t="shared" si="385"/>
        <v>1013567</v>
      </c>
      <c r="AC1142" s="137">
        <f t="shared" si="385"/>
        <v>0</v>
      </c>
      <c r="AD1142" s="137">
        <f t="shared" si="385"/>
        <v>0</v>
      </c>
      <c r="AE1142" s="137">
        <f t="shared" si="385"/>
        <v>1278821.6000000001</v>
      </c>
      <c r="AF1142" s="137">
        <f t="shared" si="385"/>
        <v>0</v>
      </c>
      <c r="AG1142" s="137">
        <f t="shared" si="385"/>
        <v>0</v>
      </c>
      <c r="AH1142" s="137">
        <f t="shared" si="385"/>
        <v>1106004.33</v>
      </c>
      <c r="AI1142" s="137">
        <f t="shared" si="385"/>
        <v>0</v>
      </c>
      <c r="AJ1142" s="137">
        <f t="shared" si="385"/>
        <v>0</v>
      </c>
      <c r="AK1142" s="137">
        <f t="shared" si="385"/>
        <v>4576011.3599999994</v>
      </c>
      <c r="AL1142" s="137">
        <f t="shared" si="385"/>
        <v>4166905</v>
      </c>
      <c r="AM1142" s="137">
        <f t="shared" si="385"/>
        <v>3355323.83</v>
      </c>
      <c r="AN1142" s="137">
        <f t="shared" si="385"/>
        <v>2994653.74</v>
      </c>
      <c r="AO1142" s="137">
        <f t="shared" si="385"/>
        <v>2967804.25</v>
      </c>
      <c r="AP1142" s="137">
        <f t="shared" si="385"/>
        <v>1996888.09</v>
      </c>
      <c r="AQ1142" s="137">
        <f t="shared" si="385"/>
        <v>450669.52</v>
      </c>
      <c r="AR1142" s="137">
        <f t="shared" si="385"/>
        <v>0</v>
      </c>
      <c r="AS1142" s="137">
        <f t="shared" ref="AS1142:AS1147" si="386">U1142+V1142+W1142+AK1142+AL1142+AM1142+AN1142+AO1142+AP1142+AQ1142+AR1142</f>
        <v>23638326.699999999</v>
      </c>
      <c r="AT1142" s="137">
        <f>AT1143</f>
        <v>0</v>
      </c>
      <c r="AU1142" s="139">
        <f t="shared" si="367"/>
        <v>23638326.699999999</v>
      </c>
      <c r="AV1142" s="146">
        <f>IFERROR(VLOOKUP(J1142,Maksājumu_pieprasījumu_iesn.!G:BL,57,0),0)</f>
        <v>0</v>
      </c>
      <c r="AW1142" s="139">
        <f t="shared" si="355"/>
        <v>-23638326.699999999</v>
      </c>
      <c r="AX1142" s="140">
        <f>S1142-T1142-AU1142</f>
        <v>6811647.2093724534</v>
      </c>
      <c r="AY1142" s="137"/>
      <c r="AZ1142" s="137"/>
      <c r="BA1142" s="138"/>
      <c r="BB1142" s="140"/>
      <c r="BC1142" s="140">
        <f>X1142+AK1142+AL1142/2</f>
        <v>9789534.7699999996</v>
      </c>
      <c r="BD1142" s="140"/>
      <c r="BE1142" s="140">
        <f>BC1142/0.85</f>
        <v>11517099.729411764</v>
      </c>
      <c r="BF1142" s="137"/>
      <c r="BG1142" s="137"/>
      <c r="BH1142" s="138">
        <v>3122147.01</v>
      </c>
      <c r="BI1142" s="138">
        <v>2969188.9</v>
      </c>
      <c r="BJ1142" s="138"/>
      <c r="BK1142" s="138"/>
      <c r="BL1142" s="138">
        <v>4884054</v>
      </c>
      <c r="BM1142" s="138"/>
      <c r="BN1142" s="138"/>
    </row>
    <row r="1143" spans="1:66" ht="89.25" hidden="1" customHeight="1" x14ac:dyDescent="0.2">
      <c r="A1143" s="158" t="s">
        <v>2279</v>
      </c>
      <c r="B1143" s="20" t="s">
        <v>330</v>
      </c>
      <c r="C1143" s="20" t="s">
        <v>331</v>
      </c>
      <c r="D1143" s="21" t="s">
        <v>333</v>
      </c>
      <c r="E1143" s="20" t="s">
        <v>3</v>
      </c>
      <c r="F1143" s="20" t="s">
        <v>210</v>
      </c>
      <c r="G1143" s="20" t="s">
        <v>77</v>
      </c>
      <c r="H1143" s="20" t="s">
        <v>3</v>
      </c>
      <c r="I1143" s="20"/>
      <c r="J1143" s="20" t="s">
        <v>332</v>
      </c>
      <c r="K1143" s="21" t="s">
        <v>212</v>
      </c>
      <c r="L1143" s="21"/>
      <c r="M1143" s="21"/>
      <c r="N1143" s="21" t="s">
        <v>333</v>
      </c>
      <c r="O1143" s="159"/>
      <c r="P1143" s="159"/>
      <c r="Q1143" s="159"/>
      <c r="R1143" s="159">
        <v>42305</v>
      </c>
      <c r="S1143" s="147">
        <v>23638326.640000001</v>
      </c>
      <c r="T1143" s="147"/>
      <c r="U1143" s="153">
        <v>0</v>
      </c>
      <c r="V1143" s="153">
        <v>279718.15000000002</v>
      </c>
      <c r="W1143" s="153">
        <v>2850352.76</v>
      </c>
      <c r="X1143" s="153">
        <f>W1143+V1143+U1143</f>
        <v>3130070.9099999997</v>
      </c>
      <c r="Y1143" s="153">
        <v>1177618.43</v>
      </c>
      <c r="Z1143" s="153">
        <v>0</v>
      </c>
      <c r="AA1143" s="153">
        <v>0</v>
      </c>
      <c r="AB1143" s="153">
        <v>1013567</v>
      </c>
      <c r="AC1143" s="153">
        <v>0</v>
      </c>
      <c r="AD1143" s="166">
        <v>0</v>
      </c>
      <c r="AE1143" s="166">
        <v>1278821.6000000001</v>
      </c>
      <c r="AF1143" s="153">
        <v>0</v>
      </c>
      <c r="AG1143" s="153">
        <v>0</v>
      </c>
      <c r="AH1143" s="153">
        <v>1106004.33</v>
      </c>
      <c r="AI1143" s="153">
        <v>0</v>
      </c>
      <c r="AJ1143" s="153">
        <v>0</v>
      </c>
      <c r="AK1143" s="153">
        <f>SUM(Y1143:AJ1143)</f>
        <v>4576011.3599999994</v>
      </c>
      <c r="AL1143" s="153">
        <v>4166905</v>
      </c>
      <c r="AM1143" s="153">
        <v>3355323.83</v>
      </c>
      <c r="AN1143" s="153">
        <v>2994653.74</v>
      </c>
      <c r="AO1143" s="153">
        <v>2967804.25</v>
      </c>
      <c r="AP1143" s="153">
        <v>1996888.09</v>
      </c>
      <c r="AQ1143" s="153">
        <v>450669.52</v>
      </c>
      <c r="AR1143" s="153">
        <v>0</v>
      </c>
      <c r="AS1143" s="147">
        <f t="shared" si="386"/>
        <v>23638326.699999999</v>
      </c>
      <c r="AT1143" s="147">
        <v>0</v>
      </c>
      <c r="AU1143" s="146">
        <f t="shared" si="367"/>
        <v>23638326.699999999</v>
      </c>
      <c r="AV1143" s="146" t="str">
        <f>IFERROR(VLOOKUP(J1143,Maksājumu_pieprasījumu_iesn.!G:BL,57,0),0)</f>
        <v xml:space="preserve">03.08.2017. saskaņots  jauns maksājumu pieprasījumu iesniegšanas grafiks, kurā jūlija beigās plānotais  maksājuma pieprasījums pārcelts uz augusta sākumu (iepriekš nebija). Finansējuma saņēmējs iespēju robežās ir intensificējis maksājumus projektā. 
</v>
      </c>
      <c r="AW1143" s="139" t="e">
        <f t="shared" si="355"/>
        <v>#VALUE!</v>
      </c>
      <c r="AX1143" s="147"/>
      <c r="AY1143" s="147">
        <v>117</v>
      </c>
      <c r="AZ1143" s="147"/>
      <c r="BA1143" s="149" t="s">
        <v>2283</v>
      </c>
      <c r="BB1143" s="147"/>
      <c r="BC1143" s="147"/>
      <c r="BD1143" s="147"/>
      <c r="BE1143" s="147"/>
      <c r="BF1143" s="147"/>
      <c r="BG1143" s="147"/>
      <c r="BH1143" s="149"/>
      <c r="BI1143" s="149"/>
      <c r="BJ1143" s="149"/>
      <c r="BK1143" s="149"/>
      <c r="BL1143" s="149"/>
      <c r="BM1143" s="149"/>
      <c r="BN1143" s="149"/>
    </row>
    <row r="1144" spans="1:66" s="91" customFormat="1" ht="25.5" hidden="1" customHeight="1" x14ac:dyDescent="0.2">
      <c r="A1144" s="131" t="s">
        <v>2279</v>
      </c>
      <c r="B1144" s="132" t="s">
        <v>330</v>
      </c>
      <c r="C1144" s="132" t="s">
        <v>334</v>
      </c>
      <c r="D1144" s="133" t="s">
        <v>333</v>
      </c>
      <c r="E1144" s="22" t="s">
        <v>3</v>
      </c>
      <c r="F1144" s="22" t="s">
        <v>210</v>
      </c>
      <c r="G1144" s="22" t="s">
        <v>77</v>
      </c>
      <c r="H1144" s="22" t="s">
        <v>3</v>
      </c>
      <c r="I1144" s="22" t="s">
        <v>1022</v>
      </c>
      <c r="J1144" s="134" t="s">
        <v>1026</v>
      </c>
      <c r="K1144" s="133"/>
      <c r="L1144" s="133"/>
      <c r="M1144" s="133"/>
      <c r="N1144" s="133"/>
      <c r="O1144" s="135"/>
      <c r="P1144" s="135"/>
      <c r="Q1144" s="135"/>
      <c r="R1144" s="135"/>
      <c r="S1144" s="136">
        <v>27225595</v>
      </c>
      <c r="T1144" s="136">
        <v>0</v>
      </c>
      <c r="U1144" s="137">
        <f>SUM(U1145)</f>
        <v>0</v>
      </c>
      <c r="V1144" s="137">
        <f>SUM(V1145)</f>
        <v>0</v>
      </c>
      <c r="W1144" s="137">
        <f>SUM(W1145)</f>
        <v>678549.25999999989</v>
      </c>
      <c r="X1144" s="138">
        <f>U1144+V1144+W1144</f>
        <v>678549.25999999989</v>
      </c>
      <c r="Y1144" s="137">
        <f t="shared" ref="Y1144:AR1144" si="387">SUM(Y1145)</f>
        <v>366419.21</v>
      </c>
      <c r="Z1144" s="137">
        <f t="shared" si="387"/>
        <v>0</v>
      </c>
      <c r="AA1144" s="137">
        <f t="shared" si="387"/>
        <v>0</v>
      </c>
      <c r="AB1144" s="137">
        <f t="shared" si="387"/>
        <v>328818.88</v>
      </c>
      <c r="AC1144" s="137">
        <f t="shared" si="387"/>
        <v>0</v>
      </c>
      <c r="AD1144" s="137">
        <f t="shared" si="387"/>
        <v>0</v>
      </c>
      <c r="AE1144" s="137">
        <f t="shared" si="387"/>
        <v>1356466.55</v>
      </c>
      <c r="AF1144" s="137">
        <f t="shared" si="387"/>
        <v>0</v>
      </c>
      <c r="AG1144" s="137">
        <f t="shared" si="387"/>
        <v>0</v>
      </c>
      <c r="AH1144" s="137">
        <f t="shared" si="387"/>
        <v>3072194.1</v>
      </c>
      <c r="AI1144" s="137">
        <f t="shared" si="387"/>
        <v>0</v>
      </c>
      <c r="AJ1144" s="137">
        <f t="shared" si="387"/>
        <v>0</v>
      </c>
      <c r="AK1144" s="137">
        <f t="shared" si="387"/>
        <v>5123898.74</v>
      </c>
      <c r="AL1144" s="137">
        <f t="shared" si="387"/>
        <v>9729228.3300000001</v>
      </c>
      <c r="AM1144" s="137">
        <f t="shared" si="387"/>
        <v>9541597.4699999988</v>
      </c>
      <c r="AN1144" s="137">
        <f t="shared" si="387"/>
        <v>4541928.7300000004</v>
      </c>
      <c r="AO1144" s="137">
        <f t="shared" si="387"/>
        <v>3963019.9</v>
      </c>
      <c r="AP1144" s="137">
        <f t="shared" si="387"/>
        <v>458902.59</v>
      </c>
      <c r="AQ1144" s="137">
        <f t="shared" si="387"/>
        <v>0</v>
      </c>
      <c r="AR1144" s="137">
        <f t="shared" si="387"/>
        <v>0</v>
      </c>
      <c r="AS1144" s="137">
        <f t="shared" si="386"/>
        <v>34037125.020000003</v>
      </c>
      <c r="AT1144" s="137">
        <f>AT1145</f>
        <v>0</v>
      </c>
      <c r="AU1144" s="139">
        <f t="shared" si="367"/>
        <v>34037125.020000003</v>
      </c>
      <c r="AV1144" s="146">
        <f>IFERROR(VLOOKUP(J1144,Maksājumu_pieprasījumu_iesn.!G:BL,57,0),0)</f>
        <v>0</v>
      </c>
      <c r="AW1144" s="139">
        <f t="shared" si="355"/>
        <v>-34037125.020000003</v>
      </c>
      <c r="AX1144" s="140">
        <f>S1144-T1144-AU1144</f>
        <v>-6811530.0200000033</v>
      </c>
      <c r="AY1144" s="137"/>
      <c r="AZ1144" s="137"/>
      <c r="BA1144" s="138"/>
      <c r="BB1144" s="140"/>
      <c r="BC1144" s="140">
        <f>X1144+AK1144+AL1144/2</f>
        <v>10667062.164999999</v>
      </c>
      <c r="BD1144" s="140"/>
      <c r="BE1144" s="140">
        <f>BC1144/0.85</f>
        <v>12549484.899999999</v>
      </c>
      <c r="BF1144" s="137"/>
      <c r="BG1144" s="137"/>
      <c r="BH1144" s="138">
        <v>669304.92000000004</v>
      </c>
      <c r="BI1144" s="138">
        <v>4297179.34</v>
      </c>
      <c r="BJ1144" s="138"/>
      <c r="BK1144" s="138"/>
      <c r="BL1144" s="138">
        <v>6573972</v>
      </c>
      <c r="BM1144" s="138"/>
      <c r="BN1144" s="138"/>
    </row>
    <row r="1145" spans="1:66" ht="89.25" hidden="1" customHeight="1" x14ac:dyDescent="0.2">
      <c r="A1145" s="142" t="s">
        <v>2279</v>
      </c>
      <c r="B1145" s="18" t="s">
        <v>330</v>
      </c>
      <c r="C1145" s="18" t="s">
        <v>334</v>
      </c>
      <c r="D1145" s="19" t="s">
        <v>333</v>
      </c>
      <c r="E1145" s="18" t="s">
        <v>3</v>
      </c>
      <c r="F1145" s="18" t="s">
        <v>210</v>
      </c>
      <c r="G1145" s="18" t="s">
        <v>77</v>
      </c>
      <c r="H1145" s="18" t="s">
        <v>3</v>
      </c>
      <c r="I1145" s="18"/>
      <c r="J1145" s="18" t="s">
        <v>335</v>
      </c>
      <c r="K1145" s="19" t="s">
        <v>212</v>
      </c>
      <c r="L1145" s="19"/>
      <c r="M1145" s="19"/>
      <c r="N1145" s="19" t="s">
        <v>336</v>
      </c>
      <c r="O1145" s="143"/>
      <c r="P1145" s="143"/>
      <c r="Q1145" s="143"/>
      <c r="R1145" s="143">
        <v>42367</v>
      </c>
      <c r="S1145" s="144">
        <v>34037125</v>
      </c>
      <c r="T1145" s="144"/>
      <c r="U1145" s="145">
        <v>0</v>
      </c>
      <c r="V1145" s="145">
        <v>0</v>
      </c>
      <c r="W1145" s="145">
        <v>678549.25999999989</v>
      </c>
      <c r="X1145" s="145">
        <f>W1145+V1145+U1145</f>
        <v>678549.25999999989</v>
      </c>
      <c r="Y1145" s="145">
        <v>366419.21</v>
      </c>
      <c r="Z1145" s="145">
        <v>0</v>
      </c>
      <c r="AA1145" s="145">
        <v>0</v>
      </c>
      <c r="AB1145" s="145">
        <v>328818.88</v>
      </c>
      <c r="AC1145" s="145">
        <v>0</v>
      </c>
      <c r="AD1145" s="166">
        <v>0</v>
      </c>
      <c r="AE1145" s="166">
        <v>1356466.55</v>
      </c>
      <c r="AF1145" s="145">
        <v>0</v>
      </c>
      <c r="AG1145" s="145">
        <v>0</v>
      </c>
      <c r="AH1145" s="145">
        <v>3072194.1</v>
      </c>
      <c r="AI1145" s="145">
        <v>0</v>
      </c>
      <c r="AJ1145" s="145">
        <v>0</v>
      </c>
      <c r="AK1145" s="145">
        <f>SUM(Y1145:AJ1145)</f>
        <v>5123898.74</v>
      </c>
      <c r="AL1145" s="145">
        <v>9729228.3300000001</v>
      </c>
      <c r="AM1145" s="145">
        <v>9541597.4699999988</v>
      </c>
      <c r="AN1145" s="145">
        <v>4541928.7300000004</v>
      </c>
      <c r="AO1145" s="145">
        <v>3963019.9</v>
      </c>
      <c r="AP1145" s="145">
        <v>458902.59</v>
      </c>
      <c r="AQ1145" s="145">
        <v>0</v>
      </c>
      <c r="AR1145" s="145">
        <v>0</v>
      </c>
      <c r="AS1145" s="144">
        <f t="shared" si="386"/>
        <v>34037125.020000003</v>
      </c>
      <c r="AT1145" s="144">
        <v>0</v>
      </c>
      <c r="AU1145" s="146">
        <f t="shared" si="367"/>
        <v>34037125.020000003</v>
      </c>
      <c r="AV1145" s="146" t="str">
        <f>IFERROR(VLOOKUP(J1145,Maksājumu_pieprasījumu_iesn.!G:BL,57,0),0)</f>
        <v>Nodarbinātības valsts aģentūrai kavējas iepirkuma līguma slēgšana "Motivācijas programma darba meklēšanai un sociālā mentora pakalpojumi", iepirkums atsevišķās iepirkuma priekšmeta daļās noslēdzies bez rezultāta, tādēļ 30.06.2017. projekts izsludināja atkārtotu iepirkumu. 
Projekts plāno iesniegtos pretendentu piedāvājumus izvērtēt pēc iespējas īsākā laikā. Ja neiestājas neparedzēti apstākļi (piem., pārsūdzības), tad bezdarbnieku iesaisti pasākumā plānots uzsākt 2017.gada septembrī.</v>
      </c>
      <c r="AW1145" s="139" t="e">
        <f t="shared" si="355"/>
        <v>#VALUE!</v>
      </c>
      <c r="AX1145" s="147"/>
      <c r="AY1145" s="147"/>
      <c r="AZ1145" s="147"/>
      <c r="BA1145" s="149" t="s">
        <v>2284</v>
      </c>
      <c r="BB1145" s="144"/>
      <c r="BC1145" s="144"/>
      <c r="BD1145" s="144"/>
      <c r="BE1145" s="144"/>
      <c r="BF1145" s="144"/>
      <c r="BG1145" s="144"/>
      <c r="BH1145" s="149"/>
      <c r="BI1145" s="149"/>
      <c r="BJ1145" s="149"/>
      <c r="BK1145" s="149"/>
      <c r="BL1145" s="149"/>
      <c r="BM1145" s="149"/>
      <c r="BN1145" s="149"/>
    </row>
    <row r="1146" spans="1:66" s="91" customFormat="1" ht="12.75" hidden="1" customHeight="1" x14ac:dyDescent="0.2">
      <c r="A1146" s="131" t="s">
        <v>2279</v>
      </c>
      <c r="B1146" s="132" t="s">
        <v>330</v>
      </c>
      <c r="C1146" s="132" t="s">
        <v>337</v>
      </c>
      <c r="D1146" s="133" t="s">
        <v>595</v>
      </c>
      <c r="E1146" s="22" t="s">
        <v>3</v>
      </c>
      <c r="F1146" s="22" t="s">
        <v>210</v>
      </c>
      <c r="G1146" s="22" t="s">
        <v>77</v>
      </c>
      <c r="H1146" s="22" t="s">
        <v>3</v>
      </c>
      <c r="I1146" s="22" t="s">
        <v>1022</v>
      </c>
      <c r="J1146" s="134" t="s">
        <v>1026</v>
      </c>
      <c r="K1146" s="133"/>
      <c r="L1146" s="133"/>
      <c r="M1146" s="133"/>
      <c r="N1146" s="133"/>
      <c r="O1146" s="135"/>
      <c r="P1146" s="135"/>
      <c r="Q1146" s="135"/>
      <c r="R1146" s="135"/>
      <c r="S1146" s="136">
        <v>16932175</v>
      </c>
      <c r="T1146" s="136">
        <v>4250000.0000000037</v>
      </c>
      <c r="U1146" s="137">
        <f>SUM(U1147)</f>
        <v>0</v>
      </c>
      <c r="V1146" s="137">
        <f>SUM(V1147)</f>
        <v>0</v>
      </c>
      <c r="W1146" s="137">
        <f>SUM(W1147)</f>
        <v>78759.69</v>
      </c>
      <c r="X1146" s="138">
        <f>U1146+V1146+W1146</f>
        <v>78759.69</v>
      </c>
      <c r="Y1146" s="137">
        <f t="shared" ref="Y1146:AR1146" si="388">SUM(Y1147)</f>
        <v>107040.26</v>
      </c>
      <c r="Z1146" s="137">
        <f t="shared" si="388"/>
        <v>0</v>
      </c>
      <c r="AA1146" s="137">
        <f t="shared" si="388"/>
        <v>0</v>
      </c>
      <c r="AB1146" s="137">
        <f t="shared" si="388"/>
        <v>63756.1</v>
      </c>
      <c r="AC1146" s="137">
        <f t="shared" si="388"/>
        <v>0</v>
      </c>
      <c r="AD1146" s="137">
        <f t="shared" si="388"/>
        <v>0</v>
      </c>
      <c r="AE1146" s="137">
        <f t="shared" si="388"/>
        <v>685480.12</v>
      </c>
      <c r="AF1146" s="137">
        <f t="shared" si="388"/>
        <v>0</v>
      </c>
      <c r="AG1146" s="137">
        <f t="shared" si="388"/>
        <v>0</v>
      </c>
      <c r="AH1146" s="137">
        <f t="shared" si="388"/>
        <v>1297763.8500000001</v>
      </c>
      <c r="AI1146" s="137">
        <f t="shared" si="388"/>
        <v>0</v>
      </c>
      <c r="AJ1146" s="137">
        <f t="shared" si="388"/>
        <v>0</v>
      </c>
      <c r="AK1146" s="137">
        <f t="shared" si="388"/>
        <v>2154040.33</v>
      </c>
      <c r="AL1146" s="137">
        <f t="shared" si="388"/>
        <v>4644266.8</v>
      </c>
      <c r="AM1146" s="137">
        <f t="shared" si="388"/>
        <v>2329497.41</v>
      </c>
      <c r="AN1146" s="137">
        <f t="shared" si="388"/>
        <v>1160641.8099999998</v>
      </c>
      <c r="AO1146" s="137">
        <f t="shared" si="388"/>
        <v>1151206.8</v>
      </c>
      <c r="AP1146" s="137">
        <f t="shared" si="388"/>
        <v>940179.00999999989</v>
      </c>
      <c r="AQ1146" s="137">
        <f t="shared" si="388"/>
        <v>223583.15</v>
      </c>
      <c r="AR1146" s="137">
        <f t="shared" si="388"/>
        <v>0</v>
      </c>
      <c r="AS1146" s="137">
        <f t="shared" si="386"/>
        <v>12682175.000000002</v>
      </c>
      <c r="AT1146" s="137">
        <f>AT1147</f>
        <v>0</v>
      </c>
      <c r="AU1146" s="139">
        <f t="shared" si="367"/>
        <v>12682175.000000002</v>
      </c>
      <c r="AV1146" s="146">
        <f>IFERROR(VLOOKUP(J1146,Maksājumu_pieprasījumu_iesn.!G:BL,57,0),0)</f>
        <v>0</v>
      </c>
      <c r="AW1146" s="139">
        <f t="shared" si="355"/>
        <v>-12682175.000000002</v>
      </c>
      <c r="AX1146" s="140">
        <f>S1146-T1146-AU1146</f>
        <v>0</v>
      </c>
      <c r="AY1146" s="137"/>
      <c r="AZ1146" s="137"/>
      <c r="BA1146" s="138"/>
      <c r="BB1146" s="140"/>
      <c r="BC1146" s="140">
        <f>X1146+AK1146+AL1146/2</f>
        <v>4554933.42</v>
      </c>
      <c r="BD1146" s="140"/>
      <c r="BE1146" s="140">
        <f>BC1146/0.85</f>
        <v>5358745.2</v>
      </c>
      <c r="BF1146" s="137"/>
      <c r="BG1146" s="137"/>
      <c r="BH1146" s="138">
        <v>78218.070000000007</v>
      </c>
      <c r="BI1146" s="138">
        <v>2118885.88</v>
      </c>
      <c r="BJ1146" s="138"/>
      <c r="BK1146" s="138"/>
      <c r="BL1146" s="138">
        <v>3037738</v>
      </c>
      <c r="BM1146" s="138"/>
      <c r="BN1146" s="138"/>
    </row>
    <row r="1147" spans="1:66" ht="25.5" hidden="1" customHeight="1" x14ac:dyDescent="0.2">
      <c r="A1147" s="142" t="s">
        <v>2279</v>
      </c>
      <c r="B1147" s="18" t="s">
        <v>330</v>
      </c>
      <c r="C1147" s="18" t="s">
        <v>337</v>
      </c>
      <c r="D1147" s="19" t="s">
        <v>595</v>
      </c>
      <c r="E1147" s="18" t="s">
        <v>3</v>
      </c>
      <c r="F1147" s="18" t="s">
        <v>210</v>
      </c>
      <c r="G1147" s="18" t="s">
        <v>77</v>
      </c>
      <c r="H1147" s="18" t="s">
        <v>3</v>
      </c>
      <c r="I1147" s="18"/>
      <c r="J1147" s="18" t="s">
        <v>339</v>
      </c>
      <c r="K1147" s="19" t="s">
        <v>40</v>
      </c>
      <c r="L1147" s="19"/>
      <c r="M1147" s="19"/>
      <c r="N1147" s="19" t="s">
        <v>338</v>
      </c>
      <c r="O1147" s="143"/>
      <c r="P1147" s="143"/>
      <c r="Q1147" s="143"/>
      <c r="R1147" s="143">
        <v>42373</v>
      </c>
      <c r="S1147" s="144">
        <v>12682175</v>
      </c>
      <c r="T1147" s="144"/>
      <c r="U1147" s="145">
        <v>0</v>
      </c>
      <c r="V1147" s="145">
        <v>0</v>
      </c>
      <c r="W1147" s="145">
        <v>78759.69</v>
      </c>
      <c r="X1147" s="145">
        <f>W1147+V1147+U1147</f>
        <v>78759.69</v>
      </c>
      <c r="Y1147" s="145">
        <v>107040.26</v>
      </c>
      <c r="Z1147" s="145">
        <v>0</v>
      </c>
      <c r="AA1147" s="145">
        <v>0</v>
      </c>
      <c r="AB1147" s="145">
        <v>63756.1</v>
      </c>
      <c r="AC1147" s="145">
        <v>0</v>
      </c>
      <c r="AD1147" s="166">
        <v>0</v>
      </c>
      <c r="AE1147" s="166">
        <v>685480.12</v>
      </c>
      <c r="AF1147" s="145">
        <v>0</v>
      </c>
      <c r="AG1147" s="145">
        <v>0</v>
      </c>
      <c r="AH1147" s="145">
        <v>1297763.8500000001</v>
      </c>
      <c r="AI1147" s="145">
        <v>0</v>
      </c>
      <c r="AJ1147" s="145">
        <v>0</v>
      </c>
      <c r="AK1147" s="145">
        <f>SUM(Y1147:AJ1147)</f>
        <v>2154040.33</v>
      </c>
      <c r="AL1147" s="145">
        <v>4644266.8</v>
      </c>
      <c r="AM1147" s="145">
        <v>2329497.41</v>
      </c>
      <c r="AN1147" s="145">
        <v>1160641.8099999998</v>
      </c>
      <c r="AO1147" s="145">
        <v>1151206.8</v>
      </c>
      <c r="AP1147" s="145">
        <v>940179.00999999989</v>
      </c>
      <c r="AQ1147" s="145">
        <v>223583.15</v>
      </c>
      <c r="AR1147" s="145">
        <v>0</v>
      </c>
      <c r="AS1147" s="144">
        <f t="shared" si="386"/>
        <v>12682175.000000002</v>
      </c>
      <c r="AT1147" s="144">
        <v>0</v>
      </c>
      <c r="AU1147" s="146">
        <f t="shared" si="367"/>
        <v>12682175.000000002</v>
      </c>
      <c r="AV1147" s="146" t="str">
        <f>IFERROR(VLOOKUP(J1147,Maksājumu_pieprasījumu_iesn.!G:BL,57,0),0)</f>
        <v>Nav uzsākta plānotā projekta  "Sociālo uzņēmumu atbalsta instrumentu piemērošana un sociālās uzņēmējdarbības uzsācēju biznesa plānu īstenošana" darbība, kas saistīts ar grozījumiem Ministru kabineta noteikumos Nr.467 (stājušies spēkā 02.06.2017.). Labklājības ministrija virza saskaņošanai vienošanos pie 29.08.2016. sadarbības līguma ar Altum, kas ietekmē projekta darbību uzsākšanu. Labklājības ministrija maksājuma pieprasījumus pārceļ uz 22.01.2018. Risks nesasniegt finanšu rādītāju 2018. gadā. LM uzdots š.g. septembrī pārskatīt ieviešanas mehānismu un virzīt risinājumu būtiskam snieguma uzlabojumam.</v>
      </c>
      <c r="AW1147" s="139" t="e">
        <f t="shared" si="355"/>
        <v>#VALUE!</v>
      </c>
      <c r="AX1147" s="147"/>
      <c r="AY1147" s="147"/>
      <c r="AZ1147" s="147"/>
      <c r="BA1147" s="149" t="s">
        <v>2285</v>
      </c>
      <c r="BB1147" s="144"/>
      <c r="BC1147" s="144"/>
      <c r="BD1147" s="144"/>
      <c r="BE1147" s="144"/>
      <c r="BF1147" s="144"/>
      <c r="BG1147" s="144"/>
      <c r="BH1147" s="149"/>
      <c r="BI1147" s="149"/>
      <c r="BJ1147" s="149"/>
      <c r="BK1147" s="149"/>
      <c r="BL1147" s="149"/>
      <c r="BM1147" s="149"/>
      <c r="BN1147" s="149"/>
    </row>
    <row r="1148" spans="1:66" s="91" customFormat="1" ht="25.5" hidden="1" x14ac:dyDescent="0.2">
      <c r="A1148" s="127" t="s">
        <v>2279</v>
      </c>
      <c r="B1148" s="127" t="s">
        <v>340</v>
      </c>
      <c r="C1148" s="127" t="s">
        <v>1023</v>
      </c>
      <c r="D1148" s="128" t="s">
        <v>596</v>
      </c>
      <c r="E1148" s="127"/>
      <c r="F1148" s="127"/>
      <c r="G1148" s="127" t="s">
        <v>77</v>
      </c>
      <c r="H1148" s="127"/>
      <c r="I1148" s="127"/>
      <c r="J1148" s="127"/>
      <c r="K1148" s="128"/>
      <c r="L1148" s="128"/>
      <c r="M1148" s="128"/>
      <c r="N1148" s="128"/>
      <c r="O1148" s="163"/>
      <c r="P1148" s="163"/>
      <c r="Q1148" s="163"/>
      <c r="R1148" s="163"/>
      <c r="S1148" s="164">
        <f>S1149</f>
        <v>4398750</v>
      </c>
      <c r="T1148" s="164">
        <f>T1149</f>
        <v>273537</v>
      </c>
      <c r="U1148" s="164">
        <f>U1149</f>
        <v>0</v>
      </c>
      <c r="V1148" s="164">
        <f>V1149</f>
        <v>0</v>
      </c>
      <c r="W1148" s="164">
        <f>W1149</f>
        <v>0</v>
      </c>
      <c r="X1148" s="129">
        <f>U1148+V1148+W1148</f>
        <v>0</v>
      </c>
      <c r="Y1148" s="164">
        <f t="shared" ref="Y1148:AT1148" si="389">Y1149</f>
        <v>0</v>
      </c>
      <c r="Z1148" s="164">
        <f t="shared" si="389"/>
        <v>0</v>
      </c>
      <c r="AA1148" s="164">
        <f t="shared" si="389"/>
        <v>0</v>
      </c>
      <c r="AB1148" s="164">
        <f t="shared" si="389"/>
        <v>112322.09</v>
      </c>
      <c r="AC1148" s="164">
        <f t="shared" si="389"/>
        <v>0</v>
      </c>
      <c r="AD1148" s="164">
        <f t="shared" si="389"/>
        <v>0</v>
      </c>
      <c r="AE1148" s="164">
        <f t="shared" si="389"/>
        <v>171635.92</v>
      </c>
      <c r="AF1148" s="164">
        <f t="shared" si="389"/>
        <v>0</v>
      </c>
      <c r="AG1148" s="164">
        <f t="shared" si="389"/>
        <v>0</v>
      </c>
      <c r="AH1148" s="164">
        <f t="shared" si="389"/>
        <v>231649.98</v>
      </c>
      <c r="AI1148" s="164">
        <f t="shared" si="389"/>
        <v>0</v>
      </c>
      <c r="AJ1148" s="164">
        <f t="shared" si="389"/>
        <v>0</v>
      </c>
      <c r="AK1148" s="164">
        <f t="shared" si="389"/>
        <v>515607.99</v>
      </c>
      <c r="AL1148" s="164">
        <f t="shared" si="389"/>
        <v>775862.36</v>
      </c>
      <c r="AM1148" s="164">
        <f t="shared" si="389"/>
        <v>672028.23</v>
      </c>
      <c r="AN1148" s="164">
        <f t="shared" si="389"/>
        <v>657800.28</v>
      </c>
      <c r="AO1148" s="164">
        <f t="shared" si="389"/>
        <v>676517.28</v>
      </c>
      <c r="AP1148" s="164">
        <f t="shared" si="389"/>
        <v>663215.85000000009</v>
      </c>
      <c r="AQ1148" s="164">
        <f t="shared" si="389"/>
        <v>164181.01</v>
      </c>
      <c r="AR1148" s="164">
        <f t="shared" si="389"/>
        <v>0</v>
      </c>
      <c r="AS1148" s="164">
        <f t="shared" si="389"/>
        <v>4125213.0000000009</v>
      </c>
      <c r="AT1148" s="164">
        <f t="shared" si="389"/>
        <v>0</v>
      </c>
      <c r="AU1148" s="183">
        <f t="shared" si="367"/>
        <v>4125213.0000000009</v>
      </c>
      <c r="AV1148" s="146">
        <f>IFERROR(VLOOKUP(J1148,Maksājumu_pieprasījumu_iesn.!G:BL,57,0),0)</f>
        <v>0</v>
      </c>
      <c r="AW1148" s="139">
        <f t="shared" si="355"/>
        <v>-4125213.0000000009</v>
      </c>
      <c r="AX1148" s="164">
        <f>AX1149</f>
        <v>0</v>
      </c>
      <c r="AY1148" s="164"/>
      <c r="AZ1148" s="164"/>
      <c r="BA1148" s="164"/>
      <c r="BB1148" s="164">
        <f>BB1149</f>
        <v>0</v>
      </c>
      <c r="BC1148" s="164">
        <f>BC1149</f>
        <v>903539.16999999993</v>
      </c>
      <c r="BD1148" s="164">
        <f>BC1148*0.94</f>
        <v>849326.81979999994</v>
      </c>
      <c r="BE1148" s="129">
        <f>BD1148/0.85</f>
        <v>999208.02329411765</v>
      </c>
      <c r="BF1148" s="164">
        <f>BF1149</f>
        <v>0</v>
      </c>
      <c r="BG1148" s="164">
        <f>BG1149</f>
        <v>0</v>
      </c>
      <c r="BH1148" s="129">
        <f>BH1149</f>
        <v>0</v>
      </c>
      <c r="BI1148" s="129">
        <f>BI1149</f>
        <v>277477</v>
      </c>
      <c r="BJ1148" s="129">
        <f>AK1148*0.94</f>
        <v>484671.51059999998</v>
      </c>
      <c r="BK1148" s="129">
        <f>BJ1148-BI1148</f>
        <v>207194.51059999998</v>
      </c>
      <c r="BL1148" s="129">
        <f>BL1149</f>
        <v>391192.28337184299</v>
      </c>
      <c r="BM1148" s="129">
        <f>AL1148*0.94</f>
        <v>729310.61839999992</v>
      </c>
      <c r="BN1148" s="129">
        <f>BM1148-BL1148</f>
        <v>338118.33502815693</v>
      </c>
    </row>
    <row r="1149" spans="1:66" s="91" customFormat="1" ht="25.5" hidden="1" customHeight="1" x14ac:dyDescent="0.2">
      <c r="A1149" s="131" t="s">
        <v>2279</v>
      </c>
      <c r="B1149" s="132" t="s">
        <v>340</v>
      </c>
      <c r="C1149" s="132" t="s">
        <v>341</v>
      </c>
      <c r="D1149" s="133" t="s">
        <v>596</v>
      </c>
      <c r="E1149" s="22" t="s">
        <v>3</v>
      </c>
      <c r="F1149" s="22" t="s">
        <v>342</v>
      </c>
      <c r="G1149" s="22" t="s">
        <v>77</v>
      </c>
      <c r="H1149" s="22" t="s">
        <v>3</v>
      </c>
      <c r="I1149" s="22" t="s">
        <v>1022</v>
      </c>
      <c r="J1149" s="134" t="s">
        <v>1026</v>
      </c>
      <c r="K1149" s="133"/>
      <c r="L1149" s="133"/>
      <c r="M1149" s="133"/>
      <c r="N1149" s="133"/>
      <c r="O1149" s="135"/>
      <c r="P1149" s="135"/>
      <c r="Q1149" s="135"/>
      <c r="R1149" s="135"/>
      <c r="S1149" s="136">
        <v>4398750</v>
      </c>
      <c r="T1149" s="136">
        <v>273537</v>
      </c>
      <c r="U1149" s="137">
        <f>SUM(U1150)</f>
        <v>0</v>
      </c>
      <c r="V1149" s="137">
        <f>SUM(V1150)</f>
        <v>0</v>
      </c>
      <c r="W1149" s="137">
        <f>SUM(W1150)</f>
        <v>0</v>
      </c>
      <c r="X1149" s="138">
        <f>U1149+V1149+W1149</f>
        <v>0</v>
      </c>
      <c r="Y1149" s="137">
        <f t="shared" ref="Y1149:AR1149" si="390">SUM(Y1150)</f>
        <v>0</v>
      </c>
      <c r="Z1149" s="137">
        <f t="shared" si="390"/>
        <v>0</v>
      </c>
      <c r="AA1149" s="137">
        <f t="shared" si="390"/>
        <v>0</v>
      </c>
      <c r="AB1149" s="137">
        <f t="shared" si="390"/>
        <v>112322.09</v>
      </c>
      <c r="AC1149" s="137">
        <f t="shared" si="390"/>
        <v>0</v>
      </c>
      <c r="AD1149" s="137">
        <f t="shared" si="390"/>
        <v>0</v>
      </c>
      <c r="AE1149" s="137">
        <f t="shared" si="390"/>
        <v>171635.92</v>
      </c>
      <c r="AF1149" s="137">
        <f t="shared" si="390"/>
        <v>0</v>
      </c>
      <c r="AG1149" s="137">
        <f t="shared" si="390"/>
        <v>0</v>
      </c>
      <c r="AH1149" s="137">
        <f t="shared" si="390"/>
        <v>231649.98</v>
      </c>
      <c r="AI1149" s="137">
        <f t="shared" si="390"/>
        <v>0</v>
      </c>
      <c r="AJ1149" s="137">
        <f t="shared" si="390"/>
        <v>0</v>
      </c>
      <c r="AK1149" s="137">
        <f t="shared" si="390"/>
        <v>515607.99</v>
      </c>
      <c r="AL1149" s="137">
        <f t="shared" si="390"/>
        <v>775862.36</v>
      </c>
      <c r="AM1149" s="137">
        <f t="shared" si="390"/>
        <v>672028.23</v>
      </c>
      <c r="AN1149" s="137">
        <f t="shared" si="390"/>
        <v>657800.28</v>
      </c>
      <c r="AO1149" s="137">
        <f t="shared" si="390"/>
        <v>676517.28</v>
      </c>
      <c r="AP1149" s="137">
        <f t="shared" si="390"/>
        <v>663215.85000000009</v>
      </c>
      <c r="AQ1149" s="137">
        <f t="shared" si="390"/>
        <v>164181.01</v>
      </c>
      <c r="AR1149" s="137">
        <f t="shared" si="390"/>
        <v>0</v>
      </c>
      <c r="AS1149" s="137">
        <f>U1149+V1149+W1149+AK1149+AL1149+AM1149+AN1149+AO1149+AP1149+AQ1149+AR1149</f>
        <v>4125213.0000000009</v>
      </c>
      <c r="AT1149" s="137">
        <f>AT1150</f>
        <v>0</v>
      </c>
      <c r="AU1149" s="139">
        <f t="shared" si="367"/>
        <v>4125213.0000000009</v>
      </c>
      <c r="AV1149" s="146">
        <f>IFERROR(VLOOKUP(J1149,Maksājumu_pieprasījumu_iesn.!G:BL,57,0),0)</f>
        <v>0</v>
      </c>
      <c r="AW1149" s="139">
        <f t="shared" si="355"/>
        <v>-4125213.0000000009</v>
      </c>
      <c r="AX1149" s="140">
        <f>S1149-T1149-AU1149</f>
        <v>0</v>
      </c>
      <c r="AY1149" s="137"/>
      <c r="AZ1149" s="137"/>
      <c r="BA1149" s="138"/>
      <c r="BB1149" s="140"/>
      <c r="BC1149" s="140">
        <f>X1149+AK1149+AL1149/2</f>
        <v>903539.16999999993</v>
      </c>
      <c r="BD1149" s="140"/>
      <c r="BE1149" s="140">
        <f>BC1149/0.85</f>
        <v>1062987.2588235294</v>
      </c>
      <c r="BF1149" s="137"/>
      <c r="BG1149" s="137"/>
      <c r="BH1149" s="138">
        <v>0</v>
      </c>
      <c r="BI1149" s="138">
        <v>277477</v>
      </c>
      <c r="BJ1149" s="138"/>
      <c r="BK1149" s="138"/>
      <c r="BL1149" s="138">
        <v>391192.28337184299</v>
      </c>
      <c r="BM1149" s="138"/>
      <c r="BN1149" s="138"/>
    </row>
    <row r="1150" spans="1:66" ht="25.5" hidden="1" customHeight="1" x14ac:dyDescent="0.2">
      <c r="A1150" s="142" t="s">
        <v>2279</v>
      </c>
      <c r="B1150" s="18" t="s">
        <v>340</v>
      </c>
      <c r="C1150" s="18" t="s">
        <v>341</v>
      </c>
      <c r="D1150" s="19" t="s">
        <v>596</v>
      </c>
      <c r="E1150" s="18" t="s">
        <v>3</v>
      </c>
      <c r="F1150" s="18" t="s">
        <v>342</v>
      </c>
      <c r="G1150" s="18" t="s">
        <v>77</v>
      </c>
      <c r="H1150" s="18" t="s">
        <v>3</v>
      </c>
      <c r="I1150" s="18"/>
      <c r="J1150" s="18" t="s">
        <v>343</v>
      </c>
      <c r="K1150" s="19" t="s">
        <v>344</v>
      </c>
      <c r="L1150" s="19"/>
      <c r="M1150" s="19"/>
      <c r="N1150" s="19" t="s">
        <v>345</v>
      </c>
      <c r="O1150" s="143"/>
      <c r="P1150" s="143"/>
      <c r="Q1150" s="143"/>
      <c r="R1150" s="143">
        <v>42713</v>
      </c>
      <c r="S1150" s="144">
        <v>4125213</v>
      </c>
      <c r="T1150" s="144"/>
      <c r="U1150" s="145">
        <v>0</v>
      </c>
      <c r="V1150" s="145">
        <v>0</v>
      </c>
      <c r="W1150" s="145">
        <v>0</v>
      </c>
      <c r="X1150" s="145">
        <f>W1150+V1150+U1150</f>
        <v>0</v>
      </c>
      <c r="Y1150" s="145">
        <v>0</v>
      </c>
      <c r="Z1150" s="145">
        <v>0</v>
      </c>
      <c r="AA1150" s="145">
        <v>0</v>
      </c>
      <c r="AB1150" s="145">
        <v>112322.09</v>
      </c>
      <c r="AC1150" s="145">
        <v>0</v>
      </c>
      <c r="AD1150" s="166">
        <v>0</v>
      </c>
      <c r="AE1150" s="166">
        <v>171635.92</v>
      </c>
      <c r="AF1150" s="145">
        <v>0</v>
      </c>
      <c r="AG1150" s="145">
        <v>0</v>
      </c>
      <c r="AH1150" s="145">
        <v>231649.98</v>
      </c>
      <c r="AI1150" s="145">
        <v>0</v>
      </c>
      <c r="AJ1150" s="145">
        <v>0</v>
      </c>
      <c r="AK1150" s="145">
        <f>SUM(Y1150:AJ1150)</f>
        <v>515607.99</v>
      </c>
      <c r="AL1150" s="145">
        <v>775862.36</v>
      </c>
      <c r="AM1150" s="145">
        <v>672028.23</v>
      </c>
      <c r="AN1150" s="145">
        <v>657800.28</v>
      </c>
      <c r="AO1150" s="145">
        <v>676517.28</v>
      </c>
      <c r="AP1150" s="145">
        <v>663215.85000000009</v>
      </c>
      <c r="AQ1150" s="145">
        <v>164181.01</v>
      </c>
      <c r="AR1150" s="145">
        <v>0</v>
      </c>
      <c r="AS1150" s="144">
        <f>U1150+V1150+W1150+AK1150+AL1150+AM1150+AN1150+AO1150+AP1150+AQ1150+AR1150</f>
        <v>4125213.0000000009</v>
      </c>
      <c r="AT1150" s="144">
        <v>0</v>
      </c>
      <c r="AU1150" s="146">
        <f t="shared" si="367"/>
        <v>4125213.0000000009</v>
      </c>
      <c r="AV1150" s="146">
        <f>IFERROR(VLOOKUP(J1150,Maksājumu_pieprasījumu_iesn.!G:BL,57,0),0)</f>
        <v>0</v>
      </c>
      <c r="AW1150" s="139">
        <f t="shared" si="355"/>
        <v>-4125213.0000000009</v>
      </c>
      <c r="AX1150" s="147"/>
      <c r="AY1150" s="147"/>
      <c r="AZ1150" s="147"/>
      <c r="BA1150" s="149" t="s">
        <v>2286</v>
      </c>
      <c r="BB1150" s="144"/>
      <c r="BC1150" s="144"/>
      <c r="BD1150" s="144"/>
      <c r="BE1150" s="144"/>
      <c r="BF1150" s="144"/>
      <c r="BG1150" s="144"/>
      <c r="BH1150" s="149"/>
      <c r="BI1150" s="149"/>
      <c r="BJ1150" s="149"/>
      <c r="BK1150" s="149"/>
      <c r="BL1150" s="149"/>
      <c r="BM1150" s="149"/>
      <c r="BN1150" s="149"/>
    </row>
    <row r="1151" spans="1:66" s="91" customFormat="1" hidden="1" x14ac:dyDescent="0.2">
      <c r="A1151" s="127" t="s">
        <v>2279</v>
      </c>
      <c r="B1151" s="127" t="s">
        <v>346</v>
      </c>
      <c r="C1151" s="127" t="s">
        <v>1023</v>
      </c>
      <c r="D1151" s="128" t="s">
        <v>597</v>
      </c>
      <c r="E1151" s="127"/>
      <c r="F1151" s="127"/>
      <c r="G1151" s="127" t="s">
        <v>77</v>
      </c>
      <c r="H1151" s="127"/>
      <c r="I1151" s="127"/>
      <c r="J1151" s="127"/>
      <c r="K1151" s="128"/>
      <c r="L1151" s="128"/>
      <c r="M1151" s="128"/>
      <c r="N1151" s="128"/>
      <c r="O1151" s="163"/>
      <c r="P1151" s="163"/>
      <c r="Q1151" s="163"/>
      <c r="R1151" s="163"/>
      <c r="S1151" s="164">
        <f>S1152</f>
        <v>3597789</v>
      </c>
      <c r="T1151" s="164">
        <f>T1152</f>
        <v>223729</v>
      </c>
      <c r="U1151" s="164">
        <f>U1152</f>
        <v>0</v>
      </c>
      <c r="V1151" s="164">
        <f>V1152</f>
        <v>0</v>
      </c>
      <c r="W1151" s="164">
        <f>W1152</f>
        <v>0</v>
      </c>
      <c r="X1151" s="129">
        <f>U1151+V1151+W1151</f>
        <v>0</v>
      </c>
      <c r="Y1151" s="164">
        <f t="shared" ref="Y1151:AT1151" si="391">Y1152</f>
        <v>0</v>
      </c>
      <c r="Z1151" s="164">
        <f t="shared" si="391"/>
        <v>0</v>
      </c>
      <c r="AA1151" s="164">
        <f t="shared" si="391"/>
        <v>0</v>
      </c>
      <c r="AB1151" s="164">
        <f t="shared" si="391"/>
        <v>181037.59</v>
      </c>
      <c r="AC1151" s="164">
        <f t="shared" si="391"/>
        <v>0</v>
      </c>
      <c r="AD1151" s="164">
        <f t="shared" si="391"/>
        <v>0</v>
      </c>
      <c r="AE1151" s="164">
        <f t="shared" si="391"/>
        <v>146404.35</v>
      </c>
      <c r="AF1151" s="164">
        <f t="shared" si="391"/>
        <v>0</v>
      </c>
      <c r="AG1151" s="164">
        <f t="shared" si="391"/>
        <v>0</v>
      </c>
      <c r="AH1151" s="164">
        <f t="shared" si="391"/>
        <v>227015.28</v>
      </c>
      <c r="AI1151" s="164">
        <f t="shared" si="391"/>
        <v>0</v>
      </c>
      <c r="AJ1151" s="164">
        <f t="shared" si="391"/>
        <v>0</v>
      </c>
      <c r="AK1151" s="164">
        <f t="shared" si="391"/>
        <v>554457.22</v>
      </c>
      <c r="AL1151" s="164">
        <f t="shared" si="391"/>
        <v>801868.65999999992</v>
      </c>
      <c r="AM1151" s="164">
        <f t="shared" si="391"/>
        <v>505456.75</v>
      </c>
      <c r="AN1151" s="164">
        <f t="shared" si="391"/>
        <v>463633.63999999996</v>
      </c>
      <c r="AO1151" s="164">
        <f t="shared" si="391"/>
        <v>472989.6</v>
      </c>
      <c r="AP1151" s="164">
        <f t="shared" si="391"/>
        <v>461535.42000000004</v>
      </c>
      <c r="AQ1151" s="164">
        <f t="shared" si="391"/>
        <v>114118.71</v>
      </c>
      <c r="AR1151" s="164">
        <f t="shared" si="391"/>
        <v>0</v>
      </c>
      <c r="AS1151" s="164">
        <f t="shared" si="391"/>
        <v>3374060</v>
      </c>
      <c r="AT1151" s="164">
        <f t="shared" si="391"/>
        <v>0</v>
      </c>
      <c r="AU1151" s="183">
        <f t="shared" si="367"/>
        <v>3374060</v>
      </c>
      <c r="AV1151" s="146">
        <f>IFERROR(VLOOKUP(J1151,Maksājumu_pieprasījumu_iesn.!G:BL,57,0),0)</f>
        <v>0</v>
      </c>
      <c r="AW1151" s="139">
        <f t="shared" si="355"/>
        <v>-3374060</v>
      </c>
      <c r="AX1151" s="164">
        <f>AX1152</f>
        <v>0</v>
      </c>
      <c r="AY1151" s="164"/>
      <c r="AZ1151" s="164"/>
      <c r="BA1151" s="164"/>
      <c r="BB1151" s="164">
        <f>BB1152</f>
        <v>0</v>
      </c>
      <c r="BC1151" s="164">
        <f>BC1152</f>
        <v>955391.54999999993</v>
      </c>
      <c r="BD1151" s="164">
        <f>BC1151*0.94</f>
        <v>898068.05699999991</v>
      </c>
      <c r="BE1151" s="129">
        <f>BD1151/0.85</f>
        <v>1056550.6552941175</v>
      </c>
      <c r="BF1151" s="164">
        <f>BF1152</f>
        <v>0</v>
      </c>
      <c r="BG1151" s="164">
        <f>BG1152</f>
        <v>0</v>
      </c>
      <c r="BH1151" s="129">
        <f>BH1152</f>
        <v>0</v>
      </c>
      <c r="BI1151" s="129">
        <f>BI1152</f>
        <v>331089</v>
      </c>
      <c r="BJ1151" s="129">
        <f>AK1151*0.94</f>
        <v>521189.78679999994</v>
      </c>
      <c r="BK1151" s="129">
        <f>BJ1151-BI1151</f>
        <v>190100.78679999994</v>
      </c>
      <c r="BL1151" s="129">
        <f>BL1152</f>
        <v>502210.42387759301</v>
      </c>
      <c r="BM1151" s="129">
        <f>AL1151*0.94</f>
        <v>753756.54039999982</v>
      </c>
      <c r="BN1151" s="129">
        <f>BM1151-BL1151</f>
        <v>251546.11652240681</v>
      </c>
    </row>
    <row r="1152" spans="1:66" s="91" customFormat="1" ht="12.75" hidden="1" customHeight="1" x14ac:dyDescent="0.2">
      <c r="A1152" s="131" t="s">
        <v>2279</v>
      </c>
      <c r="B1152" s="132" t="s">
        <v>346</v>
      </c>
      <c r="C1152" s="132" t="s">
        <v>347</v>
      </c>
      <c r="D1152" s="133" t="s">
        <v>597</v>
      </c>
      <c r="E1152" s="22" t="s">
        <v>3</v>
      </c>
      <c r="F1152" s="22" t="s">
        <v>342</v>
      </c>
      <c r="G1152" s="22" t="s">
        <v>77</v>
      </c>
      <c r="H1152" s="22" t="s">
        <v>3</v>
      </c>
      <c r="I1152" s="22" t="s">
        <v>1022</v>
      </c>
      <c r="J1152" s="134" t="s">
        <v>1026</v>
      </c>
      <c r="K1152" s="133"/>
      <c r="L1152" s="133"/>
      <c r="M1152" s="133"/>
      <c r="N1152" s="133"/>
      <c r="O1152" s="135"/>
      <c r="P1152" s="135"/>
      <c r="Q1152" s="135"/>
      <c r="R1152" s="135"/>
      <c r="S1152" s="136">
        <v>3597789</v>
      </c>
      <c r="T1152" s="136">
        <v>223729</v>
      </c>
      <c r="U1152" s="137">
        <f>SUM(U1153)</f>
        <v>0</v>
      </c>
      <c r="V1152" s="137">
        <f>SUM(V1153)</f>
        <v>0</v>
      </c>
      <c r="W1152" s="137">
        <f>SUM(W1153)</f>
        <v>0</v>
      </c>
      <c r="X1152" s="138">
        <f>U1152+V1152+W1152</f>
        <v>0</v>
      </c>
      <c r="Y1152" s="137">
        <f t="shared" ref="Y1152:AR1152" si="392">SUM(Y1153)</f>
        <v>0</v>
      </c>
      <c r="Z1152" s="137">
        <f t="shared" si="392"/>
        <v>0</v>
      </c>
      <c r="AA1152" s="137">
        <f t="shared" si="392"/>
        <v>0</v>
      </c>
      <c r="AB1152" s="137">
        <f t="shared" si="392"/>
        <v>181037.59</v>
      </c>
      <c r="AC1152" s="137">
        <f t="shared" si="392"/>
        <v>0</v>
      </c>
      <c r="AD1152" s="137">
        <f t="shared" si="392"/>
        <v>0</v>
      </c>
      <c r="AE1152" s="137">
        <f t="shared" si="392"/>
        <v>146404.35</v>
      </c>
      <c r="AF1152" s="137">
        <f t="shared" si="392"/>
        <v>0</v>
      </c>
      <c r="AG1152" s="137">
        <f t="shared" si="392"/>
        <v>0</v>
      </c>
      <c r="AH1152" s="137">
        <f t="shared" si="392"/>
        <v>227015.28</v>
      </c>
      <c r="AI1152" s="137">
        <f t="shared" si="392"/>
        <v>0</v>
      </c>
      <c r="AJ1152" s="137">
        <f t="shared" si="392"/>
        <v>0</v>
      </c>
      <c r="AK1152" s="137">
        <f t="shared" si="392"/>
        <v>554457.22</v>
      </c>
      <c r="AL1152" s="137">
        <f t="shared" si="392"/>
        <v>801868.65999999992</v>
      </c>
      <c r="AM1152" s="137">
        <f t="shared" si="392"/>
        <v>505456.75</v>
      </c>
      <c r="AN1152" s="137">
        <f t="shared" si="392"/>
        <v>463633.63999999996</v>
      </c>
      <c r="AO1152" s="137">
        <f t="shared" si="392"/>
        <v>472989.6</v>
      </c>
      <c r="AP1152" s="137">
        <f t="shared" si="392"/>
        <v>461535.42000000004</v>
      </c>
      <c r="AQ1152" s="137">
        <f t="shared" si="392"/>
        <v>114118.71</v>
      </c>
      <c r="AR1152" s="137">
        <f t="shared" si="392"/>
        <v>0</v>
      </c>
      <c r="AS1152" s="137">
        <f>U1152+V1152+W1152+AK1152+AL1152+AM1152+AN1152+AO1152+AP1152+AQ1152+AR1152</f>
        <v>3374060</v>
      </c>
      <c r="AT1152" s="137">
        <f>AT1153</f>
        <v>0</v>
      </c>
      <c r="AU1152" s="139">
        <f t="shared" si="367"/>
        <v>3374060</v>
      </c>
      <c r="AV1152" s="146">
        <f>IFERROR(VLOOKUP(J1152,Maksājumu_pieprasījumu_iesn.!G:BL,57,0),0)</f>
        <v>0</v>
      </c>
      <c r="AW1152" s="139">
        <f t="shared" si="355"/>
        <v>-3374060</v>
      </c>
      <c r="AX1152" s="140">
        <f>S1152-T1152-AU1152</f>
        <v>0</v>
      </c>
      <c r="AY1152" s="137"/>
      <c r="AZ1152" s="137"/>
      <c r="BA1152" s="138"/>
      <c r="BB1152" s="140"/>
      <c r="BC1152" s="140">
        <f>X1152+AK1152+AL1152/2</f>
        <v>955391.54999999993</v>
      </c>
      <c r="BD1152" s="140"/>
      <c r="BE1152" s="140">
        <f>BC1152/0.85</f>
        <v>1123990.0588235294</v>
      </c>
      <c r="BF1152" s="137"/>
      <c r="BG1152" s="137"/>
      <c r="BH1152" s="138">
        <v>0</v>
      </c>
      <c r="BI1152" s="138">
        <v>331089</v>
      </c>
      <c r="BJ1152" s="138"/>
      <c r="BK1152" s="138"/>
      <c r="BL1152" s="138">
        <v>502210.42387759301</v>
      </c>
      <c r="BM1152" s="138"/>
      <c r="BN1152" s="138"/>
    </row>
    <row r="1153" spans="1:66" ht="25.5" hidden="1" customHeight="1" x14ac:dyDescent="0.2">
      <c r="A1153" s="142" t="s">
        <v>2279</v>
      </c>
      <c r="B1153" s="18" t="s">
        <v>346</v>
      </c>
      <c r="C1153" s="18" t="s">
        <v>347</v>
      </c>
      <c r="D1153" s="19" t="s">
        <v>597</v>
      </c>
      <c r="E1153" s="18" t="s">
        <v>3</v>
      </c>
      <c r="F1153" s="18" t="s">
        <v>342</v>
      </c>
      <c r="G1153" s="18" t="s">
        <v>77</v>
      </c>
      <c r="H1153" s="18" t="s">
        <v>3</v>
      </c>
      <c r="I1153" s="18"/>
      <c r="J1153" s="18" t="s">
        <v>348</v>
      </c>
      <c r="K1153" s="19" t="s">
        <v>344</v>
      </c>
      <c r="L1153" s="19"/>
      <c r="M1153" s="19"/>
      <c r="N1153" s="19" t="s">
        <v>349</v>
      </c>
      <c r="O1153" s="143"/>
      <c r="P1153" s="143"/>
      <c r="Q1153" s="143"/>
      <c r="R1153" s="143">
        <v>42713</v>
      </c>
      <c r="S1153" s="144">
        <v>3374060</v>
      </c>
      <c r="T1153" s="144"/>
      <c r="U1153" s="145">
        <v>0</v>
      </c>
      <c r="V1153" s="145">
        <v>0</v>
      </c>
      <c r="W1153" s="145">
        <v>0</v>
      </c>
      <c r="X1153" s="145">
        <f>W1153+V1153+U1153</f>
        <v>0</v>
      </c>
      <c r="Y1153" s="145">
        <v>0</v>
      </c>
      <c r="Z1153" s="145">
        <v>0</v>
      </c>
      <c r="AA1153" s="145">
        <v>0</v>
      </c>
      <c r="AB1153" s="145">
        <v>181037.59</v>
      </c>
      <c r="AC1153" s="145">
        <v>0</v>
      </c>
      <c r="AD1153" s="166">
        <v>0</v>
      </c>
      <c r="AE1153" s="166">
        <v>146404.35</v>
      </c>
      <c r="AF1153" s="145">
        <v>0</v>
      </c>
      <c r="AG1153" s="145">
        <v>0</v>
      </c>
      <c r="AH1153" s="145">
        <v>227015.28</v>
      </c>
      <c r="AI1153" s="145">
        <v>0</v>
      </c>
      <c r="AJ1153" s="145">
        <v>0</v>
      </c>
      <c r="AK1153" s="145">
        <f>SUM(Y1153:AJ1153)</f>
        <v>554457.22</v>
      </c>
      <c r="AL1153" s="145">
        <v>801868.65999999992</v>
      </c>
      <c r="AM1153" s="145">
        <v>505456.75</v>
      </c>
      <c r="AN1153" s="145">
        <v>463633.63999999996</v>
      </c>
      <c r="AO1153" s="145">
        <v>472989.6</v>
      </c>
      <c r="AP1153" s="145">
        <v>461535.42000000004</v>
      </c>
      <c r="AQ1153" s="145">
        <v>114118.71</v>
      </c>
      <c r="AR1153" s="145">
        <v>0</v>
      </c>
      <c r="AS1153" s="144">
        <f>U1153+V1153+W1153+AK1153+AL1153+AM1153+AN1153+AO1153+AP1153+AQ1153+AR1153</f>
        <v>3374060</v>
      </c>
      <c r="AT1153" s="144">
        <v>0</v>
      </c>
      <c r="AU1153" s="146">
        <f t="shared" si="367"/>
        <v>3374060</v>
      </c>
      <c r="AV1153" s="146">
        <f>IFERROR(VLOOKUP(J1153,Maksājumu_pieprasījumu_iesn.!G:BL,57,0),0)</f>
        <v>0</v>
      </c>
      <c r="AW1153" s="139">
        <f t="shared" si="355"/>
        <v>-3374060</v>
      </c>
      <c r="AX1153" s="147"/>
      <c r="AY1153" s="147"/>
      <c r="AZ1153" s="147"/>
      <c r="BA1153" s="149" t="s">
        <v>2287</v>
      </c>
      <c r="BB1153" s="144"/>
      <c r="BC1153" s="144"/>
      <c r="BD1153" s="144"/>
      <c r="BE1153" s="144"/>
      <c r="BF1153" s="144"/>
      <c r="BG1153" s="144"/>
      <c r="BH1153" s="149"/>
      <c r="BI1153" s="149"/>
      <c r="BJ1153" s="149"/>
      <c r="BK1153" s="149"/>
      <c r="BL1153" s="149"/>
      <c r="BM1153" s="149"/>
      <c r="BN1153" s="149"/>
    </row>
    <row r="1154" spans="1:66" s="91" customFormat="1" ht="38.25" hidden="1" x14ac:dyDescent="0.2">
      <c r="A1154" s="127" t="s">
        <v>2279</v>
      </c>
      <c r="B1154" s="127" t="s">
        <v>350</v>
      </c>
      <c r="C1154" s="127" t="s">
        <v>1023</v>
      </c>
      <c r="D1154" s="128" t="s">
        <v>2288</v>
      </c>
      <c r="E1154" s="127"/>
      <c r="F1154" s="127"/>
      <c r="G1154" s="127" t="s">
        <v>77</v>
      </c>
      <c r="H1154" s="127"/>
      <c r="I1154" s="127"/>
      <c r="J1154" s="127"/>
      <c r="K1154" s="128"/>
      <c r="L1154" s="128"/>
      <c r="M1154" s="128"/>
      <c r="N1154" s="128"/>
      <c r="O1154" s="163"/>
      <c r="P1154" s="163"/>
      <c r="Q1154" s="163"/>
      <c r="R1154" s="163"/>
      <c r="S1154" s="164">
        <f>S1155+S1157+S1160+S1162</f>
        <v>8250522</v>
      </c>
      <c r="T1154" s="164">
        <f>T1155+T1157+T1160+T1162</f>
        <v>0</v>
      </c>
      <c r="U1154" s="164">
        <f>U1155+U1157+U1160+U1162</f>
        <v>0</v>
      </c>
      <c r="V1154" s="164">
        <f>V1155+V1157+V1160+V1162</f>
        <v>0</v>
      </c>
      <c r="W1154" s="164">
        <f>W1155+W1157+W1160+W1162</f>
        <v>157430.85999999999</v>
      </c>
      <c r="X1154" s="129">
        <f>U1154+V1154+W1154</f>
        <v>157430.85999999999</v>
      </c>
      <c r="Y1154" s="164">
        <f t="shared" ref="Y1154:AT1154" si="393">Y1155+Y1157+Y1160+Y1162</f>
        <v>82085.19</v>
      </c>
      <c r="Z1154" s="164">
        <f t="shared" si="393"/>
        <v>0</v>
      </c>
      <c r="AA1154" s="164">
        <f t="shared" si="393"/>
        <v>0</v>
      </c>
      <c r="AB1154" s="164">
        <f t="shared" si="393"/>
        <v>108406.88</v>
      </c>
      <c r="AC1154" s="164">
        <f t="shared" si="393"/>
        <v>0</v>
      </c>
      <c r="AD1154" s="164">
        <f t="shared" si="393"/>
        <v>0</v>
      </c>
      <c r="AE1154" s="164">
        <f t="shared" si="393"/>
        <v>395741.98</v>
      </c>
      <c r="AF1154" s="164">
        <f t="shared" si="393"/>
        <v>0</v>
      </c>
      <c r="AG1154" s="164">
        <f t="shared" si="393"/>
        <v>0</v>
      </c>
      <c r="AH1154" s="164">
        <f t="shared" si="393"/>
        <v>520933.08999999997</v>
      </c>
      <c r="AI1154" s="164">
        <f t="shared" si="393"/>
        <v>0</v>
      </c>
      <c r="AJ1154" s="164">
        <f t="shared" si="393"/>
        <v>0</v>
      </c>
      <c r="AK1154" s="164">
        <f t="shared" si="393"/>
        <v>1107167.1399999999</v>
      </c>
      <c r="AL1154" s="164">
        <f t="shared" si="393"/>
        <v>2556588.42</v>
      </c>
      <c r="AM1154" s="164">
        <f t="shared" si="393"/>
        <v>1934029.91</v>
      </c>
      <c r="AN1154" s="164">
        <f t="shared" si="393"/>
        <v>1108961.8400000001</v>
      </c>
      <c r="AO1154" s="164">
        <f t="shared" si="393"/>
        <v>768554.12</v>
      </c>
      <c r="AP1154" s="164">
        <f t="shared" si="393"/>
        <v>531421.85</v>
      </c>
      <c r="AQ1154" s="164">
        <f t="shared" si="393"/>
        <v>86330.97</v>
      </c>
      <c r="AR1154" s="164">
        <f t="shared" si="393"/>
        <v>0</v>
      </c>
      <c r="AS1154" s="164">
        <f t="shared" si="393"/>
        <v>8250485.1100000003</v>
      </c>
      <c r="AT1154" s="164">
        <f t="shared" si="393"/>
        <v>0</v>
      </c>
      <c r="AU1154" s="183">
        <f t="shared" si="367"/>
        <v>8250485.1100000003</v>
      </c>
      <c r="AV1154" s="146">
        <f>IFERROR(VLOOKUP(J1154,Maksājumu_pieprasījumu_iesn.!G:BL,57,0),0)</f>
        <v>0</v>
      </c>
      <c r="AW1154" s="139">
        <f t="shared" si="355"/>
        <v>-8250485.1100000003</v>
      </c>
      <c r="AX1154" s="164">
        <f>AX1155+AX1157+AX1160+AX1162</f>
        <v>36.889999999897555</v>
      </c>
      <c r="AY1154" s="164">
        <f>AY1155+AY1157</f>
        <v>37</v>
      </c>
      <c r="AZ1154" s="164"/>
      <c r="BA1154" s="164"/>
      <c r="BB1154" s="164">
        <f>BB1155+BB1157+BB1160+BB1162</f>
        <v>0</v>
      </c>
      <c r="BC1154" s="164">
        <f>BC1155+BC1157+BC1160+BC1162</f>
        <v>2542892.21</v>
      </c>
      <c r="BD1154" s="164">
        <f>BC1154*0.94</f>
        <v>2390318.6773999999</v>
      </c>
      <c r="BE1154" s="129">
        <f>BD1154/0.85</f>
        <v>2812139.6204705881</v>
      </c>
      <c r="BF1154" s="164">
        <f>BF1155+BF1157+BF1160+BF1162</f>
        <v>0</v>
      </c>
      <c r="BG1154" s="164">
        <f>BG1155+BG1157+BG1160+BG1162</f>
        <v>0</v>
      </c>
      <c r="BH1154" s="129">
        <f>BH1155+BH1157+BH1160+BH1162</f>
        <v>162202.31</v>
      </c>
      <c r="BI1154" s="129">
        <f>BI1155+BI1157+BI1160+BI1162</f>
        <v>1462426.2599999998</v>
      </c>
      <c r="BJ1154" s="129">
        <f>AK1154*0.94</f>
        <v>1040737.1115999998</v>
      </c>
      <c r="BK1154" s="129">
        <f>BJ1154-BI1154</f>
        <v>-421689.14839999995</v>
      </c>
      <c r="BL1154" s="129">
        <f>BL1155+BL1157+BL1160+BL1162</f>
        <v>1643220</v>
      </c>
      <c r="BM1154" s="129">
        <f>AL1154*0.94</f>
        <v>2403193.1147999996</v>
      </c>
      <c r="BN1154" s="129">
        <f>BM1154-BL1154</f>
        <v>759973.11479999963</v>
      </c>
    </row>
    <row r="1155" spans="1:66" s="91" customFormat="1" ht="25.5" hidden="1" customHeight="1" x14ac:dyDescent="0.2">
      <c r="A1155" s="131" t="s">
        <v>2279</v>
      </c>
      <c r="B1155" s="132" t="s">
        <v>350</v>
      </c>
      <c r="C1155" s="132" t="s">
        <v>351</v>
      </c>
      <c r="D1155" s="133" t="s">
        <v>352</v>
      </c>
      <c r="E1155" s="22" t="s">
        <v>3</v>
      </c>
      <c r="F1155" s="22" t="s">
        <v>210</v>
      </c>
      <c r="G1155" s="22" t="s">
        <v>77</v>
      </c>
      <c r="H1155" s="22" t="s">
        <v>3</v>
      </c>
      <c r="I1155" s="22" t="s">
        <v>1022</v>
      </c>
      <c r="J1155" s="134" t="s">
        <v>1026</v>
      </c>
      <c r="K1155" s="133"/>
      <c r="L1155" s="133"/>
      <c r="M1155" s="133"/>
      <c r="N1155" s="133"/>
      <c r="O1155" s="135"/>
      <c r="P1155" s="135"/>
      <c r="Q1155" s="135"/>
      <c r="R1155" s="135"/>
      <c r="S1155" s="136">
        <v>1064308</v>
      </c>
      <c r="T1155" s="136">
        <v>0</v>
      </c>
      <c r="U1155" s="137">
        <f>SUM(U1156)</f>
        <v>0</v>
      </c>
      <c r="V1155" s="137">
        <f>SUM(V1156)</f>
        <v>0</v>
      </c>
      <c r="W1155" s="137">
        <f>SUM(W1156)</f>
        <v>76711.28</v>
      </c>
      <c r="X1155" s="138">
        <f>U1155+V1155+W1155</f>
        <v>76711.28</v>
      </c>
      <c r="Y1155" s="137">
        <f t="shared" ref="Y1155:AR1155" si="394">SUM(Y1156)</f>
        <v>20183.95</v>
      </c>
      <c r="Z1155" s="137">
        <f t="shared" si="394"/>
        <v>0</v>
      </c>
      <c r="AA1155" s="137">
        <f t="shared" si="394"/>
        <v>0</v>
      </c>
      <c r="AB1155" s="137">
        <f t="shared" si="394"/>
        <v>24636.12</v>
      </c>
      <c r="AC1155" s="137">
        <f t="shared" si="394"/>
        <v>0</v>
      </c>
      <c r="AD1155" s="137">
        <f t="shared" si="394"/>
        <v>0</v>
      </c>
      <c r="AE1155" s="137">
        <f t="shared" si="394"/>
        <v>51756.21</v>
      </c>
      <c r="AF1155" s="137">
        <f t="shared" si="394"/>
        <v>0</v>
      </c>
      <c r="AG1155" s="137">
        <f t="shared" si="394"/>
        <v>0</v>
      </c>
      <c r="AH1155" s="137">
        <f t="shared" si="394"/>
        <v>130277.98</v>
      </c>
      <c r="AI1155" s="137">
        <f t="shared" si="394"/>
        <v>0</v>
      </c>
      <c r="AJ1155" s="137">
        <f t="shared" si="394"/>
        <v>0</v>
      </c>
      <c r="AK1155" s="137">
        <f t="shared" si="394"/>
        <v>226854.26</v>
      </c>
      <c r="AL1155" s="137">
        <f t="shared" si="394"/>
        <v>444887.08999999997</v>
      </c>
      <c r="AM1155" s="137">
        <f t="shared" si="394"/>
        <v>298055.51</v>
      </c>
      <c r="AN1155" s="137">
        <f t="shared" si="394"/>
        <v>17778.63</v>
      </c>
      <c r="AO1155" s="137">
        <f t="shared" si="394"/>
        <v>0</v>
      </c>
      <c r="AP1155" s="137">
        <f t="shared" si="394"/>
        <v>0</v>
      </c>
      <c r="AQ1155" s="137">
        <f t="shared" si="394"/>
        <v>0</v>
      </c>
      <c r="AR1155" s="137">
        <f t="shared" si="394"/>
        <v>0</v>
      </c>
      <c r="AS1155" s="137">
        <f>U1155+V1155+W1155+AK1155+AL1155+AM1155+AN1155+AO1155+AP1155+AQ1155+AR1155</f>
        <v>1064286.77</v>
      </c>
      <c r="AT1155" s="137">
        <f>AT1156</f>
        <v>0</v>
      </c>
      <c r="AU1155" s="139">
        <f t="shared" si="367"/>
        <v>1064286.77</v>
      </c>
      <c r="AV1155" s="146">
        <f>IFERROR(VLOOKUP(J1155,Maksājumu_pieprasījumu_iesn.!G:BL,57,0),0)</f>
        <v>0</v>
      </c>
      <c r="AW1155" s="139">
        <f t="shared" si="355"/>
        <v>-1064286.77</v>
      </c>
      <c r="AX1155" s="140">
        <f>S1155-T1155-AU1155</f>
        <v>21.229999999981374</v>
      </c>
      <c r="AY1155" s="137">
        <v>21</v>
      </c>
      <c r="AZ1155" s="137"/>
      <c r="BA1155" s="138" t="s">
        <v>2289</v>
      </c>
      <c r="BB1155" s="140"/>
      <c r="BC1155" s="140">
        <f>X1155+AK1155+AL1155/2</f>
        <v>526009.08499999996</v>
      </c>
      <c r="BD1155" s="140"/>
      <c r="BE1155" s="140">
        <f>BC1155/0.85</f>
        <v>618834.21764705877</v>
      </c>
      <c r="BF1155" s="137"/>
      <c r="BG1155" s="137"/>
      <c r="BH1155" s="138">
        <v>76545.78</v>
      </c>
      <c r="BI1155" s="138">
        <v>239937.05</v>
      </c>
      <c r="BJ1155" s="138"/>
      <c r="BK1155" s="138"/>
      <c r="BL1155" s="138">
        <v>366930</v>
      </c>
      <c r="BM1155" s="138"/>
      <c r="BN1155" s="138"/>
    </row>
    <row r="1156" spans="1:66" ht="38.25" hidden="1" customHeight="1" x14ac:dyDescent="0.2">
      <c r="A1156" s="142" t="s">
        <v>2279</v>
      </c>
      <c r="B1156" s="18" t="s">
        <v>350</v>
      </c>
      <c r="C1156" s="18" t="s">
        <v>351</v>
      </c>
      <c r="D1156" s="19" t="s">
        <v>352</v>
      </c>
      <c r="E1156" s="18" t="s">
        <v>3</v>
      </c>
      <c r="F1156" s="18" t="s">
        <v>210</v>
      </c>
      <c r="G1156" s="18" t="s">
        <v>77</v>
      </c>
      <c r="H1156" s="18" t="s">
        <v>3</v>
      </c>
      <c r="I1156" s="18"/>
      <c r="J1156" s="18" t="s">
        <v>353</v>
      </c>
      <c r="K1156" s="19" t="s">
        <v>354</v>
      </c>
      <c r="L1156" s="19"/>
      <c r="M1156" s="19"/>
      <c r="N1156" s="19" t="s">
        <v>355</v>
      </c>
      <c r="O1156" s="143"/>
      <c r="P1156" s="143"/>
      <c r="Q1156" s="143"/>
      <c r="R1156" s="143">
        <v>42471</v>
      </c>
      <c r="S1156" s="144">
        <v>1064308</v>
      </c>
      <c r="T1156" s="144"/>
      <c r="U1156" s="145">
        <v>0</v>
      </c>
      <c r="V1156" s="145">
        <v>0</v>
      </c>
      <c r="W1156" s="145">
        <v>76711.28</v>
      </c>
      <c r="X1156" s="145">
        <f>W1156+V1156+U1156</f>
        <v>76711.28</v>
      </c>
      <c r="Y1156" s="145">
        <v>20183.95</v>
      </c>
      <c r="Z1156" s="145">
        <v>0</v>
      </c>
      <c r="AA1156" s="145">
        <v>0</v>
      </c>
      <c r="AB1156" s="145">
        <v>24636.12</v>
      </c>
      <c r="AC1156" s="145">
        <v>0</v>
      </c>
      <c r="AD1156" s="166">
        <v>0</v>
      </c>
      <c r="AE1156" s="166">
        <v>51756.21</v>
      </c>
      <c r="AF1156" s="145">
        <v>0</v>
      </c>
      <c r="AG1156" s="145">
        <v>0</v>
      </c>
      <c r="AH1156" s="371">
        <v>130277.98</v>
      </c>
      <c r="AI1156" s="145">
        <v>0</v>
      </c>
      <c r="AJ1156" s="145">
        <v>0</v>
      </c>
      <c r="AK1156" s="145">
        <f>SUM(Y1156:AJ1156)</f>
        <v>226854.26</v>
      </c>
      <c r="AL1156" s="145">
        <v>444887.08999999997</v>
      </c>
      <c r="AM1156" s="145">
        <v>298055.51</v>
      </c>
      <c r="AN1156" s="145">
        <v>17778.63</v>
      </c>
      <c r="AO1156" s="145">
        <v>0</v>
      </c>
      <c r="AP1156" s="145">
        <v>0</v>
      </c>
      <c r="AQ1156" s="145">
        <v>0</v>
      </c>
      <c r="AR1156" s="145">
        <v>0</v>
      </c>
      <c r="AS1156" s="144">
        <f>U1156+V1156+W1156+AK1156+AL1156+AM1156+AN1156+AO1156+AP1156+AQ1156+AR1156</f>
        <v>1064286.77</v>
      </c>
      <c r="AT1156" s="144">
        <v>0</v>
      </c>
      <c r="AU1156" s="146">
        <f t="shared" si="367"/>
        <v>1064286.77</v>
      </c>
      <c r="AV1156" s="146">
        <f>IFERROR(VLOOKUP(J1156,Maksājumu_pieprasījumu_iesn.!G:BL,57,0),0)</f>
        <v>0</v>
      </c>
      <c r="AW1156" s="139">
        <f t="shared" si="355"/>
        <v>-1064286.77</v>
      </c>
      <c r="AX1156" s="147"/>
      <c r="AY1156" s="147"/>
      <c r="AZ1156" s="147"/>
      <c r="BA1156" s="149" t="s">
        <v>2289</v>
      </c>
      <c r="BB1156" s="144"/>
      <c r="BC1156" s="144"/>
      <c r="BD1156" s="144"/>
      <c r="BE1156" s="144"/>
      <c r="BF1156" s="144"/>
      <c r="BG1156" s="144"/>
      <c r="BH1156" s="149"/>
      <c r="BI1156" s="149"/>
      <c r="BJ1156" s="149"/>
      <c r="BK1156" s="149"/>
      <c r="BL1156" s="149"/>
      <c r="BM1156" s="149"/>
      <c r="BN1156" s="149"/>
    </row>
    <row r="1157" spans="1:66" s="91" customFormat="1" ht="51" hidden="1" customHeight="1" x14ac:dyDescent="0.2">
      <c r="A1157" s="131" t="s">
        <v>2279</v>
      </c>
      <c r="B1157" s="132" t="s">
        <v>350</v>
      </c>
      <c r="C1157" s="132" t="s">
        <v>356</v>
      </c>
      <c r="D1157" s="133" t="s">
        <v>598</v>
      </c>
      <c r="E1157" s="22" t="s">
        <v>3</v>
      </c>
      <c r="F1157" s="22" t="s">
        <v>210</v>
      </c>
      <c r="G1157" s="22" t="s">
        <v>77</v>
      </c>
      <c r="H1157" s="22" t="s">
        <v>3</v>
      </c>
      <c r="I1157" s="22" t="s">
        <v>1022</v>
      </c>
      <c r="J1157" s="134" t="s">
        <v>1026</v>
      </c>
      <c r="K1157" s="133"/>
      <c r="L1157" s="133"/>
      <c r="M1157" s="133"/>
      <c r="N1157" s="133"/>
      <c r="O1157" s="135"/>
      <c r="P1157" s="135"/>
      <c r="Q1157" s="135"/>
      <c r="R1157" s="135"/>
      <c r="S1157" s="136">
        <v>1124780</v>
      </c>
      <c r="T1157" s="136">
        <v>0</v>
      </c>
      <c r="U1157" s="137">
        <f>SUM(U1158)</f>
        <v>0</v>
      </c>
      <c r="V1157" s="137">
        <f>SUM(V1158)</f>
        <v>0</v>
      </c>
      <c r="W1157" s="137">
        <f>SUM(W1158)</f>
        <v>10905.48</v>
      </c>
      <c r="X1157" s="138">
        <f>U1157+V1157+W1157</f>
        <v>10905.48</v>
      </c>
      <c r="Y1157" s="137">
        <f t="shared" ref="Y1157:AR1157" si="395">SUM(Y1158)</f>
        <v>8129.59</v>
      </c>
      <c r="Z1157" s="137">
        <f t="shared" si="395"/>
        <v>0</v>
      </c>
      <c r="AA1157" s="137">
        <f t="shared" si="395"/>
        <v>0</v>
      </c>
      <c r="AB1157" s="137">
        <f t="shared" si="395"/>
        <v>18295.400000000001</v>
      </c>
      <c r="AC1157" s="137">
        <f t="shared" si="395"/>
        <v>0</v>
      </c>
      <c r="AD1157" s="137">
        <f t="shared" si="395"/>
        <v>0</v>
      </c>
      <c r="AE1157" s="137">
        <f t="shared" si="395"/>
        <v>24650</v>
      </c>
      <c r="AF1157" s="137">
        <f t="shared" si="395"/>
        <v>0</v>
      </c>
      <c r="AG1157" s="137">
        <f t="shared" si="395"/>
        <v>0</v>
      </c>
      <c r="AH1157" s="137">
        <f t="shared" si="395"/>
        <v>25330.85</v>
      </c>
      <c r="AI1157" s="137">
        <f t="shared" si="395"/>
        <v>0</v>
      </c>
      <c r="AJ1157" s="137">
        <f t="shared" si="395"/>
        <v>0</v>
      </c>
      <c r="AK1157" s="137">
        <f t="shared" si="395"/>
        <v>76405.84</v>
      </c>
      <c r="AL1157" s="137">
        <f t="shared" si="395"/>
        <v>431562</v>
      </c>
      <c r="AM1157" s="137">
        <f t="shared" si="395"/>
        <v>379203.7</v>
      </c>
      <c r="AN1157" s="137">
        <f t="shared" si="395"/>
        <v>226687.32</v>
      </c>
      <c r="AO1157" s="137">
        <f t="shared" si="395"/>
        <v>0</v>
      </c>
      <c r="AP1157" s="137">
        <f t="shared" si="395"/>
        <v>0</v>
      </c>
      <c r="AQ1157" s="137">
        <f t="shared" si="395"/>
        <v>0</v>
      </c>
      <c r="AR1157" s="137">
        <f t="shared" si="395"/>
        <v>0</v>
      </c>
      <c r="AS1157" s="137">
        <f>U1157+V1157+W1157+AK1157+AL1157+AM1157+AN1157+AO1157+AP1157+AQ1157+AR1157</f>
        <v>1124764.3400000001</v>
      </c>
      <c r="AT1157" s="137">
        <f>SUM(AT1158)</f>
        <v>0</v>
      </c>
      <c r="AU1157" s="139">
        <f t="shared" si="367"/>
        <v>1124764.3400000001</v>
      </c>
      <c r="AV1157" s="146">
        <f>IFERROR(VLOOKUP(J1157,Maksājumu_pieprasījumu_iesn.!G:BL,57,0),0)</f>
        <v>0</v>
      </c>
      <c r="AW1157" s="139">
        <f t="shared" si="355"/>
        <v>-1124764.3400000001</v>
      </c>
      <c r="AX1157" s="140">
        <f>S1157-T1157-AU1157</f>
        <v>15.659999999916181</v>
      </c>
      <c r="AY1157" s="137">
        <v>16</v>
      </c>
      <c r="AZ1157" s="137"/>
      <c r="BA1157" s="138" t="s">
        <v>2290</v>
      </c>
      <c r="BB1157" s="140"/>
      <c r="BC1157" s="140">
        <f>X1157+AK1157+AL1157/2</f>
        <v>303092.32</v>
      </c>
      <c r="BD1157" s="140"/>
      <c r="BE1157" s="140">
        <f>BC1157/0.85</f>
        <v>356579.2</v>
      </c>
      <c r="BF1157" s="137"/>
      <c r="BG1157" s="137"/>
      <c r="BH1157" s="138">
        <v>15928.15</v>
      </c>
      <c r="BI1157" s="138">
        <v>501195.13</v>
      </c>
      <c r="BJ1157" s="138"/>
      <c r="BK1157" s="138"/>
      <c r="BL1157" s="138">
        <v>164808</v>
      </c>
      <c r="BM1157" s="138"/>
      <c r="BN1157" s="138"/>
    </row>
    <row r="1158" spans="1:66" ht="51" hidden="1" customHeight="1" x14ac:dyDescent="0.2">
      <c r="A1158" s="142" t="s">
        <v>2279</v>
      </c>
      <c r="B1158" s="18" t="s">
        <v>350</v>
      </c>
      <c r="C1158" s="18" t="s">
        <v>356</v>
      </c>
      <c r="D1158" s="19" t="s">
        <v>598</v>
      </c>
      <c r="E1158" s="18" t="s">
        <v>3</v>
      </c>
      <c r="F1158" s="18" t="s">
        <v>210</v>
      </c>
      <c r="G1158" s="18" t="s">
        <v>77</v>
      </c>
      <c r="H1158" s="18" t="s">
        <v>3</v>
      </c>
      <c r="I1158" s="18"/>
      <c r="J1158" s="18" t="s">
        <v>357</v>
      </c>
      <c r="K1158" s="19" t="s">
        <v>358</v>
      </c>
      <c r="L1158" s="19"/>
      <c r="M1158" s="19"/>
      <c r="N1158" s="19" t="s">
        <v>359</v>
      </c>
      <c r="O1158" s="143"/>
      <c r="P1158" s="143"/>
      <c r="Q1158" s="143"/>
      <c r="R1158" s="143">
        <v>42570</v>
      </c>
      <c r="S1158" s="144">
        <v>1124780</v>
      </c>
      <c r="T1158" s="144"/>
      <c r="U1158" s="145">
        <v>0</v>
      </c>
      <c r="V1158" s="145">
        <v>0</v>
      </c>
      <c r="W1158" s="145">
        <v>10905.48</v>
      </c>
      <c r="X1158" s="145">
        <f>W1158+V1158+U1158</f>
        <v>10905.48</v>
      </c>
      <c r="Y1158" s="145">
        <v>8129.59</v>
      </c>
      <c r="Z1158" s="145">
        <v>0</v>
      </c>
      <c r="AA1158" s="145">
        <v>0</v>
      </c>
      <c r="AB1158" s="145">
        <v>18295.400000000001</v>
      </c>
      <c r="AC1158" s="145">
        <v>0</v>
      </c>
      <c r="AD1158" s="166">
        <v>0</v>
      </c>
      <c r="AE1158" s="166">
        <v>24650</v>
      </c>
      <c r="AF1158" s="145">
        <v>0</v>
      </c>
      <c r="AG1158" s="145">
        <v>0</v>
      </c>
      <c r="AH1158" s="145">
        <v>25330.85</v>
      </c>
      <c r="AI1158" s="145">
        <v>0</v>
      </c>
      <c r="AJ1158" s="145">
        <v>0</v>
      </c>
      <c r="AK1158" s="145">
        <f>SUM(Y1158:AJ1158)</f>
        <v>76405.84</v>
      </c>
      <c r="AL1158" s="145">
        <v>431562</v>
      </c>
      <c r="AM1158" s="145">
        <v>379203.7</v>
      </c>
      <c r="AN1158" s="145">
        <v>226687.32</v>
      </c>
      <c r="AO1158" s="145">
        <v>0</v>
      </c>
      <c r="AP1158" s="145">
        <v>0</v>
      </c>
      <c r="AQ1158" s="145">
        <v>0</v>
      </c>
      <c r="AR1158" s="145">
        <v>0</v>
      </c>
      <c r="AS1158" s="144">
        <f>U1158+V1158+W1158+AK1158+AL1158+AM1158+AN1158+AO1158+AP1158+AQ1158+AR1158</f>
        <v>1124764.3400000001</v>
      </c>
      <c r="AT1158" s="369">
        <v>0</v>
      </c>
      <c r="AU1158" s="146">
        <f t="shared" si="367"/>
        <v>1124764.3400000001</v>
      </c>
      <c r="AV1158" s="146">
        <f>IFERROR(VLOOKUP(J1158,Maksājumu_pieprasījumu_iesn.!G:BL,57,0),0)</f>
        <v>0</v>
      </c>
      <c r="AW1158" s="139">
        <f t="shared" si="355"/>
        <v>-1124764.3400000001</v>
      </c>
      <c r="AX1158" s="370"/>
      <c r="AY1158" s="370"/>
      <c r="AZ1158" s="370"/>
      <c r="BA1158" s="149" t="s">
        <v>2290</v>
      </c>
      <c r="BB1158" s="144"/>
      <c r="BC1158" s="144"/>
      <c r="BD1158" s="144"/>
      <c r="BE1158" s="144"/>
      <c r="BF1158" s="144"/>
      <c r="BG1158" s="144"/>
      <c r="BH1158" s="149"/>
      <c r="BI1158" s="149"/>
      <c r="BJ1158" s="149"/>
      <c r="BK1158" s="149"/>
      <c r="BL1158" s="149"/>
      <c r="BM1158" s="149"/>
      <c r="BN1158" s="149"/>
    </row>
    <row r="1159" spans="1:66" ht="51" hidden="1" customHeight="1" x14ac:dyDescent="0.2">
      <c r="A1159" s="142" t="s">
        <v>2279</v>
      </c>
      <c r="B1159" s="18" t="s">
        <v>350</v>
      </c>
      <c r="C1159" s="18" t="s">
        <v>356</v>
      </c>
      <c r="D1159" s="19" t="s">
        <v>598</v>
      </c>
      <c r="E1159" s="18" t="s">
        <v>3</v>
      </c>
      <c r="F1159" s="18" t="s">
        <v>210</v>
      </c>
      <c r="G1159" s="18" t="s">
        <v>77</v>
      </c>
      <c r="H1159" s="18" t="s">
        <v>3</v>
      </c>
      <c r="I1159" s="18"/>
      <c r="J1159" s="18" t="s">
        <v>357</v>
      </c>
      <c r="K1159" s="19" t="s">
        <v>358</v>
      </c>
      <c r="L1159" s="19"/>
      <c r="M1159" s="19"/>
      <c r="N1159" s="19" t="s">
        <v>359</v>
      </c>
      <c r="O1159" s="143" t="s">
        <v>880</v>
      </c>
      <c r="P1159" s="143"/>
      <c r="Q1159" s="143"/>
      <c r="R1159" s="143"/>
      <c r="S1159" s="144"/>
      <c r="T1159" s="144"/>
      <c r="U1159" s="145"/>
      <c r="V1159" s="145"/>
      <c r="W1159" s="145">
        <v>15928.15</v>
      </c>
      <c r="X1159" s="145">
        <f>W1159+V1159+U1159</f>
        <v>15928.15</v>
      </c>
      <c r="Y1159" s="145">
        <v>13494.12</v>
      </c>
      <c r="Z1159" s="145"/>
      <c r="AA1159" s="145"/>
      <c r="AB1159" s="145"/>
      <c r="AC1159" s="145"/>
      <c r="AD1159" s="145"/>
      <c r="AE1159" s="145"/>
      <c r="AF1159" s="145"/>
      <c r="AG1159" s="145"/>
      <c r="AH1159" s="145"/>
      <c r="AI1159" s="145"/>
      <c r="AJ1159" s="145"/>
      <c r="AK1159" s="145">
        <f>SUM(Y1159:AJ1159)</f>
        <v>13494.12</v>
      </c>
      <c r="AL1159" s="145">
        <v>123250</v>
      </c>
      <c r="AM1159" s="145"/>
      <c r="AN1159" s="145"/>
      <c r="AO1159" s="145"/>
      <c r="AP1159" s="145"/>
      <c r="AQ1159" s="145"/>
      <c r="AR1159" s="145"/>
      <c r="AS1159" s="86"/>
      <c r="AT1159" s="144">
        <f>U1159+V1159+W1159+AK1159+AL1159+AM1159+AN1159+AO1159+AP1159+AQ1159+AR1159</f>
        <v>152672.26999999999</v>
      </c>
      <c r="AU1159" s="146"/>
      <c r="AV1159" s="146">
        <f>IFERROR(VLOOKUP(J1159,Maksājumu_pieprasījumu_iesn.!G:BL,57,0),0)</f>
        <v>0</v>
      </c>
      <c r="AW1159" s="139">
        <f t="shared" si="355"/>
        <v>0</v>
      </c>
      <c r="AX1159" s="370"/>
      <c r="AY1159" s="370"/>
      <c r="AZ1159" s="370"/>
      <c r="BA1159" s="149"/>
      <c r="BB1159" s="144"/>
      <c r="BC1159" s="144"/>
      <c r="BD1159" s="144"/>
      <c r="BE1159" s="144"/>
      <c r="BF1159" s="144"/>
      <c r="BG1159" s="144"/>
      <c r="BH1159" s="149"/>
      <c r="BI1159" s="149"/>
      <c r="BJ1159" s="149"/>
      <c r="BK1159" s="149"/>
      <c r="BL1159" s="149"/>
      <c r="BM1159" s="149"/>
      <c r="BN1159" s="149"/>
    </row>
    <row r="1160" spans="1:66" s="91" customFormat="1" ht="38.25" hidden="1" customHeight="1" x14ac:dyDescent="0.2">
      <c r="A1160" s="131" t="s">
        <v>2279</v>
      </c>
      <c r="B1160" s="132" t="s">
        <v>350</v>
      </c>
      <c r="C1160" s="132" t="s">
        <v>360</v>
      </c>
      <c r="D1160" s="133" t="s">
        <v>599</v>
      </c>
      <c r="E1160" s="22" t="s">
        <v>3</v>
      </c>
      <c r="F1160" s="22" t="s">
        <v>210</v>
      </c>
      <c r="G1160" s="22" t="s">
        <v>77</v>
      </c>
      <c r="H1160" s="22" t="s">
        <v>3</v>
      </c>
      <c r="I1160" s="22" t="s">
        <v>1022</v>
      </c>
      <c r="J1160" s="134" t="s">
        <v>1026</v>
      </c>
      <c r="K1160" s="133"/>
      <c r="L1160" s="133"/>
      <c r="M1160" s="133"/>
      <c r="N1160" s="133"/>
      <c r="O1160" s="135"/>
      <c r="P1160" s="135"/>
      <c r="Q1160" s="135"/>
      <c r="R1160" s="135"/>
      <c r="S1160" s="136">
        <v>270346</v>
      </c>
      <c r="T1160" s="136">
        <v>0</v>
      </c>
      <c r="U1160" s="137">
        <f>SUM(U1161)</f>
        <v>0</v>
      </c>
      <c r="V1160" s="137">
        <f>SUM(V1161)</f>
        <v>0</v>
      </c>
      <c r="W1160" s="137">
        <f>SUM(W1161)</f>
        <v>0</v>
      </c>
      <c r="X1160" s="138">
        <f>U1160+V1160+W1160</f>
        <v>0</v>
      </c>
      <c r="Y1160" s="137">
        <f t="shared" ref="Y1160:AR1160" si="396">SUM(Y1161)</f>
        <v>0</v>
      </c>
      <c r="Z1160" s="137">
        <f t="shared" si="396"/>
        <v>0</v>
      </c>
      <c r="AA1160" s="137">
        <f t="shared" si="396"/>
        <v>0</v>
      </c>
      <c r="AB1160" s="137">
        <f t="shared" si="396"/>
        <v>6760.28</v>
      </c>
      <c r="AC1160" s="137">
        <f t="shared" si="396"/>
        <v>0</v>
      </c>
      <c r="AD1160" s="137">
        <f t="shared" si="396"/>
        <v>0</v>
      </c>
      <c r="AE1160" s="137">
        <f t="shared" si="396"/>
        <v>23024.799999999999</v>
      </c>
      <c r="AF1160" s="137">
        <f t="shared" si="396"/>
        <v>0</v>
      </c>
      <c r="AG1160" s="137">
        <f t="shared" si="396"/>
        <v>0</v>
      </c>
      <c r="AH1160" s="137">
        <f t="shared" si="396"/>
        <v>19264.400000000001</v>
      </c>
      <c r="AI1160" s="137">
        <f t="shared" si="396"/>
        <v>0</v>
      </c>
      <c r="AJ1160" s="137">
        <f t="shared" si="396"/>
        <v>0</v>
      </c>
      <c r="AK1160" s="137">
        <f t="shared" si="396"/>
        <v>49049.479999999996</v>
      </c>
      <c r="AL1160" s="137">
        <f t="shared" si="396"/>
        <v>110071.37</v>
      </c>
      <c r="AM1160" s="137">
        <f t="shared" si="396"/>
        <v>90474.000000000015</v>
      </c>
      <c r="AN1160" s="137">
        <f t="shared" si="396"/>
        <v>20751.150000000001</v>
      </c>
      <c r="AO1160" s="137">
        <f t="shared" si="396"/>
        <v>0</v>
      </c>
      <c r="AP1160" s="137">
        <f t="shared" si="396"/>
        <v>0</v>
      </c>
      <c r="AQ1160" s="137">
        <f t="shared" si="396"/>
        <v>0</v>
      </c>
      <c r="AR1160" s="137">
        <f t="shared" si="396"/>
        <v>0</v>
      </c>
      <c r="AS1160" s="137">
        <f>U1160+V1160+W1160+AK1160+AL1160+AM1160+AN1160+AO1160+AP1160+AQ1160+AR1160</f>
        <v>270346</v>
      </c>
      <c r="AT1160" s="137">
        <f>AT1161</f>
        <v>0</v>
      </c>
      <c r="AU1160" s="139">
        <f t="shared" si="367"/>
        <v>270346</v>
      </c>
      <c r="AV1160" s="146">
        <f>IFERROR(VLOOKUP(J1160,Maksājumu_pieprasījumu_iesn.!G:BL,57,0),0)</f>
        <v>0</v>
      </c>
      <c r="AW1160" s="139">
        <f t="shared" si="355"/>
        <v>-270346</v>
      </c>
      <c r="AX1160" s="140">
        <f>S1160-T1160-AU1160</f>
        <v>0</v>
      </c>
      <c r="AY1160" s="137"/>
      <c r="AZ1160" s="137"/>
      <c r="BA1160" s="138"/>
      <c r="BB1160" s="140"/>
      <c r="BC1160" s="140">
        <f>X1160+AK1160+AL1160/2</f>
        <v>104085.16499999999</v>
      </c>
      <c r="BD1160" s="140"/>
      <c r="BE1160" s="140">
        <f>BC1160/0.85</f>
        <v>122453.13529411764</v>
      </c>
      <c r="BF1160" s="137"/>
      <c r="BG1160" s="137"/>
      <c r="BH1160" s="138">
        <v>0</v>
      </c>
      <c r="BI1160" s="138">
        <v>84287</v>
      </c>
      <c r="BJ1160" s="138"/>
      <c r="BK1160" s="138"/>
      <c r="BL1160" s="138">
        <v>84357</v>
      </c>
      <c r="BM1160" s="138"/>
      <c r="BN1160" s="138"/>
    </row>
    <row r="1161" spans="1:66" ht="38.25" hidden="1" customHeight="1" x14ac:dyDescent="0.2">
      <c r="A1161" s="142" t="s">
        <v>2279</v>
      </c>
      <c r="B1161" s="18" t="s">
        <v>350</v>
      </c>
      <c r="C1161" s="18" t="s">
        <v>360</v>
      </c>
      <c r="D1161" s="19" t="s">
        <v>599</v>
      </c>
      <c r="E1161" s="18" t="s">
        <v>3</v>
      </c>
      <c r="F1161" s="18" t="s">
        <v>210</v>
      </c>
      <c r="G1161" s="18" t="s">
        <v>77</v>
      </c>
      <c r="H1161" s="18" t="s">
        <v>3</v>
      </c>
      <c r="I1161" s="18"/>
      <c r="J1161" s="18" t="s">
        <v>361</v>
      </c>
      <c r="K1161" s="19" t="s">
        <v>362</v>
      </c>
      <c r="L1161" s="19"/>
      <c r="M1161" s="19"/>
      <c r="N1161" s="19" t="s">
        <v>363</v>
      </c>
      <c r="O1161" s="143"/>
      <c r="P1161" s="143"/>
      <c r="Q1161" s="143"/>
      <c r="R1161" s="143">
        <v>42716</v>
      </c>
      <c r="S1161" s="144">
        <v>270346</v>
      </c>
      <c r="T1161" s="144"/>
      <c r="U1161" s="145">
        <v>0</v>
      </c>
      <c r="V1161" s="145">
        <v>0</v>
      </c>
      <c r="W1161" s="145">
        <v>0</v>
      </c>
      <c r="X1161" s="145">
        <f>W1161+V1161+U1161</f>
        <v>0</v>
      </c>
      <c r="Y1161" s="145">
        <v>0</v>
      </c>
      <c r="Z1161" s="145">
        <v>0</v>
      </c>
      <c r="AA1161" s="145">
        <v>0</v>
      </c>
      <c r="AB1161" s="145">
        <v>6760.28</v>
      </c>
      <c r="AC1161" s="145">
        <v>0</v>
      </c>
      <c r="AD1161" s="166">
        <v>0</v>
      </c>
      <c r="AE1161" s="166">
        <v>23024.799999999999</v>
      </c>
      <c r="AF1161" s="145">
        <v>0</v>
      </c>
      <c r="AG1161" s="145">
        <v>0</v>
      </c>
      <c r="AH1161" s="145">
        <v>19264.400000000001</v>
      </c>
      <c r="AI1161" s="145">
        <v>0</v>
      </c>
      <c r="AJ1161" s="145">
        <v>0</v>
      </c>
      <c r="AK1161" s="145">
        <f>SUM(Y1161:AJ1161)</f>
        <v>49049.479999999996</v>
      </c>
      <c r="AL1161" s="145">
        <v>110071.37</v>
      </c>
      <c r="AM1161" s="145">
        <v>90474.000000000015</v>
      </c>
      <c r="AN1161" s="145">
        <v>20751.150000000001</v>
      </c>
      <c r="AO1161" s="145">
        <v>0</v>
      </c>
      <c r="AP1161" s="145">
        <v>0</v>
      </c>
      <c r="AQ1161" s="145">
        <v>0</v>
      </c>
      <c r="AR1161" s="145">
        <v>0</v>
      </c>
      <c r="AS1161" s="144">
        <f>U1161+V1161+W1161+AK1161+AL1161+AM1161+AN1161+AO1161+AP1161+AQ1161+AR1161</f>
        <v>270346</v>
      </c>
      <c r="AT1161" s="144">
        <v>0</v>
      </c>
      <c r="AU1161" s="146">
        <f t="shared" si="367"/>
        <v>270346</v>
      </c>
      <c r="AV1161" s="146">
        <f>IFERROR(VLOOKUP(J1161,Maksājumu_pieprasījumu_iesn.!G:BL,57,0),0)</f>
        <v>0</v>
      </c>
      <c r="AW1161" s="139">
        <f t="shared" si="355"/>
        <v>-270346</v>
      </c>
      <c r="AX1161" s="147"/>
      <c r="AY1161" s="147"/>
      <c r="AZ1161" s="147"/>
      <c r="BA1161" s="149" t="s">
        <v>2291</v>
      </c>
      <c r="BB1161" s="144"/>
      <c r="BC1161" s="144"/>
      <c r="BD1161" s="144"/>
      <c r="BE1161" s="144"/>
      <c r="BF1161" s="144"/>
      <c r="BG1161" s="144"/>
      <c r="BH1161" s="149"/>
      <c r="BI1161" s="149"/>
      <c r="BJ1161" s="149"/>
      <c r="BK1161" s="149"/>
      <c r="BL1161" s="149"/>
      <c r="BM1161" s="149"/>
      <c r="BN1161" s="149"/>
    </row>
    <row r="1162" spans="1:66" s="91" customFormat="1" ht="12.75" hidden="1" customHeight="1" x14ac:dyDescent="0.2">
      <c r="A1162" s="131" t="s">
        <v>2279</v>
      </c>
      <c r="B1162" s="132" t="s">
        <v>350</v>
      </c>
      <c r="C1162" s="132" t="s">
        <v>364</v>
      </c>
      <c r="D1162" s="133" t="s">
        <v>600</v>
      </c>
      <c r="E1162" s="22" t="s">
        <v>3</v>
      </c>
      <c r="F1162" s="22" t="s">
        <v>210</v>
      </c>
      <c r="G1162" s="22" t="s">
        <v>77</v>
      </c>
      <c r="H1162" s="22" t="s">
        <v>3</v>
      </c>
      <c r="I1162" s="22" t="s">
        <v>1022</v>
      </c>
      <c r="J1162" s="134" t="s">
        <v>1026</v>
      </c>
      <c r="K1162" s="133"/>
      <c r="L1162" s="133"/>
      <c r="M1162" s="133"/>
      <c r="N1162" s="133"/>
      <c r="O1162" s="135"/>
      <c r="P1162" s="135"/>
      <c r="Q1162" s="135"/>
      <c r="R1162" s="135"/>
      <c r="S1162" s="136">
        <v>5791088</v>
      </c>
      <c r="T1162" s="136">
        <v>0</v>
      </c>
      <c r="U1162" s="137">
        <f>SUM(U1163)</f>
        <v>0</v>
      </c>
      <c r="V1162" s="137">
        <f>SUM(V1163)</f>
        <v>0</v>
      </c>
      <c r="W1162" s="137">
        <f>SUM(W1163)</f>
        <v>69814.099999999991</v>
      </c>
      <c r="X1162" s="138">
        <f>U1162+V1162+W1162</f>
        <v>69814.099999999991</v>
      </c>
      <c r="Y1162" s="137">
        <f t="shared" ref="Y1162:AR1162" si="397">SUM(Y1163)</f>
        <v>53771.65</v>
      </c>
      <c r="Z1162" s="137">
        <f t="shared" si="397"/>
        <v>0</v>
      </c>
      <c r="AA1162" s="137">
        <f t="shared" si="397"/>
        <v>0</v>
      </c>
      <c r="AB1162" s="137">
        <f t="shared" si="397"/>
        <v>58715.08</v>
      </c>
      <c r="AC1162" s="137">
        <f t="shared" si="397"/>
        <v>0</v>
      </c>
      <c r="AD1162" s="137">
        <f t="shared" si="397"/>
        <v>0</v>
      </c>
      <c r="AE1162" s="137">
        <f t="shared" si="397"/>
        <v>296310.96999999997</v>
      </c>
      <c r="AF1162" s="137">
        <f t="shared" si="397"/>
        <v>0</v>
      </c>
      <c r="AG1162" s="137">
        <f t="shared" si="397"/>
        <v>0</v>
      </c>
      <c r="AH1162" s="137">
        <f t="shared" si="397"/>
        <v>346059.86</v>
      </c>
      <c r="AI1162" s="137">
        <f t="shared" si="397"/>
        <v>0</v>
      </c>
      <c r="AJ1162" s="137">
        <f t="shared" si="397"/>
        <v>0</v>
      </c>
      <c r="AK1162" s="137">
        <f t="shared" si="397"/>
        <v>754857.55999999994</v>
      </c>
      <c r="AL1162" s="137">
        <f t="shared" si="397"/>
        <v>1570067.9600000002</v>
      </c>
      <c r="AM1162" s="137">
        <f t="shared" si="397"/>
        <v>1166296.7</v>
      </c>
      <c r="AN1162" s="137">
        <f t="shared" si="397"/>
        <v>843744.74</v>
      </c>
      <c r="AO1162" s="137">
        <f t="shared" si="397"/>
        <v>768554.12</v>
      </c>
      <c r="AP1162" s="137">
        <f t="shared" si="397"/>
        <v>531421.85</v>
      </c>
      <c r="AQ1162" s="137">
        <f t="shared" si="397"/>
        <v>86330.97</v>
      </c>
      <c r="AR1162" s="137">
        <f t="shared" si="397"/>
        <v>0</v>
      </c>
      <c r="AS1162" s="137">
        <f>U1162+V1162+W1162+AK1162+AL1162+AM1162+AN1162+AO1162+AP1162+AQ1162+AR1162</f>
        <v>5791088</v>
      </c>
      <c r="AT1162" s="137">
        <f>AT1163</f>
        <v>0</v>
      </c>
      <c r="AU1162" s="139">
        <f t="shared" si="367"/>
        <v>5791088</v>
      </c>
      <c r="AV1162" s="146">
        <f>IFERROR(VLOOKUP(J1162,Maksājumu_pieprasījumu_iesn.!G:BL,57,0),0)</f>
        <v>0</v>
      </c>
      <c r="AW1162" s="139">
        <f t="shared" si="355"/>
        <v>-5791088</v>
      </c>
      <c r="AX1162" s="140">
        <f>S1162-T1162-AU1162</f>
        <v>0</v>
      </c>
      <c r="AY1162" s="137"/>
      <c r="AZ1162" s="137"/>
      <c r="BA1162" s="138"/>
      <c r="BB1162" s="140"/>
      <c r="BC1162" s="140">
        <f>X1162+AK1162+AL1162/2</f>
        <v>1609705.6400000001</v>
      </c>
      <c r="BD1162" s="140"/>
      <c r="BE1162" s="140">
        <f>BC1162/0.85</f>
        <v>1893771.3411764707</v>
      </c>
      <c r="BF1162" s="137"/>
      <c r="BG1162" s="137"/>
      <c r="BH1162" s="138">
        <v>69728.38</v>
      </c>
      <c r="BI1162" s="138">
        <v>637007.07999999996</v>
      </c>
      <c r="BJ1162" s="138"/>
      <c r="BK1162" s="138"/>
      <c r="BL1162" s="138">
        <v>1027125</v>
      </c>
      <c r="BM1162" s="138"/>
      <c r="BN1162" s="138"/>
    </row>
    <row r="1163" spans="1:66" ht="25.5" hidden="1" customHeight="1" x14ac:dyDescent="0.2">
      <c r="A1163" s="142" t="s">
        <v>2279</v>
      </c>
      <c r="B1163" s="18" t="s">
        <v>350</v>
      </c>
      <c r="C1163" s="18" t="s">
        <v>364</v>
      </c>
      <c r="D1163" s="19" t="s">
        <v>600</v>
      </c>
      <c r="E1163" s="18" t="s">
        <v>3</v>
      </c>
      <c r="F1163" s="18" t="s">
        <v>210</v>
      </c>
      <c r="G1163" s="18" t="s">
        <v>77</v>
      </c>
      <c r="H1163" s="18" t="s">
        <v>3</v>
      </c>
      <c r="I1163" s="18"/>
      <c r="J1163" s="18" t="s">
        <v>365</v>
      </c>
      <c r="K1163" s="19" t="s">
        <v>366</v>
      </c>
      <c r="L1163" s="19"/>
      <c r="M1163" s="19"/>
      <c r="N1163" s="19" t="s">
        <v>367</v>
      </c>
      <c r="O1163" s="143"/>
      <c r="P1163" s="143"/>
      <c r="Q1163" s="143"/>
      <c r="R1163" s="143">
        <v>42587</v>
      </c>
      <c r="S1163" s="144">
        <v>5791088</v>
      </c>
      <c r="T1163" s="144"/>
      <c r="U1163" s="145">
        <v>0</v>
      </c>
      <c r="V1163" s="145">
        <v>0</v>
      </c>
      <c r="W1163" s="145">
        <v>69814.099999999991</v>
      </c>
      <c r="X1163" s="145">
        <f>W1163+V1163+U1163</f>
        <v>69814.099999999991</v>
      </c>
      <c r="Y1163" s="145">
        <v>53771.65</v>
      </c>
      <c r="Z1163" s="145">
        <v>0</v>
      </c>
      <c r="AA1163" s="145">
        <v>0</v>
      </c>
      <c r="AB1163" s="145">
        <v>58715.08</v>
      </c>
      <c r="AC1163" s="145">
        <v>0</v>
      </c>
      <c r="AD1163" s="166">
        <v>0</v>
      </c>
      <c r="AE1163" s="166">
        <v>296310.96999999997</v>
      </c>
      <c r="AF1163" s="145">
        <v>0</v>
      </c>
      <c r="AG1163" s="145">
        <v>0</v>
      </c>
      <c r="AH1163" s="145">
        <v>346059.86</v>
      </c>
      <c r="AI1163" s="145">
        <v>0</v>
      </c>
      <c r="AJ1163" s="145">
        <v>0</v>
      </c>
      <c r="AK1163" s="145">
        <f>SUM(Y1163:AJ1163)</f>
        <v>754857.55999999994</v>
      </c>
      <c r="AL1163" s="145">
        <v>1570067.9600000002</v>
      </c>
      <c r="AM1163" s="145">
        <v>1166296.7</v>
      </c>
      <c r="AN1163" s="145">
        <v>843744.74</v>
      </c>
      <c r="AO1163" s="145">
        <v>768554.12</v>
      </c>
      <c r="AP1163" s="145">
        <v>531421.85</v>
      </c>
      <c r="AQ1163" s="145">
        <v>86330.97</v>
      </c>
      <c r="AR1163" s="145">
        <v>0</v>
      </c>
      <c r="AS1163" s="144">
        <f>U1163+V1163+W1163+AK1163+AL1163+AM1163+AN1163+AO1163+AP1163+AQ1163+AR1163</f>
        <v>5791088</v>
      </c>
      <c r="AT1163" s="144">
        <v>0</v>
      </c>
      <c r="AU1163" s="146">
        <f t="shared" si="367"/>
        <v>5791088</v>
      </c>
      <c r="AV1163" s="146">
        <f>IFERROR(VLOOKUP(J1163,Maksājumu_pieprasījumu_iesn.!G:BL,57,0),0)</f>
        <v>0</v>
      </c>
      <c r="AW1163" s="139">
        <f t="shared" si="355"/>
        <v>-5791088</v>
      </c>
      <c r="AX1163" s="147"/>
      <c r="AY1163" s="147"/>
      <c r="AZ1163" s="147"/>
      <c r="BA1163" s="149" t="s">
        <v>2292</v>
      </c>
      <c r="BB1163" s="144"/>
      <c r="BC1163" s="144"/>
      <c r="BD1163" s="144"/>
      <c r="BE1163" s="144"/>
      <c r="BF1163" s="144"/>
      <c r="BG1163" s="144"/>
      <c r="BH1163" s="149"/>
      <c r="BI1163" s="149"/>
      <c r="BJ1163" s="149"/>
      <c r="BK1163" s="149"/>
      <c r="BL1163" s="149"/>
      <c r="BM1163" s="149"/>
      <c r="BN1163" s="149"/>
    </row>
    <row r="1164" spans="1:66" s="91" customFormat="1" ht="25.5" hidden="1" x14ac:dyDescent="0.2">
      <c r="A1164" s="127" t="s">
        <v>2279</v>
      </c>
      <c r="B1164" s="127" t="s">
        <v>368</v>
      </c>
      <c r="C1164" s="127" t="s">
        <v>1023</v>
      </c>
      <c r="D1164" s="128" t="s">
        <v>2293</v>
      </c>
      <c r="E1164" s="127"/>
      <c r="F1164" s="127"/>
      <c r="G1164" s="127" t="s">
        <v>77</v>
      </c>
      <c r="H1164" s="127"/>
      <c r="I1164" s="127"/>
      <c r="J1164" s="127"/>
      <c r="K1164" s="128"/>
      <c r="L1164" s="128"/>
      <c r="M1164" s="128"/>
      <c r="N1164" s="128"/>
      <c r="O1164" s="163"/>
      <c r="P1164" s="163"/>
      <c r="Q1164" s="163"/>
      <c r="R1164" s="163"/>
      <c r="S1164" s="164">
        <f>S1165+S1167+S1169</f>
        <v>10161165</v>
      </c>
      <c r="T1164" s="164">
        <f>T1165+T1167+T1169</f>
        <v>0</v>
      </c>
      <c r="U1164" s="164">
        <f>U1165+U1167+U1169</f>
        <v>0</v>
      </c>
      <c r="V1164" s="164">
        <f>V1165+V1167+V1169</f>
        <v>15182.77</v>
      </c>
      <c r="W1164" s="164">
        <f>W1165+W1167+W1169</f>
        <v>455485.49</v>
      </c>
      <c r="X1164" s="129">
        <f>U1164+V1164+W1164</f>
        <v>470668.26</v>
      </c>
      <c r="Y1164" s="164">
        <f t="shared" ref="Y1164:AT1164" si="398">Y1165+Y1167+Y1169</f>
        <v>0</v>
      </c>
      <c r="Z1164" s="164">
        <f t="shared" si="398"/>
        <v>75960.740000000005</v>
      </c>
      <c r="AA1164" s="164">
        <f t="shared" si="398"/>
        <v>132257.16999999998</v>
      </c>
      <c r="AB1164" s="164">
        <f t="shared" si="398"/>
        <v>0</v>
      </c>
      <c r="AC1164" s="164">
        <f t="shared" si="398"/>
        <v>81920.45</v>
      </c>
      <c r="AD1164" s="164">
        <f t="shared" si="398"/>
        <v>217797.76000000001</v>
      </c>
      <c r="AE1164" s="164">
        <f t="shared" si="398"/>
        <v>0</v>
      </c>
      <c r="AF1164" s="164">
        <f t="shared" si="398"/>
        <v>133064.95000000001</v>
      </c>
      <c r="AG1164" s="164">
        <f t="shared" si="398"/>
        <v>237860.96</v>
      </c>
      <c r="AH1164" s="164">
        <f t="shared" si="398"/>
        <v>0</v>
      </c>
      <c r="AI1164" s="164">
        <f t="shared" si="398"/>
        <v>87709.8</v>
      </c>
      <c r="AJ1164" s="164">
        <f t="shared" si="398"/>
        <v>254820.95</v>
      </c>
      <c r="AK1164" s="164">
        <f>AK1165+AK1167+AK1169</f>
        <v>1221392.78</v>
      </c>
      <c r="AL1164" s="164">
        <f t="shared" si="398"/>
        <v>2771764.3400000003</v>
      </c>
      <c r="AM1164" s="164">
        <f t="shared" si="398"/>
        <v>1685231.94</v>
      </c>
      <c r="AN1164" s="164">
        <f t="shared" si="398"/>
        <v>1750987.82</v>
      </c>
      <c r="AO1164" s="164">
        <f t="shared" si="398"/>
        <v>1276622.55</v>
      </c>
      <c r="AP1164" s="164">
        <f t="shared" si="398"/>
        <v>775621.58000000007</v>
      </c>
      <c r="AQ1164" s="164">
        <f t="shared" si="398"/>
        <v>170019.99</v>
      </c>
      <c r="AR1164" s="164">
        <f t="shared" si="398"/>
        <v>0</v>
      </c>
      <c r="AS1164" s="164">
        <f>AS1165+AS1167+AS1169</f>
        <v>10122309.26</v>
      </c>
      <c r="AT1164" s="164">
        <f t="shared" si="398"/>
        <v>0</v>
      </c>
      <c r="AU1164" s="183">
        <f>AS1164-AT1164</f>
        <v>10122309.26</v>
      </c>
      <c r="AV1164" s="146">
        <f>IFERROR(VLOOKUP(J1164,Maksājumu_pieprasījumu_iesn.!G:BL,57,0),0)</f>
        <v>0</v>
      </c>
      <c r="AW1164" s="139">
        <f t="shared" si="355"/>
        <v>-10122309.26</v>
      </c>
      <c r="AX1164" s="164">
        <f>AX1165+AX1167+AX1169</f>
        <v>38855.740000000224</v>
      </c>
      <c r="AY1164" s="164">
        <f>AY1165+AY1169</f>
        <v>38856</v>
      </c>
      <c r="AZ1164" s="164"/>
      <c r="BA1164" s="164"/>
      <c r="BB1164" s="164">
        <f>BB1165+BB1167+BB1169</f>
        <v>0</v>
      </c>
      <c r="BC1164" s="164">
        <f>BC1165+BC1167+BC1169</f>
        <v>3077943.21</v>
      </c>
      <c r="BD1164" s="164">
        <f>BC1164*0.94</f>
        <v>2893266.6173999999</v>
      </c>
      <c r="BE1164" s="129">
        <f>BD1164/0.85</f>
        <v>3403843.0792941176</v>
      </c>
      <c r="BF1164" s="164">
        <f>BF1165+BF1167+BF1169</f>
        <v>0</v>
      </c>
      <c r="BG1164" s="164">
        <f>BG1165+BG1167+BG1169</f>
        <v>0</v>
      </c>
      <c r="BH1164" s="129">
        <f>BH1165+BH1167+BH1169</f>
        <v>307657.12</v>
      </c>
      <c r="BI1164" s="129">
        <f>BI1165+BI1167+BI1169</f>
        <v>886015.01</v>
      </c>
      <c r="BJ1164" s="129">
        <f>AK1164*0.94</f>
        <v>1148109.2131999999</v>
      </c>
      <c r="BK1164" s="129">
        <f>BJ1164-BI1164</f>
        <v>262094.20319999987</v>
      </c>
      <c r="BL1164" s="129">
        <f>BL1165+BL1167+BL1169</f>
        <v>1559713</v>
      </c>
      <c r="BM1164" s="129">
        <f>AL1164*0.94</f>
        <v>2605458.4796000002</v>
      </c>
      <c r="BN1164" s="129">
        <f>BM1164-BL1164</f>
        <v>1045745.4796000002</v>
      </c>
    </row>
    <row r="1165" spans="1:66" s="91" customFormat="1" ht="25.5" hidden="1" customHeight="1" x14ac:dyDescent="0.2">
      <c r="A1165" s="131" t="s">
        <v>2279</v>
      </c>
      <c r="B1165" s="132" t="s">
        <v>368</v>
      </c>
      <c r="C1165" s="132" t="s">
        <v>369</v>
      </c>
      <c r="D1165" s="133" t="s">
        <v>601</v>
      </c>
      <c r="E1165" s="22" t="s">
        <v>3</v>
      </c>
      <c r="F1165" s="22" t="s">
        <v>210</v>
      </c>
      <c r="G1165" s="22" t="s">
        <v>77</v>
      </c>
      <c r="H1165" s="22" t="s">
        <v>3</v>
      </c>
      <c r="I1165" s="22" t="s">
        <v>1022</v>
      </c>
      <c r="J1165" s="134" t="s">
        <v>1026</v>
      </c>
      <c r="K1165" s="133"/>
      <c r="L1165" s="133"/>
      <c r="M1165" s="133"/>
      <c r="N1165" s="133"/>
      <c r="O1165" s="135"/>
      <c r="P1165" s="135"/>
      <c r="Q1165" s="135"/>
      <c r="R1165" s="135"/>
      <c r="S1165" s="136">
        <v>7247622</v>
      </c>
      <c r="T1165" s="136">
        <v>0</v>
      </c>
      <c r="U1165" s="137">
        <f>SUM(U1166)</f>
        <v>0</v>
      </c>
      <c r="V1165" s="137">
        <f>SUM(V1166)</f>
        <v>8258.4</v>
      </c>
      <c r="W1165" s="137">
        <f>SUM(W1166)</f>
        <v>276696.58</v>
      </c>
      <c r="X1165" s="138">
        <f>U1165+V1165+W1165</f>
        <v>284954.98000000004</v>
      </c>
      <c r="Y1165" s="137">
        <f t="shared" ref="Y1165:AR1165" si="399">SUM(Y1166)</f>
        <v>0</v>
      </c>
      <c r="Z1165" s="137">
        <f t="shared" si="399"/>
        <v>0</v>
      </c>
      <c r="AA1165" s="137">
        <f t="shared" si="399"/>
        <v>77667.399999999994</v>
      </c>
      <c r="AB1165" s="137">
        <f t="shared" si="399"/>
        <v>0</v>
      </c>
      <c r="AC1165" s="137">
        <f t="shared" si="399"/>
        <v>0</v>
      </c>
      <c r="AD1165" s="137">
        <f t="shared" si="399"/>
        <v>178697.76</v>
      </c>
      <c r="AE1165" s="137">
        <f t="shared" si="399"/>
        <v>0</v>
      </c>
      <c r="AF1165" s="137">
        <f t="shared" si="399"/>
        <v>0</v>
      </c>
      <c r="AG1165" s="137">
        <f t="shared" si="399"/>
        <v>193204.4</v>
      </c>
      <c r="AH1165" s="137">
        <f t="shared" si="399"/>
        <v>0</v>
      </c>
      <c r="AI1165" s="137">
        <f t="shared" si="399"/>
        <v>0</v>
      </c>
      <c r="AJ1165" s="137">
        <f t="shared" si="399"/>
        <v>215460.23</v>
      </c>
      <c r="AK1165" s="137">
        <f t="shared" si="399"/>
        <v>665029.79</v>
      </c>
      <c r="AL1165" s="137">
        <f t="shared" si="399"/>
        <v>2066434.55</v>
      </c>
      <c r="AM1165" s="137">
        <f t="shared" si="399"/>
        <v>1064603.31</v>
      </c>
      <c r="AN1165" s="137">
        <f t="shared" si="399"/>
        <v>1265345.48</v>
      </c>
      <c r="AO1165" s="137">
        <f t="shared" si="399"/>
        <v>1030158.3999999999</v>
      </c>
      <c r="AP1165" s="137">
        <f t="shared" si="399"/>
        <v>729955.78</v>
      </c>
      <c r="AQ1165" s="137">
        <f t="shared" si="399"/>
        <v>116298.64</v>
      </c>
      <c r="AR1165" s="137">
        <f t="shared" si="399"/>
        <v>0</v>
      </c>
      <c r="AS1165" s="137">
        <f t="shared" ref="AS1165:AS1170" si="400">U1165+V1165+W1165+AK1165+AL1165+AM1165+AN1165+AO1165+AP1165+AQ1165+AR1165</f>
        <v>7222780.9299999997</v>
      </c>
      <c r="AT1165" s="137">
        <f>AT1166</f>
        <v>0</v>
      </c>
      <c r="AU1165" s="139">
        <f t="shared" si="367"/>
        <v>7222780.9299999997</v>
      </c>
      <c r="AV1165" s="146">
        <f>IFERROR(VLOOKUP(J1165,Maksājumu_pieprasījumu_iesn.!G:BL,57,0),0)</f>
        <v>0</v>
      </c>
      <c r="AW1165" s="139">
        <f t="shared" si="355"/>
        <v>-7222780.9299999997</v>
      </c>
      <c r="AX1165" s="140">
        <f>S1165-T1165-AU1165</f>
        <v>24841.070000000298</v>
      </c>
      <c r="AY1165" s="137">
        <v>24841</v>
      </c>
      <c r="AZ1165" s="137"/>
      <c r="BA1165" s="138" t="s">
        <v>2294</v>
      </c>
      <c r="BB1165" s="140"/>
      <c r="BC1165" s="140">
        <f>X1165+AK1165+AL1165/2</f>
        <v>1983202.0449999999</v>
      </c>
      <c r="BD1165" s="140"/>
      <c r="BE1165" s="140">
        <f>BC1165/0.85</f>
        <v>2333178.8764705881</v>
      </c>
      <c r="BF1165" s="137"/>
      <c r="BG1165" s="137"/>
      <c r="BH1165" s="138">
        <v>206073.56</v>
      </c>
      <c r="BI1165" s="138">
        <v>312618</v>
      </c>
      <c r="BJ1165" s="138"/>
      <c r="BK1165" s="138"/>
      <c r="BL1165" s="138">
        <v>900692</v>
      </c>
      <c r="BM1165" s="138"/>
      <c r="BN1165" s="138"/>
    </row>
    <row r="1166" spans="1:66" ht="25.5" hidden="1" customHeight="1" x14ac:dyDescent="0.2">
      <c r="A1166" s="142" t="s">
        <v>2279</v>
      </c>
      <c r="B1166" s="18" t="s">
        <v>368</v>
      </c>
      <c r="C1166" s="18" t="s">
        <v>369</v>
      </c>
      <c r="D1166" s="19" t="s">
        <v>601</v>
      </c>
      <c r="E1166" s="18" t="s">
        <v>3</v>
      </c>
      <c r="F1166" s="18" t="s">
        <v>210</v>
      </c>
      <c r="G1166" s="18" t="s">
        <v>77</v>
      </c>
      <c r="H1166" s="18" t="s">
        <v>3</v>
      </c>
      <c r="I1166" s="18"/>
      <c r="J1166" s="18" t="s">
        <v>371</v>
      </c>
      <c r="K1166" s="19" t="s">
        <v>40</v>
      </c>
      <c r="L1166" s="19"/>
      <c r="M1166" s="19"/>
      <c r="N1166" s="19" t="s">
        <v>370</v>
      </c>
      <c r="O1166" s="143"/>
      <c r="P1166" s="143"/>
      <c r="Q1166" s="143"/>
      <c r="R1166" s="143">
        <v>42268</v>
      </c>
      <c r="S1166" s="144">
        <v>7247622</v>
      </c>
      <c r="T1166" s="144"/>
      <c r="U1166" s="145">
        <v>0</v>
      </c>
      <c r="V1166" s="145">
        <v>8258.4</v>
      </c>
      <c r="W1166" s="145">
        <v>276696.58</v>
      </c>
      <c r="X1166" s="145">
        <f>W1166+V1166+U1166</f>
        <v>284954.98000000004</v>
      </c>
      <c r="Y1166" s="145">
        <v>0</v>
      </c>
      <c r="Z1166" s="145">
        <v>0</v>
      </c>
      <c r="AA1166" s="145">
        <v>77667.399999999994</v>
      </c>
      <c r="AB1166" s="145">
        <v>0</v>
      </c>
      <c r="AC1166" s="145">
        <v>0</v>
      </c>
      <c r="AD1166" s="145">
        <v>178697.76</v>
      </c>
      <c r="AE1166" s="145">
        <v>0</v>
      </c>
      <c r="AF1166" s="145">
        <v>0</v>
      </c>
      <c r="AG1166" s="145">
        <v>193204.4</v>
      </c>
      <c r="AH1166" s="145">
        <v>0</v>
      </c>
      <c r="AI1166" s="145">
        <v>0</v>
      </c>
      <c r="AJ1166" s="145">
        <v>215460.23</v>
      </c>
      <c r="AK1166" s="145">
        <f>SUM(Y1166:AJ1166)</f>
        <v>665029.79</v>
      </c>
      <c r="AL1166" s="145">
        <v>2066434.55</v>
      </c>
      <c r="AM1166" s="145">
        <v>1064603.31</v>
      </c>
      <c r="AN1166" s="145">
        <v>1265345.48</v>
      </c>
      <c r="AO1166" s="145">
        <v>1030158.3999999999</v>
      </c>
      <c r="AP1166" s="145">
        <v>729955.78</v>
      </c>
      <c r="AQ1166" s="145">
        <v>116298.64</v>
      </c>
      <c r="AR1166" s="145">
        <v>0</v>
      </c>
      <c r="AS1166" s="144">
        <f t="shared" si="400"/>
        <v>7222780.9299999997</v>
      </c>
      <c r="AT1166" s="144">
        <v>0</v>
      </c>
      <c r="AU1166" s="146">
        <f t="shared" si="367"/>
        <v>7222780.9299999997</v>
      </c>
      <c r="AV1166" s="146">
        <f>IFERROR(VLOOKUP(J1166,Maksājumu_pieprasījumu_iesn.!G:BL,57,0),0)</f>
        <v>0</v>
      </c>
      <c r="AW1166" s="139">
        <f t="shared" si="355"/>
        <v>-7222780.9299999997</v>
      </c>
      <c r="AX1166" s="147"/>
      <c r="AY1166" s="147"/>
      <c r="AZ1166" s="147"/>
      <c r="BA1166" s="149" t="s">
        <v>2294</v>
      </c>
      <c r="BB1166" s="144"/>
      <c r="BC1166" s="144"/>
      <c r="BD1166" s="144"/>
      <c r="BE1166" s="144"/>
      <c r="BF1166" s="144"/>
      <c r="BG1166" s="144"/>
      <c r="BH1166" s="149"/>
      <c r="BI1166" s="149"/>
      <c r="BJ1166" s="149"/>
      <c r="BK1166" s="149"/>
      <c r="BL1166" s="149"/>
      <c r="BM1166" s="149"/>
      <c r="BN1166" s="149"/>
    </row>
    <row r="1167" spans="1:66" s="91" customFormat="1" ht="25.5" hidden="1" customHeight="1" x14ac:dyDescent="0.2">
      <c r="A1167" s="131" t="s">
        <v>2279</v>
      </c>
      <c r="B1167" s="132" t="s">
        <v>368</v>
      </c>
      <c r="C1167" s="132" t="s">
        <v>372</v>
      </c>
      <c r="D1167" s="133" t="s">
        <v>602</v>
      </c>
      <c r="E1167" s="22" t="s">
        <v>3</v>
      </c>
      <c r="F1167" s="22" t="s">
        <v>210</v>
      </c>
      <c r="G1167" s="22" t="s">
        <v>77</v>
      </c>
      <c r="H1167" s="22" t="s">
        <v>3</v>
      </c>
      <c r="I1167" s="22" t="s">
        <v>1022</v>
      </c>
      <c r="J1167" s="134" t="s">
        <v>1026</v>
      </c>
      <c r="K1167" s="133"/>
      <c r="L1167" s="133"/>
      <c r="M1167" s="133"/>
      <c r="N1167" s="133"/>
      <c r="O1167" s="135"/>
      <c r="P1167" s="135"/>
      <c r="Q1167" s="135"/>
      <c r="R1167" s="135"/>
      <c r="S1167" s="136">
        <v>917966</v>
      </c>
      <c r="T1167" s="136">
        <v>0</v>
      </c>
      <c r="U1167" s="137">
        <f>SUM(U1168)</f>
        <v>0</v>
      </c>
      <c r="V1167" s="137">
        <f>SUM(V1168)</f>
        <v>6924.37</v>
      </c>
      <c r="W1167" s="137">
        <f>SUM(W1168)</f>
        <v>52082.48</v>
      </c>
      <c r="X1167" s="138">
        <f>U1167+V1167+W1167</f>
        <v>59006.850000000006</v>
      </c>
      <c r="Y1167" s="137">
        <f t="shared" ref="Y1167:AR1167" si="401">SUM(Y1168)</f>
        <v>0</v>
      </c>
      <c r="Z1167" s="137">
        <f t="shared" si="401"/>
        <v>0</v>
      </c>
      <c r="AA1167" s="137">
        <f t="shared" si="401"/>
        <v>54589.77</v>
      </c>
      <c r="AB1167" s="137">
        <f t="shared" si="401"/>
        <v>0</v>
      </c>
      <c r="AC1167" s="137">
        <f t="shared" si="401"/>
        <v>0</v>
      </c>
      <c r="AD1167" s="137">
        <f t="shared" si="401"/>
        <v>39100</v>
      </c>
      <c r="AE1167" s="137">
        <f t="shared" si="401"/>
        <v>0</v>
      </c>
      <c r="AF1167" s="137">
        <f t="shared" si="401"/>
        <v>0</v>
      </c>
      <c r="AG1167" s="137">
        <f t="shared" si="401"/>
        <v>44656.56</v>
      </c>
      <c r="AH1167" s="137">
        <f t="shared" si="401"/>
        <v>0</v>
      </c>
      <c r="AI1167" s="137">
        <f t="shared" si="401"/>
        <v>0</v>
      </c>
      <c r="AJ1167" s="137">
        <f t="shared" si="401"/>
        <v>39360.720000000001</v>
      </c>
      <c r="AK1167" s="137">
        <f t="shared" si="401"/>
        <v>177707.05</v>
      </c>
      <c r="AL1167" s="137">
        <f t="shared" si="401"/>
        <v>288666.86000000004</v>
      </c>
      <c r="AM1167" s="137">
        <f t="shared" si="401"/>
        <v>200277.66</v>
      </c>
      <c r="AN1167" s="137">
        <f t="shared" si="401"/>
        <v>47254.619999999995</v>
      </c>
      <c r="AO1167" s="137">
        <f t="shared" si="401"/>
        <v>45665.81</v>
      </c>
      <c r="AP1167" s="137">
        <f t="shared" si="401"/>
        <v>45665.8</v>
      </c>
      <c r="AQ1167" s="137">
        <f t="shared" si="401"/>
        <v>53721.35</v>
      </c>
      <c r="AR1167" s="137">
        <f t="shared" si="401"/>
        <v>0</v>
      </c>
      <c r="AS1167" s="137">
        <f t="shared" si="400"/>
        <v>917966.00000000012</v>
      </c>
      <c r="AT1167" s="137">
        <f>AT1168</f>
        <v>0</v>
      </c>
      <c r="AU1167" s="139">
        <f t="shared" si="367"/>
        <v>917966.00000000012</v>
      </c>
      <c r="AV1167" s="146">
        <f>IFERROR(VLOOKUP(J1167,Maksājumu_pieprasījumu_iesn.!G:BL,57,0),0)</f>
        <v>0</v>
      </c>
      <c r="AW1167" s="139">
        <f t="shared" si="355"/>
        <v>-917966.00000000012</v>
      </c>
      <c r="AX1167" s="140">
        <f>S1167-T1167-AU1167</f>
        <v>0</v>
      </c>
      <c r="AY1167" s="137"/>
      <c r="AZ1167" s="137"/>
      <c r="BA1167" s="138"/>
      <c r="BB1167" s="140"/>
      <c r="BC1167" s="140">
        <f>X1167+AK1167+AL1167/2</f>
        <v>381047.33</v>
      </c>
      <c r="BD1167" s="140"/>
      <c r="BE1167" s="140">
        <f>BC1167/0.85</f>
        <v>448290.97647058824</v>
      </c>
      <c r="BF1167" s="137"/>
      <c r="BG1167" s="137"/>
      <c r="BH1167" s="138">
        <v>43031.26</v>
      </c>
      <c r="BI1167" s="138">
        <v>218654.01</v>
      </c>
      <c r="BJ1167" s="138"/>
      <c r="BK1167" s="138"/>
      <c r="BL1167" s="138">
        <v>248160</v>
      </c>
      <c r="BM1167" s="138"/>
      <c r="BN1167" s="138"/>
    </row>
    <row r="1168" spans="1:66" ht="25.5" hidden="1" customHeight="1" x14ac:dyDescent="0.2">
      <c r="A1168" s="142" t="s">
        <v>2279</v>
      </c>
      <c r="B1168" s="18" t="s">
        <v>368</v>
      </c>
      <c r="C1168" s="18" t="s">
        <v>372</v>
      </c>
      <c r="D1168" s="19" t="s">
        <v>602</v>
      </c>
      <c r="E1168" s="18" t="s">
        <v>3</v>
      </c>
      <c r="F1168" s="18" t="s">
        <v>210</v>
      </c>
      <c r="G1168" s="18" t="s">
        <v>77</v>
      </c>
      <c r="H1168" s="18" t="s">
        <v>3</v>
      </c>
      <c r="I1168" s="18"/>
      <c r="J1168" s="18" t="s">
        <v>374</v>
      </c>
      <c r="K1168" s="19" t="s">
        <v>40</v>
      </c>
      <c r="L1168" s="19"/>
      <c r="M1168" s="19"/>
      <c r="N1168" s="19" t="s">
        <v>373</v>
      </c>
      <c r="O1168" s="143"/>
      <c r="P1168" s="143"/>
      <c r="Q1168" s="143"/>
      <c r="R1168" s="143">
        <v>42345</v>
      </c>
      <c r="S1168" s="144">
        <v>917711</v>
      </c>
      <c r="T1168" s="144"/>
      <c r="U1168" s="145">
        <v>0</v>
      </c>
      <c r="V1168" s="145">
        <v>6924.37</v>
      </c>
      <c r="W1168" s="145">
        <v>52082.48</v>
      </c>
      <c r="X1168" s="145">
        <f>W1168+V1168+U1168</f>
        <v>59006.850000000006</v>
      </c>
      <c r="Y1168" s="145">
        <v>0</v>
      </c>
      <c r="Z1168" s="145">
        <v>0</v>
      </c>
      <c r="AA1168" s="145">
        <v>54589.77</v>
      </c>
      <c r="AB1168" s="145">
        <v>0</v>
      </c>
      <c r="AC1168" s="145">
        <v>0</v>
      </c>
      <c r="AD1168" s="145">
        <v>39100</v>
      </c>
      <c r="AE1168" s="145">
        <v>0</v>
      </c>
      <c r="AF1168" s="145">
        <v>0</v>
      </c>
      <c r="AG1168" s="145">
        <v>44656.56</v>
      </c>
      <c r="AH1168" s="145">
        <v>0</v>
      </c>
      <c r="AI1168" s="145">
        <v>0</v>
      </c>
      <c r="AJ1168" s="145">
        <v>39360.720000000001</v>
      </c>
      <c r="AK1168" s="145">
        <f>SUM(Y1168:AJ1168)</f>
        <v>177707.05</v>
      </c>
      <c r="AL1168" s="145">
        <v>288666.86000000004</v>
      </c>
      <c r="AM1168" s="145">
        <v>200277.66</v>
      </c>
      <c r="AN1168" s="145">
        <v>47254.619999999995</v>
      </c>
      <c r="AO1168" s="145">
        <v>45665.81</v>
      </c>
      <c r="AP1168" s="145">
        <v>45665.8</v>
      </c>
      <c r="AQ1168" s="145">
        <v>53721.35</v>
      </c>
      <c r="AR1168" s="145">
        <v>0</v>
      </c>
      <c r="AS1168" s="144">
        <f t="shared" si="400"/>
        <v>917966.00000000012</v>
      </c>
      <c r="AT1168" s="144">
        <v>0</v>
      </c>
      <c r="AU1168" s="146">
        <f t="shared" si="367"/>
        <v>917966.00000000012</v>
      </c>
      <c r="AV1168" s="146">
        <f>IFERROR(VLOOKUP(J1168,Maksājumu_pieprasījumu_iesn.!G:BL,57,0),0)</f>
        <v>0</v>
      </c>
      <c r="AW1168" s="139">
        <f t="shared" ref="AW1168:AW1231" si="402">AV1168-AU1168</f>
        <v>-917966.00000000012</v>
      </c>
      <c r="AX1168" s="147"/>
      <c r="AY1168" s="147"/>
      <c r="AZ1168" s="147"/>
      <c r="BA1168" s="149" t="s">
        <v>2295</v>
      </c>
      <c r="BB1168" s="144"/>
      <c r="BC1168" s="144"/>
      <c r="BD1168" s="144"/>
      <c r="BE1168" s="144"/>
      <c r="BF1168" s="144"/>
      <c r="BG1168" s="144"/>
      <c r="BH1168" s="149"/>
      <c r="BI1168" s="149"/>
      <c r="BJ1168" s="149"/>
      <c r="BK1168" s="149"/>
      <c r="BL1168" s="149"/>
      <c r="BM1168" s="149"/>
      <c r="BN1168" s="149"/>
    </row>
    <row r="1169" spans="1:66" s="91" customFormat="1" ht="25.5" hidden="1" customHeight="1" x14ac:dyDescent="0.2">
      <c r="A1169" s="131" t="s">
        <v>2279</v>
      </c>
      <c r="B1169" s="132" t="s">
        <v>368</v>
      </c>
      <c r="C1169" s="132" t="s">
        <v>375</v>
      </c>
      <c r="D1169" s="133" t="s">
        <v>603</v>
      </c>
      <c r="E1169" s="22" t="s">
        <v>3</v>
      </c>
      <c r="F1169" s="22" t="s">
        <v>210</v>
      </c>
      <c r="G1169" s="22" t="s">
        <v>77</v>
      </c>
      <c r="H1169" s="22" t="s">
        <v>3</v>
      </c>
      <c r="I1169" s="22" t="s">
        <v>1022</v>
      </c>
      <c r="J1169" s="134" t="s">
        <v>1026</v>
      </c>
      <c r="K1169" s="133"/>
      <c r="L1169" s="133"/>
      <c r="M1169" s="133"/>
      <c r="N1169" s="133"/>
      <c r="O1169" s="135"/>
      <c r="P1169" s="135"/>
      <c r="Q1169" s="135"/>
      <c r="R1169" s="135"/>
      <c r="S1169" s="136">
        <v>1995577</v>
      </c>
      <c r="T1169" s="136">
        <v>0</v>
      </c>
      <c r="U1169" s="137">
        <f>SUM(U1170)</f>
        <v>0</v>
      </c>
      <c r="V1169" s="137">
        <f>SUM(V1170)</f>
        <v>0</v>
      </c>
      <c r="W1169" s="137">
        <f>SUM(W1170)</f>
        <v>126706.43000000001</v>
      </c>
      <c r="X1169" s="138">
        <f>U1169+V1169+W1169</f>
        <v>126706.43000000001</v>
      </c>
      <c r="Y1169" s="137">
        <f t="shared" ref="Y1169:AR1169" si="403">SUM(Y1170)</f>
        <v>0</v>
      </c>
      <c r="Z1169" s="137">
        <f t="shared" si="403"/>
        <v>75960.740000000005</v>
      </c>
      <c r="AA1169" s="137">
        <f t="shared" si="403"/>
        <v>0</v>
      </c>
      <c r="AB1169" s="137">
        <f t="shared" si="403"/>
        <v>0</v>
      </c>
      <c r="AC1169" s="137">
        <f t="shared" si="403"/>
        <v>81920.45</v>
      </c>
      <c r="AD1169" s="137">
        <f t="shared" si="403"/>
        <v>0</v>
      </c>
      <c r="AE1169" s="137">
        <f t="shared" si="403"/>
        <v>0</v>
      </c>
      <c r="AF1169" s="137">
        <f t="shared" si="403"/>
        <v>133064.95000000001</v>
      </c>
      <c r="AG1169" s="137">
        <f t="shared" si="403"/>
        <v>0</v>
      </c>
      <c r="AH1169" s="137">
        <f t="shared" si="403"/>
        <v>0</v>
      </c>
      <c r="AI1169" s="137">
        <f t="shared" si="403"/>
        <v>87709.8</v>
      </c>
      <c r="AJ1169" s="137">
        <f t="shared" si="403"/>
        <v>0</v>
      </c>
      <c r="AK1169" s="137">
        <f>SUM(AK1170)</f>
        <v>378655.94</v>
      </c>
      <c r="AL1169" s="137">
        <f t="shared" si="403"/>
        <v>416662.93000000005</v>
      </c>
      <c r="AM1169" s="137">
        <f t="shared" si="403"/>
        <v>420350.97</v>
      </c>
      <c r="AN1169" s="137">
        <f t="shared" si="403"/>
        <v>438387.72</v>
      </c>
      <c r="AO1169" s="137">
        <f t="shared" si="403"/>
        <v>200798.34</v>
      </c>
      <c r="AP1169" s="137">
        <f t="shared" si="403"/>
        <v>0</v>
      </c>
      <c r="AQ1169" s="137">
        <f t="shared" si="403"/>
        <v>0</v>
      </c>
      <c r="AR1169" s="137">
        <f t="shared" si="403"/>
        <v>0</v>
      </c>
      <c r="AS1169" s="137">
        <f t="shared" si="400"/>
        <v>1981562.33</v>
      </c>
      <c r="AT1169" s="137">
        <f>AT1170</f>
        <v>0</v>
      </c>
      <c r="AU1169" s="139">
        <f>AS1169-AT1169</f>
        <v>1981562.33</v>
      </c>
      <c r="AV1169" s="146">
        <f>IFERROR(VLOOKUP(J1169,Maksājumu_pieprasījumu_iesn.!G:BL,57,0),0)</f>
        <v>0</v>
      </c>
      <c r="AW1169" s="139">
        <f t="shared" si="402"/>
        <v>-1981562.33</v>
      </c>
      <c r="AX1169" s="140">
        <f>S1169-T1169-AU1169</f>
        <v>14014.669999999925</v>
      </c>
      <c r="AY1169" s="137">
        <v>14015</v>
      </c>
      <c r="AZ1169" s="137"/>
      <c r="BA1169" s="138" t="s">
        <v>2296</v>
      </c>
      <c r="BB1169" s="140"/>
      <c r="BC1169" s="140">
        <f>X1169+AK1169+AL1169/2</f>
        <v>713693.83499999996</v>
      </c>
      <c r="BD1169" s="140"/>
      <c r="BE1169" s="140">
        <f>BC1169/0.85</f>
        <v>839639.80588235287</v>
      </c>
      <c r="BF1169" s="137"/>
      <c r="BG1169" s="137"/>
      <c r="BH1169" s="138">
        <v>58552.3</v>
      </c>
      <c r="BI1169" s="138">
        <v>354743</v>
      </c>
      <c r="BJ1169" s="138"/>
      <c r="BK1169" s="138"/>
      <c r="BL1169" s="138">
        <v>410861</v>
      </c>
      <c r="BM1169" s="138"/>
      <c r="BN1169" s="138"/>
    </row>
    <row r="1170" spans="1:66" ht="38.25" hidden="1" customHeight="1" x14ac:dyDescent="0.2">
      <c r="A1170" s="142" t="s">
        <v>2279</v>
      </c>
      <c r="B1170" s="18" t="s">
        <v>368</v>
      </c>
      <c r="C1170" s="18" t="s">
        <v>375</v>
      </c>
      <c r="D1170" s="19" t="s">
        <v>603</v>
      </c>
      <c r="E1170" s="18" t="s">
        <v>3</v>
      </c>
      <c r="F1170" s="18" t="s">
        <v>210</v>
      </c>
      <c r="G1170" s="18" t="s">
        <v>77</v>
      </c>
      <c r="H1170" s="18" t="s">
        <v>3</v>
      </c>
      <c r="I1170" s="18"/>
      <c r="J1170" s="18" t="s">
        <v>376</v>
      </c>
      <c r="K1170" s="19" t="s">
        <v>377</v>
      </c>
      <c r="L1170" s="19"/>
      <c r="M1170" s="19"/>
      <c r="N1170" s="19" t="s">
        <v>378</v>
      </c>
      <c r="O1170" s="143"/>
      <c r="P1170" s="143"/>
      <c r="Q1170" s="143"/>
      <c r="R1170" s="143">
        <v>42474</v>
      </c>
      <c r="S1170" s="144">
        <v>1981562.33</v>
      </c>
      <c r="T1170" s="144"/>
      <c r="U1170" s="145">
        <v>0</v>
      </c>
      <c r="V1170" s="145">
        <v>0</v>
      </c>
      <c r="W1170" s="145">
        <v>126706.43000000001</v>
      </c>
      <c r="X1170" s="145">
        <f>W1170+V1170+U1170</f>
        <v>126706.43000000001</v>
      </c>
      <c r="Y1170" s="145">
        <v>0</v>
      </c>
      <c r="Z1170" s="145">
        <v>75960.740000000005</v>
      </c>
      <c r="AA1170" s="145">
        <v>0</v>
      </c>
      <c r="AB1170" s="145">
        <v>0</v>
      </c>
      <c r="AC1170" s="145">
        <v>81920.45</v>
      </c>
      <c r="AD1170" s="145">
        <v>0</v>
      </c>
      <c r="AE1170" s="145">
        <v>0</v>
      </c>
      <c r="AF1170" s="420">
        <v>133064.95000000001</v>
      </c>
      <c r="AG1170" s="145">
        <v>0</v>
      </c>
      <c r="AH1170" s="145">
        <v>0</v>
      </c>
      <c r="AI1170" s="145">
        <v>87709.8</v>
      </c>
      <c r="AJ1170" s="145">
        <v>0</v>
      </c>
      <c r="AK1170" s="145">
        <f>SUM(Y1170:AJ1170)</f>
        <v>378655.94</v>
      </c>
      <c r="AL1170" s="145">
        <v>416662.93000000005</v>
      </c>
      <c r="AM1170" s="145">
        <v>420350.97</v>
      </c>
      <c r="AN1170" s="145">
        <v>438387.72</v>
      </c>
      <c r="AO1170" s="145">
        <v>200798.34</v>
      </c>
      <c r="AP1170" s="145">
        <v>0</v>
      </c>
      <c r="AQ1170" s="145">
        <v>0</v>
      </c>
      <c r="AR1170" s="145">
        <v>0</v>
      </c>
      <c r="AS1170" s="144">
        <f t="shared" si="400"/>
        <v>1981562.33</v>
      </c>
      <c r="AT1170" s="144">
        <v>0</v>
      </c>
      <c r="AU1170" s="146">
        <f>AS1170-AT1170</f>
        <v>1981562.33</v>
      </c>
      <c r="AV1170" s="146">
        <f>IFERROR(VLOOKUP(J1170,Maksājumu_pieprasījumu_iesn.!G:BL,57,0),0)</f>
        <v>0</v>
      </c>
      <c r="AW1170" s="139">
        <f t="shared" si="402"/>
        <v>-1981562.33</v>
      </c>
      <c r="AX1170" s="147"/>
      <c r="AY1170" s="147"/>
      <c r="AZ1170" s="147"/>
      <c r="BA1170" s="149" t="s">
        <v>2296</v>
      </c>
      <c r="BB1170" s="144"/>
      <c r="BC1170" s="144"/>
      <c r="BD1170" s="144"/>
      <c r="BE1170" s="144"/>
      <c r="BF1170" s="144"/>
      <c r="BG1170" s="144"/>
      <c r="BH1170" s="149"/>
      <c r="BI1170" s="149"/>
      <c r="BJ1170" s="149"/>
      <c r="BK1170" s="149"/>
      <c r="BL1170" s="149"/>
      <c r="BM1170" s="149"/>
      <c r="BN1170" s="149"/>
    </row>
    <row r="1171" spans="1:66" s="91" customFormat="1" ht="63.75" hidden="1" x14ac:dyDescent="0.2">
      <c r="A1171" s="127" t="s">
        <v>2279</v>
      </c>
      <c r="B1171" s="127" t="s">
        <v>379</v>
      </c>
      <c r="C1171" s="127" t="s">
        <v>1023</v>
      </c>
      <c r="D1171" s="128" t="s">
        <v>2297</v>
      </c>
      <c r="E1171" s="127"/>
      <c r="F1171" s="127"/>
      <c r="G1171" s="127" t="s">
        <v>77</v>
      </c>
      <c r="H1171" s="127"/>
      <c r="I1171" s="127"/>
      <c r="J1171" s="127"/>
      <c r="K1171" s="128"/>
      <c r="L1171" s="128"/>
      <c r="M1171" s="128"/>
      <c r="N1171" s="128"/>
      <c r="O1171" s="163"/>
      <c r="P1171" s="163"/>
      <c r="Q1171" s="163"/>
      <c r="R1171" s="163"/>
      <c r="S1171" s="164">
        <f>S1172+S1178</f>
        <v>44145883</v>
      </c>
      <c r="T1171" s="164">
        <f>T1172+T1178</f>
        <v>3167386.9999999981</v>
      </c>
      <c r="U1171" s="164">
        <f>U1172+U1178</f>
        <v>0</v>
      </c>
      <c r="V1171" s="164">
        <f>V1172+V1178</f>
        <v>0</v>
      </c>
      <c r="W1171" s="164">
        <f>W1172+W1178</f>
        <v>532315.9</v>
      </c>
      <c r="X1171" s="129">
        <f>U1171+V1171+W1171</f>
        <v>532315.9</v>
      </c>
      <c r="Y1171" s="164">
        <f t="shared" ref="Y1171:AT1171" si="404">Y1172+Y1178</f>
        <v>149095.19999999998</v>
      </c>
      <c r="Z1171" s="164">
        <f t="shared" si="404"/>
        <v>0</v>
      </c>
      <c r="AA1171" s="164">
        <f t="shared" si="404"/>
        <v>255336.16</v>
      </c>
      <c r="AB1171" s="164">
        <f t="shared" si="404"/>
        <v>190951.36</v>
      </c>
      <c r="AC1171" s="164">
        <f t="shared" si="404"/>
        <v>0</v>
      </c>
      <c r="AD1171" s="164">
        <f t="shared" si="404"/>
        <v>764374.77</v>
      </c>
      <c r="AE1171" s="164">
        <f t="shared" si="404"/>
        <v>583749.04999999993</v>
      </c>
      <c r="AF1171" s="164">
        <f t="shared" si="404"/>
        <v>0</v>
      </c>
      <c r="AG1171" s="164">
        <f t="shared" si="404"/>
        <v>484529.4</v>
      </c>
      <c r="AH1171" s="164">
        <f t="shared" si="404"/>
        <v>1057472.27</v>
      </c>
      <c r="AI1171" s="164">
        <f t="shared" si="404"/>
        <v>0</v>
      </c>
      <c r="AJ1171" s="164">
        <f t="shared" si="404"/>
        <v>442956.78</v>
      </c>
      <c r="AK1171" s="164">
        <f t="shared" si="404"/>
        <v>3928464.9900000007</v>
      </c>
      <c r="AL1171" s="164">
        <f t="shared" si="404"/>
        <v>7010331.6999999993</v>
      </c>
      <c r="AM1171" s="164">
        <f t="shared" si="404"/>
        <v>7440710.6399999997</v>
      </c>
      <c r="AN1171" s="164">
        <f t="shared" si="404"/>
        <v>7050238.6799999997</v>
      </c>
      <c r="AO1171" s="164">
        <f t="shared" si="404"/>
        <v>7400545.3799999999</v>
      </c>
      <c r="AP1171" s="164">
        <f t="shared" si="404"/>
        <v>6221382.6799999997</v>
      </c>
      <c r="AQ1171" s="164">
        <f t="shared" si="404"/>
        <v>1394504.03</v>
      </c>
      <c r="AR1171" s="164">
        <f t="shared" si="404"/>
        <v>0</v>
      </c>
      <c r="AS1171" s="164">
        <f t="shared" si="404"/>
        <v>40978494</v>
      </c>
      <c r="AT1171" s="164">
        <f t="shared" si="404"/>
        <v>0</v>
      </c>
      <c r="AU1171" s="183">
        <f t="shared" si="367"/>
        <v>40978494</v>
      </c>
      <c r="AV1171" s="146">
        <f>IFERROR(VLOOKUP(J1171,Maksājumu_pieprasījumu_iesn.!G:BL,57,0),0)</f>
        <v>0</v>
      </c>
      <c r="AW1171" s="139">
        <f t="shared" si="402"/>
        <v>-40978494</v>
      </c>
      <c r="AX1171" s="164">
        <f>AX1172+AX1178</f>
        <v>2</v>
      </c>
      <c r="AY1171" s="164"/>
      <c r="AZ1171" s="164"/>
      <c r="BA1171" s="164"/>
      <c r="BB1171" s="164">
        <f>BB1172+BB1178</f>
        <v>0</v>
      </c>
      <c r="BC1171" s="164">
        <f>BC1172+BC1178</f>
        <v>7965946.7400000002</v>
      </c>
      <c r="BD1171" s="164">
        <f>BC1171*0.94</f>
        <v>7487989.9355999995</v>
      </c>
      <c r="BE1171" s="129">
        <f>BD1171/0.85</f>
        <v>8809399.9242352936</v>
      </c>
      <c r="BF1171" s="164">
        <f>BF1172+BF1178</f>
        <v>0</v>
      </c>
      <c r="BG1171" s="164">
        <f>BG1172+BG1178</f>
        <v>0</v>
      </c>
      <c r="BH1171" s="129">
        <f>BH1172+BH1178</f>
        <v>378018.88999999996</v>
      </c>
      <c r="BI1171" s="129">
        <f>BI1172+BI1178</f>
        <v>3150479.5</v>
      </c>
      <c r="BJ1171" s="129">
        <f>AK1171*0.94</f>
        <v>3692757.0906000002</v>
      </c>
      <c r="BK1171" s="129">
        <f>BJ1171-BI1171</f>
        <v>542277.59060000023</v>
      </c>
      <c r="BL1171" s="129">
        <f>BL1172+BL1178</f>
        <v>6648130</v>
      </c>
      <c r="BM1171" s="129">
        <f>AL1171*0.94</f>
        <v>6589711.7979999986</v>
      </c>
      <c r="BN1171" s="129">
        <f>BM1171-BL1171</f>
        <v>-58418.202000001445</v>
      </c>
    </row>
    <row r="1172" spans="1:66" s="91" customFormat="1" ht="12.75" hidden="1" customHeight="1" x14ac:dyDescent="0.2">
      <c r="A1172" s="131" t="s">
        <v>2279</v>
      </c>
      <c r="B1172" s="132" t="s">
        <v>379</v>
      </c>
      <c r="C1172" s="132" t="s">
        <v>380</v>
      </c>
      <c r="D1172" s="133" t="s">
        <v>381</v>
      </c>
      <c r="E1172" s="22" t="s">
        <v>3</v>
      </c>
      <c r="F1172" s="22" t="s">
        <v>210</v>
      </c>
      <c r="G1172" s="22" t="s">
        <v>77</v>
      </c>
      <c r="H1172" s="22" t="s">
        <v>3</v>
      </c>
      <c r="I1172" s="22" t="s">
        <v>1022</v>
      </c>
      <c r="J1172" s="134" t="s">
        <v>1026</v>
      </c>
      <c r="K1172" s="133"/>
      <c r="L1172" s="133"/>
      <c r="M1172" s="133"/>
      <c r="N1172" s="133"/>
      <c r="O1172" s="135"/>
      <c r="P1172" s="135"/>
      <c r="Q1172" s="135"/>
      <c r="R1172" s="135"/>
      <c r="S1172" s="136">
        <v>40127871</v>
      </c>
      <c r="T1172" s="136">
        <v>3167386.9999999981</v>
      </c>
      <c r="U1172" s="137">
        <f>SUM(U1173:U1177)</f>
        <v>0</v>
      </c>
      <c r="V1172" s="137">
        <f>SUM(V1173:V1177)</f>
        <v>0</v>
      </c>
      <c r="W1172" s="137">
        <f>SUM(W1173:W1177)</f>
        <v>519727.25</v>
      </c>
      <c r="X1172" s="138">
        <f>U1172+V1172+W1172</f>
        <v>519727.25</v>
      </c>
      <c r="Y1172" s="137">
        <f t="shared" ref="Y1172:AR1172" si="405">SUM(Y1173:Y1177)</f>
        <v>104055.70999999999</v>
      </c>
      <c r="Z1172" s="137">
        <f t="shared" si="405"/>
        <v>0</v>
      </c>
      <c r="AA1172" s="137">
        <f t="shared" si="405"/>
        <v>255336.16</v>
      </c>
      <c r="AB1172" s="137">
        <f t="shared" si="405"/>
        <v>166005.01999999999</v>
      </c>
      <c r="AC1172" s="137">
        <f t="shared" si="405"/>
        <v>0</v>
      </c>
      <c r="AD1172" s="137">
        <f t="shared" si="405"/>
        <v>764374.77</v>
      </c>
      <c r="AE1172" s="137">
        <f t="shared" si="405"/>
        <v>531838.69999999995</v>
      </c>
      <c r="AF1172" s="137">
        <f t="shared" si="405"/>
        <v>0</v>
      </c>
      <c r="AG1172" s="137">
        <f t="shared" si="405"/>
        <v>484529.4</v>
      </c>
      <c r="AH1172" s="137">
        <f t="shared" si="405"/>
        <v>977481.02</v>
      </c>
      <c r="AI1172" s="137">
        <f t="shared" si="405"/>
        <v>0</v>
      </c>
      <c r="AJ1172" s="137">
        <f t="shared" si="405"/>
        <v>442956.78</v>
      </c>
      <c r="AK1172" s="137">
        <f t="shared" si="405"/>
        <v>3726577.5600000005</v>
      </c>
      <c r="AL1172" s="137">
        <f t="shared" si="405"/>
        <v>5459093.4399999995</v>
      </c>
      <c r="AM1172" s="137">
        <f t="shared" si="405"/>
        <v>5528405.29</v>
      </c>
      <c r="AN1172" s="137">
        <f t="shared" si="405"/>
        <v>6762283.3300000001</v>
      </c>
      <c r="AO1172" s="137">
        <f t="shared" si="405"/>
        <v>7348508.4199999999</v>
      </c>
      <c r="AP1172" s="137">
        <f t="shared" si="405"/>
        <v>6221382.6799999997</v>
      </c>
      <c r="AQ1172" s="137">
        <f t="shared" si="405"/>
        <v>1394504.03</v>
      </c>
      <c r="AR1172" s="137">
        <f t="shared" si="405"/>
        <v>0</v>
      </c>
      <c r="AS1172" s="137">
        <f t="shared" ref="AS1172:AS1179" si="406">U1172+V1172+W1172+AK1172+AL1172+AM1172+AN1172+AO1172+AP1172+AQ1172+AR1172</f>
        <v>36960482</v>
      </c>
      <c r="AT1172" s="137">
        <f>SUM(AT1173:AT1177)</f>
        <v>0</v>
      </c>
      <c r="AU1172" s="139">
        <f t="shared" si="367"/>
        <v>36960482</v>
      </c>
      <c r="AV1172" s="146">
        <f>IFERROR(VLOOKUP(J1172,Maksājumu_pieprasījumu_iesn.!G:BL,57,0),0)</f>
        <v>0</v>
      </c>
      <c r="AW1172" s="139">
        <f t="shared" si="402"/>
        <v>-36960482</v>
      </c>
      <c r="AX1172" s="140">
        <f>S1172-T1172-AU1172</f>
        <v>2</v>
      </c>
      <c r="AY1172" s="137"/>
      <c r="AZ1172" s="137"/>
      <c r="BA1172" s="138"/>
      <c r="BB1172" s="140"/>
      <c r="BC1172" s="140">
        <f>X1172+AK1172+AL1172/2</f>
        <v>6975851.5300000003</v>
      </c>
      <c r="BD1172" s="140"/>
      <c r="BE1172" s="140">
        <f>BC1172/0.85</f>
        <v>8206884.1529411767</v>
      </c>
      <c r="BF1172" s="137"/>
      <c r="BG1172" s="137"/>
      <c r="BH1172" s="138">
        <v>365761.23</v>
      </c>
      <c r="BI1172" s="138">
        <v>2985220.5</v>
      </c>
      <c r="BJ1172" s="138"/>
      <c r="BK1172" s="138"/>
      <c r="BL1172" s="138">
        <v>5759880</v>
      </c>
      <c r="BM1172" s="138"/>
      <c r="BN1172" s="138"/>
    </row>
    <row r="1173" spans="1:66" ht="25.5" hidden="1" customHeight="1" x14ac:dyDescent="0.2">
      <c r="A1173" s="142" t="s">
        <v>2279</v>
      </c>
      <c r="B1173" s="18" t="s">
        <v>379</v>
      </c>
      <c r="C1173" s="18" t="s">
        <v>380</v>
      </c>
      <c r="D1173" s="19" t="s">
        <v>381</v>
      </c>
      <c r="E1173" s="18">
        <v>1</v>
      </c>
      <c r="F1173" s="18" t="s">
        <v>210</v>
      </c>
      <c r="G1173" s="18" t="s">
        <v>77</v>
      </c>
      <c r="H1173" s="18" t="s">
        <v>3</v>
      </c>
      <c r="I1173" s="18"/>
      <c r="J1173" s="18" t="s">
        <v>382</v>
      </c>
      <c r="K1173" s="19" t="s">
        <v>383</v>
      </c>
      <c r="L1173" s="19"/>
      <c r="M1173" s="19"/>
      <c r="N1173" s="19" t="s">
        <v>384</v>
      </c>
      <c r="O1173" s="143"/>
      <c r="P1173" s="143"/>
      <c r="Q1173" s="143"/>
      <c r="R1173" s="143">
        <v>42346</v>
      </c>
      <c r="S1173" s="144">
        <v>4853010.4000000004</v>
      </c>
      <c r="T1173" s="144"/>
      <c r="U1173" s="145">
        <v>0</v>
      </c>
      <c r="V1173" s="145">
        <v>0</v>
      </c>
      <c r="W1173" s="145">
        <v>163128.72999999998</v>
      </c>
      <c r="X1173" s="145">
        <f>W1173+V1173+U1173</f>
        <v>163128.72999999998</v>
      </c>
      <c r="Y1173" s="145">
        <v>0</v>
      </c>
      <c r="Z1173" s="145">
        <v>0</v>
      </c>
      <c r="AA1173" s="145">
        <v>100719.87</v>
      </c>
      <c r="AB1173" s="145">
        <v>0</v>
      </c>
      <c r="AC1173" s="145">
        <v>0</v>
      </c>
      <c r="AD1173" s="145">
        <v>159853.67000000001</v>
      </c>
      <c r="AE1173" s="145">
        <v>0</v>
      </c>
      <c r="AF1173" s="145">
        <v>0</v>
      </c>
      <c r="AG1173" s="145">
        <v>99066.37</v>
      </c>
      <c r="AH1173" s="145">
        <v>0</v>
      </c>
      <c r="AI1173" s="145">
        <v>0</v>
      </c>
      <c r="AJ1173" s="145">
        <v>99066.4</v>
      </c>
      <c r="AK1173" s="145">
        <f>SUM(Y1173:AJ1173)</f>
        <v>458706.31000000006</v>
      </c>
      <c r="AL1173" s="145">
        <v>618863.02999999991</v>
      </c>
      <c r="AM1173" s="145">
        <v>735881.54</v>
      </c>
      <c r="AN1173" s="145">
        <v>1016463.77</v>
      </c>
      <c r="AO1173" s="145">
        <v>1358467.58</v>
      </c>
      <c r="AP1173" s="145">
        <v>469341.98</v>
      </c>
      <c r="AQ1173" s="145">
        <v>32157.46</v>
      </c>
      <c r="AR1173" s="145">
        <v>0</v>
      </c>
      <c r="AS1173" s="144">
        <f t="shared" si="406"/>
        <v>4853010.3999999994</v>
      </c>
      <c r="AT1173" s="144">
        <v>0</v>
      </c>
      <c r="AU1173" s="146">
        <f t="shared" si="367"/>
        <v>4853010.3999999994</v>
      </c>
      <c r="AV1173" s="146">
        <f>IFERROR(VLOOKUP(J1173,Maksājumu_pieprasījumu_iesn.!G:BL,57,0),0)</f>
        <v>0</v>
      </c>
      <c r="AW1173" s="139">
        <f t="shared" si="402"/>
        <v>-4853010.3999999994</v>
      </c>
      <c r="AX1173" s="147"/>
      <c r="AY1173" s="147"/>
      <c r="AZ1173" s="147"/>
      <c r="BA1173" s="149" t="s">
        <v>2298</v>
      </c>
      <c r="BB1173" s="144"/>
      <c r="BC1173" s="144"/>
      <c r="BD1173" s="144"/>
      <c r="BE1173" s="144"/>
      <c r="BF1173" s="144"/>
      <c r="BG1173" s="144"/>
      <c r="BH1173" s="149"/>
      <c r="BI1173" s="149"/>
      <c r="BJ1173" s="149"/>
      <c r="BK1173" s="149"/>
      <c r="BL1173" s="149"/>
      <c r="BM1173" s="149"/>
      <c r="BN1173" s="149"/>
    </row>
    <row r="1174" spans="1:66" ht="38.25" hidden="1" customHeight="1" x14ac:dyDescent="0.2">
      <c r="A1174" s="158" t="s">
        <v>2279</v>
      </c>
      <c r="B1174" s="20" t="s">
        <v>379</v>
      </c>
      <c r="C1174" s="20" t="s">
        <v>380</v>
      </c>
      <c r="D1174" s="21" t="s">
        <v>381</v>
      </c>
      <c r="E1174" s="20">
        <v>1</v>
      </c>
      <c r="F1174" s="20" t="s">
        <v>210</v>
      </c>
      <c r="G1174" s="20" t="s">
        <v>77</v>
      </c>
      <c r="H1174" s="20" t="s">
        <v>3</v>
      </c>
      <c r="I1174" s="20"/>
      <c r="J1174" s="20" t="s">
        <v>385</v>
      </c>
      <c r="K1174" s="21" t="s">
        <v>386</v>
      </c>
      <c r="L1174" s="21"/>
      <c r="M1174" s="21"/>
      <c r="N1174" s="21" t="s">
        <v>387</v>
      </c>
      <c r="O1174" s="159"/>
      <c r="P1174" s="159"/>
      <c r="Q1174" s="159"/>
      <c r="R1174" s="159">
        <v>42374</v>
      </c>
      <c r="S1174" s="147">
        <v>16046443.65</v>
      </c>
      <c r="T1174" s="147"/>
      <c r="U1174" s="153">
        <v>0</v>
      </c>
      <c r="V1174" s="153">
        <v>0</v>
      </c>
      <c r="W1174" s="153">
        <v>99647.639999999985</v>
      </c>
      <c r="X1174" s="145">
        <f>W1174+V1174+U1174</f>
        <v>99647.639999999985</v>
      </c>
      <c r="Y1174" s="153">
        <v>66128.95</v>
      </c>
      <c r="Z1174" s="153">
        <v>0</v>
      </c>
      <c r="AA1174" s="336">
        <v>0</v>
      </c>
      <c r="AB1174" s="336">
        <v>109468.43</v>
      </c>
      <c r="AC1174" s="336">
        <v>0</v>
      </c>
      <c r="AD1174" s="225">
        <v>0</v>
      </c>
      <c r="AE1174" s="225">
        <v>212500</v>
      </c>
      <c r="AF1174" s="336">
        <v>0</v>
      </c>
      <c r="AG1174" s="336">
        <v>0</v>
      </c>
      <c r="AH1174" s="336">
        <v>658142.28</v>
      </c>
      <c r="AI1174" s="336">
        <v>0</v>
      </c>
      <c r="AJ1174" s="336">
        <v>0</v>
      </c>
      <c r="AK1174" s="336">
        <f>SUM(Y1174:AJ1174)</f>
        <v>1046239.66</v>
      </c>
      <c r="AL1174" s="336">
        <v>2170881.19</v>
      </c>
      <c r="AM1174" s="336">
        <v>2017976.56</v>
      </c>
      <c r="AN1174" s="336">
        <v>3056215.68</v>
      </c>
      <c r="AO1174" s="336">
        <v>3402436.96</v>
      </c>
      <c r="AP1174" s="336">
        <v>3402436.79</v>
      </c>
      <c r="AQ1174" s="336">
        <v>850609.17</v>
      </c>
      <c r="AR1174" s="336">
        <v>0</v>
      </c>
      <c r="AS1174" s="147">
        <f t="shared" si="406"/>
        <v>16046443.65</v>
      </c>
      <c r="AT1174" s="144">
        <v>0</v>
      </c>
      <c r="AU1174" s="146">
        <f t="shared" si="367"/>
        <v>16046443.65</v>
      </c>
      <c r="AV1174" s="146" t="str">
        <f>IFERROR(VLOOKUP(J1174,Maksājumu_pieprasījumu_iesn.!G:BL,57,0),0)</f>
        <v xml:space="preserve">Atbilstoši faktiskajai projektu darbību izpildei. Projekta darbības "Projekta mērķa grupas individuālo vajadzību izvērtēšana" īstenošanas temps ir lēnāks. Izmaksas darbībā "Reorganizācijas plānu izstrāde Rīgas reģionā" netika veiktas - iepirkuma līgums ar pilnsabiedrību ”Civitta Latvija un Civitta Lietuva” ar 14.06.2017 ir izbeigtas. </v>
      </c>
      <c r="AW1174" s="139" t="e">
        <f t="shared" si="402"/>
        <v>#VALUE!</v>
      </c>
      <c r="AX1174" s="227"/>
      <c r="AY1174" s="227"/>
      <c r="AZ1174" s="227"/>
      <c r="BA1174" s="149" t="s">
        <v>2299</v>
      </c>
      <c r="BB1174" s="227"/>
      <c r="BC1174" s="227"/>
      <c r="BD1174" s="227"/>
      <c r="BE1174" s="227"/>
      <c r="BF1174" s="227"/>
      <c r="BG1174" s="227"/>
      <c r="BH1174" s="149"/>
      <c r="BI1174" s="149"/>
      <c r="BJ1174" s="149"/>
      <c r="BK1174" s="149"/>
      <c r="BL1174" s="149"/>
      <c r="BM1174" s="149"/>
      <c r="BN1174" s="149"/>
    </row>
    <row r="1175" spans="1:66" ht="25.5" hidden="1" customHeight="1" x14ac:dyDescent="0.2">
      <c r="A1175" s="142" t="s">
        <v>2279</v>
      </c>
      <c r="B1175" s="18" t="s">
        <v>379</v>
      </c>
      <c r="C1175" s="18" t="s">
        <v>380</v>
      </c>
      <c r="D1175" s="19" t="s">
        <v>381</v>
      </c>
      <c r="E1175" s="18">
        <v>1</v>
      </c>
      <c r="F1175" s="18" t="s">
        <v>210</v>
      </c>
      <c r="G1175" s="18" t="s">
        <v>77</v>
      </c>
      <c r="H1175" s="18" t="s">
        <v>3</v>
      </c>
      <c r="I1175" s="18"/>
      <c r="J1175" s="18" t="s">
        <v>388</v>
      </c>
      <c r="K1175" s="19" t="s">
        <v>389</v>
      </c>
      <c r="L1175" s="19"/>
      <c r="M1175" s="19"/>
      <c r="N1175" s="19" t="s">
        <v>390</v>
      </c>
      <c r="O1175" s="143"/>
      <c r="P1175" s="143"/>
      <c r="Q1175" s="143"/>
      <c r="R1175" s="143">
        <v>42346</v>
      </c>
      <c r="S1175" s="144">
        <v>3681463.9</v>
      </c>
      <c r="T1175" s="144"/>
      <c r="U1175" s="145">
        <v>0</v>
      </c>
      <c r="V1175" s="145">
        <v>0</v>
      </c>
      <c r="W1175" s="145">
        <v>89609.84</v>
      </c>
      <c r="X1175" s="145">
        <f>W1175+V1175+U1175</f>
        <v>89609.84</v>
      </c>
      <c r="Y1175" s="145">
        <v>0</v>
      </c>
      <c r="Z1175" s="145">
        <v>0</v>
      </c>
      <c r="AA1175" s="145">
        <v>100597.22</v>
      </c>
      <c r="AB1175" s="145">
        <v>0</v>
      </c>
      <c r="AC1175" s="145">
        <v>0</v>
      </c>
      <c r="AD1175" s="145">
        <v>528871.1</v>
      </c>
      <c r="AE1175" s="145">
        <v>0</v>
      </c>
      <c r="AF1175" s="145">
        <v>0</v>
      </c>
      <c r="AG1175" s="145">
        <v>282167.63</v>
      </c>
      <c r="AH1175" s="145">
        <v>0</v>
      </c>
      <c r="AI1175" s="145">
        <v>0</v>
      </c>
      <c r="AJ1175" s="145">
        <v>282167.63</v>
      </c>
      <c r="AK1175" s="145">
        <f>SUM(Y1175:AJ1175)</f>
        <v>1193803.58</v>
      </c>
      <c r="AL1175" s="145">
        <v>540316.38</v>
      </c>
      <c r="AM1175" s="145">
        <v>457747.09</v>
      </c>
      <c r="AN1175" s="145">
        <v>454049.84</v>
      </c>
      <c r="AO1175" s="145">
        <v>454049.84</v>
      </c>
      <c r="AP1175" s="145">
        <v>454049.84</v>
      </c>
      <c r="AQ1175" s="145">
        <v>37837.49</v>
      </c>
      <c r="AR1175" s="145">
        <v>0</v>
      </c>
      <c r="AS1175" s="144">
        <f t="shared" si="406"/>
        <v>3681463.9</v>
      </c>
      <c r="AT1175" s="144">
        <v>0</v>
      </c>
      <c r="AU1175" s="146">
        <f t="shared" si="367"/>
        <v>3681463.9</v>
      </c>
      <c r="AV1175" s="146" t="str">
        <f>IFERROR(VLOOKUP(J1175,Maksājumu_pieprasījumu_iesn.!G:BL,57,0),0)</f>
        <v xml:space="preserve">Maksājuma pieprasījums iesniegts par mazāku summu, jo nācies meklēt un piesaistīt jaunus ekspertus pieaugušo personu ar garīga rakstura traucējumiem vajadzību novērtēšanai - iepriekš iesaistītie eksperti nepagarināja līgumu. Mērķa grupas individuālo vajadzību izvērtēšanas termiņš attiecīgi pagarināts, kas savukārt aizkavējis deinstitucionalizācijas plāna iepirkumu.  </v>
      </c>
      <c r="AW1175" s="139" t="e">
        <f t="shared" si="402"/>
        <v>#VALUE!</v>
      </c>
      <c r="AX1175" s="147"/>
      <c r="AY1175" s="147"/>
      <c r="AZ1175" s="147"/>
      <c r="BA1175" s="149" t="s">
        <v>2300</v>
      </c>
      <c r="BB1175" s="144"/>
      <c r="BC1175" s="144"/>
      <c r="BD1175" s="144"/>
      <c r="BE1175" s="144"/>
      <c r="BF1175" s="144"/>
      <c r="BG1175" s="144"/>
      <c r="BH1175" s="149"/>
      <c r="BI1175" s="149"/>
      <c r="BJ1175" s="149"/>
      <c r="BK1175" s="149"/>
      <c r="BL1175" s="149"/>
      <c r="BM1175" s="149"/>
      <c r="BN1175" s="149"/>
    </row>
    <row r="1176" spans="1:66" ht="25.5" hidden="1" customHeight="1" x14ac:dyDescent="0.2">
      <c r="A1176" s="142" t="s">
        <v>2279</v>
      </c>
      <c r="B1176" s="18" t="s">
        <v>379</v>
      </c>
      <c r="C1176" s="18" t="s">
        <v>380</v>
      </c>
      <c r="D1176" s="19" t="s">
        <v>381</v>
      </c>
      <c r="E1176" s="18">
        <v>1</v>
      </c>
      <c r="F1176" s="18" t="s">
        <v>210</v>
      </c>
      <c r="G1176" s="18" t="s">
        <v>77</v>
      </c>
      <c r="H1176" s="18" t="s">
        <v>3</v>
      </c>
      <c r="I1176" s="18"/>
      <c r="J1176" s="18" t="s">
        <v>391</v>
      </c>
      <c r="K1176" s="19" t="s">
        <v>392</v>
      </c>
      <c r="L1176" s="19"/>
      <c r="M1176" s="19"/>
      <c r="N1176" s="19" t="s">
        <v>393</v>
      </c>
      <c r="O1176" s="143"/>
      <c r="P1176" s="143"/>
      <c r="Q1176" s="143"/>
      <c r="R1176" s="143">
        <v>42349</v>
      </c>
      <c r="S1176" s="144">
        <v>5342488.8499999996</v>
      </c>
      <c r="T1176" s="144"/>
      <c r="U1176" s="145">
        <v>0</v>
      </c>
      <c r="V1176" s="145">
        <v>0</v>
      </c>
      <c r="W1176" s="145">
        <v>104876.21</v>
      </c>
      <c r="X1176" s="145">
        <f>W1176+V1176+U1176</f>
        <v>104876.21</v>
      </c>
      <c r="Y1176" s="145">
        <v>0</v>
      </c>
      <c r="Z1176" s="145">
        <v>0</v>
      </c>
      <c r="AA1176" s="145">
        <v>54019.07</v>
      </c>
      <c r="AB1176" s="145">
        <v>0</v>
      </c>
      <c r="AC1176" s="145">
        <v>0</v>
      </c>
      <c r="AD1176" s="145">
        <v>75650</v>
      </c>
      <c r="AE1176" s="145">
        <v>0</v>
      </c>
      <c r="AF1176" s="145">
        <v>0</v>
      </c>
      <c r="AG1176" s="145">
        <v>103295.4</v>
      </c>
      <c r="AH1176" s="145">
        <v>0</v>
      </c>
      <c r="AI1176" s="145">
        <v>0</v>
      </c>
      <c r="AJ1176" s="145">
        <v>61722.75</v>
      </c>
      <c r="AK1176" s="145">
        <f>SUM(Y1176:AJ1176)</f>
        <v>294687.21999999997</v>
      </c>
      <c r="AL1176" s="145">
        <v>647333.65</v>
      </c>
      <c r="AM1176" s="145">
        <v>1010724.8</v>
      </c>
      <c r="AN1176" s="145">
        <v>1010724.8</v>
      </c>
      <c r="AO1176" s="145">
        <v>1010724.8</v>
      </c>
      <c r="AP1176" s="145">
        <v>1010724.8</v>
      </c>
      <c r="AQ1176" s="145">
        <v>252692.57</v>
      </c>
      <c r="AR1176" s="145">
        <v>0</v>
      </c>
      <c r="AS1176" s="144">
        <f t="shared" si="406"/>
        <v>5342488.8500000006</v>
      </c>
      <c r="AT1176" s="144">
        <v>0</v>
      </c>
      <c r="AU1176" s="146">
        <f t="shared" si="367"/>
        <v>5342488.8500000006</v>
      </c>
      <c r="AV1176" s="146">
        <f>IFERROR(VLOOKUP(J1176,Maksājumu_pieprasījumu_iesn.!G:BL,57,0),0)</f>
        <v>0</v>
      </c>
      <c r="AW1176" s="139">
        <f t="shared" si="402"/>
        <v>-5342488.8500000006</v>
      </c>
      <c r="AX1176" s="147"/>
      <c r="AY1176" s="147"/>
      <c r="AZ1176" s="147"/>
      <c r="BA1176" s="149" t="s">
        <v>2301</v>
      </c>
      <c r="BB1176" s="144"/>
      <c r="BC1176" s="144"/>
      <c r="BD1176" s="144"/>
      <c r="BE1176" s="144"/>
      <c r="BF1176" s="144"/>
      <c r="BG1176" s="144"/>
      <c r="BH1176" s="149"/>
      <c r="BI1176" s="149"/>
      <c r="BJ1176" s="149"/>
      <c r="BK1176" s="149"/>
      <c r="BL1176" s="149"/>
      <c r="BM1176" s="149"/>
      <c r="BN1176" s="149"/>
    </row>
    <row r="1177" spans="1:66" ht="25.5" hidden="1" customHeight="1" x14ac:dyDescent="0.2">
      <c r="A1177" s="142" t="s">
        <v>2279</v>
      </c>
      <c r="B1177" s="18" t="s">
        <v>379</v>
      </c>
      <c r="C1177" s="18" t="s">
        <v>380</v>
      </c>
      <c r="D1177" s="19" t="s">
        <v>381</v>
      </c>
      <c r="E1177" s="18">
        <v>1</v>
      </c>
      <c r="F1177" s="18" t="s">
        <v>210</v>
      </c>
      <c r="G1177" s="18" t="s">
        <v>77</v>
      </c>
      <c r="H1177" s="18" t="s">
        <v>3</v>
      </c>
      <c r="I1177" s="18"/>
      <c r="J1177" s="18" t="s">
        <v>394</v>
      </c>
      <c r="K1177" s="19" t="s">
        <v>395</v>
      </c>
      <c r="L1177" s="19"/>
      <c r="M1177" s="19"/>
      <c r="N1177" s="19" t="s">
        <v>396</v>
      </c>
      <c r="O1177" s="143"/>
      <c r="P1177" s="143"/>
      <c r="Q1177" s="143"/>
      <c r="R1177" s="143">
        <v>42361</v>
      </c>
      <c r="S1177" s="144">
        <v>7037075.2000000002</v>
      </c>
      <c r="T1177" s="144"/>
      <c r="U1177" s="145">
        <v>0</v>
      </c>
      <c r="V1177" s="145">
        <v>0</v>
      </c>
      <c r="W1177" s="145">
        <v>62464.83</v>
      </c>
      <c r="X1177" s="145">
        <f>W1177+V1177+U1177</f>
        <v>62464.83</v>
      </c>
      <c r="Y1177" s="145">
        <v>37926.76</v>
      </c>
      <c r="Z1177" s="145">
        <v>0</v>
      </c>
      <c r="AA1177" s="145">
        <v>0</v>
      </c>
      <c r="AB1177" s="145">
        <v>56536.59</v>
      </c>
      <c r="AC1177" s="145">
        <v>0</v>
      </c>
      <c r="AD1177" s="166">
        <v>0</v>
      </c>
      <c r="AE1177" s="166">
        <v>319338.7</v>
      </c>
      <c r="AF1177" s="145">
        <v>0</v>
      </c>
      <c r="AG1177" s="145">
        <v>0</v>
      </c>
      <c r="AH1177" s="145">
        <v>319338.74</v>
      </c>
      <c r="AI1177" s="145">
        <v>0</v>
      </c>
      <c r="AJ1177" s="145">
        <v>0</v>
      </c>
      <c r="AK1177" s="145">
        <f>SUM(Y1177:AJ1177)</f>
        <v>733140.79</v>
      </c>
      <c r="AL1177" s="145">
        <v>1481699.1900000002</v>
      </c>
      <c r="AM1177" s="145">
        <v>1306075.3</v>
      </c>
      <c r="AN1177" s="145">
        <v>1224829.24</v>
      </c>
      <c r="AO1177" s="145">
        <v>1122829.24</v>
      </c>
      <c r="AP1177" s="145">
        <v>884829.27</v>
      </c>
      <c r="AQ1177" s="145">
        <v>221207.34</v>
      </c>
      <c r="AR1177" s="145">
        <v>0</v>
      </c>
      <c r="AS1177" s="144">
        <f t="shared" si="406"/>
        <v>7037075.2000000011</v>
      </c>
      <c r="AT1177" s="144">
        <v>0</v>
      </c>
      <c r="AU1177" s="146">
        <f t="shared" si="367"/>
        <v>7037075.2000000011</v>
      </c>
      <c r="AV1177" s="146" t="str">
        <f>IFERROR(VLOOKUP(J1177,Maksājumu_pieprasījumu_iesn.!G:BL,57,0),0)</f>
        <v xml:space="preserve">Ieildzis iepirkums - veikti grozījumi un pagarināti pieteikumu iesniegšanas termiņi, arī iepirkumus regulējošās likumdošanas izmaiņas ietekmēja projekta finanšu plūsmu. Pastāv risks, ka uz 31.12.2018. netiks sasniegts plānotais finanšu rādītājs, jo aizkavējās iepirkumu izsludināšana par mērķa grupu individuālo vajadzību izvērtēšanu un individuālo atbalsta plānu izstrādi, deinstitucionalizācijas plāna izstrādi un reorganizācijas plānu izstrādi un attiecīgi arī līgumi tika noslēgti vēlāk nekā sākotnēji plānots. Sakarā ar projekta darbību īstenošanas aizkavēšanos paredzētajā apjomā nav uzsāktas arī projekta aktivitātes “Sabiedrībā balstītu pakalpojumu īstenošana Latgales reģiona personām ar garīga rakstura traucējumiem”, darbības “Sabiedrībā balstītu pakalpojumu sniegšana bērniem ar funkcionāliem traucējumiem” un "Informatīvi un izglītojoši pasākumi."  </v>
      </c>
      <c r="AW1177" s="139" t="e">
        <f t="shared" si="402"/>
        <v>#VALUE!</v>
      </c>
      <c r="AX1177" s="147"/>
      <c r="AY1177" s="147"/>
      <c r="AZ1177" s="147"/>
      <c r="BA1177" s="149" t="s">
        <v>2302</v>
      </c>
      <c r="BB1177" s="144"/>
      <c r="BC1177" s="144"/>
      <c r="BD1177" s="144"/>
      <c r="BE1177" s="144"/>
      <c r="BF1177" s="144"/>
      <c r="BG1177" s="144"/>
      <c r="BH1177" s="149"/>
      <c r="BI1177" s="149"/>
      <c r="BJ1177" s="149"/>
      <c r="BK1177" s="149"/>
      <c r="BL1177" s="149"/>
      <c r="BM1177" s="149"/>
      <c r="BN1177" s="149"/>
    </row>
    <row r="1178" spans="1:66" s="91" customFormat="1" ht="25.5" hidden="1" customHeight="1" x14ac:dyDescent="0.2">
      <c r="A1178" s="131" t="s">
        <v>2279</v>
      </c>
      <c r="B1178" s="132" t="s">
        <v>379</v>
      </c>
      <c r="C1178" s="132" t="s">
        <v>397</v>
      </c>
      <c r="D1178" s="133" t="s">
        <v>2303</v>
      </c>
      <c r="E1178" s="22" t="s">
        <v>3</v>
      </c>
      <c r="F1178" s="22" t="s">
        <v>210</v>
      </c>
      <c r="G1178" s="22" t="s">
        <v>77</v>
      </c>
      <c r="H1178" s="22" t="s">
        <v>3</v>
      </c>
      <c r="I1178" s="22" t="s">
        <v>1022</v>
      </c>
      <c r="J1178" s="134" t="s">
        <v>1026</v>
      </c>
      <c r="K1178" s="133"/>
      <c r="L1178" s="133"/>
      <c r="M1178" s="133"/>
      <c r="N1178" s="133"/>
      <c r="O1178" s="135"/>
      <c r="P1178" s="135"/>
      <c r="Q1178" s="135"/>
      <c r="R1178" s="135"/>
      <c r="S1178" s="136">
        <v>4018012</v>
      </c>
      <c r="T1178" s="136">
        <v>0</v>
      </c>
      <c r="U1178" s="137">
        <f>SUM(U1179)</f>
        <v>0</v>
      </c>
      <c r="V1178" s="137">
        <f>SUM(V1179)</f>
        <v>0</v>
      </c>
      <c r="W1178" s="137">
        <f>SUM(W1179)</f>
        <v>12588.65</v>
      </c>
      <c r="X1178" s="138">
        <f>U1178+V1178+W1178</f>
        <v>12588.65</v>
      </c>
      <c r="Y1178" s="137">
        <f t="shared" ref="Y1178:AR1178" si="407">SUM(Y1179)</f>
        <v>45039.49</v>
      </c>
      <c r="Z1178" s="137">
        <f t="shared" si="407"/>
        <v>0</v>
      </c>
      <c r="AA1178" s="137">
        <f t="shared" si="407"/>
        <v>0</v>
      </c>
      <c r="AB1178" s="137">
        <f t="shared" si="407"/>
        <v>24946.34</v>
      </c>
      <c r="AC1178" s="137">
        <f t="shared" si="407"/>
        <v>0</v>
      </c>
      <c r="AD1178" s="137">
        <f t="shared" si="407"/>
        <v>0</v>
      </c>
      <c r="AE1178" s="137">
        <f t="shared" si="407"/>
        <v>51910.35</v>
      </c>
      <c r="AF1178" s="137">
        <f t="shared" si="407"/>
        <v>0</v>
      </c>
      <c r="AG1178" s="137">
        <f t="shared" si="407"/>
        <v>0</v>
      </c>
      <c r="AH1178" s="137">
        <f t="shared" si="407"/>
        <v>79991.25</v>
      </c>
      <c r="AI1178" s="137">
        <f t="shared" si="407"/>
        <v>0</v>
      </c>
      <c r="AJ1178" s="137">
        <f t="shared" si="407"/>
        <v>0</v>
      </c>
      <c r="AK1178" s="137">
        <f t="shared" si="407"/>
        <v>201887.43</v>
      </c>
      <c r="AL1178" s="137">
        <f t="shared" si="407"/>
        <v>1551238.2600000002</v>
      </c>
      <c r="AM1178" s="137">
        <f t="shared" si="407"/>
        <v>1912305.3499999999</v>
      </c>
      <c r="AN1178" s="137">
        <f t="shared" si="407"/>
        <v>287955.34999999998</v>
      </c>
      <c r="AO1178" s="137">
        <f t="shared" si="407"/>
        <v>52036.959999999999</v>
      </c>
      <c r="AP1178" s="137">
        <f t="shared" si="407"/>
        <v>0</v>
      </c>
      <c r="AQ1178" s="137">
        <f t="shared" si="407"/>
        <v>0</v>
      </c>
      <c r="AR1178" s="137">
        <f t="shared" si="407"/>
        <v>0</v>
      </c>
      <c r="AS1178" s="137">
        <f t="shared" si="406"/>
        <v>4018012.0000000005</v>
      </c>
      <c r="AT1178" s="137">
        <f>AT1179</f>
        <v>0</v>
      </c>
      <c r="AU1178" s="139">
        <f t="shared" si="367"/>
        <v>4018012.0000000005</v>
      </c>
      <c r="AV1178" s="146">
        <f>IFERROR(VLOOKUP(J1178,Maksājumu_pieprasījumu_iesn.!G:BL,57,0),0)</f>
        <v>0</v>
      </c>
      <c r="AW1178" s="139">
        <f t="shared" si="402"/>
        <v>-4018012.0000000005</v>
      </c>
      <c r="AX1178" s="140">
        <f>S1178-T1178-AU1178</f>
        <v>0</v>
      </c>
      <c r="AY1178" s="137"/>
      <c r="AZ1178" s="137"/>
      <c r="BA1178" s="138"/>
      <c r="BB1178" s="140"/>
      <c r="BC1178" s="140">
        <f>X1178+AK1178+AL1178/2</f>
        <v>990095.21000000008</v>
      </c>
      <c r="BD1178" s="140"/>
      <c r="BE1178" s="140">
        <f>BC1178/0.85</f>
        <v>1164817.8941176471</v>
      </c>
      <c r="BF1178" s="137"/>
      <c r="BG1178" s="137"/>
      <c r="BH1178" s="138">
        <v>12257.66</v>
      </c>
      <c r="BI1178" s="138">
        <v>165259</v>
      </c>
      <c r="BJ1178" s="138"/>
      <c r="BK1178" s="138"/>
      <c r="BL1178" s="138">
        <v>888250</v>
      </c>
      <c r="BM1178" s="138"/>
      <c r="BN1178" s="138"/>
    </row>
    <row r="1179" spans="1:66" ht="25.5" hidden="1" customHeight="1" x14ac:dyDescent="0.2">
      <c r="A1179" s="142" t="s">
        <v>2279</v>
      </c>
      <c r="B1179" s="18" t="s">
        <v>379</v>
      </c>
      <c r="C1179" s="18" t="s">
        <v>397</v>
      </c>
      <c r="D1179" s="19" t="s">
        <v>398</v>
      </c>
      <c r="E1179" s="18" t="s">
        <v>3</v>
      </c>
      <c r="F1179" s="18" t="s">
        <v>210</v>
      </c>
      <c r="G1179" s="18" t="s">
        <v>77</v>
      </c>
      <c r="H1179" s="18" t="s">
        <v>3</v>
      </c>
      <c r="I1179" s="18"/>
      <c r="J1179" s="18" t="s">
        <v>399</v>
      </c>
      <c r="K1179" s="19" t="s">
        <v>40</v>
      </c>
      <c r="L1179" s="19"/>
      <c r="M1179" s="19"/>
      <c r="N1179" s="19" t="s">
        <v>398</v>
      </c>
      <c r="O1179" s="143"/>
      <c r="P1179" s="143"/>
      <c r="Q1179" s="143"/>
      <c r="R1179" s="143">
        <v>42579</v>
      </c>
      <c r="S1179" s="144">
        <v>4018012</v>
      </c>
      <c r="T1179" s="144"/>
      <c r="U1179" s="145">
        <v>0</v>
      </c>
      <c r="V1179" s="145">
        <v>0</v>
      </c>
      <c r="W1179" s="145">
        <v>12588.65</v>
      </c>
      <c r="X1179" s="145">
        <f>W1179+V1179+U1179</f>
        <v>12588.65</v>
      </c>
      <c r="Y1179" s="145">
        <v>45039.49</v>
      </c>
      <c r="Z1179" s="145">
        <v>0</v>
      </c>
      <c r="AA1179" s="145">
        <v>0</v>
      </c>
      <c r="AB1179" s="145">
        <v>24946.34</v>
      </c>
      <c r="AC1179" s="145">
        <v>0</v>
      </c>
      <c r="AD1179" s="166">
        <v>0</v>
      </c>
      <c r="AE1179" s="166">
        <v>51910.35</v>
      </c>
      <c r="AF1179" s="145">
        <v>0</v>
      </c>
      <c r="AG1179" s="145">
        <v>0</v>
      </c>
      <c r="AH1179" s="145">
        <v>79991.25</v>
      </c>
      <c r="AI1179" s="145">
        <v>0</v>
      </c>
      <c r="AJ1179" s="145">
        <v>0</v>
      </c>
      <c r="AK1179" s="145">
        <f>SUM(Y1179:AJ1179)</f>
        <v>201887.43</v>
      </c>
      <c r="AL1179" s="145">
        <v>1551238.2600000002</v>
      </c>
      <c r="AM1179" s="145">
        <v>1912305.3499999999</v>
      </c>
      <c r="AN1179" s="145">
        <v>287955.34999999998</v>
      </c>
      <c r="AO1179" s="145">
        <v>52036.959999999999</v>
      </c>
      <c r="AP1179" s="145">
        <v>0</v>
      </c>
      <c r="AQ1179" s="145">
        <v>0</v>
      </c>
      <c r="AR1179" s="145">
        <v>0</v>
      </c>
      <c r="AS1179" s="144">
        <f t="shared" si="406"/>
        <v>4018012.0000000005</v>
      </c>
      <c r="AT1179" s="144">
        <v>0</v>
      </c>
      <c r="AU1179" s="146">
        <f t="shared" si="367"/>
        <v>4018012.0000000005</v>
      </c>
      <c r="AV1179" s="146">
        <f>IFERROR(VLOOKUP(J1179,Maksājumu_pieprasījumu_iesn.!G:BL,57,0),0)</f>
        <v>0</v>
      </c>
      <c r="AW1179" s="139">
        <f t="shared" si="402"/>
        <v>-4018012.0000000005</v>
      </c>
      <c r="AX1179" s="147"/>
      <c r="AY1179" s="147"/>
      <c r="AZ1179" s="147"/>
      <c r="BA1179" s="149" t="s">
        <v>2304</v>
      </c>
      <c r="BB1179" s="144"/>
      <c r="BC1179" s="144"/>
      <c r="BD1179" s="144"/>
      <c r="BE1179" s="144"/>
      <c r="BF1179" s="144"/>
      <c r="BG1179" s="144"/>
      <c r="BH1179" s="149"/>
      <c r="BI1179" s="149"/>
      <c r="BJ1179" s="149"/>
      <c r="BK1179" s="149"/>
      <c r="BL1179" s="149"/>
      <c r="BM1179" s="149"/>
      <c r="BN1179" s="149"/>
    </row>
    <row r="1180" spans="1:66" s="91" customFormat="1" ht="38.25" hidden="1" x14ac:dyDescent="0.2">
      <c r="A1180" s="127" t="s">
        <v>2279</v>
      </c>
      <c r="B1180" s="127" t="s">
        <v>400</v>
      </c>
      <c r="C1180" s="127" t="s">
        <v>1023</v>
      </c>
      <c r="D1180" s="128" t="s">
        <v>604</v>
      </c>
      <c r="E1180" s="127"/>
      <c r="F1180" s="127"/>
      <c r="G1180" s="127" t="s">
        <v>77</v>
      </c>
      <c r="H1180" s="127"/>
      <c r="I1180" s="127"/>
      <c r="J1180" s="127"/>
      <c r="K1180" s="128"/>
      <c r="L1180" s="128"/>
      <c r="M1180" s="128"/>
      <c r="N1180" s="128"/>
      <c r="O1180" s="163"/>
      <c r="P1180" s="163"/>
      <c r="Q1180" s="163"/>
      <c r="R1180" s="163"/>
      <c r="S1180" s="164">
        <f>S1181</f>
        <v>3918310</v>
      </c>
      <c r="T1180" s="164">
        <f>T1181</f>
        <v>0</v>
      </c>
      <c r="U1180" s="164">
        <f>U1181</f>
        <v>0</v>
      </c>
      <c r="V1180" s="164">
        <f>V1181</f>
        <v>0</v>
      </c>
      <c r="W1180" s="164">
        <f>W1181</f>
        <v>614156.56999999995</v>
      </c>
      <c r="X1180" s="129">
        <f>U1180+V1180+W1180</f>
        <v>614156.56999999995</v>
      </c>
      <c r="Y1180" s="164">
        <f t="shared" ref="Y1180:AT1180" si="408">Y1181</f>
        <v>772229.99</v>
      </c>
      <c r="Z1180" s="164">
        <f t="shared" si="408"/>
        <v>0</v>
      </c>
      <c r="AA1180" s="164">
        <f t="shared" si="408"/>
        <v>0</v>
      </c>
      <c r="AB1180" s="164">
        <f t="shared" si="408"/>
        <v>10505.5</v>
      </c>
      <c r="AC1180" s="164">
        <f t="shared" si="408"/>
        <v>0</v>
      </c>
      <c r="AD1180" s="164">
        <f t="shared" si="408"/>
        <v>0</v>
      </c>
      <c r="AE1180" s="164">
        <f t="shared" si="408"/>
        <v>8058</v>
      </c>
      <c r="AF1180" s="164">
        <f t="shared" si="408"/>
        <v>0</v>
      </c>
      <c r="AG1180" s="164">
        <f t="shared" si="408"/>
        <v>0</v>
      </c>
      <c r="AH1180" s="164">
        <f t="shared" si="408"/>
        <v>40553.5</v>
      </c>
      <c r="AI1180" s="164">
        <f t="shared" si="408"/>
        <v>0</v>
      </c>
      <c r="AJ1180" s="164">
        <f t="shared" si="408"/>
        <v>0</v>
      </c>
      <c r="AK1180" s="164">
        <f t="shared" si="408"/>
        <v>831346.99</v>
      </c>
      <c r="AL1180" s="164">
        <f t="shared" si="408"/>
        <v>1005354.5</v>
      </c>
      <c r="AM1180" s="164">
        <f t="shared" si="408"/>
        <v>1467451.94</v>
      </c>
      <c r="AN1180" s="164">
        <f t="shared" si="408"/>
        <v>0</v>
      </c>
      <c r="AO1180" s="164">
        <f t="shared" si="408"/>
        <v>0</v>
      </c>
      <c r="AP1180" s="164">
        <f t="shared" si="408"/>
        <v>0</v>
      </c>
      <c r="AQ1180" s="164">
        <f t="shared" si="408"/>
        <v>0</v>
      </c>
      <c r="AR1180" s="164">
        <f t="shared" si="408"/>
        <v>0</v>
      </c>
      <c r="AS1180" s="164">
        <f t="shared" si="408"/>
        <v>3918310</v>
      </c>
      <c r="AT1180" s="164">
        <f t="shared" si="408"/>
        <v>0</v>
      </c>
      <c r="AU1180" s="183">
        <f t="shared" si="367"/>
        <v>3918310</v>
      </c>
      <c r="AV1180" s="146">
        <f>IFERROR(VLOOKUP(J1180,Maksājumu_pieprasījumu_iesn.!G:BL,57,0),0)</f>
        <v>0</v>
      </c>
      <c r="AW1180" s="139">
        <f t="shared" si="402"/>
        <v>-3918310</v>
      </c>
      <c r="AX1180" s="164">
        <f>AX1181</f>
        <v>0</v>
      </c>
      <c r="AY1180" s="164"/>
      <c r="AZ1180" s="164"/>
      <c r="BA1180" s="164"/>
      <c r="BB1180" s="164">
        <f>BB1181</f>
        <v>0</v>
      </c>
      <c r="BC1180" s="164">
        <f>BC1181</f>
        <v>1948180.81</v>
      </c>
      <c r="BD1180" s="164">
        <f>BC1180*0.94</f>
        <v>1831289.9613999999</v>
      </c>
      <c r="BE1180" s="129">
        <f>BD1180/0.85</f>
        <v>2154458.7781176469</v>
      </c>
      <c r="BF1180" s="164">
        <f>BF1181</f>
        <v>0</v>
      </c>
      <c r="BG1180" s="164">
        <f>BG1181</f>
        <v>0</v>
      </c>
      <c r="BH1180" s="129">
        <f>BH1181</f>
        <v>614156.56999999995</v>
      </c>
      <c r="BI1180" s="129">
        <f>BI1181</f>
        <v>1200303</v>
      </c>
      <c r="BJ1180" s="129">
        <f>AK1180*0.94</f>
        <v>781466.17059999995</v>
      </c>
      <c r="BK1180" s="129">
        <f>BJ1180-BI1180</f>
        <v>-418836.82940000005</v>
      </c>
      <c r="BL1180" s="129">
        <f>BL1181</f>
        <v>732191</v>
      </c>
      <c r="BM1180" s="129">
        <f>AL1180*0.94</f>
        <v>945033.23</v>
      </c>
      <c r="BN1180" s="129">
        <f>BM1180-BL1180</f>
        <v>212842.22999999998</v>
      </c>
    </row>
    <row r="1181" spans="1:66" s="91" customFormat="1" ht="38.25" hidden="1" customHeight="1" x14ac:dyDescent="0.2">
      <c r="A1181" s="131" t="s">
        <v>2279</v>
      </c>
      <c r="B1181" s="132" t="s">
        <v>400</v>
      </c>
      <c r="C1181" s="132" t="s">
        <v>401</v>
      </c>
      <c r="D1181" s="133" t="s">
        <v>604</v>
      </c>
      <c r="E1181" s="22" t="s">
        <v>3</v>
      </c>
      <c r="F1181" s="22" t="s">
        <v>402</v>
      </c>
      <c r="G1181" s="22" t="s">
        <v>77</v>
      </c>
      <c r="H1181" s="22" t="s">
        <v>3</v>
      </c>
      <c r="I1181" s="22" t="s">
        <v>1022</v>
      </c>
      <c r="J1181" s="134" t="s">
        <v>1026</v>
      </c>
      <c r="K1181" s="133"/>
      <c r="L1181" s="133"/>
      <c r="M1181" s="133"/>
      <c r="N1181" s="133"/>
      <c r="O1181" s="135"/>
      <c r="P1181" s="135"/>
      <c r="Q1181" s="135"/>
      <c r="R1181" s="135"/>
      <c r="S1181" s="136">
        <v>3918310</v>
      </c>
      <c r="T1181" s="136">
        <v>0</v>
      </c>
      <c r="U1181" s="137">
        <f>SUM(U1182)</f>
        <v>0</v>
      </c>
      <c r="V1181" s="137">
        <f>SUM(V1182)</f>
        <v>0</v>
      </c>
      <c r="W1181" s="137">
        <f>SUM(W1182)</f>
        <v>614156.56999999995</v>
      </c>
      <c r="X1181" s="138">
        <f>U1181+V1181+W1181</f>
        <v>614156.56999999995</v>
      </c>
      <c r="Y1181" s="137">
        <f t="shared" ref="Y1181:AR1181" si="409">SUM(Y1182)</f>
        <v>772229.99</v>
      </c>
      <c r="Z1181" s="137">
        <f t="shared" si="409"/>
        <v>0</v>
      </c>
      <c r="AA1181" s="137">
        <f t="shared" si="409"/>
        <v>0</v>
      </c>
      <c r="AB1181" s="137">
        <f t="shared" si="409"/>
        <v>10505.5</v>
      </c>
      <c r="AC1181" s="137">
        <f t="shared" si="409"/>
        <v>0</v>
      </c>
      <c r="AD1181" s="137">
        <f t="shared" si="409"/>
        <v>0</v>
      </c>
      <c r="AE1181" s="137">
        <f t="shared" si="409"/>
        <v>8058</v>
      </c>
      <c r="AF1181" s="137">
        <f t="shared" si="409"/>
        <v>0</v>
      </c>
      <c r="AG1181" s="137">
        <f t="shared" si="409"/>
        <v>0</v>
      </c>
      <c r="AH1181" s="137">
        <f t="shared" si="409"/>
        <v>40553.5</v>
      </c>
      <c r="AI1181" s="137">
        <f t="shared" si="409"/>
        <v>0</v>
      </c>
      <c r="AJ1181" s="137">
        <f t="shared" si="409"/>
        <v>0</v>
      </c>
      <c r="AK1181" s="137">
        <f>SUM(AK1182)</f>
        <v>831346.99</v>
      </c>
      <c r="AL1181" s="137">
        <f t="shared" si="409"/>
        <v>1005354.5</v>
      </c>
      <c r="AM1181" s="137">
        <f t="shared" si="409"/>
        <v>1467451.94</v>
      </c>
      <c r="AN1181" s="137">
        <f t="shared" si="409"/>
        <v>0</v>
      </c>
      <c r="AO1181" s="137">
        <f t="shared" si="409"/>
        <v>0</v>
      </c>
      <c r="AP1181" s="137">
        <f t="shared" si="409"/>
        <v>0</v>
      </c>
      <c r="AQ1181" s="137">
        <f t="shared" si="409"/>
        <v>0</v>
      </c>
      <c r="AR1181" s="137">
        <f t="shared" si="409"/>
        <v>0</v>
      </c>
      <c r="AS1181" s="137">
        <f>U1181+V1181+W1181+AK1181+AL1181+AM1181+AN1181+AO1181+AP1181+AQ1181+AR1181</f>
        <v>3918310</v>
      </c>
      <c r="AT1181" s="137">
        <f>AT1182</f>
        <v>0</v>
      </c>
      <c r="AU1181" s="139">
        <f t="shared" si="367"/>
        <v>3918310</v>
      </c>
      <c r="AV1181" s="146">
        <f>IFERROR(VLOOKUP(J1181,Maksājumu_pieprasījumu_iesn.!G:BL,57,0),0)</f>
        <v>0</v>
      </c>
      <c r="AW1181" s="139">
        <f t="shared" si="402"/>
        <v>-3918310</v>
      </c>
      <c r="AX1181" s="140">
        <f>S1181-T1181-AU1181</f>
        <v>0</v>
      </c>
      <c r="AY1181" s="137"/>
      <c r="AZ1181" s="137"/>
      <c r="BA1181" s="138" t="s">
        <v>2305</v>
      </c>
      <c r="BB1181" s="140"/>
      <c r="BC1181" s="140">
        <f>X1181+AK1181+AL1181/2</f>
        <v>1948180.81</v>
      </c>
      <c r="BD1181" s="140"/>
      <c r="BE1181" s="140">
        <f>BC1181/0.85</f>
        <v>2291977.4235294117</v>
      </c>
      <c r="BF1181" s="137"/>
      <c r="BG1181" s="137"/>
      <c r="BH1181" s="138">
        <v>614156.56999999995</v>
      </c>
      <c r="BI1181" s="138">
        <v>1200303</v>
      </c>
      <c r="BJ1181" s="138"/>
      <c r="BK1181" s="138"/>
      <c r="BL1181" s="138">
        <v>732191</v>
      </c>
      <c r="BM1181" s="138"/>
      <c r="BN1181" s="138"/>
    </row>
    <row r="1182" spans="1:66" ht="76.5" hidden="1" customHeight="1" x14ac:dyDescent="0.2">
      <c r="A1182" s="142" t="s">
        <v>2279</v>
      </c>
      <c r="B1182" s="18" t="s">
        <v>400</v>
      </c>
      <c r="C1182" s="18" t="s">
        <v>401</v>
      </c>
      <c r="D1182" s="19" t="s">
        <v>604</v>
      </c>
      <c r="E1182" s="18" t="s">
        <v>3</v>
      </c>
      <c r="F1182" s="18" t="s">
        <v>402</v>
      </c>
      <c r="G1182" s="18" t="s">
        <v>77</v>
      </c>
      <c r="H1182" s="18" t="s">
        <v>3</v>
      </c>
      <c r="I1182" s="18"/>
      <c r="J1182" s="18" t="s">
        <v>403</v>
      </c>
      <c r="K1182" s="19" t="s">
        <v>404</v>
      </c>
      <c r="L1182" s="19"/>
      <c r="M1182" s="19"/>
      <c r="N1182" s="19" t="s">
        <v>405</v>
      </c>
      <c r="O1182" s="143"/>
      <c r="P1182" s="143"/>
      <c r="Q1182" s="143"/>
      <c r="R1182" s="143">
        <v>42404</v>
      </c>
      <c r="S1182" s="144">
        <v>3918310</v>
      </c>
      <c r="T1182" s="144"/>
      <c r="U1182" s="145">
        <v>0</v>
      </c>
      <c r="V1182" s="145">
        <v>0</v>
      </c>
      <c r="W1182" s="145">
        <v>614156.56999999995</v>
      </c>
      <c r="X1182" s="145">
        <v>614156.56999999995</v>
      </c>
      <c r="Y1182" s="145">
        <v>772229.99</v>
      </c>
      <c r="Z1182" s="145">
        <v>0</v>
      </c>
      <c r="AA1182" s="145">
        <v>0</v>
      </c>
      <c r="AB1182" s="145">
        <v>10505.5</v>
      </c>
      <c r="AC1182" s="145">
        <v>0</v>
      </c>
      <c r="AD1182" s="166">
        <v>0</v>
      </c>
      <c r="AE1182" s="166">
        <v>8058</v>
      </c>
      <c r="AF1182" s="145">
        <v>0</v>
      </c>
      <c r="AG1182" s="145">
        <v>0</v>
      </c>
      <c r="AH1182" s="145">
        <v>40553.5</v>
      </c>
      <c r="AI1182" s="145">
        <v>0</v>
      </c>
      <c r="AJ1182" s="145">
        <v>0</v>
      </c>
      <c r="AK1182" s="145">
        <f>SUM(Y1182:AJ1182)</f>
        <v>831346.99</v>
      </c>
      <c r="AL1182" s="145">
        <v>1005354.5</v>
      </c>
      <c r="AM1182" s="145">
        <v>1467451.94</v>
      </c>
      <c r="AN1182" s="145">
        <v>0</v>
      </c>
      <c r="AO1182" s="145">
        <v>0</v>
      </c>
      <c r="AP1182" s="145">
        <v>0</v>
      </c>
      <c r="AQ1182" s="145">
        <v>0</v>
      </c>
      <c r="AR1182" s="145">
        <v>0</v>
      </c>
      <c r="AS1182" s="144">
        <f>U1182+V1182+W1182+AK1182+AL1182+AM1182+AN1182+AO1182+AP1182+AQ1182+AR1182</f>
        <v>3918310</v>
      </c>
      <c r="AT1182" s="144">
        <v>0</v>
      </c>
      <c r="AU1182" s="146">
        <f t="shared" si="367"/>
        <v>3918310</v>
      </c>
      <c r="AV1182" s="146">
        <f>IFERROR(VLOOKUP(J1182,Maksājumu_pieprasījumu_iesn.!G:BL,57,0),0)</f>
        <v>0</v>
      </c>
      <c r="AW1182" s="139">
        <f t="shared" si="402"/>
        <v>-3918310</v>
      </c>
      <c r="AX1182" s="147"/>
      <c r="AY1182" s="147"/>
      <c r="AZ1182" s="147"/>
      <c r="BA1182" s="149" t="s">
        <v>2305</v>
      </c>
      <c r="BB1182" s="144"/>
      <c r="BC1182" s="144"/>
      <c r="BD1182" s="144"/>
      <c r="BE1182" s="144"/>
      <c r="BF1182" s="144"/>
      <c r="BG1182" s="144"/>
      <c r="BH1182" s="149"/>
      <c r="BI1182" s="149"/>
      <c r="BJ1182" s="149"/>
      <c r="BK1182" s="149"/>
      <c r="BL1182" s="149"/>
      <c r="BM1182" s="149"/>
      <c r="BN1182" s="149"/>
    </row>
    <row r="1183" spans="1:66" s="91" customFormat="1" ht="25.5" hidden="1" x14ac:dyDescent="0.2">
      <c r="A1183" s="127" t="s">
        <v>2279</v>
      </c>
      <c r="B1183" s="127" t="s">
        <v>406</v>
      </c>
      <c r="C1183" s="127" t="s">
        <v>1023</v>
      </c>
      <c r="D1183" s="128" t="s">
        <v>2306</v>
      </c>
      <c r="E1183" s="127"/>
      <c r="F1183" s="127"/>
      <c r="G1183" s="127" t="s">
        <v>77</v>
      </c>
      <c r="H1183" s="127"/>
      <c r="I1183" s="127"/>
      <c r="J1183" s="127"/>
      <c r="K1183" s="128"/>
      <c r="L1183" s="128"/>
      <c r="M1183" s="128"/>
      <c r="N1183" s="128"/>
      <c r="O1183" s="163"/>
      <c r="P1183" s="163"/>
      <c r="Q1183" s="163"/>
      <c r="R1183" s="163"/>
      <c r="S1183" s="164">
        <f>S1184+S1186+S1313</f>
        <v>47077415.700000003</v>
      </c>
      <c r="T1183" s="164">
        <f>T1184+T1186+T1313</f>
        <v>4900999</v>
      </c>
      <c r="U1183" s="164">
        <f>U1184+U1186+U1313</f>
        <v>0</v>
      </c>
      <c r="V1183" s="164">
        <f>V1184+V1186+V1313</f>
        <v>0</v>
      </c>
      <c r="W1183" s="164">
        <f>W1184+W1186+W1313</f>
        <v>0</v>
      </c>
      <c r="X1183" s="129">
        <f>U1183+V1183+W1183</f>
        <v>0</v>
      </c>
      <c r="Y1183" s="164">
        <f t="shared" ref="Y1183:AT1183" si="410">Y1184+Y1186+Y1313</f>
        <v>21795.439999999999</v>
      </c>
      <c r="Z1183" s="164">
        <f t="shared" si="410"/>
        <v>0</v>
      </c>
      <c r="AA1183" s="164">
        <f t="shared" si="410"/>
        <v>0</v>
      </c>
      <c r="AB1183" s="164">
        <f t="shared" si="410"/>
        <v>37704.86</v>
      </c>
      <c r="AC1183" s="164">
        <f t="shared" si="410"/>
        <v>49474.700000000004</v>
      </c>
      <c r="AD1183" s="164">
        <f>AD1184+AD1186+AD1313</f>
        <v>86473.58</v>
      </c>
      <c r="AE1183" s="164">
        <f t="shared" si="410"/>
        <v>174927.66999999998</v>
      </c>
      <c r="AF1183" s="164">
        <f t="shared" si="410"/>
        <v>75185.05</v>
      </c>
      <c r="AG1183" s="164">
        <f t="shared" si="410"/>
        <v>384887.13999999996</v>
      </c>
      <c r="AH1183" s="164">
        <f t="shared" si="410"/>
        <v>365755.08999999997</v>
      </c>
      <c r="AI1183" s="164">
        <f t="shared" si="410"/>
        <v>139576.29999999999</v>
      </c>
      <c r="AJ1183" s="164">
        <f t="shared" si="410"/>
        <v>481333.61999999994</v>
      </c>
      <c r="AK1183" s="164">
        <f>AK1184+AK1186+AK1313</f>
        <v>1817113.4500000004</v>
      </c>
      <c r="AL1183" s="164">
        <f t="shared" si="410"/>
        <v>11064697.930000002</v>
      </c>
      <c r="AM1183" s="164">
        <f t="shared" si="410"/>
        <v>8236442.5199999977</v>
      </c>
      <c r="AN1183" s="164">
        <f t="shared" si="410"/>
        <v>3000776.0799999996</v>
      </c>
      <c r="AO1183" s="164">
        <f t="shared" si="410"/>
        <v>2160457.75</v>
      </c>
      <c r="AP1183" s="164">
        <f t="shared" si="410"/>
        <v>2955843.55</v>
      </c>
      <c r="AQ1183" s="164">
        <f t="shared" si="410"/>
        <v>895973.13</v>
      </c>
      <c r="AR1183" s="164">
        <f t="shared" si="410"/>
        <v>0</v>
      </c>
      <c r="AS1183" s="164">
        <f>AS1184+AS1186+AS1313</f>
        <v>30131304.410000004</v>
      </c>
      <c r="AT1183" s="164">
        <f t="shared" si="410"/>
        <v>1383161.54</v>
      </c>
      <c r="AU1183" s="183">
        <f>AS1183-AT1183</f>
        <v>28748142.870000005</v>
      </c>
      <c r="AV1183" s="146">
        <f>IFERROR(VLOOKUP(J1183,Maksājumu_pieprasījumu_iesn.!G:BL,57,0),0)</f>
        <v>0</v>
      </c>
      <c r="AW1183" s="139">
        <f t="shared" si="402"/>
        <v>-28748142.870000005</v>
      </c>
      <c r="AX1183" s="164">
        <f>AX1184+AX1186+AX1313</f>
        <v>13428273.829999996</v>
      </c>
      <c r="AY1183" s="164">
        <f>AY1184+AY1186+AY1313</f>
        <v>12052382.109999996</v>
      </c>
      <c r="AZ1183" s="164"/>
      <c r="BA1183" s="164"/>
      <c r="BB1183" s="164">
        <f>BB1184+BB1186+BB1313</f>
        <v>0</v>
      </c>
      <c r="BC1183" s="164">
        <f>BC1184+BC1186+BC1313</f>
        <v>7349462.4150000019</v>
      </c>
      <c r="BD1183" s="164">
        <f>BC1183*0.94</f>
        <v>6908494.6701000016</v>
      </c>
      <c r="BE1183" s="129">
        <f>BD1183/0.85</f>
        <v>8127640.788352943</v>
      </c>
      <c r="BF1183" s="164">
        <f>BF1184+BF1186+BF1313</f>
        <v>0</v>
      </c>
      <c r="BG1183" s="164">
        <f>BG1184+BG1186+BG1313</f>
        <v>0</v>
      </c>
      <c r="BH1183" s="129">
        <f>BH1184+BH1186+BH1313</f>
        <v>0</v>
      </c>
      <c r="BI1183" s="129">
        <f>BI1184+BI1186+BI1313</f>
        <v>4719626</v>
      </c>
      <c r="BJ1183" s="129">
        <f>AK1183*0.94</f>
        <v>1708086.6430000004</v>
      </c>
      <c r="BK1183" s="129">
        <f>BJ1183-BI1183</f>
        <v>-3011539.3569999998</v>
      </c>
      <c r="BL1183" s="129">
        <f>BL1184+BL1186+BL1313</f>
        <v>8965618</v>
      </c>
      <c r="BM1183" s="129">
        <f>AL1183*0.94</f>
        <v>10400816.054200001</v>
      </c>
      <c r="BN1183" s="129">
        <f>BM1183-BL1183</f>
        <v>1435198.0542000011</v>
      </c>
    </row>
    <row r="1184" spans="1:66" s="91" customFormat="1" ht="25.5" hidden="1" customHeight="1" x14ac:dyDescent="0.2">
      <c r="A1184" s="131" t="s">
        <v>2279</v>
      </c>
      <c r="B1184" s="132" t="s">
        <v>406</v>
      </c>
      <c r="C1184" s="132" t="s">
        <v>407</v>
      </c>
      <c r="D1184" s="133" t="s">
        <v>605</v>
      </c>
      <c r="E1184" s="22" t="s">
        <v>3</v>
      </c>
      <c r="F1184" s="22" t="s">
        <v>402</v>
      </c>
      <c r="G1184" s="22" t="s">
        <v>77</v>
      </c>
      <c r="H1184" s="22" t="s">
        <v>3</v>
      </c>
      <c r="I1184" s="22" t="s">
        <v>1022</v>
      </c>
      <c r="J1184" s="134" t="s">
        <v>1026</v>
      </c>
      <c r="K1184" s="133"/>
      <c r="L1184" s="133"/>
      <c r="M1184" s="133"/>
      <c r="N1184" s="133"/>
      <c r="O1184" s="135"/>
      <c r="P1184" s="135"/>
      <c r="Q1184" s="135"/>
      <c r="R1184" s="135"/>
      <c r="S1184" s="136">
        <v>14188877.699999999</v>
      </c>
      <c r="T1184" s="136">
        <v>0</v>
      </c>
      <c r="U1184" s="137">
        <f>SUM(U1185)</f>
        <v>0</v>
      </c>
      <c r="V1184" s="137">
        <f>SUM(V1185)</f>
        <v>0</v>
      </c>
      <c r="W1184" s="137">
        <f>SUM(W1185)</f>
        <v>0</v>
      </c>
      <c r="X1184" s="138">
        <f>U1184+V1184+W1184</f>
        <v>0</v>
      </c>
      <c r="Y1184" s="137">
        <f t="shared" ref="Y1184:AP1184" si="411">SUM(Y1185)</f>
        <v>21795.439999999999</v>
      </c>
      <c r="Z1184" s="137">
        <f t="shared" si="411"/>
        <v>0</v>
      </c>
      <c r="AA1184" s="137">
        <f t="shared" si="411"/>
        <v>0</v>
      </c>
      <c r="AB1184" s="137">
        <f t="shared" si="411"/>
        <v>32669.66</v>
      </c>
      <c r="AC1184" s="137">
        <f t="shared" si="411"/>
        <v>0</v>
      </c>
      <c r="AD1184" s="137">
        <f t="shared" si="411"/>
        <v>0</v>
      </c>
      <c r="AE1184" s="137">
        <f t="shared" si="411"/>
        <v>57984.45</v>
      </c>
      <c r="AF1184" s="137">
        <f t="shared" si="411"/>
        <v>0</v>
      </c>
      <c r="AG1184" s="137">
        <f t="shared" si="411"/>
        <v>0</v>
      </c>
      <c r="AH1184" s="137">
        <f t="shared" si="411"/>
        <v>96837.1</v>
      </c>
      <c r="AI1184" s="137">
        <f t="shared" si="411"/>
        <v>0</v>
      </c>
      <c r="AJ1184" s="137">
        <f t="shared" si="411"/>
        <v>0</v>
      </c>
      <c r="AK1184" s="137">
        <f t="shared" si="411"/>
        <v>209286.65</v>
      </c>
      <c r="AL1184" s="137">
        <f t="shared" si="411"/>
        <v>2651665.1</v>
      </c>
      <c r="AM1184" s="137">
        <f t="shared" si="411"/>
        <v>2917705.75</v>
      </c>
      <c r="AN1184" s="137">
        <f t="shared" si="411"/>
        <v>2397946.0499999998</v>
      </c>
      <c r="AO1184" s="137">
        <f t="shared" si="411"/>
        <v>2160457.75</v>
      </c>
      <c r="AP1184" s="137">
        <f t="shared" si="411"/>
        <v>2955843.55</v>
      </c>
      <c r="AQ1184" s="137">
        <f>SUM(AQ1185)</f>
        <v>895973.13</v>
      </c>
      <c r="AR1184" s="137">
        <f>SUM(AR1185)</f>
        <v>0</v>
      </c>
      <c r="AS1184" s="137">
        <f>U1184+V1184+W1184+AK1184+AL1184+AM1184+AN1184+AO1184+AP1184+AQ1184+AR1184</f>
        <v>14188877.980000002</v>
      </c>
      <c r="AT1184" s="137">
        <f>AT1185</f>
        <v>0</v>
      </c>
      <c r="AU1184" s="139">
        <f t="shared" si="367"/>
        <v>14188877.980000002</v>
      </c>
      <c r="AV1184" s="146">
        <f>IFERROR(VLOOKUP(J1184,Maksājumu_pieprasījumu_iesn.!G:BL,57,0),0)</f>
        <v>0</v>
      </c>
      <c r="AW1184" s="139">
        <f t="shared" si="402"/>
        <v>-14188877.980000002</v>
      </c>
      <c r="AX1184" s="140">
        <f>S1184-T1184-AU1184</f>
        <v>-0.28000000305473804</v>
      </c>
      <c r="AY1184" s="137"/>
      <c r="AZ1184" s="137"/>
      <c r="BA1184" s="138"/>
      <c r="BB1184" s="140"/>
      <c r="BC1184" s="140">
        <f>X1184+AK1184+AL1184/2</f>
        <v>1535119.2</v>
      </c>
      <c r="BD1184" s="140"/>
      <c r="BE1184" s="140">
        <f>BC1184/0.85</f>
        <v>1806022.5882352942</v>
      </c>
      <c r="BF1184" s="137"/>
      <c r="BG1184" s="137"/>
      <c r="BH1184" s="138">
        <v>0</v>
      </c>
      <c r="BI1184" s="138">
        <v>1512994</v>
      </c>
      <c r="BJ1184" s="138"/>
      <c r="BK1184" s="138"/>
      <c r="BL1184" s="138">
        <v>2470132</v>
      </c>
      <c r="BM1184" s="138"/>
      <c r="BN1184" s="138"/>
    </row>
    <row r="1185" spans="1:66" ht="25.5" hidden="1" customHeight="1" x14ac:dyDescent="0.2">
      <c r="A1185" s="142" t="s">
        <v>2279</v>
      </c>
      <c r="B1185" s="18" t="s">
        <v>406</v>
      </c>
      <c r="C1185" s="18" t="s">
        <v>407</v>
      </c>
      <c r="D1185" s="19" t="s">
        <v>605</v>
      </c>
      <c r="E1185" s="18" t="s">
        <v>3</v>
      </c>
      <c r="F1185" s="18" t="s">
        <v>402</v>
      </c>
      <c r="G1185" s="18" t="s">
        <v>77</v>
      </c>
      <c r="H1185" s="18" t="s">
        <v>3</v>
      </c>
      <c r="I1185" s="18"/>
      <c r="J1185" s="18" t="s">
        <v>408</v>
      </c>
      <c r="K1185" s="19" t="s">
        <v>409</v>
      </c>
      <c r="L1185" s="19"/>
      <c r="M1185" s="19"/>
      <c r="N1185" s="19" t="s">
        <v>410</v>
      </c>
      <c r="O1185" s="143"/>
      <c r="P1185" s="143"/>
      <c r="Q1185" s="143"/>
      <c r="R1185" s="143">
        <v>42671</v>
      </c>
      <c r="S1185" s="144">
        <v>14188878</v>
      </c>
      <c r="T1185" s="144"/>
      <c r="U1185" s="224">
        <v>0</v>
      </c>
      <c r="V1185" s="224">
        <v>0</v>
      </c>
      <c r="W1185" s="224">
        <v>0</v>
      </c>
      <c r="X1185" s="145">
        <f>U1185+V1185+W1185</f>
        <v>0</v>
      </c>
      <c r="Y1185" s="224">
        <v>21795.439999999999</v>
      </c>
      <c r="Z1185" s="224">
        <v>0</v>
      </c>
      <c r="AA1185" s="224">
        <v>0</v>
      </c>
      <c r="AB1185" s="224">
        <v>32669.66</v>
      </c>
      <c r="AC1185" s="224">
        <v>0</v>
      </c>
      <c r="AD1185" s="225">
        <v>0</v>
      </c>
      <c r="AE1185" s="225">
        <v>57984.45</v>
      </c>
      <c r="AF1185" s="224">
        <v>0</v>
      </c>
      <c r="AG1185" s="224">
        <v>0</v>
      </c>
      <c r="AH1185" s="224">
        <v>96837.1</v>
      </c>
      <c r="AI1185" s="224">
        <v>0</v>
      </c>
      <c r="AJ1185" s="224">
        <v>0</v>
      </c>
      <c r="AK1185" s="224">
        <f>SUM(Y1185:AJ1185)</f>
        <v>209286.65</v>
      </c>
      <c r="AL1185" s="224">
        <v>2651665.1</v>
      </c>
      <c r="AM1185" s="224">
        <v>2917705.75</v>
      </c>
      <c r="AN1185" s="224">
        <v>2397946.0499999998</v>
      </c>
      <c r="AO1185" s="224">
        <v>2160457.75</v>
      </c>
      <c r="AP1185" s="224">
        <v>2955843.55</v>
      </c>
      <c r="AQ1185" s="224">
        <v>895973.13</v>
      </c>
      <c r="AR1185" s="224">
        <v>0</v>
      </c>
      <c r="AS1185" s="144">
        <f>U1185+V1185+W1185+AK1185+AL1185+AM1185+AN1185+AO1185+AP1185+AQ1185+AR1185</f>
        <v>14188877.980000002</v>
      </c>
      <c r="AT1185" s="226">
        <v>0</v>
      </c>
      <c r="AU1185" s="146">
        <f t="shared" si="367"/>
        <v>14188877.980000002</v>
      </c>
      <c r="AV1185" s="146">
        <f>IFERROR(VLOOKUP(J1185,Maksājumu_pieprasījumu_iesn.!G:BL,57,0),0)</f>
        <v>0</v>
      </c>
      <c r="AW1185" s="139">
        <f t="shared" si="402"/>
        <v>-14188877.980000002</v>
      </c>
      <c r="AX1185" s="227"/>
      <c r="AY1185" s="227"/>
      <c r="AZ1185" s="227"/>
      <c r="BA1185" s="149" t="s">
        <v>2307</v>
      </c>
      <c r="BB1185" s="226"/>
      <c r="BC1185" s="226"/>
      <c r="BD1185" s="226"/>
      <c r="BE1185" s="226"/>
      <c r="BF1185" s="226"/>
      <c r="BG1185" s="226"/>
      <c r="BH1185" s="149"/>
      <c r="BI1185" s="149"/>
      <c r="BJ1185" s="149"/>
      <c r="BK1185" s="149"/>
      <c r="BL1185" s="149"/>
      <c r="BM1185" s="149"/>
      <c r="BN1185" s="149"/>
    </row>
    <row r="1186" spans="1:66" s="91" customFormat="1" ht="409.5" hidden="1" customHeight="1" x14ac:dyDescent="0.2">
      <c r="A1186" s="131" t="s">
        <v>2279</v>
      </c>
      <c r="B1186" s="132" t="s">
        <v>406</v>
      </c>
      <c r="C1186" s="132" t="s">
        <v>411</v>
      </c>
      <c r="D1186" s="133" t="s">
        <v>606</v>
      </c>
      <c r="E1186" s="22">
        <v>1</v>
      </c>
      <c r="F1186" s="22" t="s">
        <v>402</v>
      </c>
      <c r="G1186" s="22" t="s">
        <v>77</v>
      </c>
      <c r="H1186" s="22" t="s">
        <v>3</v>
      </c>
      <c r="I1186" s="22" t="s">
        <v>1022</v>
      </c>
      <c r="J1186" s="134" t="s">
        <v>1026</v>
      </c>
      <c r="K1186" s="133"/>
      <c r="L1186" s="133"/>
      <c r="M1186" s="133"/>
      <c r="N1186" s="133"/>
      <c r="O1186" s="135"/>
      <c r="P1186" s="135"/>
      <c r="Q1186" s="135"/>
      <c r="R1186" s="135"/>
      <c r="S1186" s="136">
        <v>16444269</v>
      </c>
      <c r="T1186" s="136">
        <v>0</v>
      </c>
      <c r="U1186" s="137">
        <f t="shared" ref="U1186:AL1186" si="412">U1187+U1189+U1191+U1193+U1195+U1197+U1198+U1200+U1202+U1203+U1204+U1205+U1207+U1209+U1210+U1211+U1213+U1215+U1217+U1219+U1221+U1222+U1223+U1224+U1225+U1226+U1227+U1228+U1229+U1230+U1231+U1232+U1234+U1235+U1237+U1238+U1239+U1241+U1243+U1244+U1245+U1246+U1247+U1248+U1249+U1250+U1252+U1253+U1254+U1255+U1256+U1257+U1259+U1260+U1261+U1262+U1263+U1264+U1265+U1266+U1267+U1268+U1270+U1271+U1272+U1273+U1274+U1275+U1276+U1277+U1278+U1279+U1280+U1281+U1282+U1283+U1284+U1285+U1286+U1287+U1288+U1290+U1291+U1292+U1293+U1294+U1295+U1296+U1297++U1298+U1299+U1300+U1301+U1302+U1304+U1305+U1306+U1307+U1308+U1309+U1310+U1311</f>
        <v>0</v>
      </c>
      <c r="V1186" s="137">
        <f t="shared" si="412"/>
        <v>0</v>
      </c>
      <c r="W1186" s="137">
        <f t="shared" si="412"/>
        <v>0</v>
      </c>
      <c r="X1186" s="137">
        <f t="shared" si="412"/>
        <v>0</v>
      </c>
      <c r="Y1186" s="137">
        <f t="shared" si="412"/>
        <v>0</v>
      </c>
      <c r="Z1186" s="137">
        <f t="shared" si="412"/>
        <v>0</v>
      </c>
      <c r="AA1186" s="137">
        <f t="shared" si="412"/>
        <v>0</v>
      </c>
      <c r="AB1186" s="137">
        <f t="shared" si="412"/>
        <v>5035.2</v>
      </c>
      <c r="AC1186" s="137">
        <f t="shared" si="412"/>
        <v>49474.700000000004</v>
      </c>
      <c r="AD1186" s="137">
        <f>AD1187+AD1189+AD1191+AD1193+AD1195+AD1197+AD1198+AD1200+AD1202+AD1203+AD1204+AD1205+AD1207+AD1209+AD1210+AD1211+AD1213+AD1215+AD1217+AD1219+AD1221+AD1222+AD1223+AD1224+AD1225+AD1226+AD1227+AD1228+AD1229+AD1230+AD1231+AD1232+AD1234+AD1235+AD1237+AD1238+AD1239+AD1241+AD1243+AD1244+AD1245+AD1246+AD1247+AD1248+AD1249+AD1250+AD1252+AD1253+AD1254+AD1255+AD1256+AD1257+AD1259+AD1260+AD1261+AD1262+AD1263+AD1264+AD1265+AD1266+AD1267+AD1268+AD1270+AD1271+AD1272+AD1273+AD1274+AD1275+AD1276+AD1277+AD1278+AD1279+AD1280+AD1281+AD1282+AD1283+AD1284+AD1285+AD1286+AD1287+AD1288+AD1290+AD1291+AD1292+AD1293+AD1294+AD1295+AD1296+AD1297++AD1298+AD1299+AD1300+AD1301+AD1302+AD1304+AD1305+AD1306+AD1307+AD1308+AD1309+AD1310+AD1311</f>
        <v>86473.58</v>
      </c>
      <c r="AE1186" s="137">
        <f t="shared" si="412"/>
        <v>116943.22</v>
      </c>
      <c r="AF1186" s="137">
        <f t="shared" si="412"/>
        <v>75185.05</v>
      </c>
      <c r="AG1186" s="137">
        <f t="shared" si="412"/>
        <v>384887.13999999996</v>
      </c>
      <c r="AH1186" s="137">
        <f t="shared" si="412"/>
        <v>268917.99</v>
      </c>
      <c r="AI1186" s="137">
        <f t="shared" si="412"/>
        <v>139576.29999999999</v>
      </c>
      <c r="AJ1186" s="137">
        <f t="shared" si="412"/>
        <v>481333.61999999994</v>
      </c>
      <c r="AK1186" s="137">
        <f>AK1187+AK1189+AK1191+AK1193+AK1195+AK1197+AK1198+AK1200+AK1202+AK1203+AK1204+AK1205+AK1207+AK1209+AK1210+AK1211+AK1213+AK1215+AK1217+AK1219+AK1221+AK1222+AK1223+AK1224+AK1225+AK1226+AK1227+AK1228+AK1229+AK1230+AK1231+AK1232+AK1234+AK1235+AK1237+AK1238+AK1239+AK1241+AK1243+AK1244+AK1245+AK1246+AK1247+AK1248+AK1249+AK1250+AK1252+AK1253+AK1254+AK1255+AK1256+AK1257+AK1259+AK1260+AK1261+AK1262+AK1263+AK1264+AK1265+AK1266+AK1267+AK1268+AK1270+AK1271+AK1272+AK1273+AK1274+AK1275+AK1276+AK1277+AK1278+AK1279+AK1280+AK1281+AK1282+AK1283+AK1284+AK1285+AK1286+AK1287+AK1288+AK1290+AK1291+AK1292+AK1293+AK1294+AK1295+AK1296+AK1297++AK1298+AK1299+AK1300+AK1301+AK1302+AK1304+AK1305+AK1306+AK1307+AK1308+AK1309+AK1310+AK1311</f>
        <v>1607826.8000000005</v>
      </c>
      <c r="AL1186" s="137">
        <f t="shared" si="412"/>
        <v>8413032.8300000019</v>
      </c>
      <c r="AM1186" s="137">
        <f t="shared" ref="AM1186:AR1186" si="413">AM1187+AM1189+AM1191+AM1193+AM1195+AM1197+AM1198+AM1200+AM1202+AM1203+AM1204+AM1205+AM1207+AM1209+AM1210+AM1211+AM1213+AM1215+AM1217+AM1219+AM1221+AM1222+AM1223+AM1224+AM1225+AM1226+AM1227+AM1228+AM1229+AM1230+AM1231+AM1232+AM1234+AM1235+AM1237+AM1238+AM1239+AM1241+AM1243+AM1244+AM1245+AM1246+AM1247+AM1248+AM1249+AM1250+AM1252+AM1253+AM1254+AM1255+AM1256+AM1257+AM1259+AM1260+AM1261+AM1262+AM1263+AM1264+AM1265+AM1266+AM1267+AM1268+AM1270+AM1271+AM1272+AM1273+AM1274+AM1275+AM1276+AM1277+AM1278+AM1279+AM1280+AM1281+AM1282+AM1283+AM1284+AM1285+AM1286+AM1287+AM1288+AM1290+AM1291+AM1292+AM1293+AM1294+AM1295+AM1296+AM1297++AM1298+AM1299+AM1300+AM1301+AM1302+AM1304+AM1305+AM1306+AM1307+AM1308+AM1309+AM1310+AM1311</f>
        <v>5318736.7699999977</v>
      </c>
      <c r="AN1186" s="137">
        <f t="shared" si="413"/>
        <v>602830.02999999991</v>
      </c>
      <c r="AO1186" s="137">
        <f t="shared" si="413"/>
        <v>0</v>
      </c>
      <c r="AP1186" s="137">
        <f t="shared" si="413"/>
        <v>0</v>
      </c>
      <c r="AQ1186" s="137">
        <f t="shared" si="413"/>
        <v>0</v>
      </c>
      <c r="AR1186" s="137">
        <f t="shared" si="413"/>
        <v>0</v>
      </c>
      <c r="AS1186" s="137">
        <f>U1186+V1186+W1186+AK1186+AL1186+AM1186+AN1186+AO1186+AP1186+AQ1186+AR1186</f>
        <v>15942426.43</v>
      </c>
      <c r="AT1186" s="137">
        <f>SUM(AT1187:AT1311)</f>
        <v>1383161.54</v>
      </c>
      <c r="AU1186" s="139">
        <f>AS1186-AT1186</f>
        <v>14559264.890000001</v>
      </c>
      <c r="AV1186" s="146">
        <f>IFERROR(VLOOKUP(J1186,Maksājumu_pieprasījumu_iesn.!G:BL,57,0),0)</f>
        <v>0</v>
      </c>
      <c r="AW1186" s="139">
        <f t="shared" si="402"/>
        <v>-14559264.890000001</v>
      </c>
      <c r="AX1186" s="140">
        <f>S1186-T1186-AU1186</f>
        <v>1885004.1099999994</v>
      </c>
      <c r="AY1186" s="137">
        <f>AY1312</f>
        <v>509112.10999999568</v>
      </c>
      <c r="AZ1186" s="138" t="s">
        <v>2308</v>
      </c>
      <c r="BA1186" s="125" t="s">
        <v>2309</v>
      </c>
      <c r="BB1186" s="140"/>
      <c r="BC1186" s="140">
        <f>X1186+AK1186+AL1186/2</f>
        <v>5814343.2150000017</v>
      </c>
      <c r="BD1186" s="140"/>
      <c r="BE1186" s="140">
        <f>BC1186/0.85</f>
        <v>6840403.782352943</v>
      </c>
      <c r="BF1186" s="137"/>
      <c r="BG1186" s="137"/>
      <c r="BH1186" s="138">
        <v>0</v>
      </c>
      <c r="BI1186" s="138">
        <v>3206632</v>
      </c>
      <c r="BJ1186" s="138"/>
      <c r="BK1186" s="138"/>
      <c r="BL1186" s="138">
        <v>6495486</v>
      </c>
      <c r="BM1186" s="138"/>
      <c r="BN1186" s="138"/>
    </row>
    <row r="1187" spans="1:66" ht="25.5" hidden="1" customHeight="1" x14ac:dyDescent="0.2">
      <c r="A1187" s="142" t="s">
        <v>2279</v>
      </c>
      <c r="B1187" s="18" t="s">
        <v>406</v>
      </c>
      <c r="C1187" s="18" t="s">
        <v>411</v>
      </c>
      <c r="D1187" s="19" t="s">
        <v>606</v>
      </c>
      <c r="E1187" s="18">
        <v>1</v>
      </c>
      <c r="F1187" s="18" t="s">
        <v>402</v>
      </c>
      <c r="G1187" s="18" t="s">
        <v>77</v>
      </c>
      <c r="H1187" s="18" t="s">
        <v>3</v>
      </c>
      <c r="I1187" s="18"/>
      <c r="J1187" s="18" t="s">
        <v>412</v>
      </c>
      <c r="K1187" s="19" t="s">
        <v>413</v>
      </c>
      <c r="L1187" s="19"/>
      <c r="M1187" s="19"/>
      <c r="N1187" s="19" t="s">
        <v>414</v>
      </c>
      <c r="O1187" s="143"/>
      <c r="P1187" s="143"/>
      <c r="Q1187" s="143"/>
      <c r="R1187" s="143">
        <v>42761</v>
      </c>
      <c r="S1187" s="144">
        <v>95346.2</v>
      </c>
      <c r="T1187" s="144"/>
      <c r="U1187" s="145">
        <v>0</v>
      </c>
      <c r="V1187" s="145">
        <v>0</v>
      </c>
      <c r="W1187" s="145">
        <v>0</v>
      </c>
      <c r="X1187" s="145">
        <f t="shared" ref="X1187:X1250" si="414">W1187+V1187+U1187</f>
        <v>0</v>
      </c>
      <c r="Y1187" s="145">
        <v>0</v>
      </c>
      <c r="Z1187" s="145">
        <v>0</v>
      </c>
      <c r="AA1187" s="145">
        <v>0</v>
      </c>
      <c r="AB1187" s="145">
        <v>0</v>
      </c>
      <c r="AC1187" s="145">
        <v>8007.76</v>
      </c>
      <c r="AD1187" s="145">
        <v>0</v>
      </c>
      <c r="AE1187" s="145">
        <v>0</v>
      </c>
      <c r="AF1187" s="420">
        <v>14572.37</v>
      </c>
      <c r="AG1187" s="145">
        <v>0</v>
      </c>
      <c r="AH1187" s="145">
        <v>0</v>
      </c>
      <c r="AI1187" s="145">
        <v>6998.93</v>
      </c>
      <c r="AJ1187" s="145">
        <v>0</v>
      </c>
      <c r="AK1187" s="145">
        <f t="shared" ref="AK1187:AK1219" si="415">SUM(Y1187:AJ1187)</f>
        <v>29579.06</v>
      </c>
      <c r="AL1187" s="145">
        <v>33620.25</v>
      </c>
      <c r="AM1187" s="145">
        <v>27669.73</v>
      </c>
      <c r="AN1187" s="145">
        <v>4477.16</v>
      </c>
      <c r="AO1187" s="145">
        <v>0</v>
      </c>
      <c r="AP1187" s="145">
        <v>0</v>
      </c>
      <c r="AQ1187" s="145">
        <v>0</v>
      </c>
      <c r="AR1187" s="145">
        <v>0</v>
      </c>
      <c r="AS1187" s="144">
        <f>U1187+V1187+W1187+AK1187+AL1187+AM1187+AN1187+AO1187+AP1187+AQ1187+AR1187</f>
        <v>95346.2</v>
      </c>
      <c r="AT1187" s="144"/>
      <c r="AU1187" s="146">
        <f>AS1187-AT1187</f>
        <v>95346.2</v>
      </c>
      <c r="AV1187" s="146">
        <f>IFERROR(VLOOKUP(J1187,Maksājumu_pieprasījumu_iesn.!G:BL,57,0),0)</f>
        <v>0</v>
      </c>
      <c r="AW1187" s="139">
        <f t="shared" si="402"/>
        <v>-95346.2</v>
      </c>
      <c r="AX1187" s="147">
        <f t="shared" ref="AX1187:AX1219" si="416">S1187-AS1187</f>
        <v>0</v>
      </c>
      <c r="AY1187" s="147"/>
      <c r="AZ1187" s="147"/>
      <c r="BA1187" s="149"/>
      <c r="BB1187" s="144"/>
      <c r="BC1187" s="144"/>
      <c r="BD1187" s="144"/>
      <c r="BE1187" s="144"/>
      <c r="BF1187" s="144"/>
      <c r="BG1187" s="144"/>
      <c r="BH1187" s="149"/>
      <c r="BI1187" s="149"/>
      <c r="BJ1187" s="149"/>
      <c r="BK1187" s="149"/>
      <c r="BL1187" s="149"/>
      <c r="BM1187" s="149"/>
      <c r="BN1187" s="149"/>
    </row>
    <row r="1188" spans="1:66" ht="25.5" hidden="1" customHeight="1" x14ac:dyDescent="0.2">
      <c r="A1188" s="142" t="s">
        <v>2279</v>
      </c>
      <c r="B1188" s="18" t="s">
        <v>406</v>
      </c>
      <c r="C1188" s="18" t="s">
        <v>411</v>
      </c>
      <c r="D1188" s="19" t="s">
        <v>606</v>
      </c>
      <c r="E1188" s="22">
        <v>1</v>
      </c>
      <c r="F1188" s="18" t="s">
        <v>402</v>
      </c>
      <c r="G1188" s="18" t="s">
        <v>77</v>
      </c>
      <c r="H1188" s="18" t="s">
        <v>3</v>
      </c>
      <c r="I1188" s="18"/>
      <c r="J1188" s="18" t="s">
        <v>412</v>
      </c>
      <c r="K1188" s="19" t="s">
        <v>413</v>
      </c>
      <c r="L1188" s="19"/>
      <c r="M1188" s="19"/>
      <c r="N1188" s="19" t="s">
        <v>414</v>
      </c>
      <c r="O1188" s="143" t="s">
        <v>880</v>
      </c>
      <c r="P1188" s="143"/>
      <c r="Q1188" s="143"/>
      <c r="R1188" s="143"/>
      <c r="S1188" s="144"/>
      <c r="T1188" s="144"/>
      <c r="U1188" s="145"/>
      <c r="V1188" s="145"/>
      <c r="W1188" s="145"/>
      <c r="X1188" s="145">
        <f t="shared" si="414"/>
        <v>0</v>
      </c>
      <c r="Y1188" s="145"/>
      <c r="Z1188" s="145"/>
      <c r="AA1188" s="145"/>
      <c r="AB1188" s="145">
        <v>22580.13</v>
      </c>
      <c r="AC1188" s="145"/>
      <c r="AD1188" s="145"/>
      <c r="AE1188" s="145"/>
      <c r="AF1188" s="145"/>
      <c r="AG1188" s="145"/>
      <c r="AH1188" s="145"/>
      <c r="AI1188" s="145"/>
      <c r="AJ1188" s="145"/>
      <c r="AK1188" s="145">
        <f t="shared" si="415"/>
        <v>22580.13</v>
      </c>
      <c r="AL1188" s="145"/>
      <c r="AM1188" s="145"/>
      <c r="AN1188" s="145"/>
      <c r="AO1188" s="145"/>
      <c r="AP1188" s="145"/>
      <c r="AQ1188" s="145"/>
      <c r="AR1188" s="145"/>
      <c r="AS1188" s="86"/>
      <c r="AT1188" s="144">
        <f>U1188+V1188+W1188+AK1188+AL1188+AM1188+AN1188+AO1188+AP1188+AQ1188+AR1188</f>
        <v>22580.13</v>
      </c>
      <c r="AU1188" s="146"/>
      <c r="AV1188" s="146">
        <f>IFERROR(VLOOKUP(J1188,Maksājumu_pieprasījumu_iesn.!G:BL,57,0),0)</f>
        <v>0</v>
      </c>
      <c r="AW1188" s="139">
        <f t="shared" si="402"/>
        <v>0</v>
      </c>
      <c r="AX1188" s="147">
        <f t="shared" si="416"/>
        <v>0</v>
      </c>
      <c r="AY1188" s="147"/>
      <c r="AZ1188" s="147"/>
      <c r="BA1188" s="149"/>
      <c r="BB1188" s="144"/>
      <c r="BC1188" s="144"/>
      <c r="BD1188" s="144"/>
      <c r="BE1188" s="144"/>
      <c r="BF1188" s="144"/>
      <c r="BG1188" s="144"/>
      <c r="BH1188" s="149"/>
      <c r="BI1188" s="149"/>
      <c r="BJ1188" s="149"/>
      <c r="BK1188" s="149"/>
      <c r="BL1188" s="149"/>
      <c r="BM1188" s="149"/>
      <c r="BN1188" s="149"/>
    </row>
    <row r="1189" spans="1:66" ht="25.5" hidden="1" customHeight="1" x14ac:dyDescent="0.2">
      <c r="A1189" s="142" t="s">
        <v>2279</v>
      </c>
      <c r="B1189" s="18" t="s">
        <v>406</v>
      </c>
      <c r="C1189" s="18" t="s">
        <v>411</v>
      </c>
      <c r="D1189" s="19" t="s">
        <v>606</v>
      </c>
      <c r="E1189" s="18">
        <v>1</v>
      </c>
      <c r="F1189" s="18" t="s">
        <v>402</v>
      </c>
      <c r="G1189" s="18" t="s">
        <v>77</v>
      </c>
      <c r="H1189" s="18" t="s">
        <v>3</v>
      </c>
      <c r="I1189" s="18"/>
      <c r="J1189" s="18" t="s">
        <v>415</v>
      </c>
      <c r="K1189" s="19" t="s">
        <v>416</v>
      </c>
      <c r="L1189" s="19"/>
      <c r="M1189" s="19"/>
      <c r="N1189" s="19" t="s">
        <v>417</v>
      </c>
      <c r="O1189" s="143"/>
      <c r="P1189" s="143"/>
      <c r="Q1189" s="143"/>
      <c r="R1189" s="143">
        <v>42796</v>
      </c>
      <c r="S1189" s="144">
        <v>42751.6</v>
      </c>
      <c r="T1189" s="144"/>
      <c r="U1189" s="224">
        <v>0</v>
      </c>
      <c r="V1189" s="224">
        <v>0</v>
      </c>
      <c r="W1189" s="224">
        <v>0</v>
      </c>
      <c r="X1189" s="145">
        <f t="shared" si="414"/>
        <v>0</v>
      </c>
      <c r="Y1189" s="145">
        <v>0</v>
      </c>
      <c r="Z1189" s="145">
        <v>0</v>
      </c>
      <c r="AA1189" s="145">
        <v>0</v>
      </c>
      <c r="AB1189" s="145">
        <v>0</v>
      </c>
      <c r="AC1189" s="145">
        <v>0</v>
      </c>
      <c r="AD1189" s="145">
        <v>5100</v>
      </c>
      <c r="AE1189" s="145">
        <v>0</v>
      </c>
      <c r="AF1189" s="145">
        <v>0</v>
      </c>
      <c r="AG1189" s="145">
        <v>2975</v>
      </c>
      <c r="AH1189" s="145">
        <v>0</v>
      </c>
      <c r="AI1189" s="145">
        <v>0</v>
      </c>
      <c r="AJ1189" s="145">
        <v>5397.5</v>
      </c>
      <c r="AK1189" s="145">
        <f t="shared" si="415"/>
        <v>13472.5</v>
      </c>
      <c r="AL1189" s="145">
        <v>13175</v>
      </c>
      <c r="AM1189" s="145">
        <v>11004.1</v>
      </c>
      <c r="AN1189" s="145">
        <v>5100</v>
      </c>
      <c r="AO1189" s="224">
        <v>0</v>
      </c>
      <c r="AP1189" s="224">
        <v>0</v>
      </c>
      <c r="AQ1189" s="224">
        <v>0</v>
      </c>
      <c r="AR1189" s="224">
        <v>0</v>
      </c>
      <c r="AS1189" s="144">
        <f>U1189+V1189+W1189+AK1189+AL1189+AM1189+AN1189+AO1189+AP1189+AQ1189+AR1189</f>
        <v>42751.6</v>
      </c>
      <c r="AT1189" s="226"/>
      <c r="AU1189" s="146">
        <f>AS1189-AT1189</f>
        <v>42751.6</v>
      </c>
      <c r="AV1189" s="146">
        <f>IFERROR(VLOOKUP(J1189,Maksājumu_pieprasījumu_iesn.!G:BL,57,0),0)</f>
        <v>0</v>
      </c>
      <c r="AW1189" s="139">
        <f t="shared" si="402"/>
        <v>-42751.6</v>
      </c>
      <c r="AX1189" s="147">
        <f t="shared" si="416"/>
        <v>0</v>
      </c>
      <c r="AY1189" s="227"/>
      <c r="AZ1189" s="227"/>
      <c r="BA1189" s="149"/>
      <c r="BB1189" s="144"/>
      <c r="BC1189" s="144"/>
      <c r="BD1189" s="144"/>
      <c r="BE1189" s="144"/>
      <c r="BF1189" s="144"/>
      <c r="BG1189" s="144"/>
      <c r="BH1189" s="149"/>
      <c r="BI1189" s="149"/>
      <c r="BJ1189" s="149"/>
      <c r="BK1189" s="149"/>
      <c r="BL1189" s="149"/>
      <c r="BM1189" s="149"/>
      <c r="BN1189" s="149"/>
    </row>
    <row r="1190" spans="1:66" ht="25.5" hidden="1" customHeight="1" x14ac:dyDescent="0.2">
      <c r="A1190" s="142" t="s">
        <v>2279</v>
      </c>
      <c r="B1190" s="18" t="s">
        <v>406</v>
      </c>
      <c r="C1190" s="18" t="s">
        <v>411</v>
      </c>
      <c r="D1190" s="19" t="s">
        <v>606</v>
      </c>
      <c r="E1190" s="22">
        <v>1</v>
      </c>
      <c r="F1190" s="18" t="s">
        <v>402</v>
      </c>
      <c r="G1190" s="18" t="s">
        <v>77</v>
      </c>
      <c r="H1190" s="18" t="s">
        <v>3</v>
      </c>
      <c r="I1190" s="18"/>
      <c r="J1190" s="18" t="s">
        <v>415</v>
      </c>
      <c r="K1190" s="19" t="s">
        <v>416</v>
      </c>
      <c r="L1190" s="19"/>
      <c r="M1190" s="19"/>
      <c r="N1190" s="19" t="s">
        <v>417</v>
      </c>
      <c r="O1190" s="143" t="s">
        <v>880</v>
      </c>
      <c r="P1190" s="143"/>
      <c r="Q1190" s="143"/>
      <c r="R1190" s="143"/>
      <c r="S1190" s="144"/>
      <c r="T1190" s="144"/>
      <c r="U1190" s="224"/>
      <c r="V1190" s="224"/>
      <c r="W1190" s="224"/>
      <c r="X1190" s="145">
        <f t="shared" si="414"/>
        <v>0</v>
      </c>
      <c r="Y1190" s="145"/>
      <c r="Z1190" s="145"/>
      <c r="AA1190" s="145"/>
      <c r="AB1190" s="145">
        <v>5950</v>
      </c>
      <c r="AC1190" s="145"/>
      <c r="AD1190" s="145"/>
      <c r="AE1190" s="145"/>
      <c r="AF1190" s="145"/>
      <c r="AG1190" s="145">
        <v>3400</v>
      </c>
      <c r="AH1190" s="145">
        <v>0</v>
      </c>
      <c r="AI1190" s="145">
        <v>0</v>
      </c>
      <c r="AJ1190" s="145"/>
      <c r="AK1190" s="145">
        <f t="shared" si="415"/>
        <v>9350</v>
      </c>
      <c r="AL1190" s="145">
        <v>1700</v>
      </c>
      <c r="AM1190" s="145">
        <v>3400</v>
      </c>
      <c r="AN1190" s="145">
        <v>0</v>
      </c>
      <c r="AO1190" s="224">
        <v>0</v>
      </c>
      <c r="AP1190" s="224"/>
      <c r="AQ1190" s="224"/>
      <c r="AR1190" s="224"/>
      <c r="AS1190" s="86"/>
      <c r="AT1190" s="144">
        <f>U1190+V1190+W1190+AK1190+AL1190+AM1190+AN1190+AO1190+AP1190+AQ1190+AR1190</f>
        <v>14450</v>
      </c>
      <c r="AU1190" s="146"/>
      <c r="AV1190" s="146">
        <f>IFERROR(VLOOKUP(J1190,Maksājumu_pieprasījumu_iesn.!G:BL,57,0),0)</f>
        <v>0</v>
      </c>
      <c r="AW1190" s="139">
        <f t="shared" si="402"/>
        <v>0</v>
      </c>
      <c r="AX1190" s="147">
        <f t="shared" si="416"/>
        <v>0</v>
      </c>
      <c r="AY1190" s="227"/>
      <c r="AZ1190" s="227"/>
      <c r="BA1190" s="149"/>
      <c r="BB1190" s="144"/>
      <c r="BC1190" s="144"/>
      <c r="BD1190" s="144"/>
      <c r="BE1190" s="144"/>
      <c r="BF1190" s="144"/>
      <c r="BG1190" s="144"/>
      <c r="BH1190" s="149"/>
      <c r="BI1190" s="149"/>
      <c r="BJ1190" s="149"/>
      <c r="BK1190" s="149"/>
      <c r="BL1190" s="149"/>
      <c r="BM1190" s="149"/>
      <c r="BN1190" s="149"/>
    </row>
    <row r="1191" spans="1:66" ht="25.5" hidden="1" customHeight="1" x14ac:dyDescent="0.2">
      <c r="A1191" s="142" t="s">
        <v>2279</v>
      </c>
      <c r="B1191" s="18" t="s">
        <v>406</v>
      </c>
      <c r="C1191" s="18" t="s">
        <v>411</v>
      </c>
      <c r="D1191" s="19" t="s">
        <v>606</v>
      </c>
      <c r="E1191" s="18">
        <v>1</v>
      </c>
      <c r="F1191" s="18" t="s">
        <v>402</v>
      </c>
      <c r="G1191" s="18" t="s">
        <v>77</v>
      </c>
      <c r="H1191" s="18" t="s">
        <v>3</v>
      </c>
      <c r="I1191" s="18"/>
      <c r="J1191" s="18" t="s">
        <v>418</v>
      </c>
      <c r="K1191" s="19" t="s">
        <v>419</v>
      </c>
      <c r="L1191" s="19"/>
      <c r="M1191" s="19"/>
      <c r="N1191" s="19" t="s">
        <v>420</v>
      </c>
      <c r="O1191" s="143"/>
      <c r="P1191" s="143"/>
      <c r="Q1191" s="143"/>
      <c r="R1191" s="143">
        <v>42724</v>
      </c>
      <c r="S1191" s="144">
        <v>224396.6</v>
      </c>
      <c r="T1191" s="144"/>
      <c r="U1191" s="224">
        <v>0</v>
      </c>
      <c r="V1191" s="145">
        <v>0</v>
      </c>
      <c r="W1191" s="145">
        <v>0</v>
      </c>
      <c r="X1191" s="145">
        <f t="shared" si="414"/>
        <v>0</v>
      </c>
      <c r="Y1191" s="145">
        <v>0</v>
      </c>
      <c r="Z1191" s="145">
        <v>0</v>
      </c>
      <c r="AA1191" s="145">
        <v>0</v>
      </c>
      <c r="AB1191" s="145">
        <v>5035.2</v>
      </c>
      <c r="AC1191" s="145">
        <v>0</v>
      </c>
      <c r="AD1191" s="145">
        <v>19737.2</v>
      </c>
      <c r="AE1191" s="145">
        <v>0</v>
      </c>
      <c r="AF1191" s="145">
        <v>0</v>
      </c>
      <c r="AG1191" s="145">
        <v>20287.8</v>
      </c>
      <c r="AH1191" s="145">
        <v>0</v>
      </c>
      <c r="AI1191" s="145">
        <v>0</v>
      </c>
      <c r="AJ1191" s="145">
        <v>25165.95</v>
      </c>
      <c r="AK1191" s="145">
        <f t="shared" si="415"/>
        <v>70226.149999999994</v>
      </c>
      <c r="AL1191" s="145">
        <v>70693.649999999994</v>
      </c>
      <c r="AM1191" s="145">
        <v>76221.2</v>
      </c>
      <c r="AN1191" s="145">
        <v>7255.6</v>
      </c>
      <c r="AO1191" s="224">
        <v>0</v>
      </c>
      <c r="AP1191" s="224">
        <v>0</v>
      </c>
      <c r="AQ1191" s="224">
        <v>0</v>
      </c>
      <c r="AR1191" s="224">
        <v>0</v>
      </c>
      <c r="AS1191" s="144">
        <f>U1191+V1191+W1191+AK1191+AL1191+AM1191+AN1191+AO1191+AP1191+AQ1191+AR1191</f>
        <v>224396.6</v>
      </c>
      <c r="AT1191" s="226">
        <v>0</v>
      </c>
      <c r="AU1191" s="146">
        <f t="shared" ref="AU1191:AU1274" si="417">AS1191-AT1191</f>
        <v>224396.6</v>
      </c>
      <c r="AV1191" s="146">
        <f>IFERROR(VLOOKUP(J1191,Maksājumu_pieprasījumu_iesn.!G:BL,57,0),0)</f>
        <v>0</v>
      </c>
      <c r="AW1191" s="139">
        <f t="shared" si="402"/>
        <v>-224396.6</v>
      </c>
      <c r="AX1191" s="147">
        <f t="shared" si="416"/>
        <v>0</v>
      </c>
      <c r="AY1191" s="227"/>
      <c r="AZ1191" s="227"/>
      <c r="BA1191" s="149"/>
      <c r="BB1191" s="144"/>
      <c r="BC1191" s="144"/>
      <c r="BD1191" s="144"/>
      <c r="BE1191" s="144"/>
      <c r="BF1191" s="144"/>
      <c r="BG1191" s="144"/>
      <c r="BH1191" s="149"/>
      <c r="BI1191" s="149"/>
      <c r="BJ1191" s="149"/>
      <c r="BK1191" s="149"/>
      <c r="BL1191" s="149"/>
      <c r="BM1191" s="149"/>
      <c r="BN1191" s="149"/>
    </row>
    <row r="1192" spans="1:66" s="161" customFormat="1" ht="25.5" hidden="1" customHeight="1" x14ac:dyDescent="0.2">
      <c r="A1192" s="158" t="s">
        <v>2279</v>
      </c>
      <c r="B1192" s="20" t="s">
        <v>406</v>
      </c>
      <c r="C1192" s="20" t="s">
        <v>411</v>
      </c>
      <c r="D1192" s="21" t="s">
        <v>606</v>
      </c>
      <c r="E1192" s="22">
        <v>1</v>
      </c>
      <c r="F1192" s="20" t="s">
        <v>402</v>
      </c>
      <c r="G1192" s="20" t="s">
        <v>77</v>
      </c>
      <c r="H1192" s="20" t="s">
        <v>3</v>
      </c>
      <c r="I1192" s="20"/>
      <c r="J1192" s="20" t="s">
        <v>418</v>
      </c>
      <c r="K1192" s="21" t="s">
        <v>419</v>
      </c>
      <c r="L1192" s="21"/>
      <c r="M1192" s="21"/>
      <c r="N1192" s="21" t="s">
        <v>420</v>
      </c>
      <c r="O1192" s="159" t="s">
        <v>880</v>
      </c>
      <c r="P1192" s="159"/>
      <c r="Q1192" s="159"/>
      <c r="R1192" s="159"/>
      <c r="S1192" s="147"/>
      <c r="T1192" s="147"/>
      <c r="U1192" s="336"/>
      <c r="V1192" s="153"/>
      <c r="W1192" s="153"/>
      <c r="X1192" s="145">
        <f t="shared" si="414"/>
        <v>0</v>
      </c>
      <c r="Y1192" s="153">
        <v>6970</v>
      </c>
      <c r="Z1192" s="153">
        <v>3684.17</v>
      </c>
      <c r="AA1192" s="153">
        <v>4516.7</v>
      </c>
      <c r="AB1192" s="153">
        <v>3105.85</v>
      </c>
      <c r="AC1192" s="153">
        <v>0</v>
      </c>
      <c r="AD1192" s="153">
        <v>17000</v>
      </c>
      <c r="AE1192" s="153">
        <v>0</v>
      </c>
      <c r="AF1192" s="153"/>
      <c r="AG1192" s="153">
        <v>17000</v>
      </c>
      <c r="AH1192" s="153"/>
      <c r="AI1192" s="153"/>
      <c r="AJ1192" s="153"/>
      <c r="AK1192" s="145">
        <f t="shared" si="415"/>
        <v>52276.72</v>
      </c>
      <c r="AL1192" s="153"/>
      <c r="AM1192" s="153"/>
      <c r="AN1192" s="153"/>
      <c r="AO1192" s="336"/>
      <c r="AP1192" s="336"/>
      <c r="AQ1192" s="336"/>
      <c r="AR1192" s="372"/>
      <c r="AT1192" s="147">
        <f>U1192+V1192+W1192+AK1192+AL1192+AM1192+AN1192+AO1192+AP1192+AQ1192+AR1192</f>
        <v>52276.72</v>
      </c>
      <c r="AU1192" s="146"/>
      <c r="AV1192" s="146">
        <f>IFERROR(VLOOKUP(J1192,Maksājumu_pieprasījumu_iesn.!G:BL,57,0),0)</f>
        <v>0</v>
      </c>
      <c r="AW1192" s="139">
        <f t="shared" si="402"/>
        <v>0</v>
      </c>
      <c r="AX1192" s="147">
        <f t="shared" si="416"/>
        <v>0</v>
      </c>
      <c r="AY1192" s="227"/>
      <c r="AZ1192" s="227"/>
      <c r="BA1192" s="149"/>
      <c r="BB1192" s="147"/>
      <c r="BC1192" s="147"/>
      <c r="BD1192" s="147"/>
      <c r="BE1192" s="147"/>
      <c r="BF1192" s="147"/>
      <c r="BG1192" s="147"/>
      <c r="BH1192" s="149"/>
      <c r="BI1192" s="149"/>
      <c r="BJ1192" s="149"/>
      <c r="BK1192" s="149"/>
      <c r="BL1192" s="149"/>
      <c r="BM1192" s="149"/>
      <c r="BN1192" s="149"/>
    </row>
    <row r="1193" spans="1:66" ht="25.5" hidden="1" customHeight="1" x14ac:dyDescent="0.2">
      <c r="A1193" s="142" t="s">
        <v>2279</v>
      </c>
      <c r="B1193" s="18" t="s">
        <v>406</v>
      </c>
      <c r="C1193" s="18" t="s">
        <v>411</v>
      </c>
      <c r="D1193" s="19" t="s">
        <v>606</v>
      </c>
      <c r="E1193" s="18">
        <v>1</v>
      </c>
      <c r="F1193" s="18" t="s">
        <v>402</v>
      </c>
      <c r="G1193" s="18" t="s">
        <v>77</v>
      </c>
      <c r="H1193" s="18" t="s">
        <v>3</v>
      </c>
      <c r="I1193" s="18"/>
      <c r="J1193" s="18" t="s">
        <v>719</v>
      </c>
      <c r="K1193" s="19" t="s">
        <v>63</v>
      </c>
      <c r="L1193" s="19"/>
      <c r="M1193" s="19"/>
      <c r="N1193" s="19" t="s">
        <v>720</v>
      </c>
      <c r="O1193" s="143"/>
      <c r="P1193" s="143"/>
      <c r="Q1193" s="143"/>
      <c r="R1193" s="373">
        <v>42845</v>
      </c>
      <c r="S1193" s="144">
        <v>168374.8</v>
      </c>
      <c r="T1193" s="226"/>
      <c r="U1193" s="224">
        <v>0</v>
      </c>
      <c r="V1193" s="224">
        <v>0</v>
      </c>
      <c r="W1193" s="224">
        <v>0</v>
      </c>
      <c r="X1193" s="145">
        <f t="shared" si="414"/>
        <v>0</v>
      </c>
      <c r="Y1193" s="224">
        <v>0</v>
      </c>
      <c r="Z1193" s="224">
        <v>0</v>
      </c>
      <c r="AA1193" s="224">
        <v>0</v>
      </c>
      <c r="AB1193" s="224">
        <v>0</v>
      </c>
      <c r="AC1193" s="224">
        <v>0</v>
      </c>
      <c r="AD1193" s="224">
        <v>0</v>
      </c>
      <c r="AE1193" s="225">
        <v>16779.77</v>
      </c>
      <c r="AF1193" s="224">
        <v>0</v>
      </c>
      <c r="AG1193" s="224">
        <v>0</v>
      </c>
      <c r="AH1193" s="224">
        <v>38777.42</v>
      </c>
      <c r="AI1193" s="224">
        <v>0</v>
      </c>
      <c r="AJ1193" s="224">
        <v>0</v>
      </c>
      <c r="AK1193" s="145">
        <f t="shared" si="415"/>
        <v>55557.19</v>
      </c>
      <c r="AL1193" s="224">
        <v>59376.479999999981</v>
      </c>
      <c r="AM1193" s="224">
        <v>53441.130000000005</v>
      </c>
      <c r="AN1193" s="224">
        <v>0</v>
      </c>
      <c r="AO1193" s="224">
        <v>0</v>
      </c>
      <c r="AP1193" s="224">
        <v>0</v>
      </c>
      <c r="AQ1193" s="224">
        <v>0</v>
      </c>
      <c r="AR1193" s="339">
        <v>0</v>
      </c>
      <c r="AS1193" s="144">
        <f>U1193+V1193+W1193+AK1193+AL1193+AM1193+AN1193+AO1193+AP1193+AQ1193+AR1193</f>
        <v>168374.8</v>
      </c>
      <c r="AT1193" s="144">
        <v>0</v>
      </c>
      <c r="AU1193" s="146">
        <f t="shared" si="417"/>
        <v>168374.8</v>
      </c>
      <c r="AV1193" s="146">
        <f>IFERROR(VLOOKUP(J1193,Maksājumu_pieprasījumu_iesn.!G:BL,57,0),0)</f>
        <v>0</v>
      </c>
      <c r="AW1193" s="139">
        <f t="shared" si="402"/>
        <v>-168374.8</v>
      </c>
      <c r="AX1193" s="147">
        <f t="shared" si="416"/>
        <v>0</v>
      </c>
      <c r="AY1193" s="147"/>
      <c r="AZ1193" s="147"/>
      <c r="BA1193" s="149"/>
      <c r="BB1193" s="226"/>
      <c r="BC1193" s="226"/>
      <c r="BD1193" s="226"/>
      <c r="BE1193" s="226"/>
      <c r="BF1193" s="226"/>
      <c r="BG1193" s="226"/>
      <c r="BH1193" s="149"/>
      <c r="BI1193" s="149"/>
      <c r="BJ1193" s="149"/>
      <c r="BK1193" s="149"/>
      <c r="BL1193" s="149"/>
      <c r="BM1193" s="149"/>
      <c r="BN1193" s="149"/>
    </row>
    <row r="1194" spans="1:66" ht="25.5" hidden="1" customHeight="1" x14ac:dyDescent="0.2">
      <c r="A1194" s="142" t="s">
        <v>2279</v>
      </c>
      <c r="B1194" s="18" t="s">
        <v>406</v>
      </c>
      <c r="C1194" s="18" t="s">
        <v>411</v>
      </c>
      <c r="D1194" s="19" t="s">
        <v>606</v>
      </c>
      <c r="E1194" s="22">
        <v>1</v>
      </c>
      <c r="F1194" s="18" t="s">
        <v>402</v>
      </c>
      <c r="G1194" s="18" t="s">
        <v>77</v>
      </c>
      <c r="H1194" s="18" t="s">
        <v>3</v>
      </c>
      <c r="I1194" s="18"/>
      <c r="J1194" s="18" t="s">
        <v>719</v>
      </c>
      <c r="K1194" s="19" t="s">
        <v>63</v>
      </c>
      <c r="L1194" s="19"/>
      <c r="M1194" s="19"/>
      <c r="N1194" s="19" t="s">
        <v>720</v>
      </c>
      <c r="O1194" s="143" t="s">
        <v>880</v>
      </c>
      <c r="P1194" s="143"/>
      <c r="Q1194" s="143"/>
      <c r="R1194" s="373"/>
      <c r="S1194" s="144"/>
      <c r="T1194" s="226"/>
      <c r="U1194" s="224"/>
      <c r="V1194" s="224"/>
      <c r="W1194" s="224"/>
      <c r="X1194" s="145">
        <f t="shared" si="414"/>
        <v>0</v>
      </c>
      <c r="Y1194" s="224"/>
      <c r="Z1194" s="224"/>
      <c r="AA1194" s="224"/>
      <c r="AB1194" s="224"/>
      <c r="AC1194" s="224">
        <v>50001.47</v>
      </c>
      <c r="AD1194" s="224"/>
      <c r="AE1194" s="224"/>
      <c r="AF1194" s="224"/>
      <c r="AG1194" s="224"/>
      <c r="AH1194" s="224"/>
      <c r="AI1194" s="224"/>
      <c r="AJ1194" s="224">
        <v>23851.41</v>
      </c>
      <c r="AK1194" s="145">
        <f t="shared" si="415"/>
        <v>73852.88</v>
      </c>
      <c r="AL1194" s="224">
        <v>47125.41</v>
      </c>
      <c r="AM1194" s="224">
        <v>30559.03</v>
      </c>
      <c r="AN1194" s="224"/>
      <c r="AO1194" s="224"/>
      <c r="AP1194" s="224"/>
      <c r="AQ1194" s="224"/>
      <c r="AR1194" s="339"/>
      <c r="AS1194" s="86"/>
      <c r="AT1194" s="144">
        <f>U1194+V1194+W1194+AK1194+AL1194+AM1194+AN1194+AO1194+AP1194+AQ1194+AR1194</f>
        <v>151537.32</v>
      </c>
      <c r="AU1194" s="146"/>
      <c r="AV1194" s="146">
        <f>IFERROR(VLOOKUP(J1194,Maksājumu_pieprasījumu_iesn.!G:BL,57,0),0)</f>
        <v>0</v>
      </c>
      <c r="AW1194" s="139">
        <f t="shared" si="402"/>
        <v>0</v>
      </c>
      <c r="AX1194" s="147">
        <f t="shared" si="416"/>
        <v>0</v>
      </c>
      <c r="AY1194" s="147"/>
      <c r="AZ1194" s="147"/>
      <c r="BA1194" s="149"/>
      <c r="BB1194" s="226"/>
      <c r="BC1194" s="226"/>
      <c r="BD1194" s="226"/>
      <c r="BE1194" s="226"/>
      <c r="BF1194" s="226"/>
      <c r="BG1194" s="226"/>
      <c r="BH1194" s="149"/>
      <c r="BI1194" s="149"/>
      <c r="BJ1194" s="149"/>
      <c r="BK1194" s="149"/>
      <c r="BL1194" s="149"/>
      <c r="BM1194" s="149"/>
      <c r="BN1194" s="149"/>
    </row>
    <row r="1195" spans="1:66" ht="38.25" hidden="1" customHeight="1" x14ac:dyDescent="0.2">
      <c r="A1195" s="142" t="s">
        <v>2279</v>
      </c>
      <c r="B1195" s="18" t="s">
        <v>406</v>
      </c>
      <c r="C1195" s="18" t="s">
        <v>411</v>
      </c>
      <c r="D1195" s="19" t="s">
        <v>606</v>
      </c>
      <c r="E1195" s="18">
        <v>1</v>
      </c>
      <c r="F1195" s="18" t="s">
        <v>402</v>
      </c>
      <c r="G1195" s="18" t="s">
        <v>77</v>
      </c>
      <c r="H1195" s="18" t="s">
        <v>3</v>
      </c>
      <c r="I1195" s="18"/>
      <c r="J1195" s="18" t="s">
        <v>421</v>
      </c>
      <c r="K1195" s="19" t="s">
        <v>422</v>
      </c>
      <c r="L1195" s="19"/>
      <c r="M1195" s="19"/>
      <c r="N1195" s="19" t="s">
        <v>423</v>
      </c>
      <c r="O1195" s="143"/>
      <c r="P1195" s="143"/>
      <c r="Q1195" s="143"/>
      <c r="R1195" s="143">
        <v>42802</v>
      </c>
      <c r="S1195" s="144">
        <v>124398.35</v>
      </c>
      <c r="T1195" s="144"/>
      <c r="U1195" s="224">
        <v>0</v>
      </c>
      <c r="V1195" s="224">
        <v>0</v>
      </c>
      <c r="W1195" s="224">
        <v>0</v>
      </c>
      <c r="X1195" s="145">
        <f t="shared" si="414"/>
        <v>0</v>
      </c>
      <c r="Y1195" s="145">
        <v>0</v>
      </c>
      <c r="Z1195" s="145">
        <v>0</v>
      </c>
      <c r="AA1195" s="145">
        <v>0</v>
      </c>
      <c r="AB1195" s="145">
        <v>0</v>
      </c>
      <c r="AC1195" s="145">
        <v>0</v>
      </c>
      <c r="AD1195" s="145">
        <v>11385.75</v>
      </c>
      <c r="AE1195" s="145">
        <v>0</v>
      </c>
      <c r="AF1195" s="145">
        <v>0</v>
      </c>
      <c r="AG1195" s="145">
        <v>9092.4500000000007</v>
      </c>
      <c r="AH1195" s="145">
        <v>0</v>
      </c>
      <c r="AI1195" s="145">
        <v>0</v>
      </c>
      <c r="AJ1195" s="145">
        <v>11618.65</v>
      </c>
      <c r="AK1195" s="145">
        <f t="shared" si="415"/>
        <v>32096.85</v>
      </c>
      <c r="AL1195" s="145">
        <v>40871.42</v>
      </c>
      <c r="AM1195" s="145">
        <v>38990.240000000005</v>
      </c>
      <c r="AN1195" s="145">
        <v>12439.84</v>
      </c>
      <c r="AO1195" s="224">
        <v>0</v>
      </c>
      <c r="AP1195" s="224">
        <v>0</v>
      </c>
      <c r="AQ1195" s="224">
        <v>0</v>
      </c>
      <c r="AR1195" s="224">
        <v>0</v>
      </c>
      <c r="AS1195" s="144">
        <f>U1195+V1195+W1195+AK1195+AL1195+AM1195+AN1195+AO1195+AP1195+AQ1195+AR1195</f>
        <v>124398.34999999999</v>
      </c>
      <c r="AT1195" s="226">
        <v>0</v>
      </c>
      <c r="AU1195" s="146">
        <f t="shared" si="417"/>
        <v>124398.34999999999</v>
      </c>
      <c r="AV1195" s="146">
        <f>IFERROR(VLOOKUP(J1195,Maksājumu_pieprasījumu_iesn.!G:BL,57,0),0)</f>
        <v>0</v>
      </c>
      <c r="AW1195" s="139">
        <f t="shared" si="402"/>
        <v>-124398.34999999999</v>
      </c>
      <c r="AX1195" s="147">
        <f t="shared" si="416"/>
        <v>0</v>
      </c>
      <c r="AY1195" s="227"/>
      <c r="AZ1195" s="227"/>
      <c r="BA1195" s="149"/>
      <c r="BB1195" s="144"/>
      <c r="BC1195" s="144"/>
      <c r="BD1195" s="144"/>
      <c r="BE1195" s="144"/>
      <c r="BF1195" s="144"/>
      <c r="BG1195" s="144"/>
      <c r="BH1195" s="149"/>
      <c r="BI1195" s="149"/>
      <c r="BJ1195" s="149"/>
      <c r="BK1195" s="149"/>
      <c r="BL1195" s="149"/>
      <c r="BM1195" s="149"/>
      <c r="BN1195" s="149"/>
    </row>
    <row r="1196" spans="1:66" ht="38.25" hidden="1" customHeight="1" x14ac:dyDescent="0.25">
      <c r="A1196" s="142" t="s">
        <v>2279</v>
      </c>
      <c r="B1196" s="18" t="s">
        <v>406</v>
      </c>
      <c r="C1196" s="18" t="s">
        <v>411</v>
      </c>
      <c r="D1196" s="19" t="s">
        <v>606</v>
      </c>
      <c r="E1196" s="22">
        <v>1</v>
      </c>
      <c r="F1196" s="18" t="s">
        <v>402</v>
      </c>
      <c r="G1196" s="18" t="s">
        <v>77</v>
      </c>
      <c r="H1196" s="18" t="s">
        <v>3</v>
      </c>
      <c r="I1196" s="18"/>
      <c r="J1196" s="18" t="s">
        <v>421</v>
      </c>
      <c r="K1196" s="19" t="s">
        <v>422</v>
      </c>
      <c r="L1196" s="19"/>
      <c r="M1196" s="19"/>
      <c r="N1196" s="19" t="s">
        <v>423</v>
      </c>
      <c r="O1196" s="143" t="s">
        <v>880</v>
      </c>
      <c r="P1196" s="143"/>
      <c r="Q1196" s="143"/>
      <c r="R1196" s="143"/>
      <c r="S1196" s="144"/>
      <c r="T1196" s="144"/>
      <c r="U1196" s="224"/>
      <c r="V1196" s="224"/>
      <c r="W1196" s="224"/>
      <c r="X1196" s="145">
        <f t="shared" si="414"/>
        <v>0</v>
      </c>
      <c r="Y1196" s="145"/>
      <c r="Z1196" s="145"/>
      <c r="AA1196" s="145"/>
      <c r="AB1196" s="145"/>
      <c r="AC1196" s="374">
        <v>3009</v>
      </c>
      <c r="AD1196" s="145"/>
      <c r="AE1196" s="145"/>
      <c r="AF1196" s="145"/>
      <c r="AG1196" s="145"/>
      <c r="AH1196" s="145"/>
      <c r="AI1196" s="145"/>
      <c r="AJ1196" s="145"/>
      <c r="AK1196" s="145">
        <f t="shared" si="415"/>
        <v>3009</v>
      </c>
      <c r="AL1196" s="145"/>
      <c r="AM1196" s="145"/>
      <c r="AN1196" s="145"/>
      <c r="AO1196" s="224"/>
      <c r="AP1196" s="224"/>
      <c r="AQ1196" s="224"/>
      <c r="AR1196" s="224"/>
      <c r="AS1196" s="86"/>
      <c r="AT1196" s="144">
        <f>U1196+V1196+W1196+AK1196+AL1196+AM1196+AN1196+AO1196+AP1196+AQ1196+AR1196</f>
        <v>3009</v>
      </c>
      <c r="AU1196" s="146"/>
      <c r="AV1196" s="146">
        <f>IFERROR(VLOOKUP(J1196,Maksājumu_pieprasījumu_iesn.!G:BL,57,0),0)</f>
        <v>0</v>
      </c>
      <c r="AW1196" s="139">
        <f t="shared" si="402"/>
        <v>0</v>
      </c>
      <c r="AX1196" s="147">
        <f t="shared" si="416"/>
        <v>0</v>
      </c>
      <c r="AY1196" s="227"/>
      <c r="AZ1196" s="227"/>
      <c r="BA1196" s="149"/>
      <c r="BB1196" s="144"/>
      <c r="BC1196" s="144"/>
      <c r="BD1196" s="144"/>
      <c r="BE1196" s="144"/>
      <c r="BF1196" s="144"/>
      <c r="BG1196" s="144"/>
      <c r="BH1196" s="149"/>
      <c r="BI1196" s="149"/>
      <c r="BJ1196" s="149"/>
      <c r="BK1196" s="149"/>
      <c r="BL1196" s="149"/>
      <c r="BM1196" s="149"/>
      <c r="BN1196" s="149"/>
    </row>
    <row r="1197" spans="1:66" ht="38.25" hidden="1" customHeight="1" x14ac:dyDescent="0.2">
      <c r="A1197" s="142" t="s">
        <v>2279</v>
      </c>
      <c r="B1197" s="18" t="s">
        <v>406</v>
      </c>
      <c r="C1197" s="18" t="s">
        <v>411</v>
      </c>
      <c r="D1197" s="19" t="s">
        <v>606</v>
      </c>
      <c r="E1197" s="18">
        <v>1</v>
      </c>
      <c r="F1197" s="18" t="s">
        <v>402</v>
      </c>
      <c r="G1197" s="18" t="s">
        <v>77</v>
      </c>
      <c r="H1197" s="18" t="s">
        <v>3</v>
      </c>
      <c r="I1197" s="18"/>
      <c r="J1197" s="18" t="s">
        <v>869</v>
      </c>
      <c r="K1197" s="19" t="s">
        <v>870</v>
      </c>
      <c r="L1197" s="19"/>
      <c r="M1197" s="19"/>
      <c r="N1197" s="19" t="s">
        <v>871</v>
      </c>
      <c r="O1197" s="143"/>
      <c r="P1197" s="143"/>
      <c r="Q1197" s="143"/>
      <c r="R1197" s="143">
        <v>42814</v>
      </c>
      <c r="S1197" s="144">
        <v>60746.1</v>
      </c>
      <c r="T1197" s="144"/>
      <c r="U1197" s="224">
        <v>0</v>
      </c>
      <c r="V1197" s="224">
        <v>0</v>
      </c>
      <c r="W1197" s="224">
        <v>0</v>
      </c>
      <c r="X1197" s="145">
        <f t="shared" si="414"/>
        <v>0</v>
      </c>
      <c r="Y1197" s="224">
        <v>0</v>
      </c>
      <c r="Z1197" s="224">
        <v>0</v>
      </c>
      <c r="AA1197" s="224">
        <v>0</v>
      </c>
      <c r="AB1197" s="224">
        <v>0</v>
      </c>
      <c r="AC1197" s="224">
        <v>0</v>
      </c>
      <c r="AD1197" s="224">
        <v>0</v>
      </c>
      <c r="AE1197" s="166">
        <v>5522.45</v>
      </c>
      <c r="AF1197" s="145">
        <v>0</v>
      </c>
      <c r="AG1197" s="145">
        <v>0</v>
      </c>
      <c r="AH1197" s="145">
        <v>10622.45</v>
      </c>
      <c r="AI1197" s="145">
        <v>0</v>
      </c>
      <c r="AJ1197" s="145">
        <v>0</v>
      </c>
      <c r="AK1197" s="145">
        <f t="shared" si="415"/>
        <v>16144.900000000001</v>
      </c>
      <c r="AL1197" s="145">
        <v>21262.75</v>
      </c>
      <c r="AM1197" s="145">
        <v>23338.45</v>
      </c>
      <c r="AN1197" s="224">
        <v>0</v>
      </c>
      <c r="AO1197" s="224">
        <v>0</v>
      </c>
      <c r="AP1197" s="224">
        <v>0</v>
      </c>
      <c r="AQ1197" s="224">
        <v>0</v>
      </c>
      <c r="AR1197" s="224">
        <v>0</v>
      </c>
      <c r="AS1197" s="144">
        <f>U1197+V1197+W1197+AK1197+AL1197+AM1197+AN1197+AO1197+AP1197+AQ1197+AR1197</f>
        <v>60746.100000000006</v>
      </c>
      <c r="AT1197" s="144">
        <v>0</v>
      </c>
      <c r="AU1197" s="146">
        <f t="shared" si="417"/>
        <v>60746.100000000006</v>
      </c>
      <c r="AV1197" s="146">
        <f>IFERROR(VLOOKUP(J1197,Maksājumu_pieprasījumu_iesn.!G:BL,57,0),0)</f>
        <v>0</v>
      </c>
      <c r="AW1197" s="139">
        <f t="shared" si="402"/>
        <v>-60746.100000000006</v>
      </c>
      <c r="AX1197" s="147">
        <f t="shared" si="416"/>
        <v>0</v>
      </c>
      <c r="AY1197" s="227"/>
      <c r="AZ1197" s="227"/>
      <c r="BA1197" s="149"/>
      <c r="BB1197" s="144"/>
      <c r="BC1197" s="144"/>
      <c r="BD1197" s="144"/>
      <c r="BE1197" s="144"/>
      <c r="BF1197" s="144"/>
      <c r="BG1197" s="144"/>
      <c r="BH1197" s="149"/>
      <c r="BI1197" s="149"/>
      <c r="BJ1197" s="149"/>
      <c r="BK1197" s="149"/>
      <c r="BL1197" s="149"/>
      <c r="BM1197" s="149"/>
      <c r="BN1197" s="149"/>
    </row>
    <row r="1198" spans="1:66" ht="38.25" hidden="1" customHeight="1" x14ac:dyDescent="0.2">
      <c r="A1198" s="142" t="s">
        <v>2279</v>
      </c>
      <c r="B1198" s="18" t="s">
        <v>406</v>
      </c>
      <c r="C1198" s="18" t="s">
        <v>411</v>
      </c>
      <c r="D1198" s="19" t="s">
        <v>606</v>
      </c>
      <c r="E1198" s="22">
        <v>1</v>
      </c>
      <c r="F1198" s="18" t="s">
        <v>402</v>
      </c>
      <c r="G1198" s="18" t="s">
        <v>77</v>
      </c>
      <c r="H1198" s="18" t="s">
        <v>3</v>
      </c>
      <c r="I1198" s="18"/>
      <c r="J1198" s="18" t="s">
        <v>721</v>
      </c>
      <c r="K1198" s="19" t="s">
        <v>508</v>
      </c>
      <c r="L1198" s="19"/>
      <c r="M1198" s="19"/>
      <c r="N1198" s="19" t="s">
        <v>722</v>
      </c>
      <c r="O1198" s="143"/>
      <c r="P1198" s="143"/>
      <c r="Q1198" s="143"/>
      <c r="R1198" s="187">
        <v>42844</v>
      </c>
      <c r="S1198" s="144">
        <v>488455.05</v>
      </c>
      <c r="T1198" s="172"/>
      <c r="U1198" s="153">
        <v>0</v>
      </c>
      <c r="V1198" s="153">
        <v>0</v>
      </c>
      <c r="W1198" s="153">
        <v>0</v>
      </c>
      <c r="X1198" s="145">
        <f t="shared" si="414"/>
        <v>0</v>
      </c>
      <c r="Y1198" s="153">
        <v>0</v>
      </c>
      <c r="Z1198" s="153">
        <v>0</v>
      </c>
      <c r="AA1198" s="153">
        <v>0</v>
      </c>
      <c r="AB1198" s="153">
        <v>0</v>
      </c>
      <c r="AC1198" s="153">
        <v>0</v>
      </c>
      <c r="AD1198" s="153">
        <v>0</v>
      </c>
      <c r="AE1198" s="153">
        <v>0</v>
      </c>
      <c r="AF1198" s="420">
        <v>14535</v>
      </c>
      <c r="AG1198" s="153">
        <v>0</v>
      </c>
      <c r="AH1198" s="153">
        <v>0</v>
      </c>
      <c r="AI1198" s="153">
        <v>48115.95</v>
      </c>
      <c r="AJ1198" s="153">
        <v>0</v>
      </c>
      <c r="AK1198" s="145">
        <f t="shared" si="415"/>
        <v>62650.95</v>
      </c>
      <c r="AL1198" s="153">
        <v>194709.49999999997</v>
      </c>
      <c r="AM1198" s="153">
        <v>180465.2</v>
      </c>
      <c r="AN1198" s="153">
        <v>50629.4</v>
      </c>
      <c r="AO1198" s="153">
        <v>0</v>
      </c>
      <c r="AP1198" s="153">
        <v>0</v>
      </c>
      <c r="AQ1198" s="153">
        <v>0</v>
      </c>
      <c r="AR1198" s="153">
        <v>0</v>
      </c>
      <c r="AS1198" s="375">
        <f>U1198+V1198+W1198+AK1198+AL1198+AM1198+AN1198+AO1198+AP1198+AQ1198+AR1198</f>
        <v>488455.05</v>
      </c>
      <c r="AT1198" s="147">
        <v>0</v>
      </c>
      <c r="AU1198" s="146">
        <f>AS1198-AT1198</f>
        <v>488455.05</v>
      </c>
      <c r="AV1198" s="146">
        <f>IFERROR(VLOOKUP(J1198,Maksājumu_pieprasījumu_iesn.!G:BL,57,0),0)</f>
        <v>0</v>
      </c>
      <c r="AW1198" s="139">
        <f t="shared" si="402"/>
        <v>-488455.05</v>
      </c>
      <c r="AX1198" s="147">
        <f t="shared" si="416"/>
        <v>0</v>
      </c>
      <c r="AY1198" s="147"/>
      <c r="AZ1198" s="147"/>
      <c r="BA1198" s="149"/>
      <c r="BB1198" s="144"/>
      <c r="BC1198" s="144"/>
      <c r="BD1198" s="144"/>
      <c r="BE1198" s="144"/>
      <c r="BF1198" s="144"/>
      <c r="BG1198" s="144"/>
      <c r="BH1198" s="149"/>
      <c r="BI1198" s="149"/>
      <c r="BJ1198" s="149"/>
      <c r="BK1198" s="149"/>
      <c r="BL1198" s="149"/>
      <c r="BM1198" s="149"/>
      <c r="BN1198" s="149"/>
    </row>
    <row r="1199" spans="1:66" ht="38.25" hidden="1" customHeight="1" x14ac:dyDescent="0.2">
      <c r="A1199" s="142" t="s">
        <v>2279</v>
      </c>
      <c r="B1199" s="18" t="s">
        <v>406</v>
      </c>
      <c r="C1199" s="18" t="s">
        <v>411</v>
      </c>
      <c r="D1199" s="19" t="s">
        <v>606</v>
      </c>
      <c r="E1199" s="18">
        <v>1</v>
      </c>
      <c r="F1199" s="18" t="s">
        <v>402</v>
      </c>
      <c r="G1199" s="18" t="s">
        <v>77</v>
      </c>
      <c r="H1199" s="18" t="s">
        <v>3</v>
      </c>
      <c r="I1199" s="18"/>
      <c r="J1199" s="18" t="s">
        <v>721</v>
      </c>
      <c r="K1199" s="19" t="s">
        <v>508</v>
      </c>
      <c r="L1199" s="19"/>
      <c r="M1199" s="19"/>
      <c r="N1199" s="19" t="s">
        <v>722</v>
      </c>
      <c r="O1199" s="143" t="s">
        <v>880</v>
      </c>
      <c r="P1199" s="143"/>
      <c r="Q1199" s="143"/>
      <c r="R1199" s="187"/>
      <c r="S1199" s="144"/>
      <c r="T1199" s="172"/>
      <c r="U1199" s="153"/>
      <c r="V1199" s="153"/>
      <c r="W1199" s="153"/>
      <c r="X1199" s="145">
        <f t="shared" si="414"/>
        <v>0</v>
      </c>
      <c r="Y1199" s="153"/>
      <c r="Z1199" s="153"/>
      <c r="AA1199" s="153"/>
      <c r="AB1199" s="153"/>
      <c r="AC1199" s="153">
        <v>5409.24</v>
      </c>
      <c r="AD1199" s="153">
        <v>56470.6</v>
      </c>
      <c r="AE1199" s="153"/>
      <c r="AF1199" s="153"/>
      <c r="AG1199" s="153"/>
      <c r="AH1199" s="153"/>
      <c r="AI1199" s="153"/>
      <c r="AJ1199" s="153"/>
      <c r="AK1199" s="145">
        <f t="shared" si="415"/>
        <v>61879.839999999997</v>
      </c>
      <c r="AL1199" s="153"/>
      <c r="AM1199" s="153"/>
      <c r="AN1199" s="153"/>
      <c r="AO1199" s="153"/>
      <c r="AP1199" s="153"/>
      <c r="AQ1199" s="153"/>
      <c r="AR1199" s="153"/>
      <c r="AS1199" s="86"/>
      <c r="AT1199" s="375">
        <f>U1199+V1199+W1199+AK1199+AL1199+AM1199+AN1199+AO1199+AP1199+AQ1199+AR1199</f>
        <v>61879.839999999997</v>
      </c>
      <c r="AU1199" s="146"/>
      <c r="AV1199" s="146">
        <f>IFERROR(VLOOKUP(J1199,Maksājumu_pieprasījumu_iesn.!G:BL,57,0),0)</f>
        <v>0</v>
      </c>
      <c r="AW1199" s="139">
        <f t="shared" si="402"/>
        <v>0</v>
      </c>
      <c r="AX1199" s="147">
        <f t="shared" si="416"/>
        <v>0</v>
      </c>
      <c r="AY1199" s="147"/>
      <c r="AZ1199" s="147"/>
      <c r="BA1199" s="149"/>
      <c r="BB1199" s="144"/>
      <c r="BC1199" s="144"/>
      <c r="BD1199" s="144"/>
      <c r="BE1199" s="144"/>
      <c r="BF1199" s="144"/>
      <c r="BG1199" s="144"/>
      <c r="BH1199" s="149"/>
      <c r="BI1199" s="149"/>
      <c r="BJ1199" s="149"/>
      <c r="BK1199" s="149"/>
      <c r="BL1199" s="149"/>
      <c r="BM1199" s="149"/>
      <c r="BN1199" s="149"/>
    </row>
    <row r="1200" spans="1:66" ht="76.5" hidden="1" customHeight="1" x14ac:dyDescent="0.2">
      <c r="A1200" s="142" t="s">
        <v>2279</v>
      </c>
      <c r="B1200" s="18" t="s">
        <v>406</v>
      </c>
      <c r="C1200" s="18" t="s">
        <v>411</v>
      </c>
      <c r="D1200" s="19" t="s">
        <v>606</v>
      </c>
      <c r="E1200" s="22">
        <v>1</v>
      </c>
      <c r="F1200" s="18" t="s">
        <v>402</v>
      </c>
      <c r="G1200" s="18" t="s">
        <v>77</v>
      </c>
      <c r="H1200" s="18" t="s">
        <v>3</v>
      </c>
      <c r="I1200" s="18"/>
      <c r="J1200" s="18" t="s">
        <v>424</v>
      </c>
      <c r="K1200" s="19" t="s">
        <v>425</v>
      </c>
      <c r="L1200" s="19"/>
      <c r="M1200" s="19"/>
      <c r="N1200" s="19" t="s">
        <v>426</v>
      </c>
      <c r="O1200" s="143"/>
      <c r="P1200" s="143"/>
      <c r="Q1200" s="143"/>
      <c r="R1200" s="143">
        <v>42822</v>
      </c>
      <c r="S1200" s="144">
        <v>291241.45</v>
      </c>
      <c r="T1200" s="144"/>
      <c r="U1200" s="224">
        <v>0</v>
      </c>
      <c r="V1200" s="224">
        <v>0</v>
      </c>
      <c r="W1200" s="145">
        <v>0</v>
      </c>
      <c r="X1200" s="145">
        <f t="shared" si="414"/>
        <v>0</v>
      </c>
      <c r="Y1200" s="145">
        <v>0</v>
      </c>
      <c r="Z1200" s="145">
        <v>0</v>
      </c>
      <c r="AA1200" s="145">
        <v>0</v>
      </c>
      <c r="AB1200" s="145">
        <v>0</v>
      </c>
      <c r="AC1200" s="145">
        <v>0</v>
      </c>
      <c r="AD1200" s="145">
        <v>0</v>
      </c>
      <c r="AE1200" s="166">
        <v>14563.9</v>
      </c>
      <c r="AF1200" s="145">
        <v>0</v>
      </c>
      <c r="AG1200" s="145">
        <v>0</v>
      </c>
      <c r="AH1200" s="145">
        <v>29951.45</v>
      </c>
      <c r="AI1200" s="145">
        <v>0</v>
      </c>
      <c r="AJ1200" s="145">
        <v>0</v>
      </c>
      <c r="AK1200" s="145">
        <f t="shared" si="415"/>
        <v>44515.35</v>
      </c>
      <c r="AL1200" s="145">
        <v>104731.52</v>
      </c>
      <c r="AM1200" s="145">
        <v>89893.450000000012</v>
      </c>
      <c r="AN1200" s="145">
        <v>52101.130000000005</v>
      </c>
      <c r="AO1200" s="224">
        <v>0</v>
      </c>
      <c r="AP1200" s="224">
        <v>0</v>
      </c>
      <c r="AQ1200" s="224">
        <v>0</v>
      </c>
      <c r="AR1200" s="224">
        <v>0</v>
      </c>
      <c r="AS1200" s="144">
        <f>U1200+V1200+W1200+AK1200+AL1200+AM1200+AN1200+AO1200+AP1200+AQ1200+AR1200</f>
        <v>291241.45</v>
      </c>
      <c r="AT1200" s="226">
        <v>0</v>
      </c>
      <c r="AU1200" s="146">
        <f t="shared" si="417"/>
        <v>291241.45</v>
      </c>
      <c r="AV1200" s="146">
        <f>IFERROR(VLOOKUP(J1200,Maksājumu_pieprasījumu_iesn.!G:BL,57,0),0)</f>
        <v>0</v>
      </c>
      <c r="AW1200" s="139">
        <f t="shared" si="402"/>
        <v>-291241.45</v>
      </c>
      <c r="AX1200" s="147">
        <f t="shared" si="416"/>
        <v>0</v>
      </c>
      <c r="AY1200" s="227"/>
      <c r="AZ1200" s="227"/>
      <c r="BA1200" s="149"/>
      <c r="BB1200" s="144"/>
      <c r="BC1200" s="144"/>
      <c r="BD1200" s="144"/>
      <c r="BE1200" s="144"/>
      <c r="BF1200" s="144"/>
      <c r="BG1200" s="144"/>
      <c r="BH1200" s="149"/>
      <c r="BI1200" s="149"/>
      <c r="BJ1200" s="149"/>
      <c r="BK1200" s="149"/>
      <c r="BL1200" s="149"/>
      <c r="BM1200" s="149"/>
      <c r="BN1200" s="149"/>
    </row>
    <row r="1201" spans="1:66" ht="76.5" hidden="1" customHeight="1" x14ac:dyDescent="0.2">
      <c r="A1201" s="142" t="s">
        <v>2279</v>
      </c>
      <c r="B1201" s="18" t="s">
        <v>406</v>
      </c>
      <c r="C1201" s="18" t="s">
        <v>411</v>
      </c>
      <c r="D1201" s="19" t="s">
        <v>606</v>
      </c>
      <c r="E1201" s="18">
        <v>1</v>
      </c>
      <c r="F1201" s="18" t="s">
        <v>402</v>
      </c>
      <c r="G1201" s="18" t="s">
        <v>77</v>
      </c>
      <c r="H1201" s="18" t="s">
        <v>3</v>
      </c>
      <c r="I1201" s="18"/>
      <c r="J1201" s="18" t="s">
        <v>424</v>
      </c>
      <c r="K1201" s="19" t="s">
        <v>425</v>
      </c>
      <c r="L1201" s="19"/>
      <c r="M1201" s="19"/>
      <c r="N1201" s="19" t="s">
        <v>426</v>
      </c>
      <c r="O1201" s="143" t="s">
        <v>880</v>
      </c>
      <c r="P1201" s="143"/>
      <c r="Q1201" s="143"/>
      <c r="R1201" s="143"/>
      <c r="S1201" s="144"/>
      <c r="T1201" s="144"/>
      <c r="U1201" s="224"/>
      <c r="V1201" s="224"/>
      <c r="W1201" s="145"/>
      <c r="X1201" s="145">
        <f t="shared" si="414"/>
        <v>0</v>
      </c>
      <c r="Y1201" s="145"/>
      <c r="Z1201" s="145"/>
      <c r="AA1201" s="145"/>
      <c r="AB1201" s="145">
        <v>2831.14</v>
      </c>
      <c r="AC1201" s="145"/>
      <c r="AD1201" s="145"/>
      <c r="AE1201" s="145"/>
      <c r="AF1201" s="145"/>
      <c r="AG1201" s="145"/>
      <c r="AH1201" s="145"/>
      <c r="AI1201" s="145"/>
      <c r="AJ1201" s="145"/>
      <c r="AK1201" s="145">
        <f t="shared" si="415"/>
        <v>2831.14</v>
      </c>
      <c r="AL1201" s="145"/>
      <c r="AM1201" s="145"/>
      <c r="AN1201" s="145"/>
      <c r="AO1201" s="224"/>
      <c r="AP1201" s="224"/>
      <c r="AQ1201" s="224"/>
      <c r="AR1201" s="224"/>
      <c r="AS1201" s="86"/>
      <c r="AT1201" s="144">
        <f>U1201+V1201+W1201+AK1201+AL1201+AM1201+AN1201+AO1201+AP1201+AQ1201+AR1201</f>
        <v>2831.14</v>
      </c>
      <c r="AU1201" s="146"/>
      <c r="AV1201" s="146">
        <f>IFERROR(VLOOKUP(J1201,Maksājumu_pieprasījumu_iesn.!G:BL,57,0),0)</f>
        <v>0</v>
      </c>
      <c r="AW1201" s="139">
        <f t="shared" si="402"/>
        <v>0</v>
      </c>
      <c r="AX1201" s="147">
        <f t="shared" si="416"/>
        <v>0</v>
      </c>
      <c r="AY1201" s="227"/>
      <c r="AZ1201" s="227"/>
      <c r="BA1201" s="149"/>
      <c r="BB1201" s="144"/>
      <c r="BC1201" s="144"/>
      <c r="BD1201" s="144"/>
      <c r="BE1201" s="144"/>
      <c r="BF1201" s="144"/>
      <c r="BG1201" s="144"/>
      <c r="BH1201" s="149"/>
      <c r="BI1201" s="149"/>
      <c r="BJ1201" s="149"/>
      <c r="BK1201" s="149"/>
      <c r="BL1201" s="149"/>
      <c r="BM1201" s="149"/>
      <c r="BN1201" s="149"/>
    </row>
    <row r="1202" spans="1:66" ht="38.25" hidden="1" customHeight="1" x14ac:dyDescent="0.2">
      <c r="A1202" s="142" t="s">
        <v>2279</v>
      </c>
      <c r="B1202" s="18" t="s">
        <v>406</v>
      </c>
      <c r="C1202" s="18" t="s">
        <v>411</v>
      </c>
      <c r="D1202" s="19" t="s">
        <v>606</v>
      </c>
      <c r="E1202" s="22">
        <v>1</v>
      </c>
      <c r="F1202" s="18" t="s">
        <v>402</v>
      </c>
      <c r="G1202" s="18" t="s">
        <v>77</v>
      </c>
      <c r="H1202" s="18" t="s">
        <v>3</v>
      </c>
      <c r="I1202" s="18"/>
      <c r="J1202" s="18" t="s">
        <v>786</v>
      </c>
      <c r="K1202" s="19" t="s">
        <v>671</v>
      </c>
      <c r="L1202" s="19"/>
      <c r="M1202" s="19"/>
      <c r="N1202" s="19" t="s">
        <v>819</v>
      </c>
      <c r="O1202" s="143"/>
      <c r="P1202" s="143"/>
      <c r="Q1202" s="143"/>
      <c r="R1202" s="143">
        <v>42811</v>
      </c>
      <c r="S1202" s="144">
        <v>66961.3</v>
      </c>
      <c r="T1202" s="144"/>
      <c r="U1202" s="145">
        <v>0</v>
      </c>
      <c r="V1202" s="145">
        <v>0</v>
      </c>
      <c r="W1202" s="145">
        <v>0</v>
      </c>
      <c r="X1202" s="145">
        <f t="shared" si="414"/>
        <v>0</v>
      </c>
      <c r="Y1202" s="145">
        <v>0</v>
      </c>
      <c r="Z1202" s="145">
        <v>0</v>
      </c>
      <c r="AA1202" s="145">
        <v>0</v>
      </c>
      <c r="AB1202" s="145">
        <v>0</v>
      </c>
      <c r="AC1202" s="145">
        <v>0</v>
      </c>
      <c r="AD1202" s="145">
        <v>0</v>
      </c>
      <c r="AE1202" s="166">
        <v>5106.8</v>
      </c>
      <c r="AF1202" s="145">
        <v>0</v>
      </c>
      <c r="AG1202" s="145">
        <v>0</v>
      </c>
      <c r="AH1202" s="145">
        <v>11745.58</v>
      </c>
      <c r="AI1202" s="145">
        <v>0</v>
      </c>
      <c r="AJ1202" s="145">
        <v>0</v>
      </c>
      <c r="AK1202" s="145">
        <f t="shared" si="415"/>
        <v>16852.38</v>
      </c>
      <c r="AL1202" s="145">
        <v>26962.71</v>
      </c>
      <c r="AM1202" s="145">
        <v>19193.71</v>
      </c>
      <c r="AN1202" s="145">
        <v>3952.5</v>
      </c>
      <c r="AO1202" s="145">
        <v>0</v>
      </c>
      <c r="AP1202" s="145">
        <v>0</v>
      </c>
      <c r="AQ1202" s="145">
        <v>0</v>
      </c>
      <c r="AR1202" s="145">
        <v>0</v>
      </c>
      <c r="AS1202" s="144">
        <f>U1202+V1202+W1202+AK1202+AL1202+AM1202+AN1202+AO1202+AP1202+AQ1202+AR1202</f>
        <v>66961.299999999988</v>
      </c>
      <c r="AT1202" s="144">
        <v>0</v>
      </c>
      <c r="AU1202" s="146">
        <f t="shared" si="417"/>
        <v>66961.299999999988</v>
      </c>
      <c r="AV1202" s="146">
        <f>IFERROR(VLOOKUP(J1202,Maksājumu_pieprasījumu_iesn.!G:BL,57,0),0)</f>
        <v>0</v>
      </c>
      <c r="AW1202" s="139">
        <f t="shared" si="402"/>
        <v>-66961.299999999988</v>
      </c>
      <c r="AX1202" s="147">
        <f t="shared" si="416"/>
        <v>0</v>
      </c>
      <c r="AY1202" s="147"/>
      <c r="AZ1202" s="147"/>
      <c r="BA1202" s="149"/>
      <c r="BB1202" s="144"/>
      <c r="BC1202" s="144"/>
      <c r="BD1202" s="144"/>
      <c r="BE1202" s="144"/>
      <c r="BF1202" s="144"/>
      <c r="BG1202" s="144"/>
      <c r="BH1202" s="149"/>
      <c r="BI1202" s="149"/>
      <c r="BJ1202" s="149"/>
      <c r="BK1202" s="149"/>
      <c r="BL1202" s="149"/>
      <c r="BM1202" s="149"/>
      <c r="BN1202" s="149"/>
    </row>
    <row r="1203" spans="1:66" ht="25.5" hidden="1" customHeight="1" x14ac:dyDescent="0.2">
      <c r="A1203" s="142" t="s">
        <v>2279</v>
      </c>
      <c r="B1203" s="18" t="s">
        <v>406</v>
      </c>
      <c r="C1203" s="18" t="s">
        <v>411</v>
      </c>
      <c r="D1203" s="19" t="s">
        <v>606</v>
      </c>
      <c r="E1203" s="18">
        <v>1</v>
      </c>
      <c r="F1203" s="18" t="s">
        <v>402</v>
      </c>
      <c r="G1203" s="18" t="s">
        <v>77</v>
      </c>
      <c r="H1203" s="18" t="s">
        <v>3</v>
      </c>
      <c r="I1203" s="18"/>
      <c r="J1203" s="18" t="s">
        <v>2310</v>
      </c>
      <c r="K1203" s="19" t="s">
        <v>1512</v>
      </c>
      <c r="L1203" s="19"/>
      <c r="M1203" s="19"/>
      <c r="N1203" s="19" t="s">
        <v>2311</v>
      </c>
      <c r="O1203" s="143"/>
      <c r="P1203" s="143"/>
      <c r="Q1203" s="143"/>
      <c r="R1203" s="187" t="s">
        <v>2312</v>
      </c>
      <c r="S1203" s="144">
        <v>76025.7</v>
      </c>
      <c r="T1203" s="172"/>
      <c r="U1203" s="145">
        <v>0</v>
      </c>
      <c r="V1203" s="145">
        <v>0</v>
      </c>
      <c r="W1203" s="145">
        <v>0</v>
      </c>
      <c r="X1203" s="145">
        <f t="shared" si="414"/>
        <v>0</v>
      </c>
      <c r="Y1203" s="145">
        <v>0</v>
      </c>
      <c r="Z1203" s="145">
        <v>0</v>
      </c>
      <c r="AA1203" s="145">
        <v>0</v>
      </c>
      <c r="AB1203" s="145">
        <v>0</v>
      </c>
      <c r="AC1203" s="145">
        <v>0</v>
      </c>
      <c r="AD1203" s="145">
        <v>0</v>
      </c>
      <c r="AE1203" s="145">
        <v>0</v>
      </c>
      <c r="AF1203" s="145">
        <v>0</v>
      </c>
      <c r="AG1203" s="145">
        <v>0</v>
      </c>
      <c r="AH1203" s="145">
        <v>0</v>
      </c>
      <c r="AI1203" s="145">
        <v>0</v>
      </c>
      <c r="AJ1203" s="145">
        <v>0</v>
      </c>
      <c r="AK1203" s="145">
        <f t="shared" si="415"/>
        <v>0</v>
      </c>
      <c r="AL1203" s="145">
        <v>50683.8</v>
      </c>
      <c r="AM1203" s="145">
        <v>25341.9</v>
      </c>
      <c r="AN1203" s="145">
        <v>0</v>
      </c>
      <c r="AO1203" s="145">
        <v>0</v>
      </c>
      <c r="AP1203" s="145">
        <v>0</v>
      </c>
      <c r="AQ1203" s="145">
        <v>0</v>
      </c>
      <c r="AR1203" s="145">
        <v>0</v>
      </c>
      <c r="AS1203" s="144">
        <f>U1203+V1203+W1203+AK1203+AL1203+AM1203+AN1203+AO1203+AP1203+AQ1203+AR1203</f>
        <v>76025.700000000012</v>
      </c>
      <c r="AT1203" s="144">
        <v>0</v>
      </c>
      <c r="AU1203" s="146">
        <f t="shared" si="417"/>
        <v>76025.700000000012</v>
      </c>
      <c r="AV1203" s="146">
        <f>IFERROR(VLOOKUP(J1203,Maksājumu_pieprasījumu_iesn.!G:BL,57,0),0)</f>
        <v>0</v>
      </c>
      <c r="AW1203" s="139">
        <f t="shared" si="402"/>
        <v>-76025.700000000012</v>
      </c>
      <c r="AX1203" s="147">
        <f t="shared" si="416"/>
        <v>0</v>
      </c>
      <c r="AY1203" s="147"/>
      <c r="AZ1203" s="147"/>
      <c r="BA1203" s="149"/>
      <c r="BB1203" s="144"/>
      <c r="BC1203" s="144"/>
      <c r="BD1203" s="144"/>
      <c r="BE1203" s="144"/>
      <c r="BF1203" s="144"/>
      <c r="BG1203" s="144"/>
      <c r="BH1203" s="149"/>
      <c r="BI1203" s="149"/>
      <c r="BJ1203" s="149"/>
      <c r="BK1203" s="149"/>
      <c r="BL1203" s="149"/>
      <c r="BM1203" s="149"/>
      <c r="BN1203" s="149"/>
    </row>
    <row r="1204" spans="1:66" ht="38.25" hidden="1" customHeight="1" x14ac:dyDescent="0.2">
      <c r="A1204" s="142" t="s">
        <v>2279</v>
      </c>
      <c r="B1204" s="18" t="s">
        <v>406</v>
      </c>
      <c r="C1204" s="18" t="s">
        <v>411</v>
      </c>
      <c r="D1204" s="19" t="s">
        <v>606</v>
      </c>
      <c r="E1204" s="22">
        <v>1</v>
      </c>
      <c r="F1204" s="18" t="s">
        <v>402</v>
      </c>
      <c r="G1204" s="18" t="s">
        <v>77</v>
      </c>
      <c r="H1204" s="18" t="s">
        <v>3</v>
      </c>
      <c r="I1204" s="18"/>
      <c r="J1204" s="18" t="s">
        <v>787</v>
      </c>
      <c r="K1204" s="19" t="s">
        <v>820</v>
      </c>
      <c r="L1204" s="19"/>
      <c r="M1204" s="19"/>
      <c r="N1204" s="19" t="s">
        <v>821</v>
      </c>
      <c r="O1204" s="143"/>
      <c r="P1204" s="143"/>
      <c r="Q1204" s="143"/>
      <c r="R1204" s="187" t="s">
        <v>2313</v>
      </c>
      <c r="S1204" s="144">
        <v>92123.85</v>
      </c>
      <c r="T1204" s="172"/>
      <c r="U1204" s="145">
        <v>0</v>
      </c>
      <c r="V1204" s="145">
        <v>0</v>
      </c>
      <c r="W1204" s="145">
        <v>0</v>
      </c>
      <c r="X1204" s="145">
        <f t="shared" si="414"/>
        <v>0</v>
      </c>
      <c r="Y1204" s="145">
        <v>0</v>
      </c>
      <c r="Z1204" s="145">
        <v>0</v>
      </c>
      <c r="AA1204" s="145">
        <v>0</v>
      </c>
      <c r="AB1204" s="145">
        <v>0</v>
      </c>
      <c r="AC1204" s="145">
        <v>0</v>
      </c>
      <c r="AD1204" s="145">
        <v>0</v>
      </c>
      <c r="AE1204" s="145">
        <v>0</v>
      </c>
      <c r="AF1204" s="145">
        <v>0</v>
      </c>
      <c r="AG1204" s="145">
        <v>0</v>
      </c>
      <c r="AH1204" s="145">
        <v>0</v>
      </c>
      <c r="AI1204" s="145">
        <v>0</v>
      </c>
      <c r="AJ1204" s="145">
        <v>0</v>
      </c>
      <c r="AK1204" s="145">
        <f t="shared" si="415"/>
        <v>0</v>
      </c>
      <c r="AL1204" s="145">
        <v>61415.7</v>
      </c>
      <c r="AM1204" s="145">
        <v>30708.3</v>
      </c>
      <c r="AN1204" s="145">
        <v>0</v>
      </c>
      <c r="AO1204" s="145">
        <v>0</v>
      </c>
      <c r="AP1204" s="145">
        <v>0</v>
      </c>
      <c r="AQ1204" s="145">
        <v>0</v>
      </c>
      <c r="AR1204" s="145">
        <v>0</v>
      </c>
      <c r="AS1204" s="144">
        <f>U1204+V1204+W1204+AK1204+AL1204+AM1204+AN1204+AO1204+AP1204+AQ1204+AR1204</f>
        <v>92124</v>
      </c>
      <c r="AT1204" s="144">
        <v>0</v>
      </c>
      <c r="AU1204" s="146">
        <f t="shared" si="417"/>
        <v>92124</v>
      </c>
      <c r="AV1204" s="146">
        <f>IFERROR(VLOOKUP(J1204,Maksājumu_pieprasījumu_iesn.!G:BL,57,0),0)</f>
        <v>0</v>
      </c>
      <c r="AW1204" s="139">
        <f t="shared" si="402"/>
        <v>-92124</v>
      </c>
      <c r="AX1204" s="147">
        <f t="shared" si="416"/>
        <v>-0.14999999999417923</v>
      </c>
      <c r="AY1204" s="147"/>
      <c r="AZ1204" s="147"/>
      <c r="BA1204" s="149"/>
      <c r="BB1204" s="144"/>
      <c r="BC1204" s="144"/>
      <c r="BD1204" s="144"/>
      <c r="BE1204" s="144"/>
      <c r="BF1204" s="144"/>
      <c r="BG1204" s="144"/>
      <c r="BH1204" s="149"/>
      <c r="BI1204" s="149"/>
      <c r="BJ1204" s="149"/>
      <c r="BK1204" s="149"/>
      <c r="BL1204" s="149"/>
      <c r="BM1204" s="149"/>
      <c r="BN1204" s="149"/>
    </row>
    <row r="1205" spans="1:66" ht="38.25" hidden="1" customHeight="1" x14ac:dyDescent="0.2">
      <c r="A1205" s="142" t="s">
        <v>2279</v>
      </c>
      <c r="B1205" s="18" t="s">
        <v>406</v>
      </c>
      <c r="C1205" s="18" t="s">
        <v>411</v>
      </c>
      <c r="D1205" s="19" t="s">
        <v>606</v>
      </c>
      <c r="E1205" s="18">
        <v>1</v>
      </c>
      <c r="F1205" s="18" t="s">
        <v>402</v>
      </c>
      <c r="G1205" s="18" t="s">
        <v>77</v>
      </c>
      <c r="H1205" s="18" t="s">
        <v>3</v>
      </c>
      <c r="I1205" s="18"/>
      <c r="J1205" s="18" t="s">
        <v>427</v>
      </c>
      <c r="K1205" s="19" t="s">
        <v>428</v>
      </c>
      <c r="L1205" s="19"/>
      <c r="M1205" s="19"/>
      <c r="N1205" s="19" t="s">
        <v>429</v>
      </c>
      <c r="O1205" s="143"/>
      <c r="P1205" s="143"/>
      <c r="Q1205" s="143"/>
      <c r="R1205" s="143">
        <v>42797</v>
      </c>
      <c r="S1205" s="144">
        <v>52167.9</v>
      </c>
      <c r="T1205" s="144"/>
      <c r="U1205" s="145">
        <v>0</v>
      </c>
      <c r="V1205" s="145">
        <v>0</v>
      </c>
      <c r="W1205" s="145">
        <v>0</v>
      </c>
      <c r="X1205" s="145">
        <f t="shared" si="414"/>
        <v>0</v>
      </c>
      <c r="Y1205" s="145">
        <v>0</v>
      </c>
      <c r="Z1205" s="145">
        <v>0</v>
      </c>
      <c r="AA1205" s="145">
        <v>0</v>
      </c>
      <c r="AB1205" s="145">
        <v>0</v>
      </c>
      <c r="AC1205" s="145">
        <v>0</v>
      </c>
      <c r="AD1205" s="145">
        <v>5389.28</v>
      </c>
      <c r="AE1205" s="145">
        <v>0</v>
      </c>
      <c r="AF1205" s="145">
        <v>0</v>
      </c>
      <c r="AG1205" s="145">
        <v>5530.84</v>
      </c>
      <c r="AH1205" s="145">
        <v>0</v>
      </c>
      <c r="AI1205" s="145">
        <v>0</v>
      </c>
      <c r="AJ1205" s="145">
        <v>1301.27</v>
      </c>
      <c r="AK1205" s="145">
        <f t="shared" si="415"/>
        <v>12221.39</v>
      </c>
      <c r="AL1205" s="145">
        <v>18152.78</v>
      </c>
      <c r="AM1205" s="145">
        <v>17071.86</v>
      </c>
      <c r="AN1205" s="145">
        <v>4721.87</v>
      </c>
      <c r="AO1205" s="145">
        <v>0</v>
      </c>
      <c r="AP1205" s="145">
        <v>0</v>
      </c>
      <c r="AQ1205" s="145">
        <v>0</v>
      </c>
      <c r="AR1205" s="145">
        <v>0</v>
      </c>
      <c r="AS1205" s="144">
        <f>U1205+V1205+W1205+AK1205+AL1205+AM1205+AN1205+AO1205+AP1205+AQ1205+AR1205</f>
        <v>52167.9</v>
      </c>
      <c r="AT1205" s="144">
        <v>0</v>
      </c>
      <c r="AU1205" s="146">
        <f t="shared" si="417"/>
        <v>52167.9</v>
      </c>
      <c r="AV1205" s="146">
        <f>IFERROR(VLOOKUP(J1205,Maksājumu_pieprasījumu_iesn.!G:BL,57,0),0)</f>
        <v>0</v>
      </c>
      <c r="AW1205" s="139">
        <f t="shared" si="402"/>
        <v>-52167.9</v>
      </c>
      <c r="AX1205" s="147">
        <f t="shared" si="416"/>
        <v>0</v>
      </c>
      <c r="AY1205" s="147"/>
      <c r="AZ1205" s="147"/>
      <c r="BA1205" s="149"/>
      <c r="BB1205" s="144"/>
      <c r="BC1205" s="144"/>
      <c r="BD1205" s="144"/>
      <c r="BE1205" s="144"/>
      <c r="BF1205" s="144"/>
      <c r="BG1205" s="144"/>
      <c r="BH1205" s="149"/>
      <c r="BI1205" s="149"/>
      <c r="BJ1205" s="149"/>
      <c r="BK1205" s="149"/>
      <c r="BL1205" s="149"/>
      <c r="BM1205" s="149"/>
      <c r="BN1205" s="149"/>
    </row>
    <row r="1206" spans="1:66" ht="38.25" hidden="1" customHeight="1" x14ac:dyDescent="0.2">
      <c r="A1206" s="142" t="s">
        <v>2279</v>
      </c>
      <c r="B1206" s="18" t="s">
        <v>406</v>
      </c>
      <c r="C1206" s="18" t="s">
        <v>411</v>
      </c>
      <c r="D1206" s="19" t="s">
        <v>606</v>
      </c>
      <c r="E1206" s="22">
        <v>1</v>
      </c>
      <c r="F1206" s="18" t="s">
        <v>402</v>
      </c>
      <c r="G1206" s="18" t="s">
        <v>77</v>
      </c>
      <c r="H1206" s="18" t="s">
        <v>3</v>
      </c>
      <c r="I1206" s="18"/>
      <c r="J1206" s="18" t="s">
        <v>427</v>
      </c>
      <c r="K1206" s="19" t="s">
        <v>428</v>
      </c>
      <c r="L1206" s="19"/>
      <c r="M1206" s="19"/>
      <c r="N1206" s="19" t="s">
        <v>429</v>
      </c>
      <c r="O1206" s="143" t="s">
        <v>880</v>
      </c>
      <c r="P1206" s="143"/>
      <c r="Q1206" s="143"/>
      <c r="R1206" s="143"/>
      <c r="S1206" s="144"/>
      <c r="T1206" s="144"/>
      <c r="U1206" s="145"/>
      <c r="V1206" s="145"/>
      <c r="W1206" s="145"/>
      <c r="X1206" s="145">
        <f t="shared" si="414"/>
        <v>0</v>
      </c>
      <c r="Y1206" s="145"/>
      <c r="Z1206" s="145"/>
      <c r="AA1206" s="145"/>
      <c r="AB1206" s="145">
        <v>2473.4699999999998</v>
      </c>
      <c r="AC1206" s="145">
        <v>3626.4</v>
      </c>
      <c r="AD1206" s="145">
        <v>2104</v>
      </c>
      <c r="AE1206" s="145"/>
      <c r="AF1206" s="145"/>
      <c r="AG1206" s="145"/>
      <c r="AH1206" s="145"/>
      <c r="AI1206" s="145"/>
      <c r="AJ1206" s="145"/>
      <c r="AK1206" s="145">
        <f t="shared" si="415"/>
        <v>8203.869999999999</v>
      </c>
      <c r="AL1206" s="145"/>
      <c r="AM1206" s="145"/>
      <c r="AN1206" s="145"/>
      <c r="AO1206" s="145"/>
      <c r="AP1206" s="145"/>
      <c r="AQ1206" s="145"/>
      <c r="AR1206" s="145"/>
      <c r="AS1206" s="86"/>
      <c r="AT1206" s="144">
        <f>U1206+V1206+W1206+AK1206+AL1206+AM1206+AN1206+AO1206+AP1206+AQ1206+AR1206</f>
        <v>8203.869999999999</v>
      </c>
      <c r="AU1206" s="146"/>
      <c r="AV1206" s="146">
        <f>IFERROR(VLOOKUP(J1206,Maksājumu_pieprasījumu_iesn.!G:BL,57,0),0)</f>
        <v>0</v>
      </c>
      <c r="AW1206" s="139">
        <f t="shared" si="402"/>
        <v>0</v>
      </c>
      <c r="AX1206" s="147">
        <f t="shared" si="416"/>
        <v>0</v>
      </c>
      <c r="AY1206" s="147"/>
      <c r="AZ1206" s="147"/>
      <c r="BA1206" s="149"/>
      <c r="BB1206" s="144"/>
      <c r="BC1206" s="144"/>
      <c r="BD1206" s="144"/>
      <c r="BE1206" s="144"/>
      <c r="BF1206" s="144"/>
      <c r="BG1206" s="144"/>
      <c r="BH1206" s="149"/>
      <c r="BI1206" s="149"/>
      <c r="BJ1206" s="149"/>
      <c r="BK1206" s="149"/>
      <c r="BL1206" s="149"/>
      <c r="BM1206" s="149"/>
      <c r="BN1206" s="149"/>
    </row>
    <row r="1207" spans="1:66" ht="38.25" hidden="1" customHeight="1" x14ac:dyDescent="0.2">
      <c r="A1207" s="142" t="s">
        <v>2279</v>
      </c>
      <c r="B1207" s="18" t="s">
        <v>406</v>
      </c>
      <c r="C1207" s="18" t="s">
        <v>411</v>
      </c>
      <c r="D1207" s="19" t="s">
        <v>606</v>
      </c>
      <c r="E1207" s="18">
        <v>1</v>
      </c>
      <c r="F1207" s="18" t="s">
        <v>402</v>
      </c>
      <c r="G1207" s="18" t="s">
        <v>77</v>
      </c>
      <c r="H1207" s="18" t="s">
        <v>3</v>
      </c>
      <c r="I1207" s="18"/>
      <c r="J1207" s="18" t="s">
        <v>764</v>
      </c>
      <c r="K1207" s="19" t="s">
        <v>765</v>
      </c>
      <c r="L1207" s="19"/>
      <c r="M1207" s="19"/>
      <c r="N1207" s="19" t="s">
        <v>766</v>
      </c>
      <c r="O1207" s="143"/>
      <c r="P1207" s="143"/>
      <c r="Q1207" s="143"/>
      <c r="R1207" s="143">
        <v>42793</v>
      </c>
      <c r="S1207" s="144">
        <v>40387.75</v>
      </c>
      <c r="T1207" s="144"/>
      <c r="U1207" s="145">
        <v>0</v>
      </c>
      <c r="V1207" s="145">
        <v>0</v>
      </c>
      <c r="W1207" s="145">
        <v>0</v>
      </c>
      <c r="X1207" s="145">
        <f t="shared" si="414"/>
        <v>0</v>
      </c>
      <c r="Y1207" s="145">
        <v>0</v>
      </c>
      <c r="Z1207" s="145">
        <v>0</v>
      </c>
      <c r="AA1207" s="145">
        <v>0</v>
      </c>
      <c r="AB1207" s="145">
        <v>0</v>
      </c>
      <c r="AC1207" s="145">
        <v>0</v>
      </c>
      <c r="AD1207" s="145">
        <v>0</v>
      </c>
      <c r="AE1207" s="145">
        <v>0</v>
      </c>
      <c r="AF1207" s="145">
        <v>0</v>
      </c>
      <c r="AG1207" s="145">
        <v>2626.5</v>
      </c>
      <c r="AH1207" s="145">
        <v>0</v>
      </c>
      <c r="AI1207" s="145">
        <v>0</v>
      </c>
      <c r="AJ1207" s="145">
        <v>2538.1</v>
      </c>
      <c r="AK1207" s="145">
        <f t="shared" si="415"/>
        <v>5164.6000000000004</v>
      </c>
      <c r="AL1207" s="145">
        <v>17399.82</v>
      </c>
      <c r="AM1207" s="145">
        <v>15351</v>
      </c>
      <c r="AN1207" s="145">
        <v>2472.33</v>
      </c>
      <c r="AO1207" s="145">
        <v>0</v>
      </c>
      <c r="AP1207" s="145">
        <v>0</v>
      </c>
      <c r="AQ1207" s="145">
        <v>0</v>
      </c>
      <c r="AR1207" s="145">
        <v>0</v>
      </c>
      <c r="AS1207" s="144">
        <f>U1207+V1207+W1207+AK1207+AL1207+AM1207+AN1207+AO1207+AP1207+AQ1207+AR1207</f>
        <v>40387.75</v>
      </c>
      <c r="AT1207" s="144">
        <v>0</v>
      </c>
      <c r="AU1207" s="146">
        <f t="shared" si="417"/>
        <v>40387.75</v>
      </c>
      <c r="AV1207" s="146">
        <f>IFERROR(VLOOKUP(J1207,Maksājumu_pieprasījumu_iesn.!G:BL,57,0),0)</f>
        <v>0</v>
      </c>
      <c r="AW1207" s="139">
        <f t="shared" si="402"/>
        <v>-40387.75</v>
      </c>
      <c r="AX1207" s="147">
        <f t="shared" si="416"/>
        <v>0</v>
      </c>
      <c r="AY1207" s="147"/>
      <c r="AZ1207" s="147"/>
      <c r="BA1207" s="149"/>
      <c r="BB1207" s="144"/>
      <c r="BC1207" s="144"/>
      <c r="BD1207" s="144"/>
      <c r="BE1207" s="144"/>
      <c r="BF1207" s="144"/>
      <c r="BG1207" s="144"/>
      <c r="BH1207" s="149"/>
      <c r="BI1207" s="149"/>
      <c r="BJ1207" s="149"/>
      <c r="BK1207" s="149"/>
      <c r="BL1207" s="149"/>
      <c r="BM1207" s="149"/>
      <c r="BN1207" s="149"/>
    </row>
    <row r="1208" spans="1:66" ht="38.25" hidden="1" customHeight="1" x14ac:dyDescent="0.2">
      <c r="A1208" s="142" t="s">
        <v>2279</v>
      </c>
      <c r="B1208" s="18" t="s">
        <v>406</v>
      </c>
      <c r="C1208" s="18" t="s">
        <v>411</v>
      </c>
      <c r="D1208" s="19" t="s">
        <v>606</v>
      </c>
      <c r="E1208" s="22">
        <v>1</v>
      </c>
      <c r="F1208" s="18" t="s">
        <v>402</v>
      </c>
      <c r="G1208" s="18" t="s">
        <v>77</v>
      </c>
      <c r="H1208" s="18" t="s">
        <v>3</v>
      </c>
      <c r="I1208" s="18"/>
      <c r="J1208" s="18" t="s">
        <v>764</v>
      </c>
      <c r="K1208" s="19" t="s">
        <v>765</v>
      </c>
      <c r="L1208" s="19"/>
      <c r="M1208" s="19"/>
      <c r="N1208" s="19" t="s">
        <v>766</v>
      </c>
      <c r="O1208" s="143" t="s">
        <v>880</v>
      </c>
      <c r="P1208" s="143"/>
      <c r="Q1208" s="143"/>
      <c r="R1208" s="143"/>
      <c r="S1208" s="144"/>
      <c r="T1208" s="144"/>
      <c r="U1208" s="145"/>
      <c r="V1208" s="145"/>
      <c r="W1208" s="145"/>
      <c r="X1208" s="145">
        <f t="shared" si="414"/>
        <v>0</v>
      </c>
      <c r="Y1208" s="145"/>
      <c r="Z1208" s="145"/>
      <c r="AA1208" s="145"/>
      <c r="AB1208" s="145"/>
      <c r="AC1208" s="145"/>
      <c r="AD1208" s="145">
        <v>1700</v>
      </c>
      <c r="AE1208" s="145"/>
      <c r="AF1208" s="145"/>
      <c r="AG1208" s="145"/>
      <c r="AH1208" s="145"/>
      <c r="AI1208" s="145"/>
      <c r="AJ1208" s="145"/>
      <c r="AK1208" s="145">
        <f t="shared" si="415"/>
        <v>1700</v>
      </c>
      <c r="AL1208" s="145"/>
      <c r="AM1208" s="145"/>
      <c r="AN1208" s="145"/>
      <c r="AO1208" s="145"/>
      <c r="AP1208" s="145"/>
      <c r="AQ1208" s="145"/>
      <c r="AR1208" s="145"/>
      <c r="AS1208" s="86"/>
      <c r="AT1208" s="144">
        <f>U1208+V1208+W1208+AK1208+AL1208+AM1208+AN1208+AO1208+AP1208+AQ1208+AR1208</f>
        <v>1700</v>
      </c>
      <c r="AU1208" s="146"/>
      <c r="AV1208" s="146">
        <f>IFERROR(VLOOKUP(J1208,Maksājumu_pieprasījumu_iesn.!G:BL,57,0),0)</f>
        <v>0</v>
      </c>
      <c r="AW1208" s="139">
        <f t="shared" si="402"/>
        <v>0</v>
      </c>
      <c r="AX1208" s="147">
        <f t="shared" si="416"/>
        <v>0</v>
      </c>
      <c r="AY1208" s="147"/>
      <c r="AZ1208" s="147"/>
      <c r="BA1208" s="149"/>
      <c r="BB1208" s="144"/>
      <c r="BC1208" s="144"/>
      <c r="BD1208" s="144"/>
      <c r="BE1208" s="144"/>
      <c r="BF1208" s="144"/>
      <c r="BG1208" s="144"/>
      <c r="BH1208" s="149"/>
      <c r="BI1208" s="149"/>
      <c r="BJ1208" s="149"/>
      <c r="BK1208" s="149"/>
      <c r="BL1208" s="149"/>
      <c r="BM1208" s="149"/>
      <c r="BN1208" s="149"/>
    </row>
    <row r="1209" spans="1:66" ht="25.5" hidden="1" customHeight="1" x14ac:dyDescent="0.2">
      <c r="A1209" s="142" t="s">
        <v>2279</v>
      </c>
      <c r="B1209" s="18" t="s">
        <v>406</v>
      </c>
      <c r="C1209" s="18" t="s">
        <v>411</v>
      </c>
      <c r="D1209" s="19" t="s">
        <v>606</v>
      </c>
      <c r="E1209" s="18">
        <v>1</v>
      </c>
      <c r="F1209" s="18" t="s">
        <v>402</v>
      </c>
      <c r="G1209" s="18" t="s">
        <v>77</v>
      </c>
      <c r="H1209" s="18" t="s">
        <v>3</v>
      </c>
      <c r="I1209" s="18"/>
      <c r="J1209" s="18" t="s">
        <v>925</v>
      </c>
      <c r="K1209" s="19" t="s">
        <v>926</v>
      </c>
      <c r="L1209" s="19"/>
      <c r="M1209" s="19"/>
      <c r="N1209" s="19" t="s">
        <v>927</v>
      </c>
      <c r="O1209" s="143"/>
      <c r="P1209" s="143"/>
      <c r="Q1209" s="143"/>
      <c r="R1209" s="187" t="s">
        <v>2314</v>
      </c>
      <c r="S1209" s="144">
        <v>26996</v>
      </c>
      <c r="T1209" s="172"/>
      <c r="U1209" s="145">
        <v>0</v>
      </c>
      <c r="V1209" s="145">
        <v>0</v>
      </c>
      <c r="W1209" s="145">
        <v>0</v>
      </c>
      <c r="X1209" s="145">
        <f t="shared" si="414"/>
        <v>0</v>
      </c>
      <c r="Y1209" s="145">
        <v>0</v>
      </c>
      <c r="Z1209" s="145">
        <v>0</v>
      </c>
      <c r="AA1209" s="145">
        <v>0</v>
      </c>
      <c r="AB1209" s="145">
        <v>0</v>
      </c>
      <c r="AC1209" s="145">
        <v>0</v>
      </c>
      <c r="AD1209" s="145">
        <v>0</v>
      </c>
      <c r="AE1209" s="145">
        <v>0</v>
      </c>
      <c r="AF1209" s="145">
        <v>0</v>
      </c>
      <c r="AG1209" s="145">
        <v>0</v>
      </c>
      <c r="AH1209" s="145">
        <v>0</v>
      </c>
      <c r="AI1209" s="145">
        <v>0</v>
      </c>
      <c r="AJ1209" s="145">
        <v>0</v>
      </c>
      <c r="AK1209" s="145">
        <f t="shared" si="415"/>
        <v>0</v>
      </c>
      <c r="AL1209" s="145">
        <v>18895.5</v>
      </c>
      <c r="AM1209" s="145">
        <v>8100.5</v>
      </c>
      <c r="AN1209" s="145">
        <v>0</v>
      </c>
      <c r="AO1209" s="145">
        <v>0</v>
      </c>
      <c r="AP1209" s="145">
        <v>0</v>
      </c>
      <c r="AQ1209" s="145">
        <v>0</v>
      </c>
      <c r="AR1209" s="145">
        <v>0</v>
      </c>
      <c r="AS1209" s="144">
        <f>U1209+V1209+W1209+AK1209+AL1209+AM1209+AN1209+AO1209+AP1209+AQ1209+AR1209</f>
        <v>26996</v>
      </c>
      <c r="AT1209" s="144">
        <v>0</v>
      </c>
      <c r="AU1209" s="146">
        <f t="shared" si="417"/>
        <v>26996</v>
      </c>
      <c r="AV1209" s="146">
        <f>IFERROR(VLOOKUP(J1209,Maksājumu_pieprasījumu_iesn.!G:BL,57,0),0)</f>
        <v>0</v>
      </c>
      <c r="AW1209" s="139">
        <f t="shared" si="402"/>
        <v>-26996</v>
      </c>
      <c r="AX1209" s="147">
        <f t="shared" si="416"/>
        <v>0</v>
      </c>
      <c r="AY1209" s="147"/>
      <c r="AZ1209" s="147"/>
      <c r="BA1209" s="149"/>
      <c r="BB1209" s="144"/>
      <c r="BC1209" s="144"/>
      <c r="BD1209" s="144"/>
      <c r="BE1209" s="144"/>
      <c r="BF1209" s="144"/>
      <c r="BG1209" s="144"/>
      <c r="BH1209" s="149"/>
      <c r="BI1209" s="149"/>
      <c r="BJ1209" s="149"/>
      <c r="BK1209" s="149"/>
      <c r="BL1209" s="149"/>
      <c r="BM1209" s="149"/>
      <c r="BN1209" s="149"/>
    </row>
    <row r="1210" spans="1:66" ht="25.5" hidden="1" customHeight="1" x14ac:dyDescent="0.2">
      <c r="A1210" s="142" t="s">
        <v>2279</v>
      </c>
      <c r="B1210" s="18" t="s">
        <v>406</v>
      </c>
      <c r="C1210" s="18" t="s">
        <v>411</v>
      </c>
      <c r="D1210" s="19" t="s">
        <v>606</v>
      </c>
      <c r="E1210" s="22">
        <v>1</v>
      </c>
      <c r="F1210" s="18" t="s">
        <v>402</v>
      </c>
      <c r="G1210" s="18" t="s">
        <v>77</v>
      </c>
      <c r="H1210" s="18" t="s">
        <v>3</v>
      </c>
      <c r="I1210" s="18"/>
      <c r="J1210" s="18" t="s">
        <v>928</v>
      </c>
      <c r="K1210" s="19" t="s">
        <v>920</v>
      </c>
      <c r="L1210" s="19"/>
      <c r="M1210" s="19"/>
      <c r="N1210" s="19" t="s">
        <v>929</v>
      </c>
      <c r="O1210" s="143"/>
      <c r="P1210" s="143"/>
      <c r="Q1210" s="143"/>
      <c r="R1210" s="187">
        <v>42844</v>
      </c>
      <c r="S1210" s="144">
        <v>170422.45</v>
      </c>
      <c r="T1210" s="172"/>
      <c r="U1210" s="145">
        <v>0</v>
      </c>
      <c r="V1210" s="145">
        <v>0</v>
      </c>
      <c r="W1210" s="145">
        <v>0</v>
      </c>
      <c r="X1210" s="145">
        <f t="shared" si="414"/>
        <v>0</v>
      </c>
      <c r="Y1210" s="145">
        <v>0</v>
      </c>
      <c r="Z1210" s="145">
        <v>0</v>
      </c>
      <c r="AA1210" s="145">
        <v>0</v>
      </c>
      <c r="AB1210" s="145">
        <v>0</v>
      </c>
      <c r="AC1210" s="145">
        <v>0</v>
      </c>
      <c r="AD1210" s="145">
        <v>0</v>
      </c>
      <c r="AE1210" s="145">
        <v>0</v>
      </c>
      <c r="AF1210" s="145">
        <v>0</v>
      </c>
      <c r="AG1210" s="145">
        <v>0</v>
      </c>
      <c r="AH1210" s="145">
        <v>0</v>
      </c>
      <c r="AI1210" s="145">
        <v>0</v>
      </c>
      <c r="AJ1210" s="145">
        <v>0</v>
      </c>
      <c r="AK1210" s="145">
        <f t="shared" si="415"/>
        <v>0</v>
      </c>
      <c r="AL1210" s="145">
        <v>117196.29999999999</v>
      </c>
      <c r="AM1210" s="145">
        <v>53226.15</v>
      </c>
      <c r="AN1210" s="145">
        <v>0</v>
      </c>
      <c r="AO1210" s="145">
        <v>0</v>
      </c>
      <c r="AP1210" s="145">
        <v>0</v>
      </c>
      <c r="AQ1210" s="145">
        <v>0</v>
      </c>
      <c r="AR1210" s="145">
        <v>0</v>
      </c>
      <c r="AS1210" s="144">
        <f>U1210+V1210+W1210+AK1210+AL1210+AM1210+AN1210+AO1210+AP1210+AQ1210+AR1210</f>
        <v>170422.44999999998</v>
      </c>
      <c r="AT1210" s="144">
        <v>0</v>
      </c>
      <c r="AU1210" s="146">
        <f t="shared" si="417"/>
        <v>170422.44999999998</v>
      </c>
      <c r="AV1210" s="146">
        <f>IFERROR(VLOOKUP(J1210,Maksājumu_pieprasījumu_iesn.!G:BL,57,0),0)</f>
        <v>0</v>
      </c>
      <c r="AW1210" s="139">
        <f t="shared" si="402"/>
        <v>-170422.44999999998</v>
      </c>
      <c r="AX1210" s="147">
        <f t="shared" si="416"/>
        <v>0</v>
      </c>
      <c r="AY1210" s="147"/>
      <c r="AZ1210" s="147"/>
      <c r="BA1210" s="149"/>
      <c r="BB1210" s="144"/>
      <c r="BC1210" s="144"/>
      <c r="BD1210" s="144"/>
      <c r="BE1210" s="144"/>
      <c r="BF1210" s="144"/>
      <c r="BG1210" s="144"/>
      <c r="BH1210" s="149"/>
      <c r="BI1210" s="149"/>
      <c r="BJ1210" s="149"/>
      <c r="BK1210" s="149"/>
      <c r="BL1210" s="149"/>
      <c r="BM1210" s="149"/>
      <c r="BN1210" s="149"/>
    </row>
    <row r="1211" spans="1:66" ht="25.5" hidden="1" customHeight="1" x14ac:dyDescent="0.2">
      <c r="A1211" s="142" t="s">
        <v>2279</v>
      </c>
      <c r="B1211" s="18" t="s">
        <v>406</v>
      </c>
      <c r="C1211" s="18" t="s">
        <v>411</v>
      </c>
      <c r="D1211" s="19" t="s">
        <v>606</v>
      </c>
      <c r="E1211" s="18">
        <v>1</v>
      </c>
      <c r="F1211" s="18" t="s">
        <v>402</v>
      </c>
      <c r="G1211" s="18" t="s">
        <v>77</v>
      </c>
      <c r="H1211" s="18" t="s">
        <v>3</v>
      </c>
      <c r="I1211" s="18"/>
      <c r="J1211" s="18" t="s">
        <v>430</v>
      </c>
      <c r="K1211" s="19" t="s">
        <v>431</v>
      </c>
      <c r="L1211" s="19"/>
      <c r="M1211" s="19"/>
      <c r="N1211" s="19" t="s">
        <v>432</v>
      </c>
      <c r="O1211" s="143"/>
      <c r="P1211" s="143"/>
      <c r="Q1211" s="143"/>
      <c r="R1211" s="373">
        <v>42823</v>
      </c>
      <c r="S1211" s="144">
        <v>58307.45</v>
      </c>
      <c r="T1211" s="226"/>
      <c r="U1211" s="153">
        <v>0</v>
      </c>
      <c r="V1211" s="153">
        <v>0</v>
      </c>
      <c r="W1211" s="153">
        <v>0</v>
      </c>
      <c r="X1211" s="145">
        <f t="shared" si="414"/>
        <v>0</v>
      </c>
      <c r="Y1211" s="153">
        <v>0</v>
      </c>
      <c r="Z1211" s="153">
        <v>0</v>
      </c>
      <c r="AA1211" s="153">
        <v>0</v>
      </c>
      <c r="AB1211" s="153">
        <v>0</v>
      </c>
      <c r="AC1211" s="153">
        <v>0</v>
      </c>
      <c r="AD1211" s="153">
        <v>0</v>
      </c>
      <c r="AE1211" s="166">
        <v>5373.7</v>
      </c>
      <c r="AF1211" s="153">
        <v>0</v>
      </c>
      <c r="AG1211" s="153">
        <v>0</v>
      </c>
      <c r="AH1211" s="153">
        <v>3269.85</v>
      </c>
      <c r="AI1211" s="153">
        <v>0</v>
      </c>
      <c r="AJ1211" s="153">
        <v>0</v>
      </c>
      <c r="AK1211" s="145">
        <f t="shared" si="415"/>
        <v>8643.5499999999993</v>
      </c>
      <c r="AL1211" s="153">
        <v>27232.49</v>
      </c>
      <c r="AM1211" s="153">
        <v>19231.439999999999</v>
      </c>
      <c r="AN1211" s="153">
        <v>3199.97</v>
      </c>
      <c r="AO1211" s="153">
        <v>0</v>
      </c>
      <c r="AP1211" s="153">
        <v>0</v>
      </c>
      <c r="AQ1211" s="153">
        <v>0</v>
      </c>
      <c r="AR1211" s="153">
        <v>0</v>
      </c>
      <c r="AS1211" s="375">
        <f>U1211+V1211+W1211+AK1211+AL1211+AM1211+AN1211+AO1211+AP1211+AQ1211+AR1211</f>
        <v>58307.45</v>
      </c>
      <c r="AT1211" s="147">
        <v>0</v>
      </c>
      <c r="AU1211" s="146">
        <f t="shared" si="417"/>
        <v>58307.45</v>
      </c>
      <c r="AV1211" s="146">
        <f>IFERROR(VLOOKUP(J1211,Maksājumu_pieprasījumu_iesn.!G:BL,57,0),0)</f>
        <v>0</v>
      </c>
      <c r="AW1211" s="139">
        <f t="shared" si="402"/>
        <v>-58307.45</v>
      </c>
      <c r="AX1211" s="147">
        <f t="shared" si="416"/>
        <v>0</v>
      </c>
      <c r="AY1211" s="147"/>
      <c r="AZ1211" s="147"/>
      <c r="BA1211" s="149"/>
      <c r="BB1211" s="144"/>
      <c r="BC1211" s="144"/>
      <c r="BD1211" s="144"/>
      <c r="BE1211" s="144"/>
      <c r="BF1211" s="144"/>
      <c r="BG1211" s="144"/>
      <c r="BH1211" s="149"/>
      <c r="BI1211" s="149"/>
      <c r="BJ1211" s="149"/>
      <c r="BK1211" s="149"/>
      <c r="BL1211" s="149"/>
      <c r="BM1211" s="149"/>
      <c r="BN1211" s="149"/>
    </row>
    <row r="1212" spans="1:66" ht="25.5" hidden="1" customHeight="1" x14ac:dyDescent="0.2">
      <c r="A1212" s="142" t="s">
        <v>2279</v>
      </c>
      <c r="B1212" s="18" t="s">
        <v>406</v>
      </c>
      <c r="C1212" s="18" t="s">
        <v>411</v>
      </c>
      <c r="D1212" s="19" t="s">
        <v>606</v>
      </c>
      <c r="E1212" s="22">
        <v>1</v>
      </c>
      <c r="F1212" s="18" t="s">
        <v>402</v>
      </c>
      <c r="G1212" s="18" t="s">
        <v>77</v>
      </c>
      <c r="H1212" s="18" t="s">
        <v>3</v>
      </c>
      <c r="I1212" s="18"/>
      <c r="J1212" s="18" t="s">
        <v>430</v>
      </c>
      <c r="K1212" s="19" t="s">
        <v>431</v>
      </c>
      <c r="L1212" s="19"/>
      <c r="M1212" s="19"/>
      <c r="N1212" s="19" t="s">
        <v>432</v>
      </c>
      <c r="O1212" s="143" t="s">
        <v>880</v>
      </c>
      <c r="P1212" s="143"/>
      <c r="Q1212" s="143"/>
      <c r="R1212" s="373"/>
      <c r="S1212" s="144"/>
      <c r="T1212" s="226"/>
      <c r="U1212" s="153"/>
      <c r="V1212" s="153"/>
      <c r="W1212" s="153"/>
      <c r="X1212" s="145">
        <f t="shared" si="414"/>
        <v>0</v>
      </c>
      <c r="Y1212" s="153"/>
      <c r="Z1212" s="153"/>
      <c r="AA1212" s="153"/>
      <c r="AB1212" s="153"/>
      <c r="AC1212" s="153">
        <v>1394</v>
      </c>
      <c r="AD1212" s="166"/>
      <c r="AE1212" s="166">
        <v>6818.7</v>
      </c>
      <c r="AF1212" s="153"/>
      <c r="AG1212" s="153"/>
      <c r="AH1212" s="153"/>
      <c r="AI1212" s="153"/>
      <c r="AJ1212" s="153"/>
      <c r="AK1212" s="145">
        <f t="shared" si="415"/>
        <v>8212.7000000000007</v>
      </c>
      <c r="AL1212" s="153"/>
      <c r="AM1212" s="153"/>
      <c r="AN1212" s="153"/>
      <c r="AO1212" s="153"/>
      <c r="AP1212" s="153"/>
      <c r="AQ1212" s="153"/>
      <c r="AR1212" s="153"/>
      <c r="AS1212" s="86"/>
      <c r="AT1212" s="375">
        <f>U1212+V1212+W1212+AK1212+AL1212+AM1212+AN1212+AO1212+AP1212+AQ1212+AR1212</f>
        <v>8212.7000000000007</v>
      </c>
      <c r="AU1212" s="146"/>
      <c r="AV1212" s="146">
        <f>IFERROR(VLOOKUP(J1212,Maksājumu_pieprasījumu_iesn.!G:BL,57,0),0)</f>
        <v>0</v>
      </c>
      <c r="AW1212" s="139">
        <f t="shared" si="402"/>
        <v>0</v>
      </c>
      <c r="AX1212" s="147">
        <f t="shared" si="416"/>
        <v>0</v>
      </c>
      <c r="AY1212" s="147"/>
      <c r="AZ1212" s="147"/>
      <c r="BA1212" s="149"/>
      <c r="BB1212" s="144"/>
      <c r="BC1212" s="144"/>
      <c r="BD1212" s="144"/>
      <c r="BE1212" s="144"/>
      <c r="BF1212" s="144"/>
      <c r="BG1212" s="144"/>
      <c r="BH1212" s="149"/>
      <c r="BI1212" s="149"/>
      <c r="BJ1212" s="149"/>
      <c r="BK1212" s="149"/>
      <c r="BL1212" s="149"/>
      <c r="BM1212" s="149"/>
      <c r="BN1212" s="149"/>
    </row>
    <row r="1213" spans="1:66" ht="38.25" hidden="1" customHeight="1" x14ac:dyDescent="0.2">
      <c r="A1213" s="142" t="s">
        <v>2279</v>
      </c>
      <c r="B1213" s="18" t="s">
        <v>406</v>
      </c>
      <c r="C1213" s="18" t="s">
        <v>411</v>
      </c>
      <c r="D1213" s="19" t="s">
        <v>606</v>
      </c>
      <c r="E1213" s="18">
        <v>1</v>
      </c>
      <c r="F1213" s="18" t="s">
        <v>402</v>
      </c>
      <c r="G1213" s="18" t="s">
        <v>77</v>
      </c>
      <c r="H1213" s="18" t="s">
        <v>3</v>
      </c>
      <c r="I1213" s="18"/>
      <c r="J1213" s="18" t="s">
        <v>433</v>
      </c>
      <c r="K1213" s="19" t="s">
        <v>434</v>
      </c>
      <c r="L1213" s="19"/>
      <c r="M1213" s="19"/>
      <c r="N1213" s="19" t="s">
        <v>435</v>
      </c>
      <c r="O1213" s="143"/>
      <c r="P1213" s="143"/>
      <c r="Q1213" s="143"/>
      <c r="R1213" s="373">
        <v>42821</v>
      </c>
      <c r="S1213" s="144">
        <v>85675.75</v>
      </c>
      <c r="T1213" s="226"/>
      <c r="U1213" s="145">
        <v>0</v>
      </c>
      <c r="V1213" s="145">
        <v>0</v>
      </c>
      <c r="W1213" s="145">
        <v>0</v>
      </c>
      <c r="X1213" s="145">
        <f t="shared" si="414"/>
        <v>0</v>
      </c>
      <c r="Y1213" s="145">
        <v>0</v>
      </c>
      <c r="Z1213" s="145">
        <v>0</v>
      </c>
      <c r="AA1213" s="145">
        <v>0</v>
      </c>
      <c r="AB1213" s="145">
        <v>0</v>
      </c>
      <c r="AC1213" s="145">
        <v>0</v>
      </c>
      <c r="AD1213" s="145">
        <v>0</v>
      </c>
      <c r="AE1213" s="166">
        <v>10837.5</v>
      </c>
      <c r="AF1213" s="145">
        <v>0</v>
      </c>
      <c r="AG1213" s="145">
        <v>0</v>
      </c>
      <c r="AH1213" s="145">
        <v>10837.5</v>
      </c>
      <c r="AI1213" s="145">
        <v>0</v>
      </c>
      <c r="AJ1213" s="145">
        <v>0</v>
      </c>
      <c r="AK1213" s="145">
        <f t="shared" si="415"/>
        <v>21675</v>
      </c>
      <c r="AL1213" s="145">
        <v>28216.59</v>
      </c>
      <c r="AM1213" s="145">
        <v>28644.370000000003</v>
      </c>
      <c r="AN1213" s="145">
        <v>7139.79</v>
      </c>
      <c r="AO1213" s="145">
        <v>0</v>
      </c>
      <c r="AP1213" s="145">
        <v>0</v>
      </c>
      <c r="AQ1213" s="145">
        <v>0</v>
      </c>
      <c r="AR1213" s="145">
        <v>0</v>
      </c>
      <c r="AS1213" s="144">
        <f>U1213+V1213+W1213+AK1213+AL1213+AM1213+AN1213+AO1213+AP1213+AQ1213+AR1213</f>
        <v>85675.749999999985</v>
      </c>
      <c r="AT1213" s="144">
        <v>0</v>
      </c>
      <c r="AU1213" s="146">
        <f t="shared" si="417"/>
        <v>85675.749999999985</v>
      </c>
      <c r="AV1213" s="146">
        <f>IFERROR(VLOOKUP(J1213,Maksājumu_pieprasījumu_iesn.!G:BL,57,0),0)</f>
        <v>0</v>
      </c>
      <c r="AW1213" s="139">
        <f t="shared" si="402"/>
        <v>-85675.749999999985</v>
      </c>
      <c r="AX1213" s="147">
        <f t="shared" si="416"/>
        <v>0</v>
      </c>
      <c r="AY1213" s="147"/>
      <c r="AZ1213" s="147"/>
      <c r="BA1213" s="149"/>
      <c r="BB1213" s="144"/>
      <c r="BC1213" s="144"/>
      <c r="BD1213" s="144"/>
      <c r="BE1213" s="144"/>
      <c r="BF1213" s="144"/>
      <c r="BG1213" s="144"/>
      <c r="BH1213" s="149"/>
      <c r="BI1213" s="149"/>
      <c r="BJ1213" s="149"/>
      <c r="BK1213" s="149"/>
      <c r="BL1213" s="149"/>
      <c r="BM1213" s="149"/>
      <c r="BN1213" s="149"/>
    </row>
    <row r="1214" spans="1:66" ht="38.25" hidden="1" customHeight="1" x14ac:dyDescent="0.2">
      <c r="A1214" s="142" t="s">
        <v>2279</v>
      </c>
      <c r="B1214" s="18" t="s">
        <v>406</v>
      </c>
      <c r="C1214" s="18" t="s">
        <v>411</v>
      </c>
      <c r="D1214" s="19" t="s">
        <v>606</v>
      </c>
      <c r="E1214" s="22">
        <v>1</v>
      </c>
      <c r="F1214" s="18" t="s">
        <v>402</v>
      </c>
      <c r="G1214" s="18" t="s">
        <v>77</v>
      </c>
      <c r="H1214" s="18" t="s">
        <v>3</v>
      </c>
      <c r="I1214" s="18"/>
      <c r="J1214" s="18" t="s">
        <v>433</v>
      </c>
      <c r="K1214" s="19" t="s">
        <v>434</v>
      </c>
      <c r="L1214" s="19"/>
      <c r="M1214" s="19"/>
      <c r="N1214" s="19" t="s">
        <v>435</v>
      </c>
      <c r="O1214" s="143" t="s">
        <v>880</v>
      </c>
      <c r="P1214" s="143"/>
      <c r="Q1214" s="143"/>
      <c r="R1214" s="373"/>
      <c r="S1214" s="144"/>
      <c r="T1214" s="226"/>
      <c r="U1214" s="145"/>
      <c r="V1214" s="145"/>
      <c r="W1214" s="145"/>
      <c r="X1214" s="145">
        <f t="shared" si="414"/>
        <v>0</v>
      </c>
      <c r="Y1214" s="145"/>
      <c r="Z1214" s="145"/>
      <c r="AA1214" s="145"/>
      <c r="AB1214" s="145">
        <v>2388.87</v>
      </c>
      <c r="AC1214" s="145"/>
      <c r="AD1214" s="145">
        <v>10837.5</v>
      </c>
      <c r="AE1214" s="86"/>
      <c r="AF1214" s="145"/>
      <c r="AG1214" s="145"/>
      <c r="AH1214" s="145"/>
      <c r="AI1214" s="145"/>
      <c r="AJ1214" s="145">
        <v>2599.5500000000002</v>
      </c>
      <c r="AK1214" s="145">
        <f t="shared" si="415"/>
        <v>15825.919999999998</v>
      </c>
      <c r="AL1214" s="145"/>
      <c r="AM1214" s="145"/>
      <c r="AN1214" s="145"/>
      <c r="AO1214" s="145"/>
      <c r="AP1214" s="145"/>
      <c r="AQ1214" s="145"/>
      <c r="AR1214" s="145"/>
      <c r="AS1214" s="86"/>
      <c r="AT1214" s="144">
        <f>U1214+V1214+W1214+AK1214+AL1214+AM1214+AN1214+AO1214+AP1214+AQ1214+AR1214</f>
        <v>15825.919999999998</v>
      </c>
      <c r="AU1214" s="146"/>
      <c r="AV1214" s="146">
        <f>IFERROR(VLOOKUP(J1214,Maksājumu_pieprasījumu_iesn.!G:BL,57,0),0)</f>
        <v>0</v>
      </c>
      <c r="AW1214" s="139">
        <f t="shared" si="402"/>
        <v>0</v>
      </c>
      <c r="AX1214" s="147">
        <f t="shared" si="416"/>
        <v>0</v>
      </c>
      <c r="AY1214" s="147"/>
      <c r="AZ1214" s="147"/>
      <c r="BA1214" s="149"/>
      <c r="BB1214" s="144"/>
      <c r="BC1214" s="144"/>
      <c r="BD1214" s="144"/>
      <c r="BE1214" s="144"/>
      <c r="BF1214" s="144"/>
      <c r="BG1214" s="144"/>
      <c r="BH1214" s="149"/>
      <c r="BI1214" s="149"/>
      <c r="BJ1214" s="149"/>
      <c r="BK1214" s="149"/>
      <c r="BL1214" s="149"/>
      <c r="BM1214" s="149"/>
      <c r="BN1214" s="149"/>
    </row>
    <row r="1215" spans="1:66" ht="38.25" hidden="1" customHeight="1" x14ac:dyDescent="0.2">
      <c r="A1215" s="142" t="s">
        <v>2279</v>
      </c>
      <c r="B1215" s="18" t="s">
        <v>406</v>
      </c>
      <c r="C1215" s="18" t="s">
        <v>411</v>
      </c>
      <c r="D1215" s="19" t="s">
        <v>606</v>
      </c>
      <c r="E1215" s="18">
        <v>1</v>
      </c>
      <c r="F1215" s="18" t="s">
        <v>402</v>
      </c>
      <c r="G1215" s="18" t="s">
        <v>77</v>
      </c>
      <c r="H1215" s="18" t="s">
        <v>3</v>
      </c>
      <c r="I1215" s="18"/>
      <c r="J1215" s="18" t="s">
        <v>436</v>
      </c>
      <c r="K1215" s="19" t="s">
        <v>437</v>
      </c>
      <c r="L1215" s="19"/>
      <c r="M1215" s="19"/>
      <c r="N1215" s="19" t="s">
        <v>438</v>
      </c>
      <c r="O1215" s="143"/>
      <c r="P1215" s="143"/>
      <c r="Q1215" s="143"/>
      <c r="R1215" s="373">
        <v>42814</v>
      </c>
      <c r="S1215" s="144">
        <v>2975000</v>
      </c>
      <c r="T1215" s="226"/>
      <c r="U1215" s="145">
        <v>0</v>
      </c>
      <c r="V1215" s="145">
        <v>0</v>
      </c>
      <c r="W1215" s="145">
        <v>0</v>
      </c>
      <c r="X1215" s="145">
        <f t="shared" si="414"/>
        <v>0</v>
      </c>
      <c r="Y1215" s="145">
        <v>0</v>
      </c>
      <c r="Z1215" s="145">
        <v>0</v>
      </c>
      <c r="AA1215" s="145">
        <v>0</v>
      </c>
      <c r="AB1215" s="145">
        <v>0</v>
      </c>
      <c r="AC1215" s="145">
        <v>0</v>
      </c>
      <c r="AD1215" s="145">
        <v>23495.16</v>
      </c>
      <c r="AE1215" s="145">
        <v>0</v>
      </c>
      <c r="AF1215" s="145">
        <v>0</v>
      </c>
      <c r="AG1215" s="145">
        <v>300390</v>
      </c>
      <c r="AH1215" s="145">
        <v>0</v>
      </c>
      <c r="AI1215" s="145">
        <v>0</v>
      </c>
      <c r="AJ1215" s="145">
        <v>374964.92</v>
      </c>
      <c r="AK1215" s="145">
        <f t="shared" si="415"/>
        <v>698850.08</v>
      </c>
      <c r="AL1215" s="145">
        <v>888135.75</v>
      </c>
      <c r="AM1215" s="145">
        <v>1090514.1600000001</v>
      </c>
      <c r="AN1215" s="145">
        <v>297500.01</v>
      </c>
      <c r="AO1215" s="145">
        <v>0</v>
      </c>
      <c r="AP1215" s="145">
        <v>0</v>
      </c>
      <c r="AQ1215" s="145">
        <v>0</v>
      </c>
      <c r="AR1215" s="145">
        <v>0</v>
      </c>
      <c r="AS1215" s="144">
        <f>U1215+V1215+W1215+AK1215+AL1215+AM1215+AN1215+AO1215+AP1215+AQ1215+AR1215</f>
        <v>2975000</v>
      </c>
      <c r="AT1215" s="144">
        <v>0</v>
      </c>
      <c r="AU1215" s="146">
        <f t="shared" si="417"/>
        <v>2975000</v>
      </c>
      <c r="AV1215" s="146">
        <f>IFERROR(VLOOKUP(J1215,Maksājumu_pieprasījumu_iesn.!G:BL,57,0),0)</f>
        <v>0</v>
      </c>
      <c r="AW1215" s="139">
        <f t="shared" si="402"/>
        <v>-2975000</v>
      </c>
      <c r="AX1215" s="147">
        <f t="shared" si="416"/>
        <v>0</v>
      </c>
      <c r="AY1215" s="147"/>
      <c r="AZ1215" s="147"/>
      <c r="BA1215" s="149"/>
      <c r="BB1215" s="144"/>
      <c r="BC1215" s="144"/>
      <c r="BD1215" s="144"/>
      <c r="BE1215" s="144"/>
      <c r="BF1215" s="144"/>
      <c r="BG1215" s="144"/>
      <c r="BH1215" s="149"/>
      <c r="BI1215" s="149"/>
      <c r="BJ1215" s="149"/>
      <c r="BK1215" s="149"/>
      <c r="BL1215" s="149"/>
      <c r="BM1215" s="149"/>
      <c r="BN1215" s="149"/>
    </row>
    <row r="1216" spans="1:66" ht="38.25" hidden="1" customHeight="1" x14ac:dyDescent="0.2">
      <c r="A1216" s="142" t="s">
        <v>2279</v>
      </c>
      <c r="B1216" s="18" t="s">
        <v>406</v>
      </c>
      <c r="C1216" s="18" t="s">
        <v>411</v>
      </c>
      <c r="D1216" s="19" t="s">
        <v>606</v>
      </c>
      <c r="E1216" s="22">
        <v>1</v>
      </c>
      <c r="F1216" s="18" t="s">
        <v>402</v>
      </c>
      <c r="G1216" s="18" t="s">
        <v>77</v>
      </c>
      <c r="H1216" s="18" t="s">
        <v>3</v>
      </c>
      <c r="I1216" s="18"/>
      <c r="J1216" s="18" t="s">
        <v>436</v>
      </c>
      <c r="K1216" s="19" t="s">
        <v>437</v>
      </c>
      <c r="L1216" s="19"/>
      <c r="M1216" s="19"/>
      <c r="N1216" s="19" t="s">
        <v>438</v>
      </c>
      <c r="O1216" s="143" t="s">
        <v>880</v>
      </c>
      <c r="P1216" s="143"/>
      <c r="Q1216" s="143"/>
      <c r="R1216" s="373"/>
      <c r="S1216" s="144"/>
      <c r="T1216" s="226"/>
      <c r="U1216" s="145"/>
      <c r="V1216" s="145"/>
      <c r="W1216" s="145"/>
      <c r="X1216" s="145">
        <f t="shared" si="414"/>
        <v>0</v>
      </c>
      <c r="Y1216" s="145"/>
      <c r="Z1216" s="145"/>
      <c r="AA1216" s="145"/>
      <c r="AB1216" s="145">
        <v>29585.439999999999</v>
      </c>
      <c r="AC1216" s="145"/>
      <c r="AD1216" s="166"/>
      <c r="AE1216" s="166">
        <v>595000</v>
      </c>
      <c r="AF1216" s="145"/>
      <c r="AG1216" s="145"/>
      <c r="AH1216" s="145"/>
      <c r="AI1216" s="145"/>
      <c r="AJ1216" s="145"/>
      <c r="AK1216" s="145">
        <f t="shared" si="415"/>
        <v>624585.43999999994</v>
      </c>
      <c r="AL1216" s="145"/>
      <c r="AM1216" s="145"/>
      <c r="AN1216" s="145"/>
      <c r="AO1216" s="145"/>
      <c r="AP1216" s="145"/>
      <c r="AQ1216" s="145"/>
      <c r="AR1216" s="145"/>
      <c r="AS1216" s="86"/>
      <c r="AT1216" s="144">
        <f>U1216+V1216+W1216+AK1216+AL1216+AM1216+AN1216+AO1216+AP1216+AQ1216+AR1216</f>
        <v>624585.43999999994</v>
      </c>
      <c r="AU1216" s="146"/>
      <c r="AV1216" s="146">
        <f>IFERROR(VLOOKUP(J1216,Maksājumu_pieprasījumu_iesn.!G:BL,57,0),0)</f>
        <v>0</v>
      </c>
      <c r="AW1216" s="139">
        <f t="shared" si="402"/>
        <v>0</v>
      </c>
      <c r="AX1216" s="147">
        <f t="shared" si="416"/>
        <v>0</v>
      </c>
      <c r="AY1216" s="147"/>
      <c r="AZ1216" s="147"/>
      <c r="BA1216" s="149"/>
      <c r="BB1216" s="144"/>
      <c r="BC1216" s="144"/>
      <c r="BD1216" s="144"/>
      <c r="BE1216" s="144"/>
      <c r="BF1216" s="144"/>
      <c r="BG1216" s="144"/>
      <c r="BH1216" s="149"/>
      <c r="BI1216" s="149"/>
      <c r="BJ1216" s="149"/>
      <c r="BK1216" s="149"/>
      <c r="BL1216" s="149"/>
      <c r="BM1216" s="149"/>
      <c r="BN1216" s="149"/>
    </row>
    <row r="1217" spans="1:66" ht="38.25" hidden="1" customHeight="1" x14ac:dyDescent="0.2">
      <c r="A1217" s="142" t="s">
        <v>2279</v>
      </c>
      <c r="B1217" s="18" t="s">
        <v>406</v>
      </c>
      <c r="C1217" s="18" t="s">
        <v>411</v>
      </c>
      <c r="D1217" s="19" t="s">
        <v>606</v>
      </c>
      <c r="E1217" s="18">
        <v>1</v>
      </c>
      <c r="F1217" s="18" t="s">
        <v>402</v>
      </c>
      <c r="G1217" s="18" t="s">
        <v>77</v>
      </c>
      <c r="H1217" s="18" t="s">
        <v>3</v>
      </c>
      <c r="I1217" s="18"/>
      <c r="J1217" s="18" t="s">
        <v>872</v>
      </c>
      <c r="K1217" s="19" t="s">
        <v>873</v>
      </c>
      <c r="L1217" s="19"/>
      <c r="M1217" s="19"/>
      <c r="N1217" s="19" t="s">
        <v>874</v>
      </c>
      <c r="O1217" s="143"/>
      <c r="P1217" s="143"/>
      <c r="Q1217" s="143"/>
      <c r="R1217" s="373">
        <v>42838</v>
      </c>
      <c r="S1217" s="144">
        <v>60355.1</v>
      </c>
      <c r="T1217" s="226"/>
      <c r="U1217" s="153">
        <v>0</v>
      </c>
      <c r="V1217" s="153">
        <v>0</v>
      </c>
      <c r="W1217" s="153">
        <v>0</v>
      </c>
      <c r="X1217" s="145">
        <f t="shared" si="414"/>
        <v>0</v>
      </c>
      <c r="Y1217" s="153">
        <v>0</v>
      </c>
      <c r="Z1217" s="153">
        <v>0</v>
      </c>
      <c r="AA1217" s="153">
        <v>0</v>
      </c>
      <c r="AB1217" s="153">
        <v>0</v>
      </c>
      <c r="AC1217" s="153">
        <v>0</v>
      </c>
      <c r="AD1217" s="153">
        <v>0</v>
      </c>
      <c r="AE1217" s="166">
        <v>1810.5</v>
      </c>
      <c r="AF1217" s="153">
        <v>0</v>
      </c>
      <c r="AG1217" s="153">
        <v>0</v>
      </c>
      <c r="AH1217" s="153">
        <v>1300.5</v>
      </c>
      <c r="AI1217" s="153">
        <v>0</v>
      </c>
      <c r="AJ1217" s="153">
        <v>0</v>
      </c>
      <c r="AK1217" s="145">
        <f t="shared" si="415"/>
        <v>3111</v>
      </c>
      <c r="AL1217" s="153">
        <v>25374.989999999998</v>
      </c>
      <c r="AM1217" s="153">
        <v>19144.489999999998</v>
      </c>
      <c r="AN1217" s="153">
        <v>12724.62</v>
      </c>
      <c r="AO1217" s="153">
        <v>0</v>
      </c>
      <c r="AP1217" s="153">
        <v>0</v>
      </c>
      <c r="AQ1217" s="153">
        <v>0</v>
      </c>
      <c r="AR1217" s="153">
        <v>0</v>
      </c>
      <c r="AS1217" s="147">
        <f>U1217+V1217+W1217+AK1217+AL1217+AM1217+AN1217+AO1217+AP1217+AQ1217+AR1217</f>
        <v>60355.1</v>
      </c>
      <c r="AT1217" s="147">
        <v>0</v>
      </c>
      <c r="AU1217" s="146">
        <f t="shared" si="417"/>
        <v>60355.1</v>
      </c>
      <c r="AV1217" s="146">
        <f>IFERROR(VLOOKUP(J1217,Maksājumu_pieprasījumu_iesn.!G:BL,57,0),0)</f>
        <v>0</v>
      </c>
      <c r="AW1217" s="139">
        <f t="shared" si="402"/>
        <v>-60355.1</v>
      </c>
      <c r="AX1217" s="147">
        <f t="shared" si="416"/>
        <v>0</v>
      </c>
      <c r="AY1217" s="147"/>
      <c r="AZ1217" s="147"/>
      <c r="BA1217" s="149"/>
      <c r="BB1217" s="144"/>
      <c r="BC1217" s="144"/>
      <c r="BD1217" s="144"/>
      <c r="BE1217" s="144"/>
      <c r="BF1217" s="144"/>
      <c r="BG1217" s="144"/>
      <c r="BH1217" s="149"/>
      <c r="BI1217" s="149"/>
      <c r="BJ1217" s="149"/>
      <c r="BK1217" s="149"/>
      <c r="BL1217" s="149"/>
      <c r="BM1217" s="149"/>
      <c r="BN1217" s="149"/>
    </row>
    <row r="1218" spans="1:66" ht="38.25" hidden="1" customHeight="1" x14ac:dyDescent="0.2">
      <c r="A1218" s="142" t="s">
        <v>2279</v>
      </c>
      <c r="B1218" s="18" t="s">
        <v>406</v>
      </c>
      <c r="C1218" s="18" t="s">
        <v>411</v>
      </c>
      <c r="D1218" s="19" t="s">
        <v>606</v>
      </c>
      <c r="E1218" s="22">
        <v>1</v>
      </c>
      <c r="F1218" s="18" t="s">
        <v>402</v>
      </c>
      <c r="G1218" s="18" t="s">
        <v>77</v>
      </c>
      <c r="H1218" s="18" t="s">
        <v>3</v>
      </c>
      <c r="I1218" s="18"/>
      <c r="J1218" s="18" t="s">
        <v>872</v>
      </c>
      <c r="K1218" s="19" t="s">
        <v>873</v>
      </c>
      <c r="L1218" s="19"/>
      <c r="M1218" s="19"/>
      <c r="N1218" s="19" t="s">
        <v>874</v>
      </c>
      <c r="O1218" s="143" t="s">
        <v>880</v>
      </c>
      <c r="P1218" s="143"/>
      <c r="Q1218" s="143"/>
      <c r="R1218" s="373"/>
      <c r="S1218" s="144"/>
      <c r="T1218" s="226"/>
      <c r="U1218" s="153"/>
      <c r="V1218" s="153"/>
      <c r="W1218" s="153"/>
      <c r="X1218" s="145">
        <f t="shared" si="414"/>
        <v>0</v>
      </c>
      <c r="Y1218" s="153"/>
      <c r="Z1218" s="153"/>
      <c r="AA1218" s="153"/>
      <c r="AB1218" s="153"/>
      <c r="AC1218" s="153"/>
      <c r="AD1218" s="153"/>
      <c r="AE1218" s="153"/>
      <c r="AF1218" s="153"/>
      <c r="AG1218" s="153"/>
      <c r="AH1218" s="153">
        <v>15940.93</v>
      </c>
      <c r="AI1218" s="153"/>
      <c r="AJ1218" s="153"/>
      <c r="AK1218" s="145">
        <f t="shared" si="415"/>
        <v>15940.93</v>
      </c>
      <c r="AL1218" s="153"/>
      <c r="AM1218" s="153"/>
      <c r="AN1218" s="153"/>
      <c r="AO1218" s="153"/>
      <c r="AP1218" s="153"/>
      <c r="AQ1218" s="153"/>
      <c r="AR1218" s="153"/>
      <c r="AS1218" s="86"/>
      <c r="AT1218" s="147">
        <f>U1218+V1218+W1218+AK1218+AL1218+AM1218+AN1218+AO1218+AP1218+AQ1218+AR1218</f>
        <v>15940.93</v>
      </c>
      <c r="AU1218" s="146"/>
      <c r="AV1218" s="146">
        <f>IFERROR(VLOOKUP(J1218,Maksājumu_pieprasījumu_iesn.!G:BL,57,0),0)</f>
        <v>0</v>
      </c>
      <c r="AW1218" s="139">
        <f t="shared" si="402"/>
        <v>0</v>
      </c>
      <c r="AX1218" s="147">
        <f t="shared" si="416"/>
        <v>0</v>
      </c>
      <c r="AY1218" s="147"/>
      <c r="AZ1218" s="147"/>
      <c r="BA1218" s="149"/>
      <c r="BB1218" s="144"/>
      <c r="BC1218" s="144"/>
      <c r="BD1218" s="144"/>
      <c r="BE1218" s="144"/>
      <c r="BF1218" s="144"/>
      <c r="BG1218" s="144"/>
      <c r="BH1218" s="149"/>
      <c r="BI1218" s="149"/>
      <c r="BJ1218" s="149"/>
      <c r="BK1218" s="149"/>
      <c r="BL1218" s="149"/>
      <c r="BM1218" s="149"/>
      <c r="BN1218" s="149"/>
    </row>
    <row r="1219" spans="1:66" ht="38.25" hidden="1" customHeight="1" x14ac:dyDescent="0.2">
      <c r="A1219" s="142" t="s">
        <v>2279</v>
      </c>
      <c r="B1219" s="18" t="s">
        <v>406</v>
      </c>
      <c r="C1219" s="18" t="s">
        <v>411</v>
      </c>
      <c r="D1219" s="19" t="s">
        <v>606</v>
      </c>
      <c r="E1219" s="18">
        <v>1</v>
      </c>
      <c r="F1219" s="18" t="s">
        <v>402</v>
      </c>
      <c r="G1219" s="18" t="s">
        <v>77</v>
      </c>
      <c r="H1219" s="18" t="s">
        <v>3</v>
      </c>
      <c r="I1219" s="18"/>
      <c r="J1219" s="18" t="s">
        <v>771</v>
      </c>
      <c r="K1219" s="19" t="s">
        <v>703</v>
      </c>
      <c r="L1219" s="19"/>
      <c r="M1219" s="19"/>
      <c r="N1219" s="19" t="s">
        <v>767</v>
      </c>
      <c r="O1219" s="143"/>
      <c r="P1219" s="143"/>
      <c r="Q1219" s="143"/>
      <c r="R1219" s="373" t="s">
        <v>2315</v>
      </c>
      <c r="S1219" s="144">
        <v>81826.95</v>
      </c>
      <c r="T1219" s="226"/>
      <c r="U1219" s="145">
        <v>0</v>
      </c>
      <c r="V1219" s="145">
        <v>0</v>
      </c>
      <c r="W1219" s="145">
        <v>0</v>
      </c>
      <c r="X1219" s="145">
        <f t="shared" si="414"/>
        <v>0</v>
      </c>
      <c r="Y1219" s="145">
        <v>0</v>
      </c>
      <c r="Z1219" s="145">
        <v>0</v>
      </c>
      <c r="AA1219" s="145">
        <v>0</v>
      </c>
      <c r="AB1219" s="145">
        <v>0</v>
      </c>
      <c r="AC1219" s="145">
        <v>0</v>
      </c>
      <c r="AD1219" s="145">
        <v>0</v>
      </c>
      <c r="AE1219" s="145">
        <v>0</v>
      </c>
      <c r="AF1219" s="145">
        <v>0</v>
      </c>
      <c r="AG1219" s="145">
        <v>20490.55</v>
      </c>
      <c r="AH1219" s="145">
        <v>0</v>
      </c>
      <c r="AI1219" s="145">
        <v>0</v>
      </c>
      <c r="AJ1219" s="145">
        <v>5084.25</v>
      </c>
      <c r="AK1219" s="145">
        <f t="shared" si="415"/>
        <v>25574.799999999999</v>
      </c>
      <c r="AL1219" s="145">
        <v>28125.65</v>
      </c>
      <c r="AM1219" s="145">
        <v>26911.21</v>
      </c>
      <c r="AN1219" s="145">
        <v>1215.29</v>
      </c>
      <c r="AO1219" s="145">
        <v>0</v>
      </c>
      <c r="AP1219" s="145">
        <v>0</v>
      </c>
      <c r="AQ1219" s="145">
        <v>0</v>
      </c>
      <c r="AR1219" s="145">
        <v>0</v>
      </c>
      <c r="AS1219" s="144">
        <f>U1219+V1219+W1219+AK1219+AL1219+AM1219+AN1219+AO1219+AP1219+AQ1219+AR1219</f>
        <v>81826.95</v>
      </c>
      <c r="AT1219" s="144">
        <v>0</v>
      </c>
      <c r="AU1219" s="146">
        <f t="shared" si="417"/>
        <v>81826.95</v>
      </c>
      <c r="AV1219" s="146">
        <f>IFERROR(VLOOKUP(J1219,Maksājumu_pieprasījumu_iesn.!G:BL,57,0),0)</f>
        <v>0</v>
      </c>
      <c r="AW1219" s="139">
        <f t="shared" si="402"/>
        <v>-81826.95</v>
      </c>
      <c r="AX1219" s="147">
        <f t="shared" si="416"/>
        <v>0</v>
      </c>
      <c r="AY1219" s="147"/>
      <c r="AZ1219" s="147"/>
      <c r="BA1219" s="149"/>
      <c r="BB1219" s="144"/>
      <c r="BC1219" s="144"/>
      <c r="BD1219" s="144"/>
      <c r="BE1219" s="144"/>
      <c r="BF1219" s="144"/>
      <c r="BG1219" s="144"/>
      <c r="BH1219" s="149"/>
      <c r="BI1219" s="149"/>
      <c r="BJ1219" s="149"/>
      <c r="BK1219" s="149"/>
      <c r="BL1219" s="149"/>
      <c r="BM1219" s="149"/>
      <c r="BN1219" s="149"/>
    </row>
    <row r="1220" spans="1:66" ht="38.25" hidden="1" customHeight="1" x14ac:dyDescent="0.2">
      <c r="A1220" s="142" t="s">
        <v>2279</v>
      </c>
      <c r="B1220" s="18" t="s">
        <v>406</v>
      </c>
      <c r="C1220" s="18" t="s">
        <v>411</v>
      </c>
      <c r="D1220" s="19" t="s">
        <v>606</v>
      </c>
      <c r="E1220" s="18">
        <v>2</v>
      </c>
      <c r="F1220" s="18" t="s">
        <v>402</v>
      </c>
      <c r="G1220" s="18" t="s">
        <v>77</v>
      </c>
      <c r="H1220" s="18" t="s">
        <v>3</v>
      </c>
      <c r="I1220" s="18"/>
      <c r="J1220" s="18" t="s">
        <v>771</v>
      </c>
      <c r="K1220" s="19" t="s">
        <v>703</v>
      </c>
      <c r="L1220" s="19"/>
      <c r="M1220" s="19"/>
      <c r="N1220" s="19" t="s">
        <v>767</v>
      </c>
      <c r="O1220" s="143" t="s">
        <v>880</v>
      </c>
      <c r="P1220" s="143"/>
      <c r="Q1220" s="143"/>
      <c r="R1220" s="373"/>
      <c r="S1220" s="144"/>
      <c r="T1220" s="226"/>
      <c r="U1220" s="145"/>
      <c r="V1220" s="145"/>
      <c r="W1220" s="145"/>
      <c r="X1220" s="145"/>
      <c r="Y1220" s="145"/>
      <c r="Z1220" s="145"/>
      <c r="AA1220" s="145"/>
      <c r="AB1220" s="145"/>
      <c r="AC1220" s="145"/>
      <c r="AD1220" s="145">
        <v>2857.39</v>
      </c>
      <c r="AE1220" s="145"/>
      <c r="AF1220" s="145"/>
      <c r="AG1220" s="145"/>
      <c r="AH1220" s="145"/>
      <c r="AI1220" s="145"/>
      <c r="AJ1220" s="145"/>
      <c r="AK1220" s="145"/>
      <c r="AL1220" s="145"/>
      <c r="AM1220" s="145"/>
      <c r="AN1220" s="145"/>
      <c r="AO1220" s="145"/>
      <c r="AP1220" s="145"/>
      <c r="AQ1220" s="145"/>
      <c r="AR1220" s="145"/>
      <c r="AS1220" s="144"/>
      <c r="AT1220" s="144"/>
      <c r="AU1220" s="146"/>
      <c r="AV1220" s="146">
        <f>IFERROR(VLOOKUP(J1220,Maksājumu_pieprasījumu_iesn.!G:BL,57,0),0)</f>
        <v>0</v>
      </c>
      <c r="AW1220" s="139">
        <f t="shared" si="402"/>
        <v>0</v>
      </c>
      <c r="AX1220" s="147"/>
      <c r="AY1220" s="147"/>
      <c r="AZ1220" s="147"/>
      <c r="BA1220" s="149"/>
      <c r="BB1220" s="144"/>
      <c r="BC1220" s="144"/>
      <c r="BD1220" s="144"/>
      <c r="BE1220" s="144"/>
      <c r="BF1220" s="144"/>
      <c r="BG1220" s="144"/>
      <c r="BH1220" s="149"/>
      <c r="BI1220" s="149"/>
      <c r="BJ1220" s="149"/>
      <c r="BK1220" s="149"/>
      <c r="BL1220" s="149"/>
      <c r="BM1220" s="149"/>
      <c r="BN1220" s="149"/>
    </row>
    <row r="1221" spans="1:66" ht="38.25" hidden="1" customHeight="1" x14ac:dyDescent="0.2">
      <c r="A1221" s="142" t="s">
        <v>2279</v>
      </c>
      <c r="B1221" s="18" t="s">
        <v>406</v>
      </c>
      <c r="C1221" s="18" t="s">
        <v>411</v>
      </c>
      <c r="D1221" s="19" t="s">
        <v>606</v>
      </c>
      <c r="E1221" s="22">
        <v>1</v>
      </c>
      <c r="F1221" s="18" t="s">
        <v>402</v>
      </c>
      <c r="G1221" s="18" t="s">
        <v>77</v>
      </c>
      <c r="H1221" s="18" t="s">
        <v>3</v>
      </c>
      <c r="I1221" s="18"/>
      <c r="J1221" s="18" t="s">
        <v>930</v>
      </c>
      <c r="K1221" s="19" t="s">
        <v>143</v>
      </c>
      <c r="L1221" s="19"/>
      <c r="M1221" s="19"/>
      <c r="N1221" s="19" t="s">
        <v>931</v>
      </c>
      <c r="O1221" s="143"/>
      <c r="P1221" s="143"/>
      <c r="Q1221" s="143"/>
      <c r="R1221" s="373">
        <v>42846</v>
      </c>
      <c r="S1221" s="144">
        <v>140125.9</v>
      </c>
      <c r="T1221" s="226"/>
      <c r="U1221" s="145">
        <v>0</v>
      </c>
      <c r="V1221" s="145">
        <v>0</v>
      </c>
      <c r="W1221" s="145">
        <v>0</v>
      </c>
      <c r="X1221" s="145">
        <f t="shared" si="414"/>
        <v>0</v>
      </c>
      <c r="Y1221" s="145">
        <v>0</v>
      </c>
      <c r="Z1221" s="145">
        <v>0</v>
      </c>
      <c r="AA1221" s="145">
        <v>0</v>
      </c>
      <c r="AB1221" s="145">
        <v>0</v>
      </c>
      <c r="AC1221" s="145">
        <v>0</v>
      </c>
      <c r="AD1221" s="145">
        <v>0</v>
      </c>
      <c r="AE1221" s="145">
        <v>0</v>
      </c>
      <c r="AF1221" s="145">
        <v>0</v>
      </c>
      <c r="AG1221" s="145">
        <v>0</v>
      </c>
      <c r="AH1221" s="145">
        <v>0</v>
      </c>
      <c r="AI1221" s="145">
        <v>0</v>
      </c>
      <c r="AJ1221" s="145">
        <v>0</v>
      </c>
      <c r="AK1221" s="145">
        <f t="shared" ref="AK1221:AK1284" si="418">SUM(Y1221:AJ1221)</f>
        <v>0</v>
      </c>
      <c r="AL1221" s="145">
        <v>93417.26999999999</v>
      </c>
      <c r="AM1221" s="145">
        <v>46708.63</v>
      </c>
      <c r="AN1221" s="145">
        <v>0</v>
      </c>
      <c r="AO1221" s="145">
        <v>0</v>
      </c>
      <c r="AP1221" s="145">
        <v>0</v>
      </c>
      <c r="AQ1221" s="145">
        <v>0</v>
      </c>
      <c r="AR1221" s="145">
        <v>0</v>
      </c>
      <c r="AS1221" s="144">
        <f t="shared" ref="AS1221:AS1232" si="419">U1221+V1221+W1221+AK1221+AL1221+AM1221+AN1221+AO1221+AP1221+AQ1221+AR1221</f>
        <v>140125.9</v>
      </c>
      <c r="AT1221" s="144">
        <v>0</v>
      </c>
      <c r="AU1221" s="146">
        <f t="shared" si="417"/>
        <v>140125.9</v>
      </c>
      <c r="AV1221" s="146">
        <f>IFERROR(VLOOKUP(J1221,Maksājumu_pieprasījumu_iesn.!G:BL,57,0),0)</f>
        <v>0</v>
      </c>
      <c r="AW1221" s="139">
        <f t="shared" si="402"/>
        <v>-140125.9</v>
      </c>
      <c r="AX1221" s="147">
        <f t="shared" ref="AX1221:AX1252" si="420">S1221-AS1221</f>
        <v>0</v>
      </c>
      <c r="AY1221" s="147"/>
      <c r="AZ1221" s="147"/>
      <c r="BA1221" s="149"/>
      <c r="BB1221" s="144"/>
      <c r="BC1221" s="144"/>
      <c r="BD1221" s="144"/>
      <c r="BE1221" s="144"/>
      <c r="BF1221" s="144"/>
      <c r="BG1221" s="144"/>
      <c r="BH1221" s="149"/>
      <c r="BI1221" s="149"/>
      <c r="BJ1221" s="149"/>
      <c r="BK1221" s="149"/>
      <c r="BL1221" s="149"/>
      <c r="BM1221" s="149"/>
      <c r="BN1221" s="149"/>
    </row>
    <row r="1222" spans="1:66" ht="25.5" hidden="1" customHeight="1" x14ac:dyDescent="0.2">
      <c r="A1222" s="310" t="s">
        <v>2279</v>
      </c>
      <c r="B1222" s="238" t="s">
        <v>406</v>
      </c>
      <c r="C1222" s="238" t="s">
        <v>411</v>
      </c>
      <c r="D1222" s="239" t="s">
        <v>606</v>
      </c>
      <c r="E1222" s="18">
        <v>1</v>
      </c>
      <c r="F1222" s="238" t="s">
        <v>402</v>
      </c>
      <c r="G1222" s="238" t="s">
        <v>77</v>
      </c>
      <c r="H1222" s="238" t="s">
        <v>3</v>
      </c>
      <c r="I1222" s="238"/>
      <c r="J1222" s="238" t="s">
        <v>2316</v>
      </c>
      <c r="K1222" s="239" t="s">
        <v>2317</v>
      </c>
      <c r="L1222" s="239"/>
      <c r="M1222" s="239"/>
      <c r="N1222" s="239" t="s">
        <v>2318</v>
      </c>
      <c r="O1222" s="311"/>
      <c r="P1222" s="311"/>
      <c r="Q1222" s="311"/>
      <c r="R1222" s="376" t="s">
        <v>2319</v>
      </c>
      <c r="S1222" s="194">
        <v>0</v>
      </c>
      <c r="T1222" s="377"/>
      <c r="U1222" s="244">
        <v>0</v>
      </c>
      <c r="V1222" s="244">
        <v>0</v>
      </c>
      <c r="W1222" s="244">
        <v>0</v>
      </c>
      <c r="X1222" s="244">
        <f t="shared" si="414"/>
        <v>0</v>
      </c>
      <c r="Y1222" s="244">
        <v>0</v>
      </c>
      <c r="Z1222" s="244">
        <v>0</v>
      </c>
      <c r="AA1222" s="244">
        <v>0</v>
      </c>
      <c r="AB1222" s="244">
        <v>0</v>
      </c>
      <c r="AC1222" s="244">
        <v>0</v>
      </c>
      <c r="AD1222" s="244">
        <v>0</v>
      </c>
      <c r="AE1222" s="244">
        <v>0</v>
      </c>
      <c r="AF1222" s="244">
        <v>0</v>
      </c>
      <c r="AG1222" s="244">
        <v>0</v>
      </c>
      <c r="AH1222" s="244">
        <v>0</v>
      </c>
      <c r="AI1222" s="244">
        <v>0</v>
      </c>
      <c r="AJ1222" s="244">
        <v>0</v>
      </c>
      <c r="AK1222" s="145">
        <f t="shared" si="418"/>
        <v>0</v>
      </c>
      <c r="AL1222" s="244">
        <v>0</v>
      </c>
      <c r="AM1222" s="244">
        <v>0</v>
      </c>
      <c r="AN1222" s="244">
        <v>0</v>
      </c>
      <c r="AO1222" s="244">
        <v>0</v>
      </c>
      <c r="AP1222" s="244">
        <v>0</v>
      </c>
      <c r="AQ1222" s="244">
        <v>0</v>
      </c>
      <c r="AR1222" s="244">
        <v>0</v>
      </c>
      <c r="AS1222" s="194">
        <f t="shared" si="419"/>
        <v>0</v>
      </c>
      <c r="AT1222" s="144">
        <v>0</v>
      </c>
      <c r="AU1222" s="146">
        <f t="shared" si="417"/>
        <v>0</v>
      </c>
      <c r="AV1222" s="146">
        <f>IFERROR(VLOOKUP(J1222,Maksājumu_pieprasījumu_iesn.!G:BL,57,0),0)</f>
        <v>0</v>
      </c>
      <c r="AW1222" s="139">
        <f t="shared" si="402"/>
        <v>0</v>
      </c>
      <c r="AX1222" s="147">
        <f t="shared" si="420"/>
        <v>0</v>
      </c>
      <c r="AY1222" s="194"/>
      <c r="AZ1222" s="194"/>
      <c r="BA1222" s="313" t="s">
        <v>2320</v>
      </c>
      <c r="BB1222" s="194"/>
      <c r="BC1222" s="194"/>
      <c r="BD1222" s="194"/>
      <c r="BE1222" s="194"/>
      <c r="BF1222" s="194"/>
      <c r="BG1222" s="194"/>
      <c r="BH1222" s="313"/>
      <c r="BI1222" s="313"/>
      <c r="BJ1222" s="313"/>
      <c r="BK1222" s="313"/>
      <c r="BL1222" s="313"/>
      <c r="BM1222" s="313"/>
      <c r="BN1222" s="313"/>
    </row>
    <row r="1223" spans="1:66" ht="67.5" hidden="1" customHeight="1" x14ac:dyDescent="0.2">
      <c r="A1223" s="142" t="s">
        <v>2279</v>
      </c>
      <c r="B1223" s="18" t="s">
        <v>406</v>
      </c>
      <c r="C1223" s="18" t="s">
        <v>411</v>
      </c>
      <c r="D1223" s="19" t="s">
        <v>606</v>
      </c>
      <c r="E1223" s="22">
        <v>1</v>
      </c>
      <c r="F1223" s="18" t="s">
        <v>402</v>
      </c>
      <c r="G1223" s="18" t="s">
        <v>77</v>
      </c>
      <c r="H1223" s="18" t="s">
        <v>3</v>
      </c>
      <c r="I1223" s="18"/>
      <c r="J1223" s="18" t="s">
        <v>2321</v>
      </c>
      <c r="K1223" s="19" t="s">
        <v>2322</v>
      </c>
      <c r="L1223" s="19"/>
      <c r="M1223" s="19"/>
      <c r="N1223" s="19" t="s">
        <v>2323</v>
      </c>
      <c r="O1223" s="143"/>
      <c r="P1223" s="143"/>
      <c r="Q1223" s="143"/>
      <c r="R1223" s="373" t="s">
        <v>2315</v>
      </c>
      <c r="S1223" s="144">
        <v>193929.85</v>
      </c>
      <c r="T1223" s="226"/>
      <c r="U1223" s="145">
        <v>0</v>
      </c>
      <c r="V1223" s="145">
        <v>0</v>
      </c>
      <c r="W1223" s="145">
        <v>0</v>
      </c>
      <c r="X1223" s="145">
        <f t="shared" si="414"/>
        <v>0</v>
      </c>
      <c r="Y1223" s="145">
        <v>0</v>
      </c>
      <c r="Z1223" s="145">
        <v>0</v>
      </c>
      <c r="AA1223" s="145">
        <v>0</v>
      </c>
      <c r="AB1223" s="145">
        <v>0</v>
      </c>
      <c r="AC1223" s="145">
        <v>0</v>
      </c>
      <c r="AD1223" s="145">
        <v>0</v>
      </c>
      <c r="AE1223" s="145">
        <v>0</v>
      </c>
      <c r="AF1223" s="145">
        <v>0</v>
      </c>
      <c r="AG1223" s="145">
        <v>0</v>
      </c>
      <c r="AH1223" s="145">
        <v>0</v>
      </c>
      <c r="AI1223" s="145">
        <v>0</v>
      </c>
      <c r="AJ1223" s="145">
        <v>0</v>
      </c>
      <c r="AK1223" s="145">
        <f t="shared" si="418"/>
        <v>0</v>
      </c>
      <c r="AL1223" s="145">
        <v>160959.4</v>
      </c>
      <c r="AM1223" s="145">
        <v>40239.85</v>
      </c>
      <c r="AN1223" s="145">
        <v>0</v>
      </c>
      <c r="AO1223" s="145">
        <v>0</v>
      </c>
      <c r="AP1223" s="145">
        <v>0</v>
      </c>
      <c r="AQ1223" s="145">
        <v>0</v>
      </c>
      <c r="AR1223" s="145">
        <v>0</v>
      </c>
      <c r="AS1223" s="144">
        <f t="shared" si="419"/>
        <v>201199.25</v>
      </c>
      <c r="AT1223" s="144">
        <v>0</v>
      </c>
      <c r="AU1223" s="146">
        <f t="shared" si="417"/>
        <v>201199.25</v>
      </c>
      <c r="AV1223" s="146">
        <f>IFERROR(VLOOKUP(J1223,Maksājumu_pieprasījumu_iesn.!G:BL,57,0),0)</f>
        <v>0</v>
      </c>
      <c r="AW1223" s="139">
        <f t="shared" si="402"/>
        <v>-201199.25</v>
      </c>
      <c r="AX1223" s="147">
        <f t="shared" si="420"/>
        <v>-7269.3999999999942</v>
      </c>
      <c r="AY1223" s="147"/>
      <c r="AZ1223" s="146" t="s">
        <v>1424</v>
      </c>
      <c r="BA1223" s="149" t="s">
        <v>1424</v>
      </c>
      <c r="BB1223" s="144"/>
      <c r="BC1223" s="144"/>
      <c r="BD1223" s="144"/>
      <c r="BE1223" s="144"/>
      <c r="BF1223" s="144"/>
      <c r="BG1223" s="144"/>
      <c r="BH1223" s="149"/>
      <c r="BI1223" s="149"/>
      <c r="BJ1223" s="149"/>
      <c r="BK1223" s="149"/>
      <c r="BL1223" s="149"/>
      <c r="BM1223" s="149"/>
      <c r="BN1223" s="149"/>
    </row>
    <row r="1224" spans="1:66" ht="25.5" hidden="1" customHeight="1" x14ac:dyDescent="0.2">
      <c r="A1224" s="142" t="s">
        <v>2279</v>
      </c>
      <c r="B1224" s="18" t="s">
        <v>406</v>
      </c>
      <c r="C1224" s="18" t="s">
        <v>411</v>
      </c>
      <c r="D1224" s="19" t="s">
        <v>606</v>
      </c>
      <c r="E1224" s="18">
        <v>1</v>
      </c>
      <c r="F1224" s="18" t="s">
        <v>402</v>
      </c>
      <c r="G1224" s="18" t="s">
        <v>77</v>
      </c>
      <c r="H1224" s="18" t="s">
        <v>3</v>
      </c>
      <c r="I1224" s="18"/>
      <c r="J1224" s="18" t="s">
        <v>788</v>
      </c>
      <c r="K1224" s="19" t="s">
        <v>822</v>
      </c>
      <c r="L1224" s="19"/>
      <c r="M1224" s="19"/>
      <c r="N1224" s="19" t="s">
        <v>823</v>
      </c>
      <c r="O1224" s="143"/>
      <c r="P1224" s="143"/>
      <c r="Q1224" s="143"/>
      <c r="R1224" s="373">
        <v>42849</v>
      </c>
      <c r="S1224" s="144">
        <v>327834.8</v>
      </c>
      <c r="T1224" s="226"/>
      <c r="U1224" s="145">
        <v>0</v>
      </c>
      <c r="V1224" s="145">
        <v>0</v>
      </c>
      <c r="W1224" s="145">
        <v>0</v>
      </c>
      <c r="X1224" s="145">
        <f t="shared" si="414"/>
        <v>0</v>
      </c>
      <c r="Y1224" s="145">
        <v>0</v>
      </c>
      <c r="Z1224" s="145">
        <v>0</v>
      </c>
      <c r="AA1224" s="145">
        <v>0</v>
      </c>
      <c r="AB1224" s="145">
        <v>0</v>
      </c>
      <c r="AC1224" s="145">
        <v>0</v>
      </c>
      <c r="AD1224" s="145">
        <v>0</v>
      </c>
      <c r="AE1224" s="145">
        <v>0</v>
      </c>
      <c r="AF1224" s="145">
        <v>0</v>
      </c>
      <c r="AG1224" s="145">
        <v>0</v>
      </c>
      <c r="AH1224" s="145">
        <v>0</v>
      </c>
      <c r="AI1224" s="145">
        <v>0</v>
      </c>
      <c r="AJ1224" s="145">
        <v>0</v>
      </c>
      <c r="AK1224" s="145">
        <f t="shared" si="418"/>
        <v>0</v>
      </c>
      <c r="AL1224" s="145">
        <v>215982.82</v>
      </c>
      <c r="AM1224" s="145">
        <v>111851.98</v>
      </c>
      <c r="AN1224" s="145">
        <v>0</v>
      </c>
      <c r="AO1224" s="145">
        <v>0</v>
      </c>
      <c r="AP1224" s="145">
        <v>0</v>
      </c>
      <c r="AQ1224" s="145">
        <v>0</v>
      </c>
      <c r="AR1224" s="145">
        <v>0</v>
      </c>
      <c r="AS1224" s="144">
        <f t="shared" si="419"/>
        <v>327834.8</v>
      </c>
      <c r="AT1224" s="144">
        <v>0</v>
      </c>
      <c r="AU1224" s="146">
        <f t="shared" si="417"/>
        <v>327834.8</v>
      </c>
      <c r="AV1224" s="146">
        <f>IFERROR(VLOOKUP(J1224,Maksājumu_pieprasījumu_iesn.!G:BL,57,0),0)</f>
        <v>0</v>
      </c>
      <c r="AW1224" s="139">
        <f t="shared" si="402"/>
        <v>-327834.8</v>
      </c>
      <c r="AX1224" s="147">
        <f t="shared" si="420"/>
        <v>0</v>
      </c>
      <c r="AY1224" s="147"/>
      <c r="AZ1224" s="147"/>
      <c r="BA1224" s="149"/>
      <c r="BB1224" s="144"/>
      <c r="BC1224" s="144"/>
      <c r="BD1224" s="144"/>
      <c r="BE1224" s="144"/>
      <c r="BF1224" s="144"/>
      <c r="BG1224" s="144"/>
      <c r="BH1224" s="149"/>
      <c r="BI1224" s="149"/>
      <c r="BJ1224" s="149"/>
      <c r="BK1224" s="149"/>
      <c r="BL1224" s="149"/>
      <c r="BM1224" s="149"/>
      <c r="BN1224" s="149"/>
    </row>
    <row r="1225" spans="1:66" ht="51" hidden="1" customHeight="1" x14ac:dyDescent="0.2">
      <c r="A1225" s="142" t="s">
        <v>2279</v>
      </c>
      <c r="B1225" s="18" t="s">
        <v>406</v>
      </c>
      <c r="C1225" s="18" t="s">
        <v>411</v>
      </c>
      <c r="D1225" s="19" t="s">
        <v>606</v>
      </c>
      <c r="E1225" s="22">
        <v>1</v>
      </c>
      <c r="F1225" s="18" t="s">
        <v>402</v>
      </c>
      <c r="G1225" s="18" t="s">
        <v>77</v>
      </c>
      <c r="H1225" s="18" t="s">
        <v>3</v>
      </c>
      <c r="I1225" s="18"/>
      <c r="J1225" s="18" t="s">
        <v>2324</v>
      </c>
      <c r="K1225" s="19" t="s">
        <v>2325</v>
      </c>
      <c r="L1225" s="19"/>
      <c r="M1225" s="19"/>
      <c r="N1225" s="19" t="s">
        <v>2326</v>
      </c>
      <c r="O1225" s="143"/>
      <c r="P1225" s="143"/>
      <c r="Q1225" s="143"/>
      <c r="R1225" s="373" t="s">
        <v>2327</v>
      </c>
      <c r="S1225" s="144">
        <v>53591</v>
      </c>
      <c r="T1225" s="226"/>
      <c r="U1225" s="145">
        <v>0</v>
      </c>
      <c r="V1225" s="145">
        <v>0</v>
      </c>
      <c r="W1225" s="145">
        <v>0</v>
      </c>
      <c r="X1225" s="145">
        <f t="shared" si="414"/>
        <v>0</v>
      </c>
      <c r="Y1225" s="145">
        <v>0</v>
      </c>
      <c r="Z1225" s="145">
        <v>0</v>
      </c>
      <c r="AA1225" s="145">
        <v>0</v>
      </c>
      <c r="AB1225" s="145">
        <v>0</v>
      </c>
      <c r="AC1225" s="145">
        <v>0</v>
      </c>
      <c r="AD1225" s="145">
        <v>0</v>
      </c>
      <c r="AE1225" s="145">
        <v>0</v>
      </c>
      <c r="AF1225" s="145">
        <v>0</v>
      </c>
      <c r="AG1225" s="145">
        <v>0</v>
      </c>
      <c r="AH1225" s="145">
        <v>0</v>
      </c>
      <c r="AI1225" s="145">
        <v>0</v>
      </c>
      <c r="AJ1225" s="145">
        <v>0</v>
      </c>
      <c r="AK1225" s="145">
        <f t="shared" si="418"/>
        <v>0</v>
      </c>
      <c r="AL1225" s="145">
        <v>38656</v>
      </c>
      <c r="AM1225" s="145">
        <v>14935</v>
      </c>
      <c r="AN1225" s="145">
        <v>0</v>
      </c>
      <c r="AO1225" s="145">
        <v>0</v>
      </c>
      <c r="AP1225" s="145">
        <v>0</v>
      </c>
      <c r="AQ1225" s="145">
        <v>0</v>
      </c>
      <c r="AR1225" s="145">
        <v>0</v>
      </c>
      <c r="AS1225" s="144">
        <f t="shared" si="419"/>
        <v>53591</v>
      </c>
      <c r="AT1225" s="144">
        <v>0</v>
      </c>
      <c r="AU1225" s="146">
        <f t="shared" si="417"/>
        <v>53591</v>
      </c>
      <c r="AV1225" s="146">
        <f>IFERROR(VLOOKUP(J1225,Maksājumu_pieprasījumu_iesn.!G:BL,57,0),0)</f>
        <v>0</v>
      </c>
      <c r="AW1225" s="139">
        <f t="shared" si="402"/>
        <v>-53591</v>
      </c>
      <c r="AX1225" s="147">
        <f t="shared" si="420"/>
        <v>0</v>
      </c>
      <c r="AY1225" s="147"/>
      <c r="AZ1225" s="147"/>
      <c r="BA1225" s="149"/>
      <c r="BB1225" s="144"/>
      <c r="BC1225" s="144"/>
      <c r="BD1225" s="144"/>
      <c r="BE1225" s="144"/>
      <c r="BF1225" s="144"/>
      <c r="BG1225" s="144"/>
      <c r="BH1225" s="149"/>
      <c r="BI1225" s="149"/>
      <c r="BJ1225" s="149"/>
      <c r="BK1225" s="149"/>
      <c r="BL1225" s="149"/>
      <c r="BM1225" s="149"/>
      <c r="BN1225" s="149"/>
    </row>
    <row r="1226" spans="1:66" ht="38.25" hidden="1" customHeight="1" x14ac:dyDescent="0.2">
      <c r="A1226" s="142" t="s">
        <v>2279</v>
      </c>
      <c r="B1226" s="18" t="s">
        <v>406</v>
      </c>
      <c r="C1226" s="18" t="s">
        <v>411</v>
      </c>
      <c r="D1226" s="19" t="s">
        <v>606</v>
      </c>
      <c r="E1226" s="18">
        <v>1</v>
      </c>
      <c r="F1226" s="18" t="s">
        <v>402</v>
      </c>
      <c r="G1226" s="18" t="s">
        <v>77</v>
      </c>
      <c r="H1226" s="18" t="s">
        <v>3</v>
      </c>
      <c r="I1226" s="18"/>
      <c r="J1226" s="18" t="s">
        <v>2328</v>
      </c>
      <c r="K1226" s="19" t="s">
        <v>1253</v>
      </c>
      <c r="L1226" s="19"/>
      <c r="M1226" s="19"/>
      <c r="N1226" s="19" t="s">
        <v>2329</v>
      </c>
      <c r="O1226" s="143"/>
      <c r="P1226" s="143"/>
      <c r="Q1226" s="143"/>
      <c r="R1226" s="373" t="s">
        <v>2330</v>
      </c>
      <c r="S1226" s="144">
        <v>76388.649999999994</v>
      </c>
      <c r="T1226" s="226"/>
      <c r="U1226" s="145">
        <v>0</v>
      </c>
      <c r="V1226" s="145">
        <v>0</v>
      </c>
      <c r="W1226" s="145">
        <v>0</v>
      </c>
      <c r="X1226" s="145">
        <f t="shared" si="414"/>
        <v>0</v>
      </c>
      <c r="Y1226" s="145">
        <v>0</v>
      </c>
      <c r="Z1226" s="145">
        <v>0</v>
      </c>
      <c r="AA1226" s="145">
        <v>0</v>
      </c>
      <c r="AB1226" s="145">
        <v>0</v>
      </c>
      <c r="AC1226" s="145">
        <v>0</v>
      </c>
      <c r="AD1226" s="145">
        <v>0</v>
      </c>
      <c r="AE1226" s="145">
        <v>0</v>
      </c>
      <c r="AF1226" s="145">
        <v>0</v>
      </c>
      <c r="AG1226" s="145">
        <v>0</v>
      </c>
      <c r="AH1226" s="145">
        <v>0</v>
      </c>
      <c r="AI1226" s="145">
        <v>0</v>
      </c>
      <c r="AJ1226" s="145">
        <v>0</v>
      </c>
      <c r="AK1226" s="145">
        <f t="shared" si="418"/>
        <v>0</v>
      </c>
      <c r="AL1226" s="145">
        <v>45833.18</v>
      </c>
      <c r="AM1226" s="145">
        <v>30555.47</v>
      </c>
      <c r="AN1226" s="145">
        <v>0</v>
      </c>
      <c r="AO1226" s="145">
        <v>0</v>
      </c>
      <c r="AP1226" s="145">
        <v>0</v>
      </c>
      <c r="AQ1226" s="145">
        <v>0</v>
      </c>
      <c r="AR1226" s="145">
        <v>0</v>
      </c>
      <c r="AS1226" s="144">
        <f t="shared" si="419"/>
        <v>76388.649999999994</v>
      </c>
      <c r="AT1226" s="144">
        <v>0</v>
      </c>
      <c r="AU1226" s="146">
        <v>70789.06</v>
      </c>
      <c r="AV1226" s="146">
        <f>IFERROR(VLOOKUP(J1226,Maksājumu_pieprasījumu_iesn.!G:BL,57,0),0)</f>
        <v>0</v>
      </c>
      <c r="AW1226" s="139">
        <f t="shared" si="402"/>
        <v>-70789.06</v>
      </c>
      <c r="AX1226" s="147">
        <f t="shared" si="420"/>
        <v>0</v>
      </c>
      <c r="AY1226" s="147"/>
      <c r="AZ1226" s="147"/>
      <c r="BA1226" s="149"/>
      <c r="BB1226" s="144"/>
      <c r="BC1226" s="144"/>
      <c r="BD1226" s="144"/>
      <c r="BE1226" s="144"/>
      <c r="BF1226" s="144"/>
      <c r="BG1226" s="144"/>
      <c r="BH1226" s="149"/>
      <c r="BI1226" s="149"/>
      <c r="BJ1226" s="149"/>
      <c r="BK1226" s="149"/>
      <c r="BL1226" s="149"/>
      <c r="BM1226" s="149"/>
      <c r="BN1226" s="149"/>
    </row>
    <row r="1227" spans="1:66" ht="38.25" hidden="1" customHeight="1" x14ac:dyDescent="0.2">
      <c r="A1227" s="142" t="s">
        <v>2279</v>
      </c>
      <c r="B1227" s="18" t="s">
        <v>406</v>
      </c>
      <c r="C1227" s="18" t="s">
        <v>411</v>
      </c>
      <c r="D1227" s="19" t="s">
        <v>606</v>
      </c>
      <c r="E1227" s="22">
        <v>1</v>
      </c>
      <c r="F1227" s="18" t="s">
        <v>402</v>
      </c>
      <c r="G1227" s="18" t="s">
        <v>77</v>
      </c>
      <c r="H1227" s="18" t="s">
        <v>3</v>
      </c>
      <c r="I1227" s="18"/>
      <c r="J1227" s="18" t="s">
        <v>789</v>
      </c>
      <c r="K1227" s="19" t="s">
        <v>856</v>
      </c>
      <c r="L1227" s="19"/>
      <c r="M1227" s="19"/>
      <c r="N1227" s="19" t="s">
        <v>857</v>
      </c>
      <c r="O1227" s="143"/>
      <c r="P1227" s="143"/>
      <c r="Q1227" s="143"/>
      <c r="R1227" s="373">
        <v>42843</v>
      </c>
      <c r="S1227" s="144">
        <v>309012.40000000002</v>
      </c>
      <c r="T1227" s="226"/>
      <c r="U1227" s="153">
        <v>0</v>
      </c>
      <c r="V1227" s="153">
        <v>0</v>
      </c>
      <c r="W1227" s="153">
        <v>0</v>
      </c>
      <c r="X1227" s="145">
        <f t="shared" si="414"/>
        <v>0</v>
      </c>
      <c r="Y1227" s="153">
        <v>0</v>
      </c>
      <c r="Z1227" s="153">
        <v>0</v>
      </c>
      <c r="AA1227" s="153">
        <v>0</v>
      </c>
      <c r="AB1227" s="153">
        <v>0</v>
      </c>
      <c r="AC1227" s="153">
        <v>0</v>
      </c>
      <c r="AD1227" s="153">
        <v>0</v>
      </c>
      <c r="AE1227" s="153">
        <v>0</v>
      </c>
      <c r="AF1227" s="153">
        <v>0</v>
      </c>
      <c r="AG1227" s="153">
        <v>0</v>
      </c>
      <c r="AH1227" s="153">
        <v>0</v>
      </c>
      <c r="AI1227" s="153">
        <v>0</v>
      </c>
      <c r="AJ1227" s="153">
        <v>0</v>
      </c>
      <c r="AK1227" s="145">
        <f t="shared" si="418"/>
        <v>0</v>
      </c>
      <c r="AL1227" s="153">
        <v>222489.2</v>
      </c>
      <c r="AM1227" s="153">
        <v>86523.199999999997</v>
      </c>
      <c r="AN1227" s="153">
        <v>0</v>
      </c>
      <c r="AO1227" s="153">
        <v>0</v>
      </c>
      <c r="AP1227" s="153">
        <v>0</v>
      </c>
      <c r="AQ1227" s="153">
        <v>0</v>
      </c>
      <c r="AR1227" s="153">
        <v>0</v>
      </c>
      <c r="AS1227" s="375">
        <f t="shared" si="419"/>
        <v>309012.40000000002</v>
      </c>
      <c r="AT1227" s="147">
        <v>0</v>
      </c>
      <c r="AU1227" s="146">
        <f t="shared" si="417"/>
        <v>309012.40000000002</v>
      </c>
      <c r="AV1227" s="146">
        <f>IFERROR(VLOOKUP(J1227,Maksājumu_pieprasījumu_iesn.!G:BL,57,0),0)</f>
        <v>0</v>
      </c>
      <c r="AW1227" s="139">
        <f t="shared" si="402"/>
        <v>-309012.40000000002</v>
      </c>
      <c r="AX1227" s="147">
        <f t="shared" si="420"/>
        <v>0</v>
      </c>
      <c r="AY1227" s="147"/>
      <c r="AZ1227" s="147"/>
      <c r="BA1227" s="149"/>
      <c r="BB1227" s="144"/>
      <c r="BC1227" s="144"/>
      <c r="BD1227" s="144"/>
      <c r="BE1227" s="144"/>
      <c r="BF1227" s="144"/>
      <c r="BG1227" s="144"/>
      <c r="BH1227" s="149"/>
      <c r="BI1227" s="149"/>
      <c r="BJ1227" s="149"/>
      <c r="BK1227" s="149"/>
      <c r="BL1227" s="149"/>
      <c r="BM1227" s="149"/>
      <c r="BN1227" s="149"/>
    </row>
    <row r="1228" spans="1:66" ht="38.25" hidden="1" customHeight="1" x14ac:dyDescent="0.2">
      <c r="A1228" s="142" t="s">
        <v>2279</v>
      </c>
      <c r="B1228" s="18" t="s">
        <v>406</v>
      </c>
      <c r="C1228" s="18" t="s">
        <v>411</v>
      </c>
      <c r="D1228" s="19" t="s">
        <v>606</v>
      </c>
      <c r="E1228" s="18">
        <v>1</v>
      </c>
      <c r="F1228" s="18" t="s">
        <v>402</v>
      </c>
      <c r="G1228" s="18" t="s">
        <v>77</v>
      </c>
      <c r="H1228" s="18" t="s">
        <v>3</v>
      </c>
      <c r="I1228" s="18"/>
      <c r="J1228" s="18" t="s">
        <v>790</v>
      </c>
      <c r="K1228" s="19" t="s">
        <v>69</v>
      </c>
      <c r="L1228" s="19"/>
      <c r="M1228" s="19"/>
      <c r="N1228" s="19" t="s">
        <v>824</v>
      </c>
      <c r="O1228" s="143"/>
      <c r="P1228" s="143"/>
      <c r="Q1228" s="143"/>
      <c r="R1228" s="373">
        <v>42838</v>
      </c>
      <c r="S1228" s="144">
        <v>331745.64</v>
      </c>
      <c r="T1228" s="226"/>
      <c r="U1228" s="145">
        <v>0</v>
      </c>
      <c r="V1228" s="145">
        <v>0</v>
      </c>
      <c r="W1228" s="145">
        <v>0</v>
      </c>
      <c r="X1228" s="145">
        <f t="shared" si="414"/>
        <v>0</v>
      </c>
      <c r="Y1228" s="145">
        <v>0</v>
      </c>
      <c r="Z1228" s="145">
        <v>0</v>
      </c>
      <c r="AA1228" s="145">
        <v>0</v>
      </c>
      <c r="AB1228" s="145">
        <v>0</v>
      </c>
      <c r="AC1228" s="145">
        <v>0</v>
      </c>
      <c r="AD1228" s="145">
        <v>0</v>
      </c>
      <c r="AE1228" s="145">
        <v>0</v>
      </c>
      <c r="AF1228" s="145">
        <v>0</v>
      </c>
      <c r="AG1228" s="145">
        <v>0</v>
      </c>
      <c r="AH1228" s="145">
        <v>0</v>
      </c>
      <c r="AI1228" s="145">
        <v>0</v>
      </c>
      <c r="AJ1228" s="145">
        <v>0</v>
      </c>
      <c r="AK1228" s="145">
        <f t="shared" si="418"/>
        <v>0</v>
      </c>
      <c r="AL1228" s="145">
        <v>225587.03000000003</v>
      </c>
      <c r="AM1228" s="145">
        <v>106158.61</v>
      </c>
      <c r="AN1228" s="145">
        <v>0</v>
      </c>
      <c r="AO1228" s="145">
        <v>0</v>
      </c>
      <c r="AP1228" s="145">
        <v>0</v>
      </c>
      <c r="AQ1228" s="145">
        <v>0</v>
      </c>
      <c r="AR1228" s="145">
        <v>0</v>
      </c>
      <c r="AS1228" s="144">
        <f t="shared" si="419"/>
        <v>331745.64</v>
      </c>
      <c r="AT1228" s="144">
        <v>0</v>
      </c>
      <c r="AU1228" s="146">
        <f t="shared" si="417"/>
        <v>331745.64</v>
      </c>
      <c r="AV1228" s="146">
        <f>IFERROR(VLOOKUP(J1228,Maksājumu_pieprasījumu_iesn.!G:BL,57,0),0)</f>
        <v>0</v>
      </c>
      <c r="AW1228" s="139">
        <f t="shared" si="402"/>
        <v>-331745.64</v>
      </c>
      <c r="AX1228" s="147">
        <f t="shared" si="420"/>
        <v>0</v>
      </c>
      <c r="AY1228" s="147"/>
      <c r="AZ1228" s="147"/>
      <c r="BA1228" s="149"/>
      <c r="BB1228" s="144"/>
      <c r="BC1228" s="144"/>
      <c r="BD1228" s="144"/>
      <c r="BE1228" s="144"/>
      <c r="BF1228" s="144"/>
      <c r="BG1228" s="144"/>
      <c r="BH1228" s="149"/>
      <c r="BI1228" s="149"/>
      <c r="BJ1228" s="149"/>
      <c r="BK1228" s="149"/>
      <c r="BL1228" s="149"/>
      <c r="BM1228" s="149"/>
      <c r="BN1228" s="149"/>
    </row>
    <row r="1229" spans="1:66" ht="25.5" hidden="1" customHeight="1" x14ac:dyDescent="0.2">
      <c r="A1229" s="142" t="s">
        <v>2279</v>
      </c>
      <c r="B1229" s="18" t="s">
        <v>406</v>
      </c>
      <c r="C1229" s="18" t="s">
        <v>411</v>
      </c>
      <c r="D1229" s="19" t="s">
        <v>606</v>
      </c>
      <c r="E1229" s="22">
        <v>1</v>
      </c>
      <c r="F1229" s="18" t="s">
        <v>402</v>
      </c>
      <c r="G1229" s="18" t="s">
        <v>77</v>
      </c>
      <c r="H1229" s="18" t="s">
        <v>3</v>
      </c>
      <c r="I1229" s="18"/>
      <c r="J1229" s="18" t="s">
        <v>875</v>
      </c>
      <c r="K1229" s="19" t="s">
        <v>876</v>
      </c>
      <c r="L1229" s="19"/>
      <c r="M1229" s="19"/>
      <c r="N1229" s="19" t="s">
        <v>877</v>
      </c>
      <c r="O1229" s="143"/>
      <c r="P1229" s="143"/>
      <c r="Q1229" s="143"/>
      <c r="R1229" s="373">
        <v>42808</v>
      </c>
      <c r="S1229" s="144">
        <v>166643.35</v>
      </c>
      <c r="T1229" s="226"/>
      <c r="U1229" s="145">
        <v>0</v>
      </c>
      <c r="V1229" s="145">
        <v>0</v>
      </c>
      <c r="W1229" s="145">
        <v>0</v>
      </c>
      <c r="X1229" s="145">
        <f t="shared" si="414"/>
        <v>0</v>
      </c>
      <c r="Y1229" s="145">
        <v>0</v>
      </c>
      <c r="Z1229" s="145">
        <v>0</v>
      </c>
      <c r="AA1229" s="145">
        <v>0</v>
      </c>
      <c r="AB1229" s="145">
        <v>0</v>
      </c>
      <c r="AC1229" s="145">
        <v>0</v>
      </c>
      <c r="AD1229" s="145">
        <v>0</v>
      </c>
      <c r="AE1229" s="166">
        <v>24659.35</v>
      </c>
      <c r="AF1229" s="145">
        <v>0</v>
      </c>
      <c r="AG1229" s="145">
        <v>0</v>
      </c>
      <c r="AH1229" s="145">
        <v>19180.25</v>
      </c>
      <c r="AI1229" s="145">
        <v>0</v>
      </c>
      <c r="AJ1229" s="145">
        <v>0</v>
      </c>
      <c r="AK1229" s="145">
        <f t="shared" si="418"/>
        <v>43839.6</v>
      </c>
      <c r="AL1229" s="145">
        <v>49178.45</v>
      </c>
      <c r="AM1229" s="145">
        <v>58116.2</v>
      </c>
      <c r="AN1229" s="145">
        <v>15509.1</v>
      </c>
      <c r="AO1229" s="145">
        <v>0</v>
      </c>
      <c r="AP1229" s="145">
        <v>0</v>
      </c>
      <c r="AQ1229" s="145">
        <v>0</v>
      </c>
      <c r="AR1229" s="145">
        <v>0</v>
      </c>
      <c r="AS1229" s="144">
        <f t="shared" si="419"/>
        <v>166643.35</v>
      </c>
      <c r="AT1229" s="144">
        <v>0</v>
      </c>
      <c r="AU1229" s="146">
        <f t="shared" si="417"/>
        <v>166643.35</v>
      </c>
      <c r="AV1229" s="146">
        <f>IFERROR(VLOOKUP(J1229,Maksājumu_pieprasījumu_iesn.!G:BL,57,0),0)</f>
        <v>0</v>
      </c>
      <c r="AW1229" s="139">
        <f t="shared" si="402"/>
        <v>-166643.35</v>
      </c>
      <c r="AX1229" s="147">
        <f t="shared" si="420"/>
        <v>0</v>
      </c>
      <c r="AY1229" s="147"/>
      <c r="AZ1229" s="147"/>
      <c r="BA1229" s="149"/>
      <c r="BB1229" s="144"/>
      <c r="BC1229" s="144"/>
      <c r="BD1229" s="144"/>
      <c r="BE1229" s="144"/>
      <c r="BF1229" s="144"/>
      <c r="BG1229" s="144"/>
      <c r="BH1229" s="149"/>
      <c r="BI1229" s="149"/>
      <c r="BJ1229" s="149"/>
      <c r="BK1229" s="149"/>
      <c r="BL1229" s="149"/>
      <c r="BM1229" s="149"/>
      <c r="BN1229" s="149"/>
    </row>
    <row r="1230" spans="1:66" ht="38.25" hidden="1" customHeight="1" x14ac:dyDescent="0.2">
      <c r="A1230" s="142" t="s">
        <v>2279</v>
      </c>
      <c r="B1230" s="18" t="s">
        <v>406</v>
      </c>
      <c r="C1230" s="18" t="s">
        <v>411</v>
      </c>
      <c r="D1230" s="19" t="s">
        <v>606</v>
      </c>
      <c r="E1230" s="18">
        <v>1</v>
      </c>
      <c r="F1230" s="18" t="s">
        <v>402</v>
      </c>
      <c r="G1230" s="18" t="s">
        <v>77</v>
      </c>
      <c r="H1230" s="18" t="s">
        <v>3</v>
      </c>
      <c r="I1230" s="18"/>
      <c r="J1230" s="18" t="s">
        <v>932</v>
      </c>
      <c r="K1230" s="19" t="s">
        <v>898</v>
      </c>
      <c r="L1230" s="19"/>
      <c r="M1230" s="19"/>
      <c r="N1230" s="19" t="s">
        <v>933</v>
      </c>
      <c r="O1230" s="143"/>
      <c r="P1230" s="143"/>
      <c r="Q1230" s="143"/>
      <c r="R1230" s="373" t="s">
        <v>2315</v>
      </c>
      <c r="S1230" s="144">
        <v>248503.45</v>
      </c>
      <c r="T1230" s="226"/>
      <c r="U1230" s="145">
        <v>0</v>
      </c>
      <c r="V1230" s="145">
        <v>0</v>
      </c>
      <c r="W1230" s="145">
        <v>0</v>
      </c>
      <c r="X1230" s="145">
        <f t="shared" si="414"/>
        <v>0</v>
      </c>
      <c r="Y1230" s="145">
        <v>0</v>
      </c>
      <c r="Z1230" s="145">
        <v>0</v>
      </c>
      <c r="AA1230" s="145">
        <v>0</v>
      </c>
      <c r="AB1230" s="145">
        <v>0</v>
      </c>
      <c r="AC1230" s="145">
        <v>0</v>
      </c>
      <c r="AD1230" s="145">
        <v>0</v>
      </c>
      <c r="AE1230" s="145">
        <v>0</v>
      </c>
      <c r="AF1230" s="145">
        <v>0</v>
      </c>
      <c r="AG1230" s="145">
        <v>0</v>
      </c>
      <c r="AH1230" s="145">
        <v>0</v>
      </c>
      <c r="AI1230" s="145">
        <v>0</v>
      </c>
      <c r="AJ1230" s="145">
        <v>0</v>
      </c>
      <c r="AK1230" s="145">
        <f t="shared" si="418"/>
        <v>0</v>
      </c>
      <c r="AL1230" s="145">
        <v>165668.96</v>
      </c>
      <c r="AM1230" s="145">
        <v>82834.490000000005</v>
      </c>
      <c r="AN1230" s="145">
        <v>0</v>
      </c>
      <c r="AO1230" s="145">
        <v>0</v>
      </c>
      <c r="AP1230" s="145">
        <v>0</v>
      </c>
      <c r="AQ1230" s="145">
        <v>0</v>
      </c>
      <c r="AR1230" s="145">
        <v>0</v>
      </c>
      <c r="AS1230" s="144">
        <f t="shared" si="419"/>
        <v>248503.45</v>
      </c>
      <c r="AT1230" s="144">
        <v>0</v>
      </c>
      <c r="AU1230" s="146">
        <f t="shared" si="417"/>
        <v>248503.45</v>
      </c>
      <c r="AV1230" s="146">
        <f>IFERROR(VLOOKUP(J1230,Maksājumu_pieprasījumu_iesn.!G:BL,57,0),0)</f>
        <v>0</v>
      </c>
      <c r="AW1230" s="139">
        <f t="shared" si="402"/>
        <v>-248503.45</v>
      </c>
      <c r="AX1230" s="147">
        <f t="shared" si="420"/>
        <v>0</v>
      </c>
      <c r="AY1230" s="147"/>
      <c r="AZ1230" s="147"/>
      <c r="BA1230" s="149"/>
      <c r="BB1230" s="144"/>
      <c r="BC1230" s="144"/>
      <c r="BD1230" s="144"/>
      <c r="BE1230" s="144"/>
      <c r="BF1230" s="144"/>
      <c r="BG1230" s="144"/>
      <c r="BH1230" s="149"/>
      <c r="BI1230" s="149"/>
      <c r="BJ1230" s="149"/>
      <c r="BK1230" s="149"/>
      <c r="BL1230" s="149"/>
      <c r="BM1230" s="149"/>
      <c r="BN1230" s="149"/>
    </row>
    <row r="1231" spans="1:66" ht="38.25" hidden="1" customHeight="1" x14ac:dyDescent="0.2">
      <c r="A1231" s="142" t="s">
        <v>2279</v>
      </c>
      <c r="B1231" s="18" t="s">
        <v>406</v>
      </c>
      <c r="C1231" s="18" t="s">
        <v>411</v>
      </c>
      <c r="D1231" s="19" t="s">
        <v>606</v>
      </c>
      <c r="E1231" s="22">
        <v>1</v>
      </c>
      <c r="F1231" s="18" t="s">
        <v>402</v>
      </c>
      <c r="G1231" s="18" t="s">
        <v>77</v>
      </c>
      <c r="H1231" s="18" t="s">
        <v>3</v>
      </c>
      <c r="I1231" s="18"/>
      <c r="J1231" s="18" t="s">
        <v>2331</v>
      </c>
      <c r="K1231" s="19" t="s">
        <v>2332</v>
      </c>
      <c r="L1231" s="19"/>
      <c r="M1231" s="19"/>
      <c r="N1231" s="19" t="s">
        <v>2333</v>
      </c>
      <c r="O1231" s="143"/>
      <c r="P1231" s="143"/>
      <c r="Q1231" s="143"/>
      <c r="R1231" s="373" t="s">
        <v>2334</v>
      </c>
      <c r="S1231" s="144">
        <v>41294.699999999997</v>
      </c>
      <c r="T1231" s="226"/>
      <c r="U1231" s="145">
        <v>0</v>
      </c>
      <c r="V1231" s="145">
        <v>0</v>
      </c>
      <c r="W1231" s="145">
        <v>0</v>
      </c>
      <c r="X1231" s="145">
        <f t="shared" si="414"/>
        <v>0</v>
      </c>
      <c r="Y1231" s="145">
        <v>0</v>
      </c>
      <c r="Z1231" s="145">
        <v>0</v>
      </c>
      <c r="AA1231" s="145">
        <v>0</v>
      </c>
      <c r="AB1231" s="145">
        <v>0</v>
      </c>
      <c r="AC1231" s="145">
        <v>0</v>
      </c>
      <c r="AD1231" s="145">
        <v>0</v>
      </c>
      <c r="AE1231" s="145">
        <v>0</v>
      </c>
      <c r="AF1231" s="145">
        <v>0</v>
      </c>
      <c r="AG1231" s="145">
        <v>0</v>
      </c>
      <c r="AH1231" s="145">
        <v>0</v>
      </c>
      <c r="AI1231" s="145">
        <v>0</v>
      </c>
      <c r="AJ1231" s="145">
        <v>0</v>
      </c>
      <c r="AK1231" s="145">
        <f t="shared" si="418"/>
        <v>0</v>
      </c>
      <c r="AL1231" s="145">
        <v>27600</v>
      </c>
      <c r="AM1231" s="145">
        <v>13694.7</v>
      </c>
      <c r="AN1231" s="145">
        <v>0</v>
      </c>
      <c r="AO1231" s="145">
        <v>0</v>
      </c>
      <c r="AP1231" s="145">
        <v>0</v>
      </c>
      <c r="AQ1231" s="145">
        <v>0</v>
      </c>
      <c r="AR1231" s="145">
        <v>0</v>
      </c>
      <c r="AS1231" s="144">
        <f t="shared" si="419"/>
        <v>41294.699999999997</v>
      </c>
      <c r="AT1231" s="144">
        <v>0</v>
      </c>
      <c r="AU1231" s="146">
        <f t="shared" si="417"/>
        <v>41294.699999999997</v>
      </c>
      <c r="AV1231" s="146">
        <f>IFERROR(VLOOKUP(J1231,Maksājumu_pieprasījumu_iesn.!G:BL,57,0),0)</f>
        <v>0</v>
      </c>
      <c r="AW1231" s="139">
        <f t="shared" si="402"/>
        <v>-41294.699999999997</v>
      </c>
      <c r="AX1231" s="147">
        <f t="shared" si="420"/>
        <v>0</v>
      </c>
      <c r="AY1231" s="147"/>
      <c r="AZ1231" s="147"/>
      <c r="BA1231" s="149"/>
      <c r="BB1231" s="144"/>
      <c r="BC1231" s="144"/>
      <c r="BD1231" s="144"/>
      <c r="BE1231" s="144"/>
      <c r="BF1231" s="144"/>
      <c r="BG1231" s="144"/>
      <c r="BH1231" s="149"/>
      <c r="BI1231" s="149"/>
      <c r="BJ1231" s="149"/>
      <c r="BK1231" s="149"/>
      <c r="BL1231" s="149"/>
      <c r="BM1231" s="149"/>
      <c r="BN1231" s="149"/>
    </row>
    <row r="1232" spans="1:66" ht="25.5" hidden="1" customHeight="1" x14ac:dyDescent="0.2">
      <c r="A1232" s="142" t="s">
        <v>2279</v>
      </c>
      <c r="B1232" s="18" t="s">
        <v>406</v>
      </c>
      <c r="C1232" s="18" t="s">
        <v>411</v>
      </c>
      <c r="D1232" s="19" t="s">
        <v>606</v>
      </c>
      <c r="E1232" s="18">
        <v>1</v>
      </c>
      <c r="F1232" s="18" t="s">
        <v>402</v>
      </c>
      <c r="G1232" s="18" t="s">
        <v>77</v>
      </c>
      <c r="H1232" s="18" t="s">
        <v>3</v>
      </c>
      <c r="I1232" s="18"/>
      <c r="J1232" s="18" t="s">
        <v>439</v>
      </c>
      <c r="K1232" s="19" t="s">
        <v>440</v>
      </c>
      <c r="L1232" s="19"/>
      <c r="M1232" s="19"/>
      <c r="N1232" s="19" t="s">
        <v>441</v>
      </c>
      <c r="O1232" s="143"/>
      <c r="P1232" s="143"/>
      <c r="Q1232" s="143"/>
      <c r="R1232" s="373">
        <v>42787</v>
      </c>
      <c r="S1232" s="144">
        <v>90597.25</v>
      </c>
      <c r="T1232" s="226"/>
      <c r="U1232" s="145">
        <v>0</v>
      </c>
      <c r="V1232" s="145">
        <v>0</v>
      </c>
      <c r="W1232" s="145">
        <v>0</v>
      </c>
      <c r="X1232" s="145">
        <f t="shared" si="414"/>
        <v>0</v>
      </c>
      <c r="Y1232" s="145">
        <v>0</v>
      </c>
      <c r="Z1232" s="145">
        <v>0</v>
      </c>
      <c r="AA1232" s="145">
        <v>0</v>
      </c>
      <c r="AB1232" s="145">
        <v>0</v>
      </c>
      <c r="AC1232" s="145">
        <v>0</v>
      </c>
      <c r="AD1232" s="145">
        <v>18144.95</v>
      </c>
      <c r="AE1232" s="145">
        <v>0</v>
      </c>
      <c r="AF1232" s="145">
        <v>0</v>
      </c>
      <c r="AG1232" s="145">
        <v>10744</v>
      </c>
      <c r="AH1232" s="145">
        <v>0</v>
      </c>
      <c r="AI1232" s="145">
        <v>0</v>
      </c>
      <c r="AJ1232" s="145">
        <v>3230</v>
      </c>
      <c r="AK1232" s="145">
        <f t="shared" si="418"/>
        <v>32118.95</v>
      </c>
      <c r="AL1232" s="145">
        <v>28390</v>
      </c>
      <c r="AM1232" s="145">
        <v>30088.3</v>
      </c>
      <c r="AN1232" s="145">
        <v>0</v>
      </c>
      <c r="AO1232" s="145">
        <v>0</v>
      </c>
      <c r="AP1232" s="145">
        <v>0</v>
      </c>
      <c r="AQ1232" s="145">
        <v>0</v>
      </c>
      <c r="AR1232" s="145">
        <v>0</v>
      </c>
      <c r="AS1232" s="144">
        <f t="shared" si="419"/>
        <v>90597.25</v>
      </c>
      <c r="AT1232" s="144">
        <v>0</v>
      </c>
      <c r="AU1232" s="146">
        <f t="shared" si="417"/>
        <v>90597.25</v>
      </c>
      <c r="AV1232" s="146">
        <f>IFERROR(VLOOKUP(J1232,Maksājumu_pieprasījumu_iesn.!G:BL,57,0),0)</f>
        <v>0</v>
      </c>
      <c r="AW1232" s="139">
        <f t="shared" ref="AW1232:AW1295" si="421">AV1232-AU1232</f>
        <v>-90597.25</v>
      </c>
      <c r="AX1232" s="147">
        <f t="shared" si="420"/>
        <v>0</v>
      </c>
      <c r="AY1232" s="147"/>
      <c r="AZ1232" s="147"/>
      <c r="BA1232" s="149"/>
      <c r="BB1232" s="144"/>
      <c r="BC1232" s="144"/>
      <c r="BD1232" s="144"/>
      <c r="BE1232" s="144"/>
      <c r="BF1232" s="144"/>
      <c r="BG1232" s="144"/>
      <c r="BH1232" s="149"/>
      <c r="BI1232" s="149"/>
      <c r="BJ1232" s="149"/>
      <c r="BK1232" s="149"/>
      <c r="BL1232" s="149"/>
      <c r="BM1232" s="149"/>
      <c r="BN1232" s="149"/>
    </row>
    <row r="1233" spans="1:66" ht="25.5" hidden="1" customHeight="1" x14ac:dyDescent="0.2">
      <c r="A1233" s="142" t="s">
        <v>2279</v>
      </c>
      <c r="B1233" s="18" t="s">
        <v>406</v>
      </c>
      <c r="C1233" s="18" t="s">
        <v>411</v>
      </c>
      <c r="D1233" s="19" t="s">
        <v>606</v>
      </c>
      <c r="E1233" s="22">
        <v>1</v>
      </c>
      <c r="F1233" s="18" t="s">
        <v>402</v>
      </c>
      <c r="G1233" s="18" t="s">
        <v>77</v>
      </c>
      <c r="H1233" s="18" t="s">
        <v>3</v>
      </c>
      <c r="I1233" s="18"/>
      <c r="J1233" s="18" t="s">
        <v>439</v>
      </c>
      <c r="K1233" s="19" t="s">
        <v>440</v>
      </c>
      <c r="L1233" s="19"/>
      <c r="M1233" s="19"/>
      <c r="N1233" s="19" t="s">
        <v>441</v>
      </c>
      <c r="O1233" s="143" t="s">
        <v>880</v>
      </c>
      <c r="P1233" s="143"/>
      <c r="Q1233" s="143"/>
      <c r="R1233" s="373"/>
      <c r="S1233" s="144"/>
      <c r="T1233" s="226"/>
      <c r="U1233" s="145"/>
      <c r="V1233" s="145"/>
      <c r="W1233" s="145"/>
      <c r="X1233" s="145">
        <f t="shared" si="414"/>
        <v>0</v>
      </c>
      <c r="Y1233" s="145"/>
      <c r="Z1233" s="145"/>
      <c r="AA1233" s="145"/>
      <c r="AB1233" s="145"/>
      <c r="AC1233" s="145">
        <v>18144.96</v>
      </c>
      <c r="AD1233" s="145"/>
      <c r="AE1233" s="145"/>
      <c r="AF1233" s="145"/>
      <c r="AG1233" s="145"/>
      <c r="AH1233" s="145"/>
      <c r="AI1233" s="145"/>
      <c r="AJ1233" s="145"/>
      <c r="AK1233" s="145">
        <f t="shared" si="418"/>
        <v>18144.96</v>
      </c>
      <c r="AL1233" s="145"/>
      <c r="AM1233" s="145"/>
      <c r="AN1233" s="145"/>
      <c r="AO1233" s="145"/>
      <c r="AP1233" s="145"/>
      <c r="AQ1233" s="145"/>
      <c r="AR1233" s="145"/>
      <c r="AS1233" s="86"/>
      <c r="AT1233" s="144">
        <f>U1233+V1233+W1233+AK1233+AL1233+AM1233+AN1233+AO1233+AP1233+AQ1233+AR1233</f>
        <v>18144.96</v>
      </c>
      <c r="AU1233" s="146"/>
      <c r="AV1233" s="146">
        <f>IFERROR(VLOOKUP(J1233,Maksājumu_pieprasījumu_iesn.!G:BL,57,0),0)</f>
        <v>0</v>
      </c>
      <c r="AW1233" s="139">
        <f t="shared" si="421"/>
        <v>0</v>
      </c>
      <c r="AX1233" s="147">
        <f t="shared" si="420"/>
        <v>0</v>
      </c>
      <c r="AY1233" s="147"/>
      <c r="AZ1233" s="147"/>
      <c r="BA1233" s="149"/>
      <c r="BB1233" s="144"/>
      <c r="BC1233" s="144"/>
      <c r="BD1233" s="144"/>
      <c r="BE1233" s="144"/>
      <c r="BF1233" s="144"/>
      <c r="BG1233" s="144"/>
      <c r="BH1233" s="149"/>
      <c r="BI1233" s="149"/>
      <c r="BJ1233" s="149"/>
      <c r="BK1233" s="149"/>
      <c r="BL1233" s="149"/>
      <c r="BM1233" s="149"/>
      <c r="BN1233" s="149"/>
    </row>
    <row r="1234" spans="1:66" ht="25.5" hidden="1" customHeight="1" x14ac:dyDescent="0.2">
      <c r="A1234" s="142" t="s">
        <v>2279</v>
      </c>
      <c r="B1234" s="18" t="s">
        <v>406</v>
      </c>
      <c r="C1234" s="18" t="s">
        <v>411</v>
      </c>
      <c r="D1234" s="19" t="s">
        <v>606</v>
      </c>
      <c r="E1234" s="18">
        <v>1</v>
      </c>
      <c r="F1234" s="18" t="s">
        <v>402</v>
      </c>
      <c r="G1234" s="18" t="s">
        <v>77</v>
      </c>
      <c r="H1234" s="18" t="s">
        <v>3</v>
      </c>
      <c r="I1234" s="18"/>
      <c r="J1234" s="18" t="s">
        <v>2335</v>
      </c>
      <c r="K1234" s="19" t="s">
        <v>2336</v>
      </c>
      <c r="L1234" s="19"/>
      <c r="M1234" s="19"/>
      <c r="N1234" s="19" t="s">
        <v>2337</v>
      </c>
      <c r="O1234" s="143"/>
      <c r="P1234" s="143"/>
      <c r="Q1234" s="143"/>
      <c r="R1234" s="373" t="s">
        <v>2314</v>
      </c>
      <c r="S1234" s="144">
        <v>34264.35</v>
      </c>
      <c r="T1234" s="226"/>
      <c r="U1234" s="145">
        <v>0</v>
      </c>
      <c r="V1234" s="145">
        <v>0</v>
      </c>
      <c r="W1234" s="145">
        <v>0</v>
      </c>
      <c r="X1234" s="145">
        <f t="shared" si="414"/>
        <v>0</v>
      </c>
      <c r="Y1234" s="145">
        <v>0</v>
      </c>
      <c r="Z1234" s="145">
        <v>0</v>
      </c>
      <c r="AA1234" s="145">
        <v>0</v>
      </c>
      <c r="AB1234" s="145">
        <v>0</v>
      </c>
      <c r="AC1234" s="145">
        <v>0</v>
      </c>
      <c r="AD1234" s="145">
        <v>0</v>
      </c>
      <c r="AE1234" s="145">
        <v>0</v>
      </c>
      <c r="AF1234" s="145">
        <v>0</v>
      </c>
      <c r="AG1234" s="145">
        <v>0</v>
      </c>
      <c r="AH1234" s="145">
        <v>0</v>
      </c>
      <c r="AI1234" s="145">
        <v>0</v>
      </c>
      <c r="AJ1234" s="145">
        <v>0</v>
      </c>
      <c r="AK1234" s="145">
        <f t="shared" si="418"/>
        <v>0</v>
      </c>
      <c r="AL1234" s="145">
        <v>23694.690000000002</v>
      </c>
      <c r="AM1234" s="145">
        <v>10569.66</v>
      </c>
      <c r="AN1234" s="145">
        <v>0</v>
      </c>
      <c r="AO1234" s="145">
        <v>0</v>
      </c>
      <c r="AP1234" s="145">
        <v>0</v>
      </c>
      <c r="AQ1234" s="145">
        <v>0</v>
      </c>
      <c r="AR1234" s="145">
        <v>0</v>
      </c>
      <c r="AS1234" s="144">
        <f>U1234+V1234+W1234+AK1234+AL1234+AM1234+AN1234+AO1234+AP1234+AQ1234+AR1234</f>
        <v>34264.350000000006</v>
      </c>
      <c r="AT1234" s="144">
        <v>0</v>
      </c>
      <c r="AU1234" s="146">
        <f t="shared" si="417"/>
        <v>34264.350000000006</v>
      </c>
      <c r="AV1234" s="146">
        <f>IFERROR(VLOOKUP(J1234,Maksājumu_pieprasījumu_iesn.!G:BL,57,0),0)</f>
        <v>0</v>
      </c>
      <c r="AW1234" s="139">
        <f t="shared" si="421"/>
        <v>-34264.350000000006</v>
      </c>
      <c r="AX1234" s="147">
        <f t="shared" si="420"/>
        <v>0</v>
      </c>
      <c r="AY1234" s="147"/>
      <c r="AZ1234" s="147"/>
      <c r="BA1234" s="149"/>
      <c r="BB1234" s="144"/>
      <c r="BC1234" s="144"/>
      <c r="BD1234" s="144"/>
      <c r="BE1234" s="144"/>
      <c r="BF1234" s="144"/>
      <c r="BG1234" s="144"/>
      <c r="BH1234" s="149"/>
      <c r="BI1234" s="149"/>
      <c r="BJ1234" s="149"/>
      <c r="BK1234" s="149"/>
      <c r="BL1234" s="149"/>
      <c r="BM1234" s="149"/>
      <c r="BN1234" s="149"/>
    </row>
    <row r="1235" spans="1:66" ht="38.25" hidden="1" customHeight="1" x14ac:dyDescent="0.2">
      <c r="A1235" s="142" t="s">
        <v>2279</v>
      </c>
      <c r="B1235" s="18" t="s">
        <v>406</v>
      </c>
      <c r="C1235" s="18" t="s">
        <v>411</v>
      </c>
      <c r="D1235" s="19" t="s">
        <v>606</v>
      </c>
      <c r="E1235" s="22">
        <v>1</v>
      </c>
      <c r="F1235" s="18" t="s">
        <v>402</v>
      </c>
      <c r="G1235" s="18" t="s">
        <v>77</v>
      </c>
      <c r="H1235" s="18" t="s">
        <v>3</v>
      </c>
      <c r="I1235" s="18"/>
      <c r="J1235" s="18" t="s">
        <v>442</v>
      </c>
      <c r="K1235" s="19" t="s">
        <v>443</v>
      </c>
      <c r="L1235" s="19"/>
      <c r="M1235" s="19"/>
      <c r="N1235" s="19" t="s">
        <v>444</v>
      </c>
      <c r="O1235" s="143"/>
      <c r="P1235" s="143"/>
      <c r="Q1235" s="143"/>
      <c r="R1235" s="373">
        <v>42809</v>
      </c>
      <c r="S1235" s="144">
        <v>90860.75</v>
      </c>
      <c r="T1235" s="226"/>
      <c r="U1235" s="145">
        <v>0</v>
      </c>
      <c r="V1235" s="145">
        <v>0</v>
      </c>
      <c r="W1235" s="145">
        <v>0</v>
      </c>
      <c r="X1235" s="145">
        <f t="shared" si="414"/>
        <v>0</v>
      </c>
      <c r="Y1235" s="145">
        <v>0</v>
      </c>
      <c r="Z1235" s="145">
        <v>0</v>
      </c>
      <c r="AA1235" s="145">
        <v>0</v>
      </c>
      <c r="AB1235" s="145">
        <v>0</v>
      </c>
      <c r="AC1235" s="145">
        <v>0</v>
      </c>
      <c r="AD1235" s="145">
        <v>3221.24</v>
      </c>
      <c r="AE1235" s="145">
        <v>0</v>
      </c>
      <c r="AF1235" s="145">
        <v>0</v>
      </c>
      <c r="AG1235" s="145">
        <v>12750</v>
      </c>
      <c r="AH1235" s="145">
        <v>0</v>
      </c>
      <c r="AI1235" s="145">
        <v>0</v>
      </c>
      <c r="AJ1235" s="145">
        <v>11847.38</v>
      </c>
      <c r="AK1235" s="145">
        <f t="shared" si="418"/>
        <v>27818.62</v>
      </c>
      <c r="AL1235" s="145">
        <v>36348.550000000003</v>
      </c>
      <c r="AM1235" s="145">
        <v>25287.5</v>
      </c>
      <c r="AN1235" s="145">
        <v>1406.08</v>
      </c>
      <c r="AO1235" s="145">
        <v>0</v>
      </c>
      <c r="AP1235" s="145">
        <v>0</v>
      </c>
      <c r="AQ1235" s="145">
        <v>0</v>
      </c>
      <c r="AR1235" s="145">
        <v>0</v>
      </c>
      <c r="AS1235" s="144">
        <f>U1235+V1235+W1235+AK1235+AL1235+AM1235+AN1235+AO1235+AP1235+AQ1235+AR1235</f>
        <v>90860.75</v>
      </c>
      <c r="AT1235" s="144">
        <v>0</v>
      </c>
      <c r="AU1235" s="146">
        <f t="shared" si="417"/>
        <v>90860.75</v>
      </c>
      <c r="AV1235" s="146">
        <f>IFERROR(VLOOKUP(J1235,Maksājumu_pieprasījumu_iesn.!G:BL,57,0),0)</f>
        <v>0</v>
      </c>
      <c r="AW1235" s="139">
        <f t="shared" si="421"/>
        <v>-90860.75</v>
      </c>
      <c r="AX1235" s="147">
        <f t="shared" si="420"/>
        <v>0</v>
      </c>
      <c r="AY1235" s="147"/>
      <c r="AZ1235" s="147"/>
      <c r="BA1235" s="149"/>
      <c r="BB1235" s="144"/>
      <c r="BC1235" s="144"/>
      <c r="BD1235" s="144"/>
      <c r="BE1235" s="144"/>
      <c r="BF1235" s="144"/>
      <c r="BG1235" s="144"/>
      <c r="BH1235" s="149"/>
      <c r="BI1235" s="149"/>
      <c r="BJ1235" s="149"/>
      <c r="BK1235" s="149"/>
      <c r="BL1235" s="149"/>
      <c r="BM1235" s="149"/>
      <c r="BN1235" s="149"/>
    </row>
    <row r="1236" spans="1:66" ht="38.25" hidden="1" customHeight="1" x14ac:dyDescent="0.2">
      <c r="A1236" s="142" t="s">
        <v>2279</v>
      </c>
      <c r="B1236" s="18" t="s">
        <v>406</v>
      </c>
      <c r="C1236" s="18" t="s">
        <v>411</v>
      </c>
      <c r="D1236" s="19" t="s">
        <v>606</v>
      </c>
      <c r="E1236" s="18">
        <v>1</v>
      </c>
      <c r="F1236" s="18" t="s">
        <v>402</v>
      </c>
      <c r="G1236" s="18" t="s">
        <v>77</v>
      </c>
      <c r="H1236" s="18" t="s">
        <v>3</v>
      </c>
      <c r="I1236" s="18"/>
      <c r="J1236" s="18" t="s">
        <v>442</v>
      </c>
      <c r="K1236" s="19" t="s">
        <v>443</v>
      </c>
      <c r="L1236" s="19"/>
      <c r="M1236" s="19"/>
      <c r="N1236" s="19" t="s">
        <v>444</v>
      </c>
      <c r="O1236" s="143" t="s">
        <v>880</v>
      </c>
      <c r="P1236" s="143"/>
      <c r="Q1236" s="143"/>
      <c r="R1236" s="373"/>
      <c r="S1236" s="144"/>
      <c r="T1236" s="226"/>
      <c r="U1236" s="145"/>
      <c r="V1236" s="145"/>
      <c r="W1236" s="145"/>
      <c r="X1236" s="145">
        <f t="shared" si="414"/>
        <v>0</v>
      </c>
      <c r="Y1236" s="145"/>
      <c r="Z1236" s="145"/>
      <c r="AA1236" s="145"/>
      <c r="AB1236" s="145">
        <v>1700</v>
      </c>
      <c r="AC1236" s="145"/>
      <c r="AD1236" s="145"/>
      <c r="AE1236" s="145"/>
      <c r="AF1236" s="145"/>
      <c r="AG1236" s="145"/>
      <c r="AH1236" s="145"/>
      <c r="AI1236" s="145"/>
      <c r="AJ1236" s="145"/>
      <c r="AK1236" s="145">
        <f t="shared" si="418"/>
        <v>1700</v>
      </c>
      <c r="AL1236" s="145"/>
      <c r="AM1236" s="145"/>
      <c r="AN1236" s="145"/>
      <c r="AO1236" s="145"/>
      <c r="AP1236" s="145"/>
      <c r="AQ1236" s="145"/>
      <c r="AR1236" s="145"/>
      <c r="AS1236" s="86"/>
      <c r="AT1236" s="144">
        <f>U1236+V1236+W1236+AK1236+AL1236+AM1236+AN1236+AO1236+AP1236+AQ1236+AR1236</f>
        <v>1700</v>
      </c>
      <c r="AU1236" s="146"/>
      <c r="AV1236" s="146">
        <f>IFERROR(VLOOKUP(J1236,Maksājumu_pieprasījumu_iesn.!G:BL,57,0),0)</f>
        <v>0</v>
      </c>
      <c r="AW1236" s="139">
        <f t="shared" si="421"/>
        <v>0</v>
      </c>
      <c r="AX1236" s="147">
        <f t="shared" si="420"/>
        <v>0</v>
      </c>
      <c r="AY1236" s="147"/>
      <c r="AZ1236" s="147"/>
      <c r="BA1236" s="149"/>
      <c r="BB1236" s="144"/>
      <c r="BC1236" s="144"/>
      <c r="BD1236" s="144"/>
      <c r="BE1236" s="144"/>
      <c r="BF1236" s="144"/>
      <c r="BG1236" s="144"/>
      <c r="BH1236" s="149"/>
      <c r="BI1236" s="149"/>
      <c r="BJ1236" s="149"/>
      <c r="BK1236" s="149"/>
      <c r="BL1236" s="149"/>
      <c r="BM1236" s="149"/>
      <c r="BN1236" s="149"/>
    </row>
    <row r="1237" spans="1:66" ht="38.25" hidden="1" customHeight="1" x14ac:dyDescent="0.2">
      <c r="A1237" s="142" t="s">
        <v>2279</v>
      </c>
      <c r="B1237" s="18" t="s">
        <v>406</v>
      </c>
      <c r="C1237" s="18" t="s">
        <v>411</v>
      </c>
      <c r="D1237" s="19" t="s">
        <v>606</v>
      </c>
      <c r="E1237" s="22">
        <v>1</v>
      </c>
      <c r="F1237" s="18" t="s">
        <v>402</v>
      </c>
      <c r="G1237" s="18" t="s">
        <v>77</v>
      </c>
      <c r="H1237" s="18" t="s">
        <v>3</v>
      </c>
      <c r="I1237" s="18"/>
      <c r="J1237" s="18" t="s">
        <v>934</v>
      </c>
      <c r="K1237" s="19" t="s">
        <v>935</v>
      </c>
      <c r="L1237" s="19"/>
      <c r="M1237" s="19"/>
      <c r="N1237" s="19" t="s">
        <v>936</v>
      </c>
      <c r="O1237" s="143"/>
      <c r="P1237" s="143"/>
      <c r="Q1237" s="143"/>
      <c r="R1237" s="373" t="s">
        <v>2315</v>
      </c>
      <c r="S1237" s="144">
        <v>94865.95</v>
      </c>
      <c r="T1237" s="226"/>
      <c r="U1237" s="145">
        <v>0</v>
      </c>
      <c r="V1237" s="145">
        <v>0</v>
      </c>
      <c r="W1237" s="145">
        <v>0</v>
      </c>
      <c r="X1237" s="145">
        <f t="shared" si="414"/>
        <v>0</v>
      </c>
      <c r="Y1237" s="145">
        <v>0</v>
      </c>
      <c r="Z1237" s="145">
        <v>0</v>
      </c>
      <c r="AA1237" s="145">
        <v>0</v>
      </c>
      <c r="AB1237" s="145">
        <v>0</v>
      </c>
      <c r="AC1237" s="145">
        <v>0</v>
      </c>
      <c r="AD1237" s="145">
        <v>0</v>
      </c>
      <c r="AE1237" s="145">
        <v>0</v>
      </c>
      <c r="AF1237" s="145">
        <v>0</v>
      </c>
      <c r="AG1237" s="145">
        <v>0</v>
      </c>
      <c r="AH1237" s="145">
        <v>0</v>
      </c>
      <c r="AI1237" s="145">
        <v>0</v>
      </c>
      <c r="AJ1237" s="145">
        <v>0</v>
      </c>
      <c r="AK1237" s="145">
        <f t="shared" si="418"/>
        <v>0</v>
      </c>
      <c r="AL1237" s="145">
        <v>63243.96</v>
      </c>
      <c r="AM1237" s="145">
        <v>31621.99</v>
      </c>
      <c r="AN1237" s="145">
        <v>0</v>
      </c>
      <c r="AO1237" s="145">
        <v>0</v>
      </c>
      <c r="AP1237" s="145">
        <v>0</v>
      </c>
      <c r="AQ1237" s="145">
        <v>0</v>
      </c>
      <c r="AR1237" s="145">
        <v>0</v>
      </c>
      <c r="AS1237" s="144">
        <f>U1237+V1237+W1237+AK1237+AL1237+AM1237+AN1237+AO1237+AP1237+AQ1237+AR1237</f>
        <v>94865.95</v>
      </c>
      <c r="AT1237" s="144">
        <v>0</v>
      </c>
      <c r="AU1237" s="146">
        <f t="shared" si="417"/>
        <v>94865.95</v>
      </c>
      <c r="AV1237" s="146">
        <f>IFERROR(VLOOKUP(J1237,Maksājumu_pieprasījumu_iesn.!G:BL,57,0),0)</f>
        <v>0</v>
      </c>
      <c r="AW1237" s="139">
        <f t="shared" si="421"/>
        <v>-94865.95</v>
      </c>
      <c r="AX1237" s="147">
        <f t="shared" si="420"/>
        <v>0</v>
      </c>
      <c r="AY1237" s="147"/>
      <c r="AZ1237" s="147"/>
      <c r="BA1237" s="149"/>
      <c r="BB1237" s="144"/>
      <c r="BC1237" s="144"/>
      <c r="BD1237" s="144"/>
      <c r="BE1237" s="144"/>
      <c r="BF1237" s="144"/>
      <c r="BG1237" s="144"/>
      <c r="BH1237" s="149"/>
      <c r="BI1237" s="149"/>
      <c r="BJ1237" s="149"/>
      <c r="BK1237" s="149"/>
      <c r="BL1237" s="149"/>
      <c r="BM1237" s="149"/>
      <c r="BN1237" s="149"/>
    </row>
    <row r="1238" spans="1:66" ht="25.5" hidden="1" customHeight="1" x14ac:dyDescent="0.2">
      <c r="A1238" s="142" t="s">
        <v>2279</v>
      </c>
      <c r="B1238" s="18" t="s">
        <v>406</v>
      </c>
      <c r="C1238" s="18" t="s">
        <v>411</v>
      </c>
      <c r="D1238" s="19" t="s">
        <v>606</v>
      </c>
      <c r="E1238" s="18">
        <v>1</v>
      </c>
      <c r="F1238" s="18" t="s">
        <v>402</v>
      </c>
      <c r="G1238" s="18" t="s">
        <v>77</v>
      </c>
      <c r="H1238" s="18" t="s">
        <v>3</v>
      </c>
      <c r="I1238" s="18"/>
      <c r="J1238" s="18" t="s">
        <v>2338</v>
      </c>
      <c r="K1238" s="19" t="s">
        <v>2339</v>
      </c>
      <c r="L1238" s="19"/>
      <c r="M1238" s="19"/>
      <c r="N1238" s="19" t="s">
        <v>2340</v>
      </c>
      <c r="O1238" s="143"/>
      <c r="P1238" s="143"/>
      <c r="Q1238" s="143"/>
      <c r="R1238" s="373" t="s">
        <v>2341</v>
      </c>
      <c r="S1238" s="144">
        <v>56268.22</v>
      </c>
      <c r="T1238" s="226"/>
      <c r="U1238" s="378">
        <v>0</v>
      </c>
      <c r="V1238" s="378">
        <v>0</v>
      </c>
      <c r="W1238" s="378">
        <v>0</v>
      </c>
      <c r="X1238" s="145">
        <f t="shared" si="414"/>
        <v>0</v>
      </c>
      <c r="Y1238" s="378">
        <v>0</v>
      </c>
      <c r="Z1238" s="378">
        <v>0</v>
      </c>
      <c r="AA1238" s="378">
        <v>0</v>
      </c>
      <c r="AB1238" s="378">
        <v>0</v>
      </c>
      <c r="AC1238" s="378">
        <v>0</v>
      </c>
      <c r="AD1238" s="378">
        <v>0</v>
      </c>
      <c r="AE1238" s="378">
        <v>0</v>
      </c>
      <c r="AF1238" s="378">
        <v>0</v>
      </c>
      <c r="AG1238" s="378">
        <v>0</v>
      </c>
      <c r="AH1238" s="378">
        <v>0</v>
      </c>
      <c r="AI1238" s="378">
        <v>0</v>
      </c>
      <c r="AJ1238" s="378">
        <v>0</v>
      </c>
      <c r="AK1238" s="145">
        <f t="shared" si="418"/>
        <v>0</v>
      </c>
      <c r="AL1238" s="378">
        <v>39387.22</v>
      </c>
      <c r="AM1238" s="378">
        <v>16881</v>
      </c>
      <c r="AN1238" s="378">
        <v>0</v>
      </c>
      <c r="AO1238" s="378">
        <v>0</v>
      </c>
      <c r="AP1238" s="378">
        <v>0</v>
      </c>
      <c r="AQ1238" s="378">
        <v>0</v>
      </c>
      <c r="AR1238" s="378">
        <v>0</v>
      </c>
      <c r="AS1238" s="375">
        <f>U1238+V1238+W1238+AK1238+AL1238+AM1238+AN1238+AO1238+AP1238+AQ1238+AR1238</f>
        <v>56268.22</v>
      </c>
      <c r="AT1238" s="147">
        <v>0</v>
      </c>
      <c r="AU1238" s="146">
        <f t="shared" si="417"/>
        <v>56268.22</v>
      </c>
      <c r="AV1238" s="146">
        <f>IFERROR(VLOOKUP(J1238,Maksājumu_pieprasījumu_iesn.!G:BL,57,0),0)</f>
        <v>0</v>
      </c>
      <c r="AW1238" s="139">
        <f t="shared" si="421"/>
        <v>-56268.22</v>
      </c>
      <c r="AX1238" s="147">
        <f t="shared" si="420"/>
        <v>0</v>
      </c>
      <c r="AY1238" s="147"/>
      <c r="AZ1238" s="147"/>
      <c r="BA1238" s="149"/>
      <c r="BB1238" s="144"/>
      <c r="BC1238" s="144"/>
      <c r="BD1238" s="144"/>
      <c r="BE1238" s="144"/>
      <c r="BF1238" s="144"/>
      <c r="BG1238" s="144"/>
      <c r="BH1238" s="149"/>
      <c r="BI1238" s="149"/>
      <c r="BJ1238" s="149"/>
      <c r="BK1238" s="149"/>
      <c r="BL1238" s="149"/>
      <c r="BM1238" s="149"/>
      <c r="BN1238" s="149"/>
    </row>
    <row r="1239" spans="1:66" ht="25.5" hidden="1" customHeight="1" x14ac:dyDescent="0.2">
      <c r="A1239" s="142" t="s">
        <v>2279</v>
      </c>
      <c r="B1239" s="18" t="s">
        <v>406</v>
      </c>
      <c r="C1239" s="18" t="s">
        <v>411</v>
      </c>
      <c r="D1239" s="19" t="s">
        <v>606</v>
      </c>
      <c r="E1239" s="22">
        <v>1</v>
      </c>
      <c r="F1239" s="18" t="s">
        <v>402</v>
      </c>
      <c r="G1239" s="18" t="s">
        <v>77</v>
      </c>
      <c r="H1239" s="18" t="s">
        <v>3</v>
      </c>
      <c r="I1239" s="18"/>
      <c r="J1239" s="18" t="s">
        <v>878</v>
      </c>
      <c r="K1239" s="19" t="s">
        <v>524</v>
      </c>
      <c r="L1239" s="19"/>
      <c r="M1239" s="19"/>
      <c r="N1239" s="19" t="s">
        <v>879</v>
      </c>
      <c r="O1239" s="143"/>
      <c r="P1239" s="143"/>
      <c r="Q1239" s="143"/>
      <c r="R1239" s="373">
        <v>42846</v>
      </c>
      <c r="S1239" s="144">
        <v>218491.65</v>
      </c>
      <c r="T1239" s="226"/>
      <c r="U1239" s="378">
        <v>0</v>
      </c>
      <c r="V1239" s="378">
        <v>0</v>
      </c>
      <c r="W1239" s="378">
        <v>0</v>
      </c>
      <c r="X1239" s="145">
        <f t="shared" si="414"/>
        <v>0</v>
      </c>
      <c r="Y1239" s="378">
        <v>0</v>
      </c>
      <c r="Z1239" s="378">
        <v>0</v>
      </c>
      <c r="AA1239" s="378">
        <v>0</v>
      </c>
      <c r="AB1239" s="378">
        <v>0</v>
      </c>
      <c r="AC1239" s="378">
        <v>0</v>
      </c>
      <c r="AD1239" s="378">
        <v>0</v>
      </c>
      <c r="AE1239" s="378">
        <v>0</v>
      </c>
      <c r="AF1239" s="422">
        <v>3543.68</v>
      </c>
      <c r="AG1239" s="378">
        <v>0</v>
      </c>
      <c r="AH1239" s="378">
        <v>0</v>
      </c>
      <c r="AI1239" s="378">
        <v>25790.17</v>
      </c>
      <c r="AJ1239" s="378">
        <v>0</v>
      </c>
      <c r="AK1239" s="145">
        <f t="shared" si="418"/>
        <v>29333.85</v>
      </c>
      <c r="AL1239" s="378">
        <v>87198.86</v>
      </c>
      <c r="AM1239" s="378">
        <v>80109.78</v>
      </c>
      <c r="AN1239" s="378">
        <v>21849.16</v>
      </c>
      <c r="AO1239" s="378">
        <v>0</v>
      </c>
      <c r="AP1239" s="378">
        <v>0</v>
      </c>
      <c r="AQ1239" s="378">
        <v>0</v>
      </c>
      <c r="AR1239" s="378">
        <v>0</v>
      </c>
      <c r="AS1239" s="375">
        <f>U1239+V1239+W1239+AK1239+AL1239+AM1239+AN1239+AO1239+AP1239+AQ1239+AR1239</f>
        <v>218491.65</v>
      </c>
      <c r="AT1239" s="147">
        <v>0</v>
      </c>
      <c r="AU1239" s="146">
        <f>AS1239-AT1239</f>
        <v>218491.65</v>
      </c>
      <c r="AV1239" s="146">
        <f>IFERROR(VLOOKUP(J1239,Maksājumu_pieprasījumu_iesn.!G:BL,57,0),0)</f>
        <v>0</v>
      </c>
      <c r="AW1239" s="139">
        <f t="shared" si="421"/>
        <v>-218491.65</v>
      </c>
      <c r="AX1239" s="147">
        <f t="shared" si="420"/>
        <v>0</v>
      </c>
      <c r="AY1239" s="147"/>
      <c r="AZ1239" s="147"/>
      <c r="BA1239" s="149"/>
      <c r="BB1239" s="144"/>
      <c r="BC1239" s="144"/>
      <c r="BD1239" s="144"/>
      <c r="BE1239" s="144"/>
      <c r="BF1239" s="144"/>
      <c r="BG1239" s="144"/>
      <c r="BH1239" s="149"/>
      <c r="BI1239" s="149"/>
      <c r="BJ1239" s="149"/>
      <c r="BK1239" s="149"/>
      <c r="BL1239" s="149"/>
      <c r="BM1239" s="149"/>
      <c r="BN1239" s="149"/>
    </row>
    <row r="1240" spans="1:66" ht="25.5" hidden="1" customHeight="1" x14ac:dyDescent="0.2">
      <c r="A1240" s="142" t="s">
        <v>2279</v>
      </c>
      <c r="B1240" s="18" t="s">
        <v>406</v>
      </c>
      <c r="C1240" s="18" t="s">
        <v>411</v>
      </c>
      <c r="D1240" s="19" t="s">
        <v>606</v>
      </c>
      <c r="E1240" s="18">
        <v>1</v>
      </c>
      <c r="F1240" s="18" t="s">
        <v>402</v>
      </c>
      <c r="G1240" s="18" t="s">
        <v>77</v>
      </c>
      <c r="H1240" s="18" t="s">
        <v>3</v>
      </c>
      <c r="I1240" s="18"/>
      <c r="J1240" s="18" t="s">
        <v>878</v>
      </c>
      <c r="K1240" s="19" t="s">
        <v>524</v>
      </c>
      <c r="L1240" s="19"/>
      <c r="M1240" s="19"/>
      <c r="N1240" s="19" t="s">
        <v>879</v>
      </c>
      <c r="O1240" s="143" t="s">
        <v>880</v>
      </c>
      <c r="P1240" s="143"/>
      <c r="Q1240" s="143"/>
      <c r="R1240" s="373"/>
      <c r="S1240" s="144"/>
      <c r="T1240" s="226"/>
      <c r="U1240" s="378"/>
      <c r="V1240" s="378"/>
      <c r="W1240" s="378"/>
      <c r="X1240" s="145">
        <f t="shared" si="414"/>
        <v>0</v>
      </c>
      <c r="Y1240" s="378"/>
      <c r="Z1240" s="378"/>
      <c r="AA1240" s="378"/>
      <c r="AB1240" s="378"/>
      <c r="AC1240" s="378"/>
      <c r="AD1240" s="378"/>
      <c r="AE1240" s="379">
        <v>18297.93</v>
      </c>
      <c r="AF1240" s="378"/>
      <c r="AG1240" s="378"/>
      <c r="AH1240" s="378"/>
      <c r="AI1240" s="86"/>
      <c r="AJ1240" s="378">
        <v>323</v>
      </c>
      <c r="AK1240" s="145">
        <f t="shared" si="418"/>
        <v>18620.93</v>
      </c>
      <c r="AL1240" s="378"/>
      <c r="AM1240" s="378"/>
      <c r="AN1240" s="378"/>
      <c r="AO1240" s="378"/>
      <c r="AP1240" s="378"/>
      <c r="AQ1240" s="378"/>
      <c r="AR1240" s="378"/>
      <c r="AS1240" s="86"/>
      <c r="AT1240" s="375">
        <f>U1240+V1240+W1240+AK1240+AL1240+AM1240+AN1240+AO1240+AP1240+AQ1240+AR1240</f>
        <v>18620.93</v>
      </c>
      <c r="AU1240" s="146"/>
      <c r="AV1240" s="146">
        <f>IFERROR(VLOOKUP(J1240,Maksājumu_pieprasījumu_iesn.!G:BL,57,0),0)</f>
        <v>0</v>
      </c>
      <c r="AW1240" s="139">
        <f t="shared" si="421"/>
        <v>0</v>
      </c>
      <c r="AX1240" s="147">
        <f t="shared" si="420"/>
        <v>0</v>
      </c>
      <c r="AY1240" s="147"/>
      <c r="AZ1240" s="147"/>
      <c r="BA1240" s="149"/>
      <c r="BB1240" s="144"/>
      <c r="BC1240" s="144"/>
      <c r="BD1240" s="144"/>
      <c r="BE1240" s="144"/>
      <c r="BF1240" s="144"/>
      <c r="BG1240" s="144"/>
      <c r="BH1240" s="149"/>
      <c r="BI1240" s="149"/>
      <c r="BJ1240" s="149"/>
      <c r="BK1240" s="149"/>
      <c r="BL1240" s="149"/>
      <c r="BM1240" s="149"/>
      <c r="BN1240" s="149"/>
    </row>
    <row r="1241" spans="1:66" ht="38.25" hidden="1" customHeight="1" x14ac:dyDescent="0.2">
      <c r="A1241" s="142" t="s">
        <v>2279</v>
      </c>
      <c r="B1241" s="18" t="s">
        <v>406</v>
      </c>
      <c r="C1241" s="18" t="s">
        <v>411</v>
      </c>
      <c r="D1241" s="19" t="s">
        <v>606</v>
      </c>
      <c r="E1241" s="22">
        <v>1</v>
      </c>
      <c r="F1241" s="18" t="s">
        <v>402</v>
      </c>
      <c r="G1241" s="18" t="s">
        <v>77</v>
      </c>
      <c r="H1241" s="18" t="s">
        <v>3</v>
      </c>
      <c r="I1241" s="18"/>
      <c r="J1241" s="18" t="s">
        <v>723</v>
      </c>
      <c r="K1241" s="19" t="s">
        <v>724</v>
      </c>
      <c r="L1241" s="19"/>
      <c r="M1241" s="19"/>
      <c r="N1241" s="19" t="s">
        <v>725</v>
      </c>
      <c r="O1241" s="143"/>
      <c r="P1241" s="143"/>
      <c r="Q1241" s="143"/>
      <c r="R1241" s="373">
        <v>42818</v>
      </c>
      <c r="S1241" s="144">
        <v>253980</v>
      </c>
      <c r="T1241" s="226"/>
      <c r="U1241" s="224">
        <v>0</v>
      </c>
      <c r="V1241" s="224">
        <v>0</v>
      </c>
      <c r="W1241" s="224">
        <v>0</v>
      </c>
      <c r="X1241" s="145">
        <f t="shared" si="414"/>
        <v>0</v>
      </c>
      <c r="Y1241" s="224">
        <v>0</v>
      </c>
      <c r="Z1241" s="224">
        <v>0</v>
      </c>
      <c r="AA1241" s="224">
        <v>0</v>
      </c>
      <c r="AB1241" s="224">
        <v>0</v>
      </c>
      <c r="AC1241" s="224">
        <v>0</v>
      </c>
      <c r="AD1241" s="224">
        <v>0</v>
      </c>
      <c r="AE1241" s="225">
        <v>8416.7000000000007</v>
      </c>
      <c r="AF1241" s="224">
        <v>0</v>
      </c>
      <c r="AG1241" s="224">
        <v>0</v>
      </c>
      <c r="AH1241" s="224">
        <v>42987.9</v>
      </c>
      <c r="AI1241" s="224">
        <v>0</v>
      </c>
      <c r="AJ1241" s="224">
        <v>0</v>
      </c>
      <c r="AK1241" s="145">
        <f t="shared" si="418"/>
        <v>51404.600000000006</v>
      </c>
      <c r="AL1241" s="224">
        <v>94698.5</v>
      </c>
      <c r="AM1241" s="224">
        <v>93366.550000000017</v>
      </c>
      <c r="AN1241" s="224">
        <v>14510.35</v>
      </c>
      <c r="AO1241" s="224">
        <v>0</v>
      </c>
      <c r="AP1241" s="224">
        <v>0</v>
      </c>
      <c r="AQ1241" s="224">
        <v>0</v>
      </c>
      <c r="AR1241" s="224">
        <v>0</v>
      </c>
      <c r="AS1241" s="144">
        <f>U1241+V1241+W1241+AK1241+AL1241+AM1241+AN1241+AO1241+AP1241+AQ1241+AR1241</f>
        <v>253980.00000000003</v>
      </c>
      <c r="AT1241" s="226">
        <v>0</v>
      </c>
      <c r="AU1241" s="146">
        <f t="shared" si="417"/>
        <v>253980.00000000003</v>
      </c>
      <c r="AV1241" s="146">
        <f>IFERROR(VLOOKUP(J1241,Maksājumu_pieprasījumu_iesn.!G:BL,57,0),0)</f>
        <v>0</v>
      </c>
      <c r="AW1241" s="139">
        <f t="shared" si="421"/>
        <v>-253980.00000000003</v>
      </c>
      <c r="AX1241" s="147">
        <f t="shared" si="420"/>
        <v>0</v>
      </c>
      <c r="AY1241" s="227"/>
      <c r="AZ1241" s="227"/>
      <c r="BA1241" s="149"/>
      <c r="BB1241" s="226"/>
      <c r="BC1241" s="226"/>
      <c r="BD1241" s="226"/>
      <c r="BE1241" s="226"/>
      <c r="BF1241" s="226"/>
      <c r="BG1241" s="226"/>
      <c r="BH1241" s="149"/>
      <c r="BI1241" s="149"/>
      <c r="BJ1241" s="149"/>
      <c r="BK1241" s="149"/>
      <c r="BL1241" s="149"/>
      <c r="BM1241" s="149"/>
      <c r="BN1241" s="149"/>
    </row>
    <row r="1242" spans="1:66" ht="38.25" hidden="1" customHeight="1" x14ac:dyDescent="0.2">
      <c r="A1242" s="142" t="s">
        <v>2279</v>
      </c>
      <c r="B1242" s="18" t="s">
        <v>406</v>
      </c>
      <c r="C1242" s="18" t="s">
        <v>411</v>
      </c>
      <c r="D1242" s="19" t="s">
        <v>606</v>
      </c>
      <c r="E1242" s="18">
        <v>1</v>
      </c>
      <c r="F1242" s="18" t="s">
        <v>402</v>
      </c>
      <c r="G1242" s="18" t="s">
        <v>77</v>
      </c>
      <c r="H1242" s="18" t="s">
        <v>3</v>
      </c>
      <c r="I1242" s="18"/>
      <c r="J1242" s="18" t="s">
        <v>723</v>
      </c>
      <c r="K1242" s="19" t="s">
        <v>724</v>
      </c>
      <c r="L1242" s="19"/>
      <c r="M1242" s="19"/>
      <c r="N1242" s="19" t="s">
        <v>725</v>
      </c>
      <c r="O1242" s="143" t="s">
        <v>880</v>
      </c>
      <c r="P1242" s="143"/>
      <c r="Q1242" s="143"/>
      <c r="R1242" s="373"/>
      <c r="S1242" s="144"/>
      <c r="T1242" s="226"/>
      <c r="U1242" s="224"/>
      <c r="V1242" s="224"/>
      <c r="W1242" s="224"/>
      <c r="X1242" s="145">
        <f t="shared" si="414"/>
        <v>0</v>
      </c>
      <c r="Y1242" s="224"/>
      <c r="Z1242" s="224"/>
      <c r="AA1242" s="224"/>
      <c r="AB1242" s="224"/>
      <c r="AC1242" s="224">
        <v>42500</v>
      </c>
      <c r="AD1242" s="224"/>
      <c r="AE1242" s="224"/>
      <c r="AF1242" s="224"/>
      <c r="AG1242" s="224"/>
      <c r="AH1242" s="224">
        <v>38960.6</v>
      </c>
      <c r="AI1242" s="224"/>
      <c r="AJ1242" s="224"/>
      <c r="AK1242" s="145">
        <f t="shared" si="418"/>
        <v>81460.600000000006</v>
      </c>
      <c r="AL1242" s="224">
        <v>93070.75</v>
      </c>
      <c r="AM1242" s="224">
        <v>54050.65</v>
      </c>
      <c r="AN1242" s="224"/>
      <c r="AO1242" s="224"/>
      <c r="AP1242" s="224"/>
      <c r="AQ1242" s="224"/>
      <c r="AR1242" s="224"/>
      <c r="AS1242" s="86"/>
      <c r="AT1242" s="144">
        <f>U1242+V1242+W1242+AK1242+AL1242+AM1242+AN1242+AO1242+AP1242+AQ1242+AR1242</f>
        <v>228582</v>
      </c>
      <c r="AU1242" s="146"/>
      <c r="AV1242" s="146">
        <f>IFERROR(VLOOKUP(J1242,Maksājumu_pieprasījumu_iesn.!G:BL,57,0),0)</f>
        <v>0</v>
      </c>
      <c r="AW1242" s="139">
        <f t="shared" si="421"/>
        <v>0</v>
      </c>
      <c r="AX1242" s="147">
        <f t="shared" si="420"/>
        <v>0</v>
      </c>
      <c r="AY1242" s="227"/>
      <c r="AZ1242" s="227"/>
      <c r="BA1242" s="149"/>
      <c r="BB1242" s="226"/>
      <c r="BC1242" s="226"/>
      <c r="BD1242" s="226"/>
      <c r="BE1242" s="226"/>
      <c r="BF1242" s="226"/>
      <c r="BG1242" s="226"/>
      <c r="BH1242" s="149"/>
      <c r="BI1242" s="149"/>
      <c r="BJ1242" s="149"/>
      <c r="BK1242" s="149"/>
      <c r="BL1242" s="149"/>
      <c r="BM1242" s="149"/>
      <c r="BN1242" s="149"/>
    </row>
    <row r="1243" spans="1:66" ht="38.25" hidden="1" customHeight="1" x14ac:dyDescent="0.2">
      <c r="A1243" s="142" t="s">
        <v>2279</v>
      </c>
      <c r="B1243" s="18" t="s">
        <v>406</v>
      </c>
      <c r="C1243" s="18" t="s">
        <v>411</v>
      </c>
      <c r="D1243" s="19" t="s">
        <v>606</v>
      </c>
      <c r="E1243" s="22">
        <v>1</v>
      </c>
      <c r="F1243" s="18" t="s">
        <v>402</v>
      </c>
      <c r="G1243" s="18" t="s">
        <v>77</v>
      </c>
      <c r="H1243" s="18" t="s">
        <v>3</v>
      </c>
      <c r="I1243" s="18"/>
      <c r="J1243" s="18" t="s">
        <v>2342</v>
      </c>
      <c r="K1243" s="19" t="s">
        <v>2343</v>
      </c>
      <c r="L1243" s="19"/>
      <c r="M1243" s="19"/>
      <c r="N1243" s="19" t="s">
        <v>2344</v>
      </c>
      <c r="O1243" s="143"/>
      <c r="P1243" s="143"/>
      <c r="Q1243" s="143"/>
      <c r="R1243" s="373">
        <v>42844</v>
      </c>
      <c r="S1243" s="144">
        <v>15532.05</v>
      </c>
      <c r="T1243" s="226"/>
      <c r="U1243" s="145">
        <v>0</v>
      </c>
      <c r="V1243" s="145">
        <v>0</v>
      </c>
      <c r="W1243" s="145">
        <v>0</v>
      </c>
      <c r="X1243" s="145">
        <f t="shared" si="414"/>
        <v>0</v>
      </c>
      <c r="Y1243" s="145">
        <v>0</v>
      </c>
      <c r="Z1243" s="145">
        <v>0</v>
      </c>
      <c r="AA1243" s="145">
        <v>0</v>
      </c>
      <c r="AB1243" s="145">
        <v>0</v>
      </c>
      <c r="AC1243" s="145">
        <v>0</v>
      </c>
      <c r="AD1243" s="145">
        <v>0</v>
      </c>
      <c r="AE1243" s="145">
        <v>0</v>
      </c>
      <c r="AF1243" s="145">
        <v>0</v>
      </c>
      <c r="AG1243" s="145">
        <v>0</v>
      </c>
      <c r="AH1243" s="145">
        <v>0</v>
      </c>
      <c r="AI1243" s="145">
        <v>0</v>
      </c>
      <c r="AJ1243" s="145">
        <v>0</v>
      </c>
      <c r="AK1243" s="145">
        <f t="shared" si="418"/>
        <v>0</v>
      </c>
      <c r="AL1243" s="145">
        <v>10240.099999999999</v>
      </c>
      <c r="AM1243" s="145">
        <v>5291.95</v>
      </c>
      <c r="AN1243" s="145">
        <v>0</v>
      </c>
      <c r="AO1243" s="145">
        <v>0</v>
      </c>
      <c r="AP1243" s="145">
        <v>0</v>
      </c>
      <c r="AQ1243" s="145">
        <v>0</v>
      </c>
      <c r="AR1243" s="145">
        <v>0</v>
      </c>
      <c r="AS1243" s="144">
        <f t="shared" ref="AS1243:AS1250" si="422">U1243+V1243+W1243+AK1243+AL1243+AM1243+AN1243+AO1243+AP1243+AQ1243+AR1243</f>
        <v>15532.05</v>
      </c>
      <c r="AT1243" s="144">
        <v>0</v>
      </c>
      <c r="AU1243" s="146">
        <f t="shared" si="417"/>
        <v>15532.05</v>
      </c>
      <c r="AV1243" s="146">
        <f>IFERROR(VLOOKUP(J1243,Maksājumu_pieprasījumu_iesn.!G:BL,57,0),0)</f>
        <v>0</v>
      </c>
      <c r="AW1243" s="139">
        <f t="shared" si="421"/>
        <v>-15532.05</v>
      </c>
      <c r="AX1243" s="147">
        <f t="shared" si="420"/>
        <v>0</v>
      </c>
      <c r="AY1243" s="147"/>
      <c r="AZ1243" s="147"/>
      <c r="BA1243" s="149"/>
      <c r="BB1243" s="144"/>
      <c r="BC1243" s="144"/>
      <c r="BD1243" s="144"/>
      <c r="BE1243" s="144"/>
      <c r="BF1243" s="144"/>
      <c r="BG1243" s="144"/>
      <c r="BH1243" s="149"/>
      <c r="BI1243" s="149"/>
      <c r="BJ1243" s="149"/>
      <c r="BK1243" s="149"/>
      <c r="BL1243" s="149"/>
      <c r="BM1243" s="149"/>
      <c r="BN1243" s="149"/>
    </row>
    <row r="1244" spans="1:66" ht="38.25" hidden="1" customHeight="1" x14ac:dyDescent="0.2">
      <c r="A1244" s="142" t="s">
        <v>2279</v>
      </c>
      <c r="B1244" s="18" t="s">
        <v>406</v>
      </c>
      <c r="C1244" s="18" t="s">
        <v>411</v>
      </c>
      <c r="D1244" s="19" t="s">
        <v>606</v>
      </c>
      <c r="E1244" s="18">
        <v>1</v>
      </c>
      <c r="F1244" s="18" t="s">
        <v>402</v>
      </c>
      <c r="G1244" s="18" t="s">
        <v>77</v>
      </c>
      <c r="H1244" s="18" t="s">
        <v>3</v>
      </c>
      <c r="I1244" s="18"/>
      <c r="J1244" s="18" t="s">
        <v>791</v>
      </c>
      <c r="K1244" s="19" t="s">
        <v>825</v>
      </c>
      <c r="L1244" s="19"/>
      <c r="M1244" s="19"/>
      <c r="N1244" s="19" t="s">
        <v>826</v>
      </c>
      <c r="O1244" s="143"/>
      <c r="P1244" s="143"/>
      <c r="Q1244" s="143"/>
      <c r="R1244" s="373" t="s">
        <v>2315</v>
      </c>
      <c r="S1244" s="144">
        <v>35182.35</v>
      </c>
      <c r="T1244" s="226"/>
      <c r="U1244" s="145">
        <v>0</v>
      </c>
      <c r="V1244" s="145">
        <v>0</v>
      </c>
      <c r="W1244" s="145">
        <v>0</v>
      </c>
      <c r="X1244" s="145">
        <f t="shared" si="414"/>
        <v>0</v>
      </c>
      <c r="Y1244" s="145">
        <v>0</v>
      </c>
      <c r="Z1244" s="145">
        <v>0</v>
      </c>
      <c r="AA1244" s="145">
        <v>0</v>
      </c>
      <c r="AB1244" s="145">
        <v>0</v>
      </c>
      <c r="AC1244" s="145">
        <v>0</v>
      </c>
      <c r="AD1244" s="145">
        <v>0</v>
      </c>
      <c r="AE1244" s="145">
        <v>0</v>
      </c>
      <c r="AF1244" s="145">
        <v>0</v>
      </c>
      <c r="AG1244" s="145">
        <v>0</v>
      </c>
      <c r="AH1244" s="145">
        <v>0</v>
      </c>
      <c r="AI1244" s="145">
        <v>0</v>
      </c>
      <c r="AJ1244" s="145">
        <v>0</v>
      </c>
      <c r="AK1244" s="145">
        <f t="shared" si="418"/>
        <v>0</v>
      </c>
      <c r="AL1244" s="145">
        <v>23554.07</v>
      </c>
      <c r="AM1244" s="145">
        <v>11628.28</v>
      </c>
      <c r="AN1244" s="145">
        <v>0</v>
      </c>
      <c r="AO1244" s="145">
        <v>0</v>
      </c>
      <c r="AP1244" s="145">
        <v>0</v>
      </c>
      <c r="AQ1244" s="145">
        <v>0</v>
      </c>
      <c r="AR1244" s="145">
        <v>0</v>
      </c>
      <c r="AS1244" s="144">
        <f t="shared" si="422"/>
        <v>35182.35</v>
      </c>
      <c r="AT1244" s="144">
        <v>0</v>
      </c>
      <c r="AU1244" s="146">
        <f t="shared" si="417"/>
        <v>35182.35</v>
      </c>
      <c r="AV1244" s="146">
        <f>IFERROR(VLOOKUP(J1244,Maksājumu_pieprasījumu_iesn.!G:BL,57,0),0)</f>
        <v>0</v>
      </c>
      <c r="AW1244" s="139">
        <f t="shared" si="421"/>
        <v>-35182.35</v>
      </c>
      <c r="AX1244" s="147">
        <f t="shared" si="420"/>
        <v>0</v>
      </c>
      <c r="AY1244" s="147"/>
      <c r="AZ1244" s="147"/>
      <c r="BA1244" s="149"/>
      <c r="BB1244" s="144"/>
      <c r="BC1244" s="144"/>
      <c r="BD1244" s="144"/>
      <c r="BE1244" s="144"/>
      <c r="BF1244" s="144"/>
      <c r="BG1244" s="144"/>
      <c r="BH1244" s="149"/>
      <c r="BI1244" s="149"/>
      <c r="BJ1244" s="149"/>
      <c r="BK1244" s="149"/>
      <c r="BL1244" s="149"/>
      <c r="BM1244" s="149"/>
      <c r="BN1244" s="149"/>
    </row>
    <row r="1245" spans="1:66" ht="25.5" hidden="1" customHeight="1" x14ac:dyDescent="0.2">
      <c r="A1245" s="142" t="s">
        <v>2279</v>
      </c>
      <c r="B1245" s="18" t="s">
        <v>406</v>
      </c>
      <c r="C1245" s="18" t="s">
        <v>411</v>
      </c>
      <c r="D1245" s="19" t="s">
        <v>606</v>
      </c>
      <c r="E1245" s="22">
        <v>1</v>
      </c>
      <c r="F1245" s="18" t="s">
        <v>402</v>
      </c>
      <c r="G1245" s="18" t="s">
        <v>77</v>
      </c>
      <c r="H1245" s="18" t="s">
        <v>3</v>
      </c>
      <c r="I1245" s="18"/>
      <c r="J1245" s="18" t="s">
        <v>792</v>
      </c>
      <c r="K1245" s="19" t="s">
        <v>827</v>
      </c>
      <c r="L1245" s="19"/>
      <c r="M1245" s="19"/>
      <c r="N1245" s="19" t="s">
        <v>828</v>
      </c>
      <c r="O1245" s="143"/>
      <c r="P1245" s="143"/>
      <c r="Q1245" s="143"/>
      <c r="R1245" s="373" t="s">
        <v>2345</v>
      </c>
      <c r="S1245" s="144">
        <v>41334.65</v>
      </c>
      <c r="T1245" s="226"/>
      <c r="U1245" s="378">
        <v>0</v>
      </c>
      <c r="V1245" s="378">
        <v>0</v>
      </c>
      <c r="W1245" s="378">
        <v>0</v>
      </c>
      <c r="X1245" s="145">
        <f t="shared" si="414"/>
        <v>0</v>
      </c>
      <c r="Y1245" s="378">
        <v>0</v>
      </c>
      <c r="Z1245" s="378">
        <v>0</v>
      </c>
      <c r="AA1245" s="378">
        <v>0</v>
      </c>
      <c r="AB1245" s="378">
        <v>0</v>
      </c>
      <c r="AC1245" s="378">
        <v>0</v>
      </c>
      <c r="AD1245" s="378">
        <v>0</v>
      </c>
      <c r="AE1245" s="378">
        <v>0</v>
      </c>
      <c r="AF1245" s="378">
        <v>0</v>
      </c>
      <c r="AG1245" s="378">
        <v>0</v>
      </c>
      <c r="AH1245" s="378">
        <v>0</v>
      </c>
      <c r="AI1245" s="378">
        <v>0</v>
      </c>
      <c r="AJ1245" s="378">
        <v>0</v>
      </c>
      <c r="AK1245" s="145">
        <f t="shared" si="418"/>
        <v>0</v>
      </c>
      <c r="AL1245" s="378">
        <f>15688.05+13860.61</f>
        <v>29548.66</v>
      </c>
      <c r="AM1245" s="378">
        <v>11785.99</v>
      </c>
      <c r="AN1245" s="378">
        <v>0</v>
      </c>
      <c r="AO1245" s="378">
        <v>0</v>
      </c>
      <c r="AP1245" s="378">
        <v>0</v>
      </c>
      <c r="AQ1245" s="378">
        <v>0</v>
      </c>
      <c r="AR1245" s="378">
        <v>0</v>
      </c>
      <c r="AS1245" s="375">
        <f t="shared" si="422"/>
        <v>41334.65</v>
      </c>
      <c r="AT1245" s="147">
        <v>0</v>
      </c>
      <c r="AU1245" s="146">
        <f t="shared" si="417"/>
        <v>41334.65</v>
      </c>
      <c r="AV1245" s="146">
        <f>IFERROR(VLOOKUP(J1245,Maksājumu_pieprasījumu_iesn.!G:BL,57,0),0)</f>
        <v>0</v>
      </c>
      <c r="AW1245" s="139">
        <f t="shared" si="421"/>
        <v>-41334.65</v>
      </c>
      <c r="AX1245" s="147">
        <f t="shared" si="420"/>
        <v>0</v>
      </c>
      <c r="AY1245" s="147"/>
      <c r="AZ1245" s="147"/>
      <c r="BA1245" s="149"/>
      <c r="BB1245" s="144"/>
      <c r="BC1245" s="144"/>
      <c r="BD1245" s="144"/>
      <c r="BE1245" s="144"/>
      <c r="BF1245" s="144"/>
      <c r="BG1245" s="144"/>
      <c r="BH1245" s="149"/>
      <c r="BI1245" s="149"/>
      <c r="BJ1245" s="149"/>
      <c r="BK1245" s="149"/>
      <c r="BL1245" s="149"/>
      <c r="BM1245" s="149"/>
      <c r="BN1245" s="149"/>
    </row>
    <row r="1246" spans="1:66" ht="38.25" hidden="1" customHeight="1" x14ac:dyDescent="0.2">
      <c r="A1246" s="142" t="s">
        <v>2279</v>
      </c>
      <c r="B1246" s="18" t="s">
        <v>406</v>
      </c>
      <c r="C1246" s="18" t="s">
        <v>411</v>
      </c>
      <c r="D1246" s="19" t="s">
        <v>606</v>
      </c>
      <c r="E1246" s="18">
        <v>1</v>
      </c>
      <c r="F1246" s="18" t="s">
        <v>402</v>
      </c>
      <c r="G1246" s="18" t="s">
        <v>77</v>
      </c>
      <c r="H1246" s="18" t="s">
        <v>3</v>
      </c>
      <c r="I1246" s="18"/>
      <c r="J1246" s="18" t="s">
        <v>2346</v>
      </c>
      <c r="K1246" s="19" t="s">
        <v>2347</v>
      </c>
      <c r="L1246" s="19"/>
      <c r="M1246" s="19"/>
      <c r="N1246" s="19" t="s">
        <v>2348</v>
      </c>
      <c r="O1246" s="143"/>
      <c r="P1246" s="143"/>
      <c r="Q1246" s="143"/>
      <c r="R1246" s="373" t="s">
        <v>2349</v>
      </c>
      <c r="S1246" s="144">
        <v>12850.29</v>
      </c>
      <c r="T1246" s="226"/>
      <c r="U1246" s="145">
        <v>0</v>
      </c>
      <c r="V1246" s="145">
        <v>0</v>
      </c>
      <c r="W1246" s="145">
        <v>0</v>
      </c>
      <c r="X1246" s="145">
        <f t="shared" si="414"/>
        <v>0</v>
      </c>
      <c r="Y1246" s="145">
        <v>0</v>
      </c>
      <c r="Z1246" s="145">
        <v>0</v>
      </c>
      <c r="AA1246" s="145">
        <v>0</v>
      </c>
      <c r="AB1246" s="145">
        <v>0</v>
      </c>
      <c r="AC1246" s="145">
        <v>0</v>
      </c>
      <c r="AD1246" s="145">
        <v>0</v>
      </c>
      <c r="AE1246" s="145">
        <v>0</v>
      </c>
      <c r="AF1246" s="145">
        <v>0</v>
      </c>
      <c r="AG1246" s="145">
        <v>0</v>
      </c>
      <c r="AH1246" s="145">
        <v>0</v>
      </c>
      <c r="AI1246" s="145">
        <v>0</v>
      </c>
      <c r="AJ1246" s="145">
        <v>0</v>
      </c>
      <c r="AK1246" s="145">
        <f t="shared" si="418"/>
        <v>0</v>
      </c>
      <c r="AL1246" s="145">
        <v>8995.2000000000007</v>
      </c>
      <c r="AM1246" s="145">
        <v>3855.09</v>
      </c>
      <c r="AN1246" s="145">
        <v>0</v>
      </c>
      <c r="AO1246" s="145">
        <v>0</v>
      </c>
      <c r="AP1246" s="145">
        <v>0</v>
      </c>
      <c r="AQ1246" s="145">
        <v>0</v>
      </c>
      <c r="AR1246" s="145">
        <v>0</v>
      </c>
      <c r="AS1246" s="144">
        <f t="shared" si="422"/>
        <v>12850.29</v>
      </c>
      <c r="AT1246" s="144">
        <v>0</v>
      </c>
      <c r="AU1246" s="146">
        <f t="shared" si="417"/>
        <v>12850.29</v>
      </c>
      <c r="AV1246" s="146">
        <f>IFERROR(VLOOKUP(J1246,Maksājumu_pieprasījumu_iesn.!G:BL,57,0),0)</f>
        <v>0</v>
      </c>
      <c r="AW1246" s="139">
        <f t="shared" si="421"/>
        <v>-12850.29</v>
      </c>
      <c r="AX1246" s="147">
        <f t="shared" si="420"/>
        <v>0</v>
      </c>
      <c r="AY1246" s="147"/>
      <c r="AZ1246" s="147"/>
      <c r="BA1246" s="149"/>
      <c r="BB1246" s="144"/>
      <c r="BC1246" s="144"/>
      <c r="BD1246" s="144"/>
      <c r="BE1246" s="144"/>
      <c r="BF1246" s="144"/>
      <c r="BG1246" s="144"/>
      <c r="BH1246" s="149"/>
      <c r="BI1246" s="149"/>
      <c r="BJ1246" s="149"/>
      <c r="BK1246" s="149"/>
      <c r="BL1246" s="149"/>
      <c r="BM1246" s="149"/>
      <c r="BN1246" s="149"/>
    </row>
    <row r="1247" spans="1:66" ht="51" hidden="1" customHeight="1" x14ac:dyDescent="0.2">
      <c r="A1247" s="142" t="s">
        <v>2279</v>
      </c>
      <c r="B1247" s="18" t="s">
        <v>406</v>
      </c>
      <c r="C1247" s="18" t="s">
        <v>411</v>
      </c>
      <c r="D1247" s="19" t="s">
        <v>606</v>
      </c>
      <c r="E1247" s="22">
        <v>1</v>
      </c>
      <c r="F1247" s="18" t="s">
        <v>402</v>
      </c>
      <c r="G1247" s="18" t="s">
        <v>77</v>
      </c>
      <c r="H1247" s="18" t="s">
        <v>3</v>
      </c>
      <c r="I1247" s="18"/>
      <c r="J1247" s="18" t="s">
        <v>2350</v>
      </c>
      <c r="K1247" s="19" t="s">
        <v>2351</v>
      </c>
      <c r="L1247" s="19"/>
      <c r="M1247" s="19"/>
      <c r="N1247" s="19" t="s">
        <v>2352</v>
      </c>
      <c r="O1247" s="143"/>
      <c r="P1247" s="143"/>
      <c r="Q1247" s="143"/>
      <c r="R1247" s="373" t="s">
        <v>2353</v>
      </c>
      <c r="S1247" s="144">
        <v>59723.55</v>
      </c>
      <c r="T1247" s="226"/>
      <c r="U1247" s="145">
        <v>0</v>
      </c>
      <c r="V1247" s="145">
        <v>0</v>
      </c>
      <c r="W1247" s="145">
        <v>0</v>
      </c>
      <c r="X1247" s="145">
        <f t="shared" si="414"/>
        <v>0</v>
      </c>
      <c r="Y1247" s="145">
        <v>0</v>
      </c>
      <c r="Z1247" s="145">
        <v>0</v>
      </c>
      <c r="AA1247" s="145">
        <v>0</v>
      </c>
      <c r="AB1247" s="145">
        <v>0</v>
      </c>
      <c r="AC1247" s="145">
        <v>0</v>
      </c>
      <c r="AD1247" s="145">
        <v>0</v>
      </c>
      <c r="AE1247" s="145">
        <v>0</v>
      </c>
      <c r="AF1247" s="145">
        <v>0</v>
      </c>
      <c r="AG1247" s="145">
        <v>0</v>
      </c>
      <c r="AH1247" s="145">
        <v>0</v>
      </c>
      <c r="AI1247" s="145">
        <v>0</v>
      </c>
      <c r="AJ1247" s="145">
        <v>0</v>
      </c>
      <c r="AK1247" s="145">
        <f t="shared" si="418"/>
        <v>0</v>
      </c>
      <c r="AL1247" s="145">
        <v>43000.959999999999</v>
      </c>
      <c r="AM1247" s="145">
        <v>16722.59</v>
      </c>
      <c r="AN1247" s="145">
        <v>0</v>
      </c>
      <c r="AO1247" s="145">
        <v>0</v>
      </c>
      <c r="AP1247" s="145">
        <v>0</v>
      </c>
      <c r="AQ1247" s="145">
        <v>0</v>
      </c>
      <c r="AR1247" s="145">
        <v>0</v>
      </c>
      <c r="AS1247" s="144">
        <f t="shared" si="422"/>
        <v>59723.55</v>
      </c>
      <c r="AT1247" s="144">
        <v>0</v>
      </c>
      <c r="AU1247" s="146">
        <f t="shared" si="417"/>
        <v>59723.55</v>
      </c>
      <c r="AV1247" s="146">
        <f>IFERROR(VLOOKUP(J1247,Maksājumu_pieprasījumu_iesn.!G:BL,57,0),0)</f>
        <v>0</v>
      </c>
      <c r="AW1247" s="139">
        <f t="shared" si="421"/>
        <v>-59723.55</v>
      </c>
      <c r="AX1247" s="147">
        <f t="shared" si="420"/>
        <v>0</v>
      </c>
      <c r="AY1247" s="147"/>
      <c r="AZ1247" s="147"/>
      <c r="BA1247" s="149"/>
      <c r="BB1247" s="144"/>
      <c r="BC1247" s="144"/>
      <c r="BD1247" s="144"/>
      <c r="BE1247" s="144"/>
      <c r="BF1247" s="144"/>
      <c r="BG1247" s="144"/>
      <c r="BH1247" s="149"/>
      <c r="BI1247" s="149"/>
      <c r="BJ1247" s="149"/>
      <c r="BK1247" s="149"/>
      <c r="BL1247" s="149"/>
      <c r="BM1247" s="149"/>
      <c r="BN1247" s="149"/>
    </row>
    <row r="1248" spans="1:66" ht="51" hidden="1" customHeight="1" x14ac:dyDescent="0.2">
      <c r="A1248" s="142" t="s">
        <v>2279</v>
      </c>
      <c r="B1248" s="18" t="s">
        <v>406</v>
      </c>
      <c r="C1248" s="18" t="s">
        <v>411</v>
      </c>
      <c r="D1248" s="19" t="s">
        <v>606</v>
      </c>
      <c r="E1248" s="18">
        <v>1</v>
      </c>
      <c r="F1248" s="18" t="s">
        <v>402</v>
      </c>
      <c r="G1248" s="18" t="s">
        <v>77</v>
      </c>
      <c r="H1248" s="18" t="s">
        <v>3</v>
      </c>
      <c r="I1248" s="18"/>
      <c r="J1248" s="18" t="s">
        <v>793</v>
      </c>
      <c r="K1248" s="19" t="s">
        <v>829</v>
      </c>
      <c r="L1248" s="19"/>
      <c r="M1248" s="19"/>
      <c r="N1248" s="19" t="s">
        <v>830</v>
      </c>
      <c r="O1248" s="143"/>
      <c r="P1248" s="143"/>
      <c r="Q1248" s="143"/>
      <c r="R1248" s="373" t="s">
        <v>2314</v>
      </c>
      <c r="S1248" s="144">
        <v>213590.55</v>
      </c>
      <c r="T1248" s="226"/>
      <c r="U1248" s="145">
        <v>0</v>
      </c>
      <c r="V1248" s="145">
        <v>0</v>
      </c>
      <c r="W1248" s="145">
        <v>0</v>
      </c>
      <c r="X1248" s="145">
        <f t="shared" si="414"/>
        <v>0</v>
      </c>
      <c r="Y1248" s="145">
        <v>0</v>
      </c>
      <c r="Z1248" s="145">
        <v>0</v>
      </c>
      <c r="AA1248" s="145">
        <v>0</v>
      </c>
      <c r="AB1248" s="145">
        <v>0</v>
      </c>
      <c r="AC1248" s="145">
        <v>0</v>
      </c>
      <c r="AD1248" s="145">
        <v>0</v>
      </c>
      <c r="AE1248" s="145">
        <v>0</v>
      </c>
      <c r="AF1248" s="145">
        <v>0</v>
      </c>
      <c r="AG1248" s="145">
        <v>0</v>
      </c>
      <c r="AH1248" s="145">
        <v>0</v>
      </c>
      <c r="AI1248" s="145">
        <v>0</v>
      </c>
      <c r="AJ1248" s="145">
        <v>0</v>
      </c>
      <c r="AK1248" s="145">
        <f t="shared" si="418"/>
        <v>0</v>
      </c>
      <c r="AL1248" s="145">
        <v>143993.13</v>
      </c>
      <c r="AM1248" s="145">
        <v>69597.42</v>
      </c>
      <c r="AN1248" s="145">
        <v>0</v>
      </c>
      <c r="AO1248" s="145">
        <v>0</v>
      </c>
      <c r="AP1248" s="145">
        <v>0</v>
      </c>
      <c r="AQ1248" s="145">
        <v>0</v>
      </c>
      <c r="AR1248" s="145">
        <v>0</v>
      </c>
      <c r="AS1248" s="144">
        <f t="shared" si="422"/>
        <v>213590.55</v>
      </c>
      <c r="AT1248" s="144">
        <v>0</v>
      </c>
      <c r="AU1248" s="146">
        <f t="shared" si="417"/>
        <v>213590.55</v>
      </c>
      <c r="AV1248" s="146">
        <f>IFERROR(VLOOKUP(J1248,Maksājumu_pieprasījumu_iesn.!G:BL,57,0),0)</f>
        <v>0</v>
      </c>
      <c r="AW1248" s="139">
        <f t="shared" si="421"/>
        <v>-213590.55</v>
      </c>
      <c r="AX1248" s="147">
        <f t="shared" si="420"/>
        <v>0</v>
      </c>
      <c r="AY1248" s="147"/>
      <c r="AZ1248" s="147"/>
      <c r="BA1248" s="149"/>
      <c r="BB1248" s="144"/>
      <c r="BC1248" s="144"/>
      <c r="BD1248" s="144"/>
      <c r="BE1248" s="144"/>
      <c r="BF1248" s="144"/>
      <c r="BG1248" s="144"/>
      <c r="BH1248" s="149"/>
      <c r="BI1248" s="149"/>
      <c r="BJ1248" s="149"/>
      <c r="BK1248" s="149"/>
      <c r="BL1248" s="149"/>
      <c r="BM1248" s="149"/>
      <c r="BN1248" s="149"/>
    </row>
    <row r="1249" spans="1:66" ht="38.25" hidden="1" customHeight="1" x14ac:dyDescent="0.2">
      <c r="A1249" s="142" t="s">
        <v>2279</v>
      </c>
      <c r="B1249" s="18" t="s">
        <v>406</v>
      </c>
      <c r="C1249" s="18" t="s">
        <v>411</v>
      </c>
      <c r="D1249" s="19" t="s">
        <v>606</v>
      </c>
      <c r="E1249" s="22">
        <v>1</v>
      </c>
      <c r="F1249" s="18" t="s">
        <v>402</v>
      </c>
      <c r="G1249" s="18" t="s">
        <v>77</v>
      </c>
      <c r="H1249" s="18" t="s">
        <v>3</v>
      </c>
      <c r="I1249" s="18"/>
      <c r="J1249" s="18" t="s">
        <v>2354</v>
      </c>
      <c r="K1249" s="19" t="s">
        <v>2355</v>
      </c>
      <c r="L1249" s="19"/>
      <c r="M1249" s="19"/>
      <c r="N1249" s="19" t="s">
        <v>2356</v>
      </c>
      <c r="O1249" s="143"/>
      <c r="P1249" s="143"/>
      <c r="Q1249" s="143"/>
      <c r="R1249" s="373" t="s">
        <v>2357</v>
      </c>
      <c r="S1249" s="144">
        <v>41748.6</v>
      </c>
      <c r="T1249" s="226"/>
      <c r="U1249" s="145">
        <v>0</v>
      </c>
      <c r="V1249" s="145">
        <v>0</v>
      </c>
      <c r="W1249" s="145">
        <v>0</v>
      </c>
      <c r="X1249" s="145">
        <f t="shared" si="414"/>
        <v>0</v>
      </c>
      <c r="Y1249" s="145">
        <v>0</v>
      </c>
      <c r="Z1249" s="145">
        <v>0</v>
      </c>
      <c r="AA1249" s="145">
        <v>0</v>
      </c>
      <c r="AB1249" s="145">
        <v>0</v>
      </c>
      <c r="AC1249" s="145">
        <v>0</v>
      </c>
      <c r="AD1249" s="145">
        <v>0</v>
      </c>
      <c r="AE1249" s="145">
        <v>0</v>
      </c>
      <c r="AF1249" s="145">
        <v>0</v>
      </c>
      <c r="AG1249" s="145">
        <v>0</v>
      </c>
      <c r="AH1249" s="145">
        <v>0</v>
      </c>
      <c r="AI1249" s="145">
        <v>0</v>
      </c>
      <c r="AJ1249" s="145">
        <v>0</v>
      </c>
      <c r="AK1249" s="145">
        <f t="shared" si="418"/>
        <v>0</v>
      </c>
      <c r="AL1249" s="145">
        <v>29224.02</v>
      </c>
      <c r="AM1249" s="145">
        <v>12524.58</v>
      </c>
      <c r="AN1249" s="145">
        <v>0</v>
      </c>
      <c r="AO1249" s="145">
        <v>0</v>
      </c>
      <c r="AP1249" s="145">
        <v>0</v>
      </c>
      <c r="AQ1249" s="145">
        <v>0</v>
      </c>
      <c r="AR1249" s="145">
        <v>0</v>
      </c>
      <c r="AS1249" s="144">
        <f t="shared" si="422"/>
        <v>41748.6</v>
      </c>
      <c r="AT1249" s="144">
        <v>0</v>
      </c>
      <c r="AU1249" s="146">
        <f t="shared" si="417"/>
        <v>41748.6</v>
      </c>
      <c r="AV1249" s="146">
        <f>IFERROR(VLOOKUP(J1249,Maksājumu_pieprasījumu_iesn.!G:BL,57,0),0)</f>
        <v>0</v>
      </c>
      <c r="AW1249" s="139">
        <f t="shared" si="421"/>
        <v>-41748.6</v>
      </c>
      <c r="AX1249" s="147">
        <f t="shared" si="420"/>
        <v>0</v>
      </c>
      <c r="AY1249" s="147"/>
      <c r="AZ1249" s="147"/>
      <c r="BA1249" s="149"/>
      <c r="BB1249" s="144"/>
      <c r="BC1249" s="144"/>
      <c r="BD1249" s="144"/>
      <c r="BE1249" s="144"/>
      <c r="BF1249" s="144"/>
      <c r="BG1249" s="144"/>
      <c r="BH1249" s="149"/>
      <c r="BI1249" s="149"/>
      <c r="BJ1249" s="149"/>
      <c r="BK1249" s="149"/>
      <c r="BL1249" s="149"/>
      <c r="BM1249" s="149"/>
      <c r="BN1249" s="149"/>
    </row>
    <row r="1250" spans="1:66" ht="25.5" hidden="1" customHeight="1" x14ac:dyDescent="0.2">
      <c r="A1250" s="142" t="s">
        <v>2279</v>
      </c>
      <c r="B1250" s="18" t="s">
        <v>406</v>
      </c>
      <c r="C1250" s="18" t="s">
        <v>411</v>
      </c>
      <c r="D1250" s="19" t="s">
        <v>606</v>
      </c>
      <c r="E1250" s="18">
        <v>1</v>
      </c>
      <c r="F1250" s="18" t="s">
        <v>402</v>
      </c>
      <c r="G1250" s="18" t="s">
        <v>77</v>
      </c>
      <c r="H1250" s="18" t="s">
        <v>3</v>
      </c>
      <c r="I1250" s="18"/>
      <c r="J1250" s="18" t="s">
        <v>768</v>
      </c>
      <c r="K1250" s="19" t="s">
        <v>488</v>
      </c>
      <c r="L1250" s="19"/>
      <c r="M1250" s="19"/>
      <c r="N1250" s="19" t="s">
        <v>769</v>
      </c>
      <c r="O1250" s="143"/>
      <c r="P1250" s="143"/>
      <c r="Q1250" s="143"/>
      <c r="R1250" s="373">
        <v>42844</v>
      </c>
      <c r="S1250" s="144">
        <v>214553.60000000001</v>
      </c>
      <c r="T1250" s="226"/>
      <c r="U1250" s="378">
        <v>0</v>
      </c>
      <c r="V1250" s="378">
        <v>0</v>
      </c>
      <c r="W1250" s="378">
        <v>0</v>
      </c>
      <c r="X1250" s="145">
        <f t="shared" si="414"/>
        <v>0</v>
      </c>
      <c r="Y1250" s="378">
        <v>0</v>
      </c>
      <c r="Z1250" s="378">
        <v>0</v>
      </c>
      <c r="AA1250" s="378">
        <v>0</v>
      </c>
      <c r="AB1250" s="378">
        <v>0</v>
      </c>
      <c r="AC1250" s="378">
        <v>0</v>
      </c>
      <c r="AD1250" s="378">
        <v>0</v>
      </c>
      <c r="AE1250" s="379">
        <v>8500</v>
      </c>
      <c r="AF1250" s="378">
        <v>0</v>
      </c>
      <c r="AG1250" s="378">
        <v>0</v>
      </c>
      <c r="AH1250" s="378">
        <v>32300</v>
      </c>
      <c r="AI1250" s="378">
        <v>0</v>
      </c>
      <c r="AJ1250" s="378">
        <v>0</v>
      </c>
      <c r="AK1250" s="145">
        <f t="shared" si="418"/>
        <v>40800</v>
      </c>
      <c r="AL1250" s="378">
        <v>61988.799999999996</v>
      </c>
      <c r="AM1250" s="378">
        <v>72981</v>
      </c>
      <c r="AN1250" s="378">
        <v>38783.800000000003</v>
      </c>
      <c r="AO1250" s="378">
        <v>0</v>
      </c>
      <c r="AP1250" s="378">
        <v>0</v>
      </c>
      <c r="AQ1250" s="378">
        <v>0</v>
      </c>
      <c r="AR1250" s="378">
        <v>0</v>
      </c>
      <c r="AS1250" s="375">
        <f t="shared" si="422"/>
        <v>214553.59999999998</v>
      </c>
      <c r="AT1250" s="147">
        <v>0</v>
      </c>
      <c r="AU1250" s="146">
        <f t="shared" si="417"/>
        <v>214553.59999999998</v>
      </c>
      <c r="AV1250" s="146">
        <f>IFERROR(VLOOKUP(J1250,Maksājumu_pieprasījumu_iesn.!G:BL,57,0),0)</f>
        <v>0</v>
      </c>
      <c r="AW1250" s="139">
        <f t="shared" si="421"/>
        <v>-214553.59999999998</v>
      </c>
      <c r="AX1250" s="147">
        <f t="shared" si="420"/>
        <v>0</v>
      </c>
      <c r="AY1250" s="147"/>
      <c r="AZ1250" s="147"/>
      <c r="BA1250" s="149"/>
      <c r="BB1250" s="144"/>
      <c r="BC1250" s="144"/>
      <c r="BD1250" s="144"/>
      <c r="BE1250" s="144"/>
      <c r="BF1250" s="144"/>
      <c r="BG1250" s="144"/>
      <c r="BH1250" s="149"/>
      <c r="BI1250" s="149"/>
      <c r="BJ1250" s="149"/>
      <c r="BK1250" s="149"/>
      <c r="BL1250" s="149"/>
      <c r="BM1250" s="149"/>
      <c r="BN1250" s="149"/>
    </row>
    <row r="1251" spans="1:66" ht="25.5" hidden="1" customHeight="1" x14ac:dyDescent="0.2">
      <c r="A1251" s="142" t="s">
        <v>2279</v>
      </c>
      <c r="B1251" s="18" t="s">
        <v>406</v>
      </c>
      <c r="C1251" s="18" t="s">
        <v>411</v>
      </c>
      <c r="D1251" s="19" t="s">
        <v>606</v>
      </c>
      <c r="E1251" s="22">
        <v>1</v>
      </c>
      <c r="F1251" s="18" t="s">
        <v>402</v>
      </c>
      <c r="G1251" s="18" t="s">
        <v>77</v>
      </c>
      <c r="H1251" s="18" t="s">
        <v>3</v>
      </c>
      <c r="I1251" s="18"/>
      <c r="J1251" s="18" t="s">
        <v>768</v>
      </c>
      <c r="K1251" s="19" t="s">
        <v>488</v>
      </c>
      <c r="L1251" s="19"/>
      <c r="M1251" s="19"/>
      <c r="N1251" s="19" t="s">
        <v>769</v>
      </c>
      <c r="O1251" s="143" t="s">
        <v>880</v>
      </c>
      <c r="P1251" s="143"/>
      <c r="Q1251" s="143"/>
      <c r="R1251" s="373"/>
      <c r="S1251" s="144"/>
      <c r="T1251" s="226"/>
      <c r="U1251" s="378"/>
      <c r="V1251" s="378"/>
      <c r="W1251" s="378"/>
      <c r="X1251" s="145">
        <f t="shared" ref="X1251:X1299" si="423">W1251+V1251+U1251</f>
        <v>0</v>
      </c>
      <c r="Y1251" s="378"/>
      <c r="Z1251" s="378"/>
      <c r="AA1251" s="378"/>
      <c r="AB1251" s="378"/>
      <c r="AC1251" s="378"/>
      <c r="AD1251" s="378">
        <v>16888.34</v>
      </c>
      <c r="AE1251" s="378"/>
      <c r="AF1251" s="378"/>
      <c r="AG1251" s="378"/>
      <c r="AH1251" s="378"/>
      <c r="AI1251" s="378"/>
      <c r="AJ1251" s="378"/>
      <c r="AK1251" s="145">
        <f t="shared" si="418"/>
        <v>16888.34</v>
      </c>
      <c r="AL1251" s="378"/>
      <c r="AM1251" s="378"/>
      <c r="AN1251" s="378"/>
      <c r="AO1251" s="378"/>
      <c r="AP1251" s="378"/>
      <c r="AQ1251" s="378"/>
      <c r="AR1251" s="378"/>
      <c r="AS1251" s="86"/>
      <c r="AT1251" s="375">
        <f>U1251+V1251+W1251+AK1251+AL1251+AM1251+AN1251+AO1251+AP1251+AQ1251+AR1251</f>
        <v>16888.34</v>
      </c>
      <c r="AU1251" s="146"/>
      <c r="AV1251" s="146">
        <f>IFERROR(VLOOKUP(J1251,Maksājumu_pieprasījumu_iesn.!G:BL,57,0),0)</f>
        <v>0</v>
      </c>
      <c r="AW1251" s="139">
        <f t="shared" si="421"/>
        <v>0</v>
      </c>
      <c r="AX1251" s="147">
        <f t="shared" si="420"/>
        <v>0</v>
      </c>
      <c r="AY1251" s="147"/>
      <c r="AZ1251" s="147"/>
      <c r="BA1251" s="149"/>
      <c r="BB1251" s="144"/>
      <c r="BC1251" s="144"/>
      <c r="BD1251" s="144"/>
      <c r="BE1251" s="144"/>
      <c r="BF1251" s="144"/>
      <c r="BG1251" s="144"/>
      <c r="BH1251" s="149"/>
      <c r="BI1251" s="149"/>
      <c r="BJ1251" s="149"/>
      <c r="BK1251" s="149"/>
      <c r="BL1251" s="149"/>
      <c r="BM1251" s="149"/>
      <c r="BN1251" s="149"/>
    </row>
    <row r="1252" spans="1:66" ht="38.25" hidden="1" customHeight="1" x14ac:dyDescent="0.2">
      <c r="A1252" s="142" t="s">
        <v>2279</v>
      </c>
      <c r="B1252" s="18" t="s">
        <v>406</v>
      </c>
      <c r="C1252" s="18" t="s">
        <v>411</v>
      </c>
      <c r="D1252" s="19" t="s">
        <v>606</v>
      </c>
      <c r="E1252" s="18">
        <v>1</v>
      </c>
      <c r="F1252" s="18" t="s">
        <v>402</v>
      </c>
      <c r="G1252" s="18" t="s">
        <v>77</v>
      </c>
      <c r="H1252" s="18" t="s">
        <v>3</v>
      </c>
      <c r="I1252" s="18"/>
      <c r="J1252" s="18" t="s">
        <v>2358</v>
      </c>
      <c r="K1252" s="19" t="s">
        <v>1218</v>
      </c>
      <c r="L1252" s="19"/>
      <c r="M1252" s="19"/>
      <c r="N1252" s="19" t="s">
        <v>2359</v>
      </c>
      <c r="O1252" s="143"/>
      <c r="P1252" s="143"/>
      <c r="Q1252" s="143"/>
      <c r="R1252" s="373" t="s">
        <v>2360</v>
      </c>
      <c r="S1252" s="144">
        <v>138865.35</v>
      </c>
      <c r="T1252" s="226"/>
      <c r="U1252" s="145">
        <v>0</v>
      </c>
      <c r="V1252" s="145">
        <v>0</v>
      </c>
      <c r="W1252" s="145">
        <v>0</v>
      </c>
      <c r="X1252" s="145">
        <f t="shared" si="423"/>
        <v>0</v>
      </c>
      <c r="Y1252" s="145">
        <v>0</v>
      </c>
      <c r="Z1252" s="145">
        <v>0</v>
      </c>
      <c r="AA1252" s="145">
        <v>0</v>
      </c>
      <c r="AB1252" s="145">
        <v>0</v>
      </c>
      <c r="AC1252" s="145">
        <v>0</v>
      </c>
      <c r="AD1252" s="145">
        <v>0</v>
      </c>
      <c r="AE1252" s="145">
        <v>0</v>
      </c>
      <c r="AF1252" s="145">
        <v>0</v>
      </c>
      <c r="AG1252" s="145">
        <v>0</v>
      </c>
      <c r="AH1252" s="145">
        <v>0</v>
      </c>
      <c r="AI1252" s="145">
        <v>0</v>
      </c>
      <c r="AJ1252" s="145">
        <v>0</v>
      </c>
      <c r="AK1252" s="145">
        <f t="shared" si="418"/>
        <v>0</v>
      </c>
      <c r="AL1252" s="145">
        <v>95176.200000000012</v>
      </c>
      <c r="AM1252" s="145">
        <v>43689.15</v>
      </c>
      <c r="AN1252" s="145">
        <v>0</v>
      </c>
      <c r="AO1252" s="145">
        <v>0</v>
      </c>
      <c r="AP1252" s="145">
        <v>0</v>
      </c>
      <c r="AQ1252" s="145">
        <v>0</v>
      </c>
      <c r="AR1252" s="145">
        <v>0</v>
      </c>
      <c r="AS1252" s="144">
        <f t="shared" ref="AS1252:AS1257" si="424">U1252+V1252+W1252+AK1252+AL1252+AM1252+AN1252+AO1252+AP1252+AQ1252+AR1252</f>
        <v>138865.35</v>
      </c>
      <c r="AT1252" s="144">
        <v>0</v>
      </c>
      <c r="AU1252" s="146">
        <f t="shared" si="417"/>
        <v>138865.35</v>
      </c>
      <c r="AV1252" s="146">
        <f>IFERROR(VLOOKUP(J1252,Maksājumu_pieprasījumu_iesn.!G:BL,57,0),0)</f>
        <v>0</v>
      </c>
      <c r="AW1252" s="139">
        <f t="shared" si="421"/>
        <v>-138865.35</v>
      </c>
      <c r="AX1252" s="147">
        <f t="shared" si="420"/>
        <v>0</v>
      </c>
      <c r="AY1252" s="147"/>
      <c r="AZ1252" s="147"/>
      <c r="BA1252" s="149"/>
      <c r="BB1252" s="144"/>
      <c r="BC1252" s="144"/>
      <c r="BD1252" s="144"/>
      <c r="BE1252" s="144"/>
      <c r="BF1252" s="144"/>
      <c r="BG1252" s="144"/>
      <c r="BH1252" s="149"/>
      <c r="BI1252" s="149"/>
      <c r="BJ1252" s="149"/>
      <c r="BK1252" s="149"/>
      <c r="BL1252" s="149"/>
      <c r="BM1252" s="149"/>
      <c r="BN1252" s="149"/>
    </row>
    <row r="1253" spans="1:66" ht="51" hidden="1" customHeight="1" x14ac:dyDescent="0.2">
      <c r="A1253" s="142" t="s">
        <v>2279</v>
      </c>
      <c r="B1253" s="18" t="s">
        <v>406</v>
      </c>
      <c r="C1253" s="18" t="s">
        <v>411</v>
      </c>
      <c r="D1253" s="19" t="s">
        <v>606</v>
      </c>
      <c r="E1253" s="22">
        <v>1</v>
      </c>
      <c r="F1253" s="18" t="s">
        <v>402</v>
      </c>
      <c r="G1253" s="18" t="s">
        <v>77</v>
      </c>
      <c r="H1253" s="18" t="s">
        <v>3</v>
      </c>
      <c r="I1253" s="18"/>
      <c r="J1253" s="18" t="s">
        <v>2361</v>
      </c>
      <c r="K1253" s="19" t="s">
        <v>2362</v>
      </c>
      <c r="L1253" s="19"/>
      <c r="M1253" s="19"/>
      <c r="N1253" s="19" t="s">
        <v>2363</v>
      </c>
      <c r="O1253" s="143"/>
      <c r="P1253" s="143"/>
      <c r="Q1253" s="143"/>
      <c r="R1253" s="373" t="s">
        <v>2353</v>
      </c>
      <c r="S1253" s="144">
        <v>33819.800000000003</v>
      </c>
      <c r="T1253" s="226"/>
      <c r="U1253" s="145">
        <v>0</v>
      </c>
      <c r="V1253" s="145">
        <v>0</v>
      </c>
      <c r="W1253" s="145">
        <v>0</v>
      </c>
      <c r="X1253" s="145">
        <f t="shared" si="423"/>
        <v>0</v>
      </c>
      <c r="Y1253" s="145">
        <v>0</v>
      </c>
      <c r="Z1253" s="145">
        <v>0</v>
      </c>
      <c r="AA1253" s="145">
        <v>0</v>
      </c>
      <c r="AB1253" s="145">
        <v>0</v>
      </c>
      <c r="AC1253" s="145">
        <v>0</v>
      </c>
      <c r="AD1253" s="145">
        <v>0</v>
      </c>
      <c r="AE1253" s="145">
        <v>0</v>
      </c>
      <c r="AF1253" s="145">
        <v>0</v>
      </c>
      <c r="AG1253" s="145">
        <v>0</v>
      </c>
      <c r="AH1253" s="145">
        <v>0</v>
      </c>
      <c r="AI1253" s="145">
        <v>0</v>
      </c>
      <c r="AJ1253" s="145">
        <v>0</v>
      </c>
      <c r="AK1253" s="145">
        <f t="shared" si="418"/>
        <v>0</v>
      </c>
      <c r="AL1253" s="145">
        <v>22546</v>
      </c>
      <c r="AM1253" s="145">
        <v>11273.8</v>
      </c>
      <c r="AN1253" s="145">
        <v>0</v>
      </c>
      <c r="AO1253" s="145">
        <v>0</v>
      </c>
      <c r="AP1253" s="145">
        <v>0</v>
      </c>
      <c r="AQ1253" s="145">
        <v>0</v>
      </c>
      <c r="AR1253" s="145">
        <v>0</v>
      </c>
      <c r="AS1253" s="144">
        <f t="shared" si="424"/>
        <v>33819.800000000003</v>
      </c>
      <c r="AT1253" s="144">
        <v>0</v>
      </c>
      <c r="AU1253" s="146">
        <f t="shared" si="417"/>
        <v>33819.800000000003</v>
      </c>
      <c r="AV1253" s="146">
        <f>IFERROR(VLOOKUP(J1253,Maksājumu_pieprasījumu_iesn.!G:BL,57,0),0)</f>
        <v>0</v>
      </c>
      <c r="AW1253" s="139">
        <f t="shared" si="421"/>
        <v>-33819.800000000003</v>
      </c>
      <c r="AX1253" s="147">
        <f t="shared" ref="AX1253:AX1284" si="425">S1253-AS1253</f>
        <v>0</v>
      </c>
      <c r="AY1253" s="147"/>
      <c r="AZ1253" s="147"/>
      <c r="BA1253" s="149"/>
      <c r="BB1253" s="144"/>
      <c r="BC1253" s="144"/>
      <c r="BD1253" s="144"/>
      <c r="BE1253" s="144"/>
      <c r="BF1253" s="144"/>
      <c r="BG1253" s="144"/>
      <c r="BH1253" s="149"/>
      <c r="BI1253" s="149"/>
      <c r="BJ1253" s="149"/>
      <c r="BK1253" s="149"/>
      <c r="BL1253" s="149"/>
      <c r="BM1253" s="149"/>
      <c r="BN1253" s="149"/>
    </row>
    <row r="1254" spans="1:66" ht="38.25" hidden="1" customHeight="1" x14ac:dyDescent="0.2">
      <c r="A1254" s="142" t="s">
        <v>2279</v>
      </c>
      <c r="B1254" s="18" t="s">
        <v>406</v>
      </c>
      <c r="C1254" s="18" t="s">
        <v>411</v>
      </c>
      <c r="D1254" s="19" t="s">
        <v>606</v>
      </c>
      <c r="E1254" s="18">
        <v>1</v>
      </c>
      <c r="F1254" s="18" t="s">
        <v>402</v>
      </c>
      <c r="G1254" s="18" t="s">
        <v>77</v>
      </c>
      <c r="H1254" s="18" t="s">
        <v>3</v>
      </c>
      <c r="I1254" s="18"/>
      <c r="J1254" s="18" t="s">
        <v>794</v>
      </c>
      <c r="K1254" s="19" t="s">
        <v>831</v>
      </c>
      <c r="L1254" s="19"/>
      <c r="M1254" s="19"/>
      <c r="N1254" s="19" t="s">
        <v>832</v>
      </c>
      <c r="O1254" s="143"/>
      <c r="P1254" s="143"/>
      <c r="Q1254" s="143"/>
      <c r="R1254" s="373" t="s">
        <v>2364</v>
      </c>
      <c r="S1254" s="144">
        <v>128392.5</v>
      </c>
      <c r="T1254" s="226"/>
      <c r="U1254" s="145">
        <v>0</v>
      </c>
      <c r="V1254" s="145">
        <v>0</v>
      </c>
      <c r="W1254" s="145">
        <v>0</v>
      </c>
      <c r="X1254" s="145">
        <f t="shared" si="423"/>
        <v>0</v>
      </c>
      <c r="Y1254" s="145">
        <v>0</v>
      </c>
      <c r="Z1254" s="145">
        <v>0</v>
      </c>
      <c r="AA1254" s="145">
        <v>0</v>
      </c>
      <c r="AB1254" s="145">
        <v>0</v>
      </c>
      <c r="AC1254" s="145">
        <v>0</v>
      </c>
      <c r="AD1254" s="145">
        <v>0</v>
      </c>
      <c r="AE1254" s="145">
        <v>0</v>
      </c>
      <c r="AF1254" s="145">
        <v>0</v>
      </c>
      <c r="AG1254" s="145">
        <v>0</v>
      </c>
      <c r="AH1254" s="145">
        <v>0</v>
      </c>
      <c r="AI1254" s="145">
        <v>0</v>
      </c>
      <c r="AJ1254" s="145">
        <v>0</v>
      </c>
      <c r="AK1254" s="145">
        <f t="shared" si="418"/>
        <v>0</v>
      </c>
      <c r="AL1254" s="145">
        <v>90550.44</v>
      </c>
      <c r="AM1254" s="145">
        <v>37842.06</v>
      </c>
      <c r="AN1254" s="145">
        <v>0</v>
      </c>
      <c r="AO1254" s="145">
        <v>0</v>
      </c>
      <c r="AP1254" s="145">
        <v>0</v>
      </c>
      <c r="AQ1254" s="145">
        <v>0</v>
      </c>
      <c r="AR1254" s="145">
        <v>0</v>
      </c>
      <c r="AS1254" s="144">
        <f t="shared" si="424"/>
        <v>128392.5</v>
      </c>
      <c r="AT1254" s="144">
        <v>0</v>
      </c>
      <c r="AU1254" s="146">
        <f t="shared" si="417"/>
        <v>128392.5</v>
      </c>
      <c r="AV1254" s="146">
        <f>IFERROR(VLOOKUP(J1254,Maksājumu_pieprasījumu_iesn.!G:BL,57,0),0)</f>
        <v>0</v>
      </c>
      <c r="AW1254" s="139">
        <f t="shared" si="421"/>
        <v>-128392.5</v>
      </c>
      <c r="AX1254" s="147">
        <f t="shared" si="425"/>
        <v>0</v>
      </c>
      <c r="AY1254" s="147"/>
      <c r="AZ1254" s="147"/>
      <c r="BA1254" s="149"/>
      <c r="BB1254" s="144"/>
      <c r="BC1254" s="144"/>
      <c r="BD1254" s="144"/>
      <c r="BE1254" s="144"/>
      <c r="BF1254" s="144"/>
      <c r="BG1254" s="144"/>
      <c r="BH1254" s="149"/>
      <c r="BI1254" s="149"/>
      <c r="BJ1254" s="149"/>
      <c r="BK1254" s="149"/>
      <c r="BL1254" s="149"/>
      <c r="BM1254" s="149"/>
      <c r="BN1254" s="149"/>
    </row>
    <row r="1255" spans="1:66" ht="51" hidden="1" customHeight="1" x14ac:dyDescent="0.2">
      <c r="A1255" s="142" t="s">
        <v>2279</v>
      </c>
      <c r="B1255" s="18" t="s">
        <v>406</v>
      </c>
      <c r="C1255" s="18" t="s">
        <v>411</v>
      </c>
      <c r="D1255" s="19" t="s">
        <v>606</v>
      </c>
      <c r="E1255" s="22">
        <v>1</v>
      </c>
      <c r="F1255" s="18" t="s">
        <v>402</v>
      </c>
      <c r="G1255" s="18" t="s">
        <v>77</v>
      </c>
      <c r="H1255" s="18" t="s">
        <v>3</v>
      </c>
      <c r="I1255" s="18"/>
      <c r="J1255" s="18" t="s">
        <v>2365</v>
      </c>
      <c r="K1255" s="19" t="s">
        <v>2366</v>
      </c>
      <c r="L1255" s="19"/>
      <c r="M1255" s="19"/>
      <c r="N1255" s="19" t="s">
        <v>2367</v>
      </c>
      <c r="O1255" s="143"/>
      <c r="P1255" s="143"/>
      <c r="Q1255" s="143"/>
      <c r="R1255" s="373" t="s">
        <v>2368</v>
      </c>
      <c r="S1255" s="144">
        <v>53428.45</v>
      </c>
      <c r="T1255" s="226"/>
      <c r="U1255" s="145">
        <v>0</v>
      </c>
      <c r="V1255" s="145">
        <v>0</v>
      </c>
      <c r="W1255" s="145">
        <v>0</v>
      </c>
      <c r="X1255" s="145">
        <f t="shared" si="423"/>
        <v>0</v>
      </c>
      <c r="Y1255" s="145">
        <v>0</v>
      </c>
      <c r="Z1255" s="145">
        <v>0</v>
      </c>
      <c r="AA1255" s="145">
        <v>0</v>
      </c>
      <c r="AB1255" s="145">
        <v>0</v>
      </c>
      <c r="AC1255" s="145">
        <v>0</v>
      </c>
      <c r="AD1255" s="145">
        <v>0</v>
      </c>
      <c r="AE1255" s="145">
        <v>0</v>
      </c>
      <c r="AF1255" s="145">
        <v>0</v>
      </c>
      <c r="AG1255" s="145">
        <v>0</v>
      </c>
      <c r="AH1255" s="145">
        <v>0</v>
      </c>
      <c r="AI1255" s="145">
        <v>0</v>
      </c>
      <c r="AJ1255" s="145">
        <v>0</v>
      </c>
      <c r="AK1255" s="145">
        <f t="shared" si="418"/>
        <v>0</v>
      </c>
      <c r="AL1255" s="145">
        <v>37791</v>
      </c>
      <c r="AM1255" s="145">
        <v>15637.45</v>
      </c>
      <c r="AN1255" s="145">
        <v>0</v>
      </c>
      <c r="AO1255" s="145">
        <v>0</v>
      </c>
      <c r="AP1255" s="145">
        <v>0</v>
      </c>
      <c r="AQ1255" s="145">
        <v>0</v>
      </c>
      <c r="AR1255" s="145">
        <v>0</v>
      </c>
      <c r="AS1255" s="144">
        <f t="shared" si="424"/>
        <v>53428.45</v>
      </c>
      <c r="AT1255" s="144">
        <v>0</v>
      </c>
      <c r="AU1255" s="146">
        <f t="shared" si="417"/>
        <v>53428.45</v>
      </c>
      <c r="AV1255" s="146">
        <f>IFERROR(VLOOKUP(J1255,Maksājumu_pieprasījumu_iesn.!G:BL,57,0),0)</f>
        <v>0</v>
      </c>
      <c r="AW1255" s="139">
        <f t="shared" si="421"/>
        <v>-53428.45</v>
      </c>
      <c r="AX1255" s="147">
        <f t="shared" si="425"/>
        <v>0</v>
      </c>
      <c r="AY1255" s="147"/>
      <c r="AZ1255" s="147"/>
      <c r="BA1255" s="149"/>
      <c r="BB1255" s="144"/>
      <c r="BC1255" s="144"/>
      <c r="BD1255" s="144"/>
      <c r="BE1255" s="144"/>
      <c r="BF1255" s="144"/>
      <c r="BG1255" s="144"/>
      <c r="BH1255" s="149"/>
      <c r="BI1255" s="149"/>
      <c r="BJ1255" s="149"/>
      <c r="BK1255" s="149"/>
      <c r="BL1255" s="149"/>
      <c r="BM1255" s="149"/>
      <c r="BN1255" s="149"/>
    </row>
    <row r="1256" spans="1:66" ht="38.25" hidden="1" customHeight="1" x14ac:dyDescent="0.2">
      <c r="A1256" s="142" t="s">
        <v>2279</v>
      </c>
      <c r="B1256" s="18" t="s">
        <v>406</v>
      </c>
      <c r="C1256" s="18" t="s">
        <v>411</v>
      </c>
      <c r="D1256" s="19" t="s">
        <v>606</v>
      </c>
      <c r="E1256" s="18">
        <v>1</v>
      </c>
      <c r="F1256" s="18" t="s">
        <v>402</v>
      </c>
      <c r="G1256" s="18" t="s">
        <v>77</v>
      </c>
      <c r="H1256" s="18" t="s">
        <v>3</v>
      </c>
      <c r="I1256" s="18"/>
      <c r="J1256" s="18" t="s">
        <v>2369</v>
      </c>
      <c r="K1256" s="19" t="s">
        <v>1337</v>
      </c>
      <c r="L1256" s="19"/>
      <c r="M1256" s="19"/>
      <c r="N1256" s="19" t="s">
        <v>2370</v>
      </c>
      <c r="O1256" s="143"/>
      <c r="P1256" s="143"/>
      <c r="Q1256" s="143"/>
      <c r="R1256" s="373" t="s">
        <v>2364</v>
      </c>
      <c r="S1256" s="144">
        <v>127361.45</v>
      </c>
      <c r="T1256" s="226"/>
      <c r="U1256" s="145">
        <v>0</v>
      </c>
      <c r="V1256" s="145">
        <v>0</v>
      </c>
      <c r="W1256" s="145">
        <v>0</v>
      </c>
      <c r="X1256" s="145">
        <f t="shared" si="423"/>
        <v>0</v>
      </c>
      <c r="Y1256" s="145">
        <v>0</v>
      </c>
      <c r="Z1256" s="145">
        <v>0</v>
      </c>
      <c r="AA1256" s="145">
        <v>0</v>
      </c>
      <c r="AB1256" s="145">
        <v>0</v>
      </c>
      <c r="AC1256" s="145">
        <v>0</v>
      </c>
      <c r="AD1256" s="145">
        <v>0</v>
      </c>
      <c r="AE1256" s="145">
        <v>0</v>
      </c>
      <c r="AF1256" s="145">
        <v>0</v>
      </c>
      <c r="AG1256" s="145">
        <v>0</v>
      </c>
      <c r="AH1256" s="145">
        <v>0</v>
      </c>
      <c r="AI1256" s="145">
        <v>0</v>
      </c>
      <c r="AJ1256" s="145">
        <v>0</v>
      </c>
      <c r="AK1256" s="145">
        <f t="shared" si="418"/>
        <v>0</v>
      </c>
      <c r="AL1256" s="145">
        <v>76416.88</v>
      </c>
      <c r="AM1256" s="145">
        <v>50944.57</v>
      </c>
      <c r="AN1256" s="145">
        <v>0</v>
      </c>
      <c r="AO1256" s="145">
        <v>0</v>
      </c>
      <c r="AP1256" s="145">
        <v>0</v>
      </c>
      <c r="AQ1256" s="145">
        <v>0</v>
      </c>
      <c r="AR1256" s="145">
        <v>0</v>
      </c>
      <c r="AS1256" s="144">
        <f t="shared" si="424"/>
        <v>127361.45000000001</v>
      </c>
      <c r="AT1256" s="144">
        <v>0</v>
      </c>
      <c r="AU1256" s="146">
        <f t="shared" si="417"/>
        <v>127361.45000000001</v>
      </c>
      <c r="AV1256" s="146">
        <f>IFERROR(VLOOKUP(J1256,Maksājumu_pieprasījumu_iesn.!G:BL,57,0),0)</f>
        <v>0</v>
      </c>
      <c r="AW1256" s="139">
        <f t="shared" si="421"/>
        <v>-127361.45000000001</v>
      </c>
      <c r="AX1256" s="147">
        <f t="shared" si="425"/>
        <v>0</v>
      </c>
      <c r="AY1256" s="147"/>
      <c r="AZ1256" s="147"/>
      <c r="BA1256" s="149"/>
      <c r="BB1256" s="144"/>
      <c r="BC1256" s="144"/>
      <c r="BD1256" s="144"/>
      <c r="BE1256" s="144"/>
      <c r="BF1256" s="144"/>
      <c r="BG1256" s="144"/>
      <c r="BH1256" s="149"/>
      <c r="BI1256" s="149"/>
      <c r="BJ1256" s="149"/>
      <c r="BK1256" s="149"/>
      <c r="BL1256" s="149"/>
      <c r="BM1256" s="149"/>
      <c r="BN1256" s="149"/>
    </row>
    <row r="1257" spans="1:66" ht="25.5" hidden="1" customHeight="1" x14ac:dyDescent="0.2">
      <c r="A1257" s="142" t="s">
        <v>2279</v>
      </c>
      <c r="B1257" s="18" t="s">
        <v>406</v>
      </c>
      <c r="C1257" s="18" t="s">
        <v>411</v>
      </c>
      <c r="D1257" s="19" t="s">
        <v>606</v>
      </c>
      <c r="E1257" s="22">
        <v>1</v>
      </c>
      <c r="F1257" s="18" t="s">
        <v>402</v>
      </c>
      <c r="G1257" s="18" t="s">
        <v>77</v>
      </c>
      <c r="H1257" s="18" t="s">
        <v>3</v>
      </c>
      <c r="I1257" s="18"/>
      <c r="J1257" s="18" t="s">
        <v>726</v>
      </c>
      <c r="K1257" s="19" t="s">
        <v>727</v>
      </c>
      <c r="L1257" s="19"/>
      <c r="M1257" s="19"/>
      <c r="N1257" s="19" t="s">
        <v>728</v>
      </c>
      <c r="O1257" s="143"/>
      <c r="P1257" s="143"/>
      <c r="Q1257" s="143"/>
      <c r="R1257" s="373">
        <v>42850</v>
      </c>
      <c r="S1257" s="144">
        <v>29034.3</v>
      </c>
      <c r="T1257" s="226"/>
      <c r="U1257" s="378">
        <v>0</v>
      </c>
      <c r="V1257" s="378">
        <v>0</v>
      </c>
      <c r="W1257" s="378">
        <v>0</v>
      </c>
      <c r="X1257" s="145">
        <f t="shared" si="423"/>
        <v>0</v>
      </c>
      <c r="Y1257" s="378">
        <v>0</v>
      </c>
      <c r="Z1257" s="378">
        <v>0</v>
      </c>
      <c r="AA1257" s="378">
        <v>0</v>
      </c>
      <c r="AB1257" s="378">
        <v>0</v>
      </c>
      <c r="AC1257" s="378">
        <v>0</v>
      </c>
      <c r="AD1257" s="378">
        <v>0</v>
      </c>
      <c r="AE1257" s="379">
        <v>3372.41</v>
      </c>
      <c r="AF1257" s="378">
        <v>0</v>
      </c>
      <c r="AG1257" s="378">
        <v>0</v>
      </c>
      <c r="AH1257" s="378">
        <v>4215.29</v>
      </c>
      <c r="AI1257" s="378">
        <v>0</v>
      </c>
      <c r="AJ1257" s="378">
        <v>0</v>
      </c>
      <c r="AK1257" s="145">
        <f t="shared" si="418"/>
        <v>7587.7</v>
      </c>
      <c r="AL1257" s="378">
        <v>11815.57</v>
      </c>
      <c r="AM1257" s="378">
        <v>9631.0300000000007</v>
      </c>
      <c r="AN1257" s="378">
        <v>0</v>
      </c>
      <c r="AO1257" s="378">
        <v>0</v>
      </c>
      <c r="AP1257" s="378">
        <v>0</v>
      </c>
      <c r="AQ1257" s="378">
        <v>0</v>
      </c>
      <c r="AR1257" s="378">
        <v>0</v>
      </c>
      <c r="AS1257" s="375">
        <f t="shared" si="424"/>
        <v>29034.300000000003</v>
      </c>
      <c r="AT1257" s="147">
        <v>0</v>
      </c>
      <c r="AU1257" s="146">
        <f t="shared" si="417"/>
        <v>29034.300000000003</v>
      </c>
      <c r="AV1257" s="146">
        <f>IFERROR(VLOOKUP(J1257,Maksājumu_pieprasījumu_iesn.!G:BL,57,0),0)</f>
        <v>0</v>
      </c>
      <c r="AW1257" s="139">
        <f t="shared" si="421"/>
        <v>-29034.300000000003</v>
      </c>
      <c r="AX1257" s="147">
        <f t="shared" si="425"/>
        <v>0</v>
      </c>
      <c r="AY1257" s="147"/>
      <c r="AZ1257" s="147"/>
      <c r="BA1257" s="149"/>
      <c r="BB1257" s="144"/>
      <c r="BC1257" s="144"/>
      <c r="BD1257" s="144"/>
      <c r="BE1257" s="144"/>
      <c r="BF1257" s="144"/>
      <c r="BG1257" s="144"/>
      <c r="BH1257" s="149"/>
      <c r="BI1257" s="149"/>
      <c r="BJ1257" s="149"/>
      <c r="BK1257" s="149"/>
      <c r="BL1257" s="149"/>
      <c r="BM1257" s="149"/>
      <c r="BN1257" s="149"/>
    </row>
    <row r="1258" spans="1:66" ht="25.5" hidden="1" customHeight="1" x14ac:dyDescent="0.2">
      <c r="A1258" s="142" t="s">
        <v>2279</v>
      </c>
      <c r="B1258" s="18" t="s">
        <v>406</v>
      </c>
      <c r="C1258" s="18" t="s">
        <v>411</v>
      </c>
      <c r="D1258" s="19" t="s">
        <v>606</v>
      </c>
      <c r="E1258" s="18">
        <v>1</v>
      </c>
      <c r="F1258" s="18" t="s">
        <v>402</v>
      </c>
      <c r="G1258" s="18" t="s">
        <v>77</v>
      </c>
      <c r="H1258" s="18" t="s">
        <v>3</v>
      </c>
      <c r="I1258" s="18"/>
      <c r="J1258" s="18" t="s">
        <v>726</v>
      </c>
      <c r="K1258" s="19" t="s">
        <v>727</v>
      </c>
      <c r="L1258" s="19"/>
      <c r="M1258" s="19"/>
      <c r="N1258" s="19" t="s">
        <v>728</v>
      </c>
      <c r="O1258" s="143" t="s">
        <v>880</v>
      </c>
      <c r="P1258" s="143"/>
      <c r="Q1258" s="143"/>
      <c r="R1258" s="373"/>
      <c r="S1258" s="144"/>
      <c r="T1258" s="226"/>
      <c r="U1258" s="378"/>
      <c r="V1258" s="378"/>
      <c r="W1258" s="378"/>
      <c r="X1258" s="145">
        <f t="shared" si="423"/>
        <v>0</v>
      </c>
      <c r="Y1258" s="378"/>
      <c r="Z1258" s="378"/>
      <c r="AA1258" s="378"/>
      <c r="AB1258" s="378"/>
      <c r="AC1258" s="378">
        <v>4408.75</v>
      </c>
      <c r="AD1258" s="378"/>
      <c r="AE1258" s="378"/>
      <c r="AF1258" s="378"/>
      <c r="AG1258" s="378"/>
      <c r="AH1258" s="378"/>
      <c r="AI1258" s="378"/>
      <c r="AJ1258" s="378"/>
      <c r="AK1258" s="145">
        <f t="shared" si="418"/>
        <v>4408.75</v>
      </c>
      <c r="AL1258" s="378">
        <v>2905.95</v>
      </c>
      <c r="AM1258" s="378"/>
      <c r="AN1258" s="378"/>
      <c r="AO1258" s="378"/>
      <c r="AP1258" s="378"/>
      <c r="AQ1258" s="378"/>
      <c r="AR1258" s="378"/>
      <c r="AS1258" s="86"/>
      <c r="AT1258" s="375">
        <f>U1258+V1258+W1258+AK1258+AL1258+AM1258+AN1258+AO1258+AP1258+AQ1258+AR1258</f>
        <v>7314.7</v>
      </c>
      <c r="AU1258" s="146"/>
      <c r="AV1258" s="146">
        <f>IFERROR(VLOOKUP(J1258,Maksājumu_pieprasījumu_iesn.!G:BL,57,0),0)</f>
        <v>0</v>
      </c>
      <c r="AW1258" s="139">
        <f t="shared" si="421"/>
        <v>0</v>
      </c>
      <c r="AX1258" s="147">
        <f t="shared" si="425"/>
        <v>0</v>
      </c>
      <c r="AY1258" s="147"/>
      <c r="AZ1258" s="147"/>
      <c r="BA1258" s="149"/>
      <c r="BB1258" s="144"/>
      <c r="BC1258" s="144"/>
      <c r="BD1258" s="144"/>
      <c r="BE1258" s="144"/>
      <c r="BF1258" s="144"/>
      <c r="BG1258" s="144"/>
      <c r="BH1258" s="149"/>
      <c r="BI1258" s="149"/>
      <c r="BJ1258" s="149"/>
      <c r="BK1258" s="149"/>
      <c r="BL1258" s="149"/>
      <c r="BM1258" s="149"/>
      <c r="BN1258" s="149"/>
    </row>
    <row r="1259" spans="1:66" ht="51" hidden="1" customHeight="1" x14ac:dyDescent="0.2">
      <c r="A1259" s="142" t="s">
        <v>2279</v>
      </c>
      <c r="B1259" s="18" t="s">
        <v>406</v>
      </c>
      <c r="C1259" s="18" t="s">
        <v>411</v>
      </c>
      <c r="D1259" s="19" t="s">
        <v>606</v>
      </c>
      <c r="E1259" s="22">
        <v>1</v>
      </c>
      <c r="F1259" s="18" t="s">
        <v>402</v>
      </c>
      <c r="G1259" s="18" t="s">
        <v>77</v>
      </c>
      <c r="H1259" s="18" t="s">
        <v>3</v>
      </c>
      <c r="I1259" s="18"/>
      <c r="J1259" s="18" t="s">
        <v>2371</v>
      </c>
      <c r="K1259" s="19" t="s">
        <v>1311</v>
      </c>
      <c r="L1259" s="19"/>
      <c r="M1259" s="19"/>
      <c r="N1259" s="19" t="s">
        <v>2372</v>
      </c>
      <c r="O1259" s="143"/>
      <c r="P1259" s="143"/>
      <c r="Q1259" s="143"/>
      <c r="R1259" s="373" t="s">
        <v>2353</v>
      </c>
      <c r="S1259" s="144">
        <v>28176.65</v>
      </c>
      <c r="T1259" s="226"/>
      <c r="U1259" s="145">
        <v>0</v>
      </c>
      <c r="V1259" s="145">
        <v>0</v>
      </c>
      <c r="W1259" s="145">
        <v>0</v>
      </c>
      <c r="X1259" s="145">
        <f t="shared" si="423"/>
        <v>0</v>
      </c>
      <c r="Y1259" s="145">
        <v>0</v>
      </c>
      <c r="Z1259" s="145">
        <v>0</v>
      </c>
      <c r="AA1259" s="145">
        <v>0</v>
      </c>
      <c r="AB1259" s="145">
        <v>0</v>
      </c>
      <c r="AC1259" s="145">
        <v>0</v>
      </c>
      <c r="AD1259" s="145">
        <v>0</v>
      </c>
      <c r="AE1259" s="145">
        <v>0</v>
      </c>
      <c r="AF1259" s="145">
        <v>0</v>
      </c>
      <c r="AG1259" s="145">
        <v>0</v>
      </c>
      <c r="AH1259" s="145">
        <v>0</v>
      </c>
      <c r="AI1259" s="145">
        <v>0</v>
      </c>
      <c r="AJ1259" s="145">
        <v>0</v>
      </c>
      <c r="AK1259" s="145">
        <f t="shared" si="418"/>
        <v>0</v>
      </c>
      <c r="AL1259" s="145">
        <v>18700</v>
      </c>
      <c r="AM1259" s="145">
        <v>9476.65</v>
      </c>
      <c r="AN1259" s="145">
        <v>0</v>
      </c>
      <c r="AO1259" s="145">
        <v>0</v>
      </c>
      <c r="AP1259" s="145">
        <v>0</v>
      </c>
      <c r="AQ1259" s="145">
        <v>0</v>
      </c>
      <c r="AR1259" s="145">
        <v>0</v>
      </c>
      <c r="AS1259" s="144">
        <f t="shared" ref="AS1259:AS1268" si="426">U1259+V1259+W1259+AK1259+AL1259+AM1259+AN1259+AO1259+AP1259+AQ1259+AR1259</f>
        <v>28176.65</v>
      </c>
      <c r="AT1259" s="144">
        <v>0</v>
      </c>
      <c r="AU1259" s="146">
        <f t="shared" si="417"/>
        <v>28176.65</v>
      </c>
      <c r="AV1259" s="146">
        <f>IFERROR(VLOOKUP(J1259,Maksājumu_pieprasījumu_iesn.!G:BL,57,0),0)</f>
        <v>0</v>
      </c>
      <c r="AW1259" s="139">
        <f t="shared" si="421"/>
        <v>-28176.65</v>
      </c>
      <c r="AX1259" s="147">
        <f t="shared" si="425"/>
        <v>0</v>
      </c>
      <c r="AY1259" s="147"/>
      <c r="AZ1259" s="147"/>
      <c r="BA1259" s="149"/>
      <c r="BB1259" s="144"/>
      <c r="BC1259" s="144"/>
      <c r="BD1259" s="144"/>
      <c r="BE1259" s="144"/>
      <c r="BF1259" s="144"/>
      <c r="BG1259" s="144"/>
      <c r="BH1259" s="149"/>
      <c r="BI1259" s="149"/>
      <c r="BJ1259" s="149"/>
      <c r="BK1259" s="149"/>
      <c r="BL1259" s="149"/>
      <c r="BM1259" s="149"/>
      <c r="BN1259" s="149"/>
    </row>
    <row r="1260" spans="1:66" ht="51" hidden="1" customHeight="1" x14ac:dyDescent="0.2">
      <c r="A1260" s="142" t="s">
        <v>2279</v>
      </c>
      <c r="B1260" s="18" t="s">
        <v>406</v>
      </c>
      <c r="C1260" s="18" t="s">
        <v>411</v>
      </c>
      <c r="D1260" s="19" t="s">
        <v>606</v>
      </c>
      <c r="E1260" s="18">
        <v>1</v>
      </c>
      <c r="F1260" s="18" t="s">
        <v>402</v>
      </c>
      <c r="G1260" s="18" t="s">
        <v>77</v>
      </c>
      <c r="H1260" s="18" t="s">
        <v>3</v>
      </c>
      <c r="I1260" s="18"/>
      <c r="J1260" s="18" t="s">
        <v>2373</v>
      </c>
      <c r="K1260" s="19" t="s">
        <v>1503</v>
      </c>
      <c r="L1260" s="19"/>
      <c r="M1260" s="19"/>
      <c r="N1260" s="19" t="s">
        <v>2374</v>
      </c>
      <c r="O1260" s="143"/>
      <c r="P1260" s="143"/>
      <c r="Q1260" s="143"/>
      <c r="R1260" s="373" t="s">
        <v>2353</v>
      </c>
      <c r="S1260" s="144">
        <v>38169</v>
      </c>
      <c r="T1260" s="226"/>
      <c r="U1260" s="145">
        <v>0</v>
      </c>
      <c r="V1260" s="145">
        <v>0</v>
      </c>
      <c r="W1260" s="145">
        <v>0</v>
      </c>
      <c r="X1260" s="145">
        <f t="shared" si="423"/>
        <v>0</v>
      </c>
      <c r="Y1260" s="145">
        <v>0</v>
      </c>
      <c r="Z1260" s="145">
        <v>0</v>
      </c>
      <c r="AA1260" s="145">
        <v>0</v>
      </c>
      <c r="AB1260" s="145">
        <v>0</v>
      </c>
      <c r="AC1260" s="145">
        <v>0</v>
      </c>
      <c r="AD1260" s="145">
        <v>0</v>
      </c>
      <c r="AE1260" s="145">
        <v>0</v>
      </c>
      <c r="AF1260" s="145">
        <v>0</v>
      </c>
      <c r="AG1260" s="145">
        <v>0</v>
      </c>
      <c r="AH1260" s="145">
        <v>0</v>
      </c>
      <c r="AI1260" s="145">
        <v>0</v>
      </c>
      <c r="AJ1260" s="145">
        <v>0</v>
      </c>
      <c r="AK1260" s="145">
        <f t="shared" si="418"/>
        <v>0</v>
      </c>
      <c r="AL1260" s="145">
        <v>28556</v>
      </c>
      <c r="AM1260" s="145">
        <v>9613</v>
      </c>
      <c r="AN1260" s="145">
        <v>0</v>
      </c>
      <c r="AO1260" s="145">
        <v>0</v>
      </c>
      <c r="AP1260" s="145">
        <v>0</v>
      </c>
      <c r="AQ1260" s="145">
        <v>0</v>
      </c>
      <c r="AR1260" s="145">
        <v>0</v>
      </c>
      <c r="AS1260" s="144">
        <f t="shared" si="426"/>
        <v>38169</v>
      </c>
      <c r="AT1260" s="144">
        <v>0</v>
      </c>
      <c r="AU1260" s="146">
        <f t="shared" si="417"/>
        <v>38169</v>
      </c>
      <c r="AV1260" s="146">
        <f>IFERROR(VLOOKUP(J1260,Maksājumu_pieprasījumu_iesn.!G:BL,57,0),0)</f>
        <v>0</v>
      </c>
      <c r="AW1260" s="139">
        <f t="shared" si="421"/>
        <v>-38169</v>
      </c>
      <c r="AX1260" s="147">
        <f t="shared" si="425"/>
        <v>0</v>
      </c>
      <c r="AY1260" s="147"/>
      <c r="AZ1260" s="147"/>
      <c r="BA1260" s="149"/>
      <c r="BB1260" s="144"/>
      <c r="BC1260" s="144"/>
      <c r="BD1260" s="144"/>
      <c r="BE1260" s="144"/>
      <c r="BF1260" s="144"/>
      <c r="BG1260" s="144"/>
      <c r="BH1260" s="149"/>
      <c r="BI1260" s="149"/>
      <c r="BJ1260" s="149"/>
      <c r="BK1260" s="149"/>
      <c r="BL1260" s="149"/>
      <c r="BM1260" s="149"/>
      <c r="BN1260" s="149"/>
    </row>
    <row r="1261" spans="1:66" ht="51" hidden="1" customHeight="1" x14ac:dyDescent="0.2">
      <c r="A1261" s="142" t="s">
        <v>2279</v>
      </c>
      <c r="B1261" s="18" t="s">
        <v>406</v>
      </c>
      <c r="C1261" s="18" t="s">
        <v>411</v>
      </c>
      <c r="D1261" s="19" t="s">
        <v>606</v>
      </c>
      <c r="E1261" s="22">
        <v>1</v>
      </c>
      <c r="F1261" s="18" t="s">
        <v>402</v>
      </c>
      <c r="G1261" s="18" t="s">
        <v>77</v>
      </c>
      <c r="H1261" s="18" t="s">
        <v>3</v>
      </c>
      <c r="I1261" s="18"/>
      <c r="J1261" s="18" t="s">
        <v>2375</v>
      </c>
      <c r="K1261" s="19" t="s">
        <v>1275</v>
      </c>
      <c r="L1261" s="19"/>
      <c r="M1261" s="19"/>
      <c r="N1261" s="19" t="s">
        <v>2376</v>
      </c>
      <c r="O1261" s="143"/>
      <c r="P1261" s="143"/>
      <c r="Q1261" s="143"/>
      <c r="R1261" s="373" t="s">
        <v>2377</v>
      </c>
      <c r="S1261" s="144">
        <v>79014.3</v>
      </c>
      <c r="T1261" s="226"/>
      <c r="U1261" s="145">
        <v>0</v>
      </c>
      <c r="V1261" s="145">
        <v>0</v>
      </c>
      <c r="W1261" s="145">
        <v>0</v>
      </c>
      <c r="X1261" s="145">
        <f t="shared" si="423"/>
        <v>0</v>
      </c>
      <c r="Y1261" s="145">
        <v>0</v>
      </c>
      <c r="Z1261" s="145">
        <v>0</v>
      </c>
      <c r="AA1261" s="145">
        <v>0</v>
      </c>
      <c r="AB1261" s="145">
        <v>0</v>
      </c>
      <c r="AC1261" s="145">
        <v>0</v>
      </c>
      <c r="AD1261" s="145">
        <v>0</v>
      </c>
      <c r="AE1261" s="145">
        <v>0</v>
      </c>
      <c r="AF1261" s="145">
        <v>0</v>
      </c>
      <c r="AG1261" s="145">
        <v>0</v>
      </c>
      <c r="AH1261" s="145">
        <v>0</v>
      </c>
      <c r="AI1261" s="145">
        <v>0</v>
      </c>
      <c r="AJ1261" s="145">
        <v>0</v>
      </c>
      <c r="AK1261" s="145">
        <f t="shared" si="418"/>
        <v>0</v>
      </c>
      <c r="AL1261" s="145">
        <v>53087.040000000001</v>
      </c>
      <c r="AM1261" s="145">
        <v>25927.26</v>
      </c>
      <c r="AN1261" s="145">
        <v>0</v>
      </c>
      <c r="AO1261" s="145">
        <v>0</v>
      </c>
      <c r="AP1261" s="145">
        <v>0</v>
      </c>
      <c r="AQ1261" s="145">
        <v>0</v>
      </c>
      <c r="AR1261" s="145">
        <v>0</v>
      </c>
      <c r="AS1261" s="144">
        <f t="shared" si="426"/>
        <v>79014.3</v>
      </c>
      <c r="AT1261" s="144">
        <v>0</v>
      </c>
      <c r="AU1261" s="146">
        <f t="shared" si="417"/>
        <v>79014.3</v>
      </c>
      <c r="AV1261" s="146">
        <f>IFERROR(VLOOKUP(J1261,Maksājumu_pieprasījumu_iesn.!G:BL,57,0),0)</f>
        <v>0</v>
      </c>
      <c r="AW1261" s="139">
        <f t="shared" si="421"/>
        <v>-79014.3</v>
      </c>
      <c r="AX1261" s="147">
        <f t="shared" si="425"/>
        <v>0</v>
      </c>
      <c r="AY1261" s="147"/>
      <c r="AZ1261" s="147"/>
      <c r="BA1261" s="149"/>
      <c r="BB1261" s="144"/>
      <c r="BC1261" s="144"/>
      <c r="BD1261" s="144"/>
      <c r="BE1261" s="144"/>
      <c r="BF1261" s="144"/>
      <c r="BG1261" s="144"/>
      <c r="BH1261" s="149"/>
      <c r="BI1261" s="149"/>
      <c r="BJ1261" s="149"/>
      <c r="BK1261" s="149"/>
      <c r="BL1261" s="149"/>
      <c r="BM1261" s="149"/>
      <c r="BN1261" s="149"/>
    </row>
    <row r="1262" spans="1:66" ht="38.25" hidden="1" customHeight="1" x14ac:dyDescent="0.2">
      <c r="A1262" s="142" t="s">
        <v>2279</v>
      </c>
      <c r="B1262" s="18" t="s">
        <v>406</v>
      </c>
      <c r="C1262" s="18" t="s">
        <v>411</v>
      </c>
      <c r="D1262" s="19" t="s">
        <v>606</v>
      </c>
      <c r="E1262" s="18">
        <v>1</v>
      </c>
      <c r="F1262" s="18" t="s">
        <v>402</v>
      </c>
      <c r="G1262" s="18" t="s">
        <v>77</v>
      </c>
      <c r="H1262" s="18" t="s">
        <v>3</v>
      </c>
      <c r="I1262" s="18"/>
      <c r="J1262" s="18" t="s">
        <v>2378</v>
      </c>
      <c r="K1262" s="19" t="s">
        <v>1226</v>
      </c>
      <c r="L1262" s="19"/>
      <c r="M1262" s="19"/>
      <c r="N1262" s="19" t="s">
        <v>2379</v>
      </c>
      <c r="O1262" s="143"/>
      <c r="P1262" s="143"/>
      <c r="Q1262" s="143"/>
      <c r="R1262" s="373" t="s">
        <v>2315</v>
      </c>
      <c r="S1262" s="144">
        <v>177727.35</v>
      </c>
      <c r="T1262" s="226"/>
      <c r="U1262" s="145">
        <v>0</v>
      </c>
      <c r="V1262" s="145">
        <v>0</v>
      </c>
      <c r="W1262" s="145">
        <v>0</v>
      </c>
      <c r="X1262" s="145">
        <f t="shared" si="423"/>
        <v>0</v>
      </c>
      <c r="Y1262" s="145">
        <v>0</v>
      </c>
      <c r="Z1262" s="145">
        <v>0</v>
      </c>
      <c r="AA1262" s="145">
        <v>0</v>
      </c>
      <c r="AB1262" s="145">
        <v>0</v>
      </c>
      <c r="AC1262" s="145">
        <v>0</v>
      </c>
      <c r="AD1262" s="145">
        <v>0</v>
      </c>
      <c r="AE1262" s="145">
        <v>0</v>
      </c>
      <c r="AF1262" s="145">
        <v>0</v>
      </c>
      <c r="AG1262" s="145">
        <v>0</v>
      </c>
      <c r="AH1262" s="145">
        <v>0</v>
      </c>
      <c r="AI1262" s="145">
        <v>0</v>
      </c>
      <c r="AJ1262" s="145">
        <v>0</v>
      </c>
      <c r="AK1262" s="145">
        <f t="shared" si="418"/>
        <v>0</v>
      </c>
      <c r="AL1262" s="145">
        <v>118654.9</v>
      </c>
      <c r="AM1262" s="145">
        <v>59072.45</v>
      </c>
      <c r="AN1262" s="145">
        <v>0</v>
      </c>
      <c r="AO1262" s="145">
        <v>0</v>
      </c>
      <c r="AP1262" s="145">
        <v>0</v>
      </c>
      <c r="AQ1262" s="145">
        <v>0</v>
      </c>
      <c r="AR1262" s="145">
        <v>0</v>
      </c>
      <c r="AS1262" s="144">
        <f t="shared" si="426"/>
        <v>177727.34999999998</v>
      </c>
      <c r="AT1262" s="144">
        <v>0</v>
      </c>
      <c r="AU1262" s="146">
        <f t="shared" si="417"/>
        <v>177727.34999999998</v>
      </c>
      <c r="AV1262" s="146">
        <f>IFERROR(VLOOKUP(J1262,Maksājumu_pieprasījumu_iesn.!G:BL,57,0),0)</f>
        <v>0</v>
      </c>
      <c r="AW1262" s="139">
        <f t="shared" si="421"/>
        <v>-177727.34999999998</v>
      </c>
      <c r="AX1262" s="147">
        <f t="shared" si="425"/>
        <v>0</v>
      </c>
      <c r="AY1262" s="147"/>
      <c r="AZ1262" s="147"/>
      <c r="BA1262" s="149"/>
      <c r="BB1262" s="144"/>
      <c r="BC1262" s="144"/>
      <c r="BD1262" s="144"/>
      <c r="BE1262" s="144"/>
      <c r="BF1262" s="144"/>
      <c r="BG1262" s="144"/>
      <c r="BH1262" s="149"/>
      <c r="BI1262" s="149"/>
      <c r="BJ1262" s="149"/>
      <c r="BK1262" s="149"/>
      <c r="BL1262" s="149"/>
      <c r="BM1262" s="149"/>
      <c r="BN1262" s="149"/>
    </row>
    <row r="1263" spans="1:66" ht="51" hidden="1" customHeight="1" x14ac:dyDescent="0.2">
      <c r="A1263" s="142" t="s">
        <v>2279</v>
      </c>
      <c r="B1263" s="18" t="s">
        <v>406</v>
      </c>
      <c r="C1263" s="18" t="s">
        <v>411</v>
      </c>
      <c r="D1263" s="19" t="s">
        <v>606</v>
      </c>
      <c r="E1263" s="22">
        <v>1</v>
      </c>
      <c r="F1263" s="18" t="s">
        <v>402</v>
      </c>
      <c r="G1263" s="18" t="s">
        <v>77</v>
      </c>
      <c r="H1263" s="18" t="s">
        <v>3</v>
      </c>
      <c r="I1263" s="18"/>
      <c r="J1263" s="18" t="s">
        <v>2380</v>
      </c>
      <c r="K1263" s="19" t="s">
        <v>2381</v>
      </c>
      <c r="L1263" s="19"/>
      <c r="M1263" s="19"/>
      <c r="N1263" s="19" t="s">
        <v>2382</v>
      </c>
      <c r="O1263" s="143"/>
      <c r="P1263" s="143"/>
      <c r="Q1263" s="143"/>
      <c r="R1263" s="373" t="s">
        <v>2383</v>
      </c>
      <c r="S1263" s="144">
        <v>39660.15</v>
      </c>
      <c r="T1263" s="226"/>
      <c r="U1263" s="145">
        <v>0</v>
      </c>
      <c r="V1263" s="145">
        <v>0</v>
      </c>
      <c r="W1263" s="145">
        <v>0</v>
      </c>
      <c r="X1263" s="145">
        <f t="shared" si="423"/>
        <v>0</v>
      </c>
      <c r="Y1263" s="145">
        <v>0</v>
      </c>
      <c r="Z1263" s="145">
        <v>0</v>
      </c>
      <c r="AA1263" s="145">
        <v>0</v>
      </c>
      <c r="AB1263" s="145">
        <v>0</v>
      </c>
      <c r="AC1263" s="145">
        <v>0</v>
      </c>
      <c r="AD1263" s="145">
        <v>0</v>
      </c>
      <c r="AE1263" s="145">
        <v>0</v>
      </c>
      <c r="AF1263" s="145">
        <v>0</v>
      </c>
      <c r="AG1263" s="145">
        <v>0</v>
      </c>
      <c r="AH1263" s="145">
        <v>0</v>
      </c>
      <c r="AI1263" s="145">
        <v>0</v>
      </c>
      <c r="AJ1263" s="145">
        <v>0</v>
      </c>
      <c r="AK1263" s="145">
        <f t="shared" si="418"/>
        <v>0</v>
      </c>
      <c r="AL1263" s="145">
        <v>30978.25</v>
      </c>
      <c r="AM1263" s="145">
        <v>8681.9</v>
      </c>
      <c r="AN1263" s="145">
        <v>0</v>
      </c>
      <c r="AO1263" s="145">
        <v>0</v>
      </c>
      <c r="AP1263" s="145">
        <v>0</v>
      </c>
      <c r="AQ1263" s="145">
        <v>0</v>
      </c>
      <c r="AR1263" s="145">
        <v>0</v>
      </c>
      <c r="AS1263" s="144">
        <f t="shared" si="426"/>
        <v>39660.15</v>
      </c>
      <c r="AT1263" s="144">
        <v>0</v>
      </c>
      <c r="AU1263" s="146">
        <f t="shared" si="417"/>
        <v>39660.15</v>
      </c>
      <c r="AV1263" s="146">
        <f>IFERROR(VLOOKUP(J1263,Maksājumu_pieprasījumu_iesn.!G:BL,57,0),0)</f>
        <v>0</v>
      </c>
      <c r="AW1263" s="139">
        <f t="shared" si="421"/>
        <v>-39660.15</v>
      </c>
      <c r="AX1263" s="147">
        <f t="shared" si="425"/>
        <v>0</v>
      </c>
      <c r="AY1263" s="147"/>
      <c r="AZ1263" s="147"/>
      <c r="BA1263" s="149"/>
      <c r="BB1263" s="144"/>
      <c r="BC1263" s="144"/>
      <c r="BD1263" s="144"/>
      <c r="BE1263" s="144"/>
      <c r="BF1263" s="144"/>
      <c r="BG1263" s="144"/>
      <c r="BH1263" s="149"/>
      <c r="BI1263" s="149"/>
      <c r="BJ1263" s="149"/>
      <c r="BK1263" s="149"/>
      <c r="BL1263" s="149"/>
      <c r="BM1263" s="149"/>
      <c r="BN1263" s="149"/>
    </row>
    <row r="1264" spans="1:66" ht="38.25" hidden="1" customHeight="1" x14ac:dyDescent="0.2">
      <c r="A1264" s="142" t="s">
        <v>2279</v>
      </c>
      <c r="B1264" s="18" t="s">
        <v>406</v>
      </c>
      <c r="C1264" s="18" t="s">
        <v>411</v>
      </c>
      <c r="D1264" s="19" t="s">
        <v>606</v>
      </c>
      <c r="E1264" s="18">
        <v>1</v>
      </c>
      <c r="F1264" s="18" t="s">
        <v>402</v>
      </c>
      <c r="G1264" s="18" t="s">
        <v>77</v>
      </c>
      <c r="H1264" s="18" t="s">
        <v>3</v>
      </c>
      <c r="I1264" s="18"/>
      <c r="J1264" s="18" t="s">
        <v>2384</v>
      </c>
      <c r="K1264" s="19" t="s">
        <v>2385</v>
      </c>
      <c r="L1264" s="19"/>
      <c r="M1264" s="19"/>
      <c r="N1264" s="19" t="s">
        <v>2386</v>
      </c>
      <c r="O1264" s="143"/>
      <c r="P1264" s="143"/>
      <c r="Q1264" s="143"/>
      <c r="R1264" s="373" t="s">
        <v>2360</v>
      </c>
      <c r="S1264" s="144">
        <v>249317.75</v>
      </c>
      <c r="T1264" s="226"/>
      <c r="U1264" s="145">
        <v>0</v>
      </c>
      <c r="V1264" s="145">
        <v>0</v>
      </c>
      <c r="W1264" s="145">
        <v>0</v>
      </c>
      <c r="X1264" s="145">
        <f t="shared" si="423"/>
        <v>0</v>
      </c>
      <c r="Y1264" s="145">
        <v>0</v>
      </c>
      <c r="Z1264" s="145">
        <v>0</v>
      </c>
      <c r="AA1264" s="145">
        <v>0</v>
      </c>
      <c r="AB1264" s="145">
        <v>0</v>
      </c>
      <c r="AC1264" s="145">
        <v>0</v>
      </c>
      <c r="AD1264" s="145">
        <v>0</v>
      </c>
      <c r="AE1264" s="145">
        <v>0</v>
      </c>
      <c r="AF1264" s="145">
        <v>0</v>
      </c>
      <c r="AG1264" s="145">
        <v>0</v>
      </c>
      <c r="AH1264" s="145">
        <v>0</v>
      </c>
      <c r="AI1264" s="145">
        <v>0</v>
      </c>
      <c r="AJ1264" s="145">
        <v>0</v>
      </c>
      <c r="AK1264" s="145">
        <f t="shared" si="418"/>
        <v>0</v>
      </c>
      <c r="AL1264" s="145">
        <v>168227.75</v>
      </c>
      <c r="AM1264" s="145">
        <v>81090</v>
      </c>
      <c r="AN1264" s="145">
        <v>0</v>
      </c>
      <c r="AO1264" s="145">
        <v>0</v>
      </c>
      <c r="AP1264" s="145">
        <v>0</v>
      </c>
      <c r="AQ1264" s="145">
        <v>0</v>
      </c>
      <c r="AR1264" s="145">
        <v>0</v>
      </c>
      <c r="AS1264" s="144">
        <f t="shared" si="426"/>
        <v>249317.75</v>
      </c>
      <c r="AT1264" s="144">
        <v>0</v>
      </c>
      <c r="AU1264" s="146">
        <f t="shared" si="417"/>
        <v>249317.75</v>
      </c>
      <c r="AV1264" s="146">
        <f>IFERROR(VLOOKUP(J1264,Maksājumu_pieprasījumu_iesn.!G:BL,57,0),0)</f>
        <v>0</v>
      </c>
      <c r="AW1264" s="139">
        <f t="shared" si="421"/>
        <v>-249317.75</v>
      </c>
      <c r="AX1264" s="147">
        <f t="shared" si="425"/>
        <v>0</v>
      </c>
      <c r="AY1264" s="147"/>
      <c r="AZ1264" s="147"/>
      <c r="BA1264" s="149"/>
      <c r="BB1264" s="144"/>
      <c r="BC1264" s="144"/>
      <c r="BD1264" s="144"/>
      <c r="BE1264" s="144"/>
      <c r="BF1264" s="144"/>
      <c r="BG1264" s="144"/>
      <c r="BH1264" s="149"/>
      <c r="BI1264" s="149"/>
      <c r="BJ1264" s="149"/>
      <c r="BK1264" s="149"/>
      <c r="BL1264" s="149"/>
      <c r="BM1264" s="149"/>
      <c r="BN1264" s="149"/>
    </row>
    <row r="1265" spans="1:66" ht="51" hidden="1" customHeight="1" x14ac:dyDescent="0.2">
      <c r="A1265" s="142" t="s">
        <v>2279</v>
      </c>
      <c r="B1265" s="18" t="s">
        <v>406</v>
      </c>
      <c r="C1265" s="18" t="s">
        <v>411</v>
      </c>
      <c r="D1265" s="19" t="s">
        <v>606</v>
      </c>
      <c r="E1265" s="22">
        <v>1</v>
      </c>
      <c r="F1265" s="18" t="s">
        <v>402</v>
      </c>
      <c r="G1265" s="18" t="s">
        <v>77</v>
      </c>
      <c r="H1265" s="18" t="s">
        <v>3</v>
      </c>
      <c r="I1265" s="18"/>
      <c r="J1265" s="18" t="s">
        <v>2387</v>
      </c>
      <c r="K1265" s="19" t="s">
        <v>1300</v>
      </c>
      <c r="L1265" s="19"/>
      <c r="M1265" s="19"/>
      <c r="N1265" s="19" t="s">
        <v>2388</v>
      </c>
      <c r="O1265" s="143"/>
      <c r="P1265" s="143"/>
      <c r="Q1265" s="143"/>
      <c r="R1265" s="373" t="s">
        <v>2389</v>
      </c>
      <c r="S1265" s="144">
        <v>186909.9</v>
      </c>
      <c r="T1265" s="226"/>
      <c r="U1265" s="145">
        <v>0</v>
      </c>
      <c r="V1265" s="145">
        <v>0</v>
      </c>
      <c r="W1265" s="145">
        <v>0</v>
      </c>
      <c r="X1265" s="145">
        <f t="shared" si="423"/>
        <v>0</v>
      </c>
      <c r="Y1265" s="145">
        <v>0</v>
      </c>
      <c r="Z1265" s="145">
        <v>0</v>
      </c>
      <c r="AA1265" s="145">
        <v>0</v>
      </c>
      <c r="AB1265" s="145">
        <v>0</v>
      </c>
      <c r="AC1265" s="145">
        <v>0</v>
      </c>
      <c r="AD1265" s="145">
        <v>0</v>
      </c>
      <c r="AE1265" s="145">
        <v>0</v>
      </c>
      <c r="AF1265" s="145">
        <v>0</v>
      </c>
      <c r="AG1265" s="145">
        <v>0</v>
      </c>
      <c r="AH1265" s="145">
        <v>0</v>
      </c>
      <c r="AI1265" s="145">
        <v>0</v>
      </c>
      <c r="AJ1265" s="145">
        <v>0</v>
      </c>
      <c r="AK1265" s="145">
        <f t="shared" si="418"/>
        <v>0</v>
      </c>
      <c r="AL1265" s="145">
        <v>127581.6</v>
      </c>
      <c r="AM1265" s="145">
        <v>59328.3</v>
      </c>
      <c r="AN1265" s="145">
        <v>0</v>
      </c>
      <c r="AO1265" s="145">
        <v>0</v>
      </c>
      <c r="AP1265" s="145">
        <v>0</v>
      </c>
      <c r="AQ1265" s="145">
        <v>0</v>
      </c>
      <c r="AR1265" s="145">
        <v>0</v>
      </c>
      <c r="AS1265" s="144">
        <f t="shared" si="426"/>
        <v>186909.90000000002</v>
      </c>
      <c r="AT1265" s="144">
        <v>0</v>
      </c>
      <c r="AU1265" s="146">
        <f t="shared" si="417"/>
        <v>186909.90000000002</v>
      </c>
      <c r="AV1265" s="146">
        <f>IFERROR(VLOOKUP(J1265,Maksājumu_pieprasījumu_iesn.!G:BL,57,0),0)</f>
        <v>0</v>
      </c>
      <c r="AW1265" s="139">
        <f t="shared" si="421"/>
        <v>-186909.90000000002</v>
      </c>
      <c r="AX1265" s="147">
        <f t="shared" si="425"/>
        <v>0</v>
      </c>
      <c r="AY1265" s="147"/>
      <c r="AZ1265" s="147"/>
      <c r="BA1265" s="149"/>
      <c r="BB1265" s="144"/>
      <c r="BC1265" s="144"/>
      <c r="BD1265" s="144"/>
      <c r="BE1265" s="144"/>
      <c r="BF1265" s="144"/>
      <c r="BG1265" s="144"/>
      <c r="BH1265" s="149"/>
      <c r="BI1265" s="149"/>
      <c r="BJ1265" s="149"/>
      <c r="BK1265" s="149"/>
      <c r="BL1265" s="149"/>
      <c r="BM1265" s="149"/>
      <c r="BN1265" s="149"/>
    </row>
    <row r="1266" spans="1:66" ht="38.25" hidden="1" customHeight="1" x14ac:dyDescent="0.2">
      <c r="A1266" s="142" t="s">
        <v>2279</v>
      </c>
      <c r="B1266" s="18" t="s">
        <v>406</v>
      </c>
      <c r="C1266" s="18" t="s">
        <v>411</v>
      </c>
      <c r="D1266" s="19" t="s">
        <v>606</v>
      </c>
      <c r="E1266" s="18">
        <v>1</v>
      </c>
      <c r="F1266" s="18" t="s">
        <v>402</v>
      </c>
      <c r="G1266" s="18" t="s">
        <v>77</v>
      </c>
      <c r="H1266" s="18" t="s">
        <v>3</v>
      </c>
      <c r="I1266" s="18"/>
      <c r="J1266" s="18" t="s">
        <v>2390</v>
      </c>
      <c r="K1266" s="19" t="s">
        <v>2391</v>
      </c>
      <c r="L1266" s="19"/>
      <c r="M1266" s="19"/>
      <c r="N1266" s="19" t="s">
        <v>2392</v>
      </c>
      <c r="O1266" s="143"/>
      <c r="P1266" s="143"/>
      <c r="Q1266" s="143"/>
      <c r="R1266" s="373" t="s">
        <v>2393</v>
      </c>
      <c r="S1266" s="144">
        <v>21971.65</v>
      </c>
      <c r="T1266" s="226"/>
      <c r="U1266" s="145">
        <v>0</v>
      </c>
      <c r="V1266" s="145">
        <v>0</v>
      </c>
      <c r="W1266" s="145">
        <v>0</v>
      </c>
      <c r="X1266" s="145">
        <f t="shared" si="423"/>
        <v>0</v>
      </c>
      <c r="Y1266" s="145">
        <v>0</v>
      </c>
      <c r="Z1266" s="145">
        <v>0</v>
      </c>
      <c r="AA1266" s="145">
        <v>0</v>
      </c>
      <c r="AB1266" s="145">
        <v>0</v>
      </c>
      <c r="AC1266" s="145">
        <v>0</v>
      </c>
      <c r="AD1266" s="145">
        <v>0</v>
      </c>
      <c r="AE1266" s="145">
        <v>0</v>
      </c>
      <c r="AF1266" s="145">
        <v>0</v>
      </c>
      <c r="AG1266" s="145">
        <v>0</v>
      </c>
      <c r="AH1266" s="145">
        <v>0</v>
      </c>
      <c r="AI1266" s="145">
        <v>0</v>
      </c>
      <c r="AJ1266" s="145">
        <v>0</v>
      </c>
      <c r="AK1266" s="145">
        <f t="shared" si="418"/>
        <v>0</v>
      </c>
      <c r="AL1266" s="145">
        <v>15503.15</v>
      </c>
      <c r="AM1266" s="145">
        <v>6468.5</v>
      </c>
      <c r="AN1266" s="145">
        <v>0</v>
      </c>
      <c r="AO1266" s="145">
        <v>0</v>
      </c>
      <c r="AP1266" s="145">
        <v>0</v>
      </c>
      <c r="AQ1266" s="145">
        <v>0</v>
      </c>
      <c r="AR1266" s="145">
        <v>0</v>
      </c>
      <c r="AS1266" s="144">
        <f t="shared" si="426"/>
        <v>21971.65</v>
      </c>
      <c r="AT1266" s="144">
        <v>0</v>
      </c>
      <c r="AU1266" s="146">
        <f t="shared" si="417"/>
        <v>21971.65</v>
      </c>
      <c r="AV1266" s="146">
        <f>IFERROR(VLOOKUP(J1266,Maksājumu_pieprasījumu_iesn.!G:BL,57,0),0)</f>
        <v>0</v>
      </c>
      <c r="AW1266" s="139">
        <f t="shared" si="421"/>
        <v>-21971.65</v>
      </c>
      <c r="AX1266" s="147">
        <f t="shared" si="425"/>
        <v>0</v>
      </c>
      <c r="AY1266" s="147"/>
      <c r="AZ1266" s="147"/>
      <c r="BA1266" s="149"/>
      <c r="BB1266" s="144"/>
      <c r="BC1266" s="144"/>
      <c r="BD1266" s="144"/>
      <c r="BE1266" s="144"/>
      <c r="BF1266" s="144"/>
      <c r="BG1266" s="144"/>
      <c r="BH1266" s="149"/>
      <c r="BI1266" s="149"/>
      <c r="BJ1266" s="149"/>
      <c r="BK1266" s="149"/>
      <c r="BL1266" s="149"/>
      <c r="BM1266" s="149"/>
      <c r="BN1266" s="149"/>
    </row>
    <row r="1267" spans="1:66" ht="38.25" hidden="1" customHeight="1" x14ac:dyDescent="0.2">
      <c r="A1267" s="142" t="s">
        <v>2279</v>
      </c>
      <c r="B1267" s="18" t="s">
        <v>406</v>
      </c>
      <c r="C1267" s="18" t="s">
        <v>411</v>
      </c>
      <c r="D1267" s="19" t="s">
        <v>606</v>
      </c>
      <c r="E1267" s="22">
        <v>1</v>
      </c>
      <c r="F1267" s="18" t="s">
        <v>402</v>
      </c>
      <c r="G1267" s="18" t="s">
        <v>77</v>
      </c>
      <c r="H1267" s="18" t="s">
        <v>3</v>
      </c>
      <c r="I1267" s="18"/>
      <c r="J1267" s="18" t="s">
        <v>2394</v>
      </c>
      <c r="K1267" s="19" t="s">
        <v>530</v>
      </c>
      <c r="L1267" s="19"/>
      <c r="M1267" s="19"/>
      <c r="N1267" s="19" t="s">
        <v>2395</v>
      </c>
      <c r="O1267" s="143"/>
      <c r="P1267" s="143"/>
      <c r="Q1267" s="143"/>
      <c r="R1267" s="373" t="s">
        <v>2314</v>
      </c>
      <c r="S1267" s="144">
        <v>287391.8</v>
      </c>
      <c r="T1267" s="226"/>
      <c r="U1267" s="145">
        <v>0</v>
      </c>
      <c r="V1267" s="145">
        <v>0</v>
      </c>
      <c r="W1267" s="145">
        <v>0</v>
      </c>
      <c r="X1267" s="145">
        <f t="shared" si="423"/>
        <v>0</v>
      </c>
      <c r="Y1267" s="145">
        <v>0</v>
      </c>
      <c r="Z1267" s="145">
        <v>0</v>
      </c>
      <c r="AA1267" s="145">
        <v>0</v>
      </c>
      <c r="AB1267" s="145">
        <v>0</v>
      </c>
      <c r="AC1267" s="145">
        <v>0</v>
      </c>
      <c r="AD1267" s="145">
        <v>0</v>
      </c>
      <c r="AE1267" s="145">
        <v>0</v>
      </c>
      <c r="AF1267" s="145">
        <v>0</v>
      </c>
      <c r="AG1267" s="145">
        <v>0</v>
      </c>
      <c r="AH1267" s="145">
        <v>0</v>
      </c>
      <c r="AI1267" s="145">
        <v>0</v>
      </c>
      <c r="AJ1267" s="145">
        <v>0</v>
      </c>
      <c r="AK1267" s="145">
        <f t="shared" si="418"/>
        <v>0</v>
      </c>
      <c r="AL1267" s="145">
        <v>191594.54</v>
      </c>
      <c r="AM1267" s="145">
        <v>95797.26</v>
      </c>
      <c r="AN1267" s="145">
        <v>0</v>
      </c>
      <c r="AO1267" s="145">
        <v>0</v>
      </c>
      <c r="AP1267" s="145">
        <v>0</v>
      </c>
      <c r="AQ1267" s="145">
        <v>0</v>
      </c>
      <c r="AR1267" s="145">
        <v>0</v>
      </c>
      <c r="AS1267" s="144">
        <f t="shared" si="426"/>
        <v>287391.8</v>
      </c>
      <c r="AT1267" s="144">
        <v>0</v>
      </c>
      <c r="AU1267" s="146">
        <f t="shared" si="417"/>
        <v>287391.8</v>
      </c>
      <c r="AV1267" s="146">
        <f>IFERROR(VLOOKUP(J1267,Maksājumu_pieprasījumu_iesn.!G:BL,57,0),0)</f>
        <v>0</v>
      </c>
      <c r="AW1267" s="139">
        <f t="shared" si="421"/>
        <v>-287391.8</v>
      </c>
      <c r="AX1267" s="147">
        <f t="shared" si="425"/>
        <v>0</v>
      </c>
      <c r="AY1267" s="147"/>
      <c r="AZ1267" s="147"/>
      <c r="BA1267" s="149"/>
      <c r="BB1267" s="144"/>
      <c r="BC1267" s="144"/>
      <c r="BD1267" s="144"/>
      <c r="BE1267" s="144"/>
      <c r="BF1267" s="144"/>
      <c r="BG1267" s="144"/>
      <c r="BH1267" s="149"/>
      <c r="BI1267" s="149"/>
      <c r="BJ1267" s="149"/>
      <c r="BK1267" s="149"/>
      <c r="BL1267" s="149"/>
      <c r="BM1267" s="149"/>
      <c r="BN1267" s="149"/>
    </row>
    <row r="1268" spans="1:66" ht="25.5" hidden="1" customHeight="1" x14ac:dyDescent="0.2">
      <c r="A1268" s="142" t="s">
        <v>2279</v>
      </c>
      <c r="B1268" s="18" t="s">
        <v>406</v>
      </c>
      <c r="C1268" s="18" t="s">
        <v>411</v>
      </c>
      <c r="D1268" s="19" t="s">
        <v>606</v>
      </c>
      <c r="E1268" s="18">
        <v>1</v>
      </c>
      <c r="F1268" s="18" t="s">
        <v>402</v>
      </c>
      <c r="G1268" s="18" t="s">
        <v>77</v>
      </c>
      <c r="H1268" s="18" t="s">
        <v>3</v>
      </c>
      <c r="I1268" s="18"/>
      <c r="J1268" s="18" t="s">
        <v>881</v>
      </c>
      <c r="K1268" s="19" t="s">
        <v>882</v>
      </c>
      <c r="L1268" s="19"/>
      <c r="M1268" s="19"/>
      <c r="N1268" s="19" t="s">
        <v>883</v>
      </c>
      <c r="O1268" s="143"/>
      <c r="P1268" s="143"/>
      <c r="Q1268" s="143"/>
      <c r="R1268" s="373">
        <v>42849</v>
      </c>
      <c r="S1268" s="144">
        <v>69728.899999999994</v>
      </c>
      <c r="T1268" s="226"/>
      <c r="U1268" s="378">
        <v>0</v>
      </c>
      <c r="V1268" s="378">
        <v>0</v>
      </c>
      <c r="W1268" s="378">
        <v>0</v>
      </c>
      <c r="X1268" s="145">
        <f t="shared" si="423"/>
        <v>0</v>
      </c>
      <c r="Y1268" s="378">
        <v>0</v>
      </c>
      <c r="Z1268" s="378">
        <v>0</v>
      </c>
      <c r="AA1268" s="378">
        <v>0</v>
      </c>
      <c r="AB1268" s="378">
        <v>0</v>
      </c>
      <c r="AC1268" s="378">
        <v>0</v>
      </c>
      <c r="AD1268" s="378">
        <v>0</v>
      </c>
      <c r="AE1268" s="378">
        <v>0</v>
      </c>
      <c r="AF1268" s="378">
        <v>0</v>
      </c>
      <c r="AG1268" s="378">
        <v>0</v>
      </c>
      <c r="AH1268" s="378">
        <v>13683.3</v>
      </c>
      <c r="AI1268" s="378">
        <v>0</v>
      </c>
      <c r="AJ1268" s="378">
        <v>0</v>
      </c>
      <c r="AK1268" s="145">
        <f t="shared" si="418"/>
        <v>13683.3</v>
      </c>
      <c r="AL1268" s="378">
        <v>24912.649999999998</v>
      </c>
      <c r="AM1268" s="378">
        <v>24159.55</v>
      </c>
      <c r="AN1268" s="378">
        <v>6973.4</v>
      </c>
      <c r="AO1268" s="378">
        <v>0</v>
      </c>
      <c r="AP1268" s="378">
        <v>0</v>
      </c>
      <c r="AQ1268" s="378">
        <v>0</v>
      </c>
      <c r="AR1268" s="378">
        <v>0</v>
      </c>
      <c r="AS1268" s="375">
        <f t="shared" si="426"/>
        <v>69728.899999999994</v>
      </c>
      <c r="AT1268" s="147">
        <v>0</v>
      </c>
      <c r="AU1268" s="146">
        <f t="shared" si="417"/>
        <v>69728.899999999994</v>
      </c>
      <c r="AV1268" s="146">
        <f>IFERROR(VLOOKUP(J1268,Maksājumu_pieprasījumu_iesn.!G:BL,57,0),0)</f>
        <v>0</v>
      </c>
      <c r="AW1268" s="139">
        <f t="shared" si="421"/>
        <v>-69728.899999999994</v>
      </c>
      <c r="AX1268" s="147">
        <f t="shared" si="425"/>
        <v>0</v>
      </c>
      <c r="AY1268" s="147"/>
      <c r="AZ1268" s="147"/>
      <c r="BA1268" s="149"/>
      <c r="BB1268" s="144"/>
      <c r="BC1268" s="144"/>
      <c r="BD1268" s="144"/>
      <c r="BE1268" s="144"/>
      <c r="BF1268" s="144"/>
      <c r="BG1268" s="144"/>
      <c r="BH1268" s="149"/>
      <c r="BI1268" s="149"/>
      <c r="BJ1268" s="149"/>
      <c r="BK1268" s="149"/>
      <c r="BL1268" s="149"/>
      <c r="BM1268" s="149"/>
      <c r="BN1268" s="149"/>
    </row>
    <row r="1269" spans="1:66" ht="25.5" hidden="1" customHeight="1" x14ac:dyDescent="0.2">
      <c r="A1269" s="142" t="s">
        <v>2279</v>
      </c>
      <c r="B1269" s="18" t="s">
        <v>406</v>
      </c>
      <c r="C1269" s="18" t="s">
        <v>411</v>
      </c>
      <c r="D1269" s="19" t="s">
        <v>606</v>
      </c>
      <c r="E1269" s="22">
        <v>1</v>
      </c>
      <c r="F1269" s="18" t="s">
        <v>402</v>
      </c>
      <c r="G1269" s="18" t="s">
        <v>77</v>
      </c>
      <c r="H1269" s="18" t="s">
        <v>3</v>
      </c>
      <c r="I1269" s="18"/>
      <c r="J1269" s="18" t="s">
        <v>881</v>
      </c>
      <c r="K1269" s="19" t="s">
        <v>882</v>
      </c>
      <c r="L1269" s="19"/>
      <c r="M1269" s="19"/>
      <c r="N1269" s="19" t="s">
        <v>883</v>
      </c>
      <c r="O1269" s="143" t="s">
        <v>880</v>
      </c>
      <c r="P1269" s="143"/>
      <c r="Q1269" s="143"/>
      <c r="R1269" s="373"/>
      <c r="S1269" s="144"/>
      <c r="T1269" s="226"/>
      <c r="U1269" s="378"/>
      <c r="V1269" s="378"/>
      <c r="W1269" s="378"/>
      <c r="X1269" s="145">
        <f t="shared" si="423"/>
        <v>0</v>
      </c>
      <c r="Y1269" s="378"/>
      <c r="Z1269" s="378"/>
      <c r="AA1269" s="378"/>
      <c r="AB1269" s="378"/>
      <c r="AC1269" s="378"/>
      <c r="AD1269" s="378"/>
      <c r="AE1269" s="379">
        <v>13683.3</v>
      </c>
      <c r="AF1269" s="378"/>
      <c r="AG1269" s="378"/>
      <c r="AH1269" s="378"/>
      <c r="AI1269" s="378"/>
      <c r="AJ1269" s="378"/>
      <c r="AK1269" s="145">
        <f t="shared" si="418"/>
        <v>13683.3</v>
      </c>
      <c r="AL1269" s="378"/>
      <c r="AM1269" s="378"/>
      <c r="AN1269" s="378"/>
      <c r="AO1269" s="378"/>
      <c r="AP1269" s="378"/>
      <c r="AQ1269" s="378"/>
      <c r="AR1269" s="378"/>
      <c r="AS1269" s="86"/>
      <c r="AT1269" s="375">
        <f>U1269+V1269+W1269+AK1269+AL1269+AM1269+AN1269+AO1269+AP1269+AQ1269+AR1269</f>
        <v>13683.3</v>
      </c>
      <c r="AU1269" s="146"/>
      <c r="AV1269" s="146">
        <f>IFERROR(VLOOKUP(J1269,Maksājumu_pieprasījumu_iesn.!G:BL,57,0),0)</f>
        <v>0</v>
      </c>
      <c r="AW1269" s="139">
        <f t="shared" si="421"/>
        <v>0</v>
      </c>
      <c r="AX1269" s="147">
        <f t="shared" si="425"/>
        <v>0</v>
      </c>
      <c r="AY1269" s="147"/>
      <c r="AZ1269" s="147"/>
      <c r="BA1269" s="149"/>
      <c r="BB1269" s="144"/>
      <c r="BC1269" s="144"/>
      <c r="BD1269" s="144"/>
      <c r="BE1269" s="144"/>
      <c r="BF1269" s="144"/>
      <c r="BG1269" s="144"/>
      <c r="BH1269" s="149"/>
      <c r="BI1269" s="149"/>
      <c r="BJ1269" s="149"/>
      <c r="BK1269" s="149"/>
      <c r="BL1269" s="149"/>
      <c r="BM1269" s="149"/>
      <c r="BN1269" s="149"/>
    </row>
    <row r="1270" spans="1:66" ht="38.25" hidden="1" customHeight="1" x14ac:dyDescent="0.2">
      <c r="A1270" s="142" t="s">
        <v>2279</v>
      </c>
      <c r="B1270" s="18" t="s">
        <v>406</v>
      </c>
      <c r="C1270" s="18" t="s">
        <v>411</v>
      </c>
      <c r="D1270" s="19" t="s">
        <v>606</v>
      </c>
      <c r="E1270" s="18">
        <v>1</v>
      </c>
      <c r="F1270" s="18" t="s">
        <v>402</v>
      </c>
      <c r="G1270" s="18" t="s">
        <v>77</v>
      </c>
      <c r="H1270" s="18" t="s">
        <v>3</v>
      </c>
      <c r="I1270" s="18"/>
      <c r="J1270" s="18" t="s">
        <v>2396</v>
      </c>
      <c r="K1270" s="19" t="s">
        <v>1304</v>
      </c>
      <c r="L1270" s="19"/>
      <c r="M1270" s="19"/>
      <c r="N1270" s="19" t="s">
        <v>2397</v>
      </c>
      <c r="O1270" s="143"/>
      <c r="P1270" s="143"/>
      <c r="Q1270" s="143"/>
      <c r="R1270" s="373">
        <v>42815.6784001505</v>
      </c>
      <c r="S1270" s="144">
        <v>102790.5</v>
      </c>
      <c r="T1270" s="226"/>
      <c r="U1270" s="145">
        <v>0</v>
      </c>
      <c r="V1270" s="145">
        <v>0</v>
      </c>
      <c r="W1270" s="145">
        <v>0</v>
      </c>
      <c r="X1270" s="145">
        <f t="shared" si="423"/>
        <v>0</v>
      </c>
      <c r="Y1270" s="145">
        <v>0</v>
      </c>
      <c r="Z1270" s="145">
        <v>0</v>
      </c>
      <c r="AA1270" s="145">
        <v>0</v>
      </c>
      <c r="AB1270" s="145">
        <v>0</v>
      </c>
      <c r="AC1270" s="145">
        <v>0</v>
      </c>
      <c r="AD1270" s="145">
        <v>0</v>
      </c>
      <c r="AE1270" s="145">
        <v>0</v>
      </c>
      <c r="AF1270" s="145">
        <v>0</v>
      </c>
      <c r="AG1270" s="145">
        <v>0</v>
      </c>
      <c r="AH1270" s="145">
        <v>0</v>
      </c>
      <c r="AI1270" s="145">
        <v>0</v>
      </c>
      <c r="AJ1270" s="145">
        <v>40185.599999999999</v>
      </c>
      <c r="AK1270" s="145">
        <f t="shared" si="418"/>
        <v>40185.599999999999</v>
      </c>
      <c r="AL1270" s="145">
        <v>33723.89</v>
      </c>
      <c r="AM1270" s="145">
        <v>28881.01</v>
      </c>
      <c r="AN1270" s="145">
        <v>0</v>
      </c>
      <c r="AO1270" s="145">
        <v>0</v>
      </c>
      <c r="AP1270" s="145">
        <v>0</v>
      </c>
      <c r="AQ1270" s="145">
        <v>0</v>
      </c>
      <c r="AR1270" s="145">
        <v>0</v>
      </c>
      <c r="AS1270" s="144">
        <f t="shared" ref="AS1270:AS1288" si="427">U1270+V1270+W1270+AK1270+AL1270+AM1270+AN1270+AO1270+AP1270+AQ1270+AR1270</f>
        <v>102790.49999999999</v>
      </c>
      <c r="AT1270" s="144">
        <v>0</v>
      </c>
      <c r="AU1270" s="146">
        <f t="shared" si="417"/>
        <v>102790.49999999999</v>
      </c>
      <c r="AV1270" s="146">
        <f>IFERROR(VLOOKUP(J1270,Maksājumu_pieprasījumu_iesn.!G:BL,57,0),0)</f>
        <v>0</v>
      </c>
      <c r="AW1270" s="139">
        <f t="shared" si="421"/>
        <v>-102790.49999999999</v>
      </c>
      <c r="AX1270" s="147">
        <f t="shared" si="425"/>
        <v>0</v>
      </c>
      <c r="AY1270" s="147"/>
      <c r="AZ1270" s="147"/>
      <c r="BA1270" s="149"/>
      <c r="BB1270" s="144"/>
      <c r="BC1270" s="144"/>
      <c r="BD1270" s="144"/>
      <c r="BE1270" s="144"/>
      <c r="BF1270" s="144"/>
      <c r="BG1270" s="144"/>
      <c r="BH1270" s="149"/>
      <c r="BI1270" s="149"/>
      <c r="BJ1270" s="149"/>
      <c r="BK1270" s="149"/>
      <c r="BL1270" s="149"/>
      <c r="BM1270" s="149"/>
      <c r="BN1270" s="149"/>
    </row>
    <row r="1271" spans="1:66" ht="51" hidden="1" customHeight="1" x14ac:dyDescent="0.2">
      <c r="A1271" s="142" t="s">
        <v>2279</v>
      </c>
      <c r="B1271" s="18" t="s">
        <v>406</v>
      </c>
      <c r="C1271" s="18" t="s">
        <v>411</v>
      </c>
      <c r="D1271" s="19" t="s">
        <v>606</v>
      </c>
      <c r="E1271" s="22">
        <v>1</v>
      </c>
      <c r="F1271" s="18" t="s">
        <v>402</v>
      </c>
      <c r="G1271" s="18" t="s">
        <v>77</v>
      </c>
      <c r="H1271" s="18" t="s">
        <v>3</v>
      </c>
      <c r="I1271" s="18"/>
      <c r="J1271" s="18" t="s">
        <v>2398</v>
      </c>
      <c r="K1271" s="19" t="s">
        <v>2399</v>
      </c>
      <c r="L1271" s="19"/>
      <c r="M1271" s="19"/>
      <c r="N1271" s="19" t="s">
        <v>2400</v>
      </c>
      <c r="O1271" s="143"/>
      <c r="P1271" s="143"/>
      <c r="Q1271" s="143"/>
      <c r="R1271" s="373" t="s">
        <v>2368</v>
      </c>
      <c r="S1271" s="144">
        <v>33123.65</v>
      </c>
      <c r="T1271" s="226"/>
      <c r="U1271" s="145">
        <v>0</v>
      </c>
      <c r="V1271" s="145">
        <v>0</v>
      </c>
      <c r="W1271" s="145">
        <v>0</v>
      </c>
      <c r="X1271" s="145">
        <f t="shared" si="423"/>
        <v>0</v>
      </c>
      <c r="Y1271" s="145">
        <v>0</v>
      </c>
      <c r="Z1271" s="145">
        <v>0</v>
      </c>
      <c r="AA1271" s="145">
        <v>0</v>
      </c>
      <c r="AB1271" s="145">
        <v>0</v>
      </c>
      <c r="AC1271" s="145">
        <v>0</v>
      </c>
      <c r="AD1271" s="145">
        <v>0</v>
      </c>
      <c r="AE1271" s="145">
        <v>0</v>
      </c>
      <c r="AF1271" s="145">
        <v>0</v>
      </c>
      <c r="AG1271" s="145">
        <v>0</v>
      </c>
      <c r="AH1271" s="145">
        <v>0</v>
      </c>
      <c r="AI1271" s="145">
        <v>0</v>
      </c>
      <c r="AJ1271" s="145">
        <v>0</v>
      </c>
      <c r="AK1271" s="145">
        <f t="shared" si="418"/>
        <v>0</v>
      </c>
      <c r="AL1271" s="145">
        <v>22683.05</v>
      </c>
      <c r="AM1271" s="145">
        <v>10440.59</v>
      </c>
      <c r="AN1271" s="145">
        <v>0</v>
      </c>
      <c r="AO1271" s="145">
        <v>0</v>
      </c>
      <c r="AP1271" s="145">
        <v>0</v>
      </c>
      <c r="AQ1271" s="145">
        <v>0</v>
      </c>
      <c r="AR1271" s="145">
        <v>0</v>
      </c>
      <c r="AS1271" s="144">
        <f t="shared" si="427"/>
        <v>33123.64</v>
      </c>
      <c r="AT1271" s="144">
        <v>0</v>
      </c>
      <c r="AU1271" s="146">
        <f t="shared" si="417"/>
        <v>33123.64</v>
      </c>
      <c r="AV1271" s="146">
        <f>IFERROR(VLOOKUP(J1271,Maksājumu_pieprasījumu_iesn.!G:BL,57,0),0)</f>
        <v>0</v>
      </c>
      <c r="AW1271" s="139">
        <f t="shared" si="421"/>
        <v>-33123.64</v>
      </c>
      <c r="AX1271" s="147">
        <f t="shared" si="425"/>
        <v>1.0000000002037268E-2</v>
      </c>
      <c r="AY1271" s="147"/>
      <c r="AZ1271" s="147"/>
      <c r="BA1271" s="149"/>
      <c r="BB1271" s="144"/>
      <c r="BC1271" s="144"/>
      <c r="BD1271" s="144"/>
      <c r="BE1271" s="144"/>
      <c r="BF1271" s="144"/>
      <c r="BG1271" s="144"/>
      <c r="BH1271" s="149"/>
      <c r="BI1271" s="149"/>
      <c r="BJ1271" s="149"/>
      <c r="BK1271" s="149"/>
      <c r="BL1271" s="149"/>
      <c r="BM1271" s="149"/>
      <c r="BN1271" s="149"/>
    </row>
    <row r="1272" spans="1:66" ht="38.25" hidden="1" customHeight="1" x14ac:dyDescent="0.2">
      <c r="A1272" s="142" t="s">
        <v>2279</v>
      </c>
      <c r="B1272" s="18" t="s">
        <v>406</v>
      </c>
      <c r="C1272" s="18" t="s">
        <v>411</v>
      </c>
      <c r="D1272" s="19" t="s">
        <v>606</v>
      </c>
      <c r="E1272" s="18">
        <v>1</v>
      </c>
      <c r="F1272" s="18" t="s">
        <v>402</v>
      </c>
      <c r="G1272" s="18" t="s">
        <v>77</v>
      </c>
      <c r="H1272" s="18" t="s">
        <v>3</v>
      </c>
      <c r="I1272" s="18"/>
      <c r="J1272" s="18" t="s">
        <v>2401</v>
      </c>
      <c r="K1272" s="19" t="s">
        <v>2402</v>
      </c>
      <c r="L1272" s="19"/>
      <c r="M1272" s="19"/>
      <c r="N1272" s="19" t="s">
        <v>2403</v>
      </c>
      <c r="O1272" s="143"/>
      <c r="P1272" s="143"/>
      <c r="Q1272" s="143"/>
      <c r="R1272" s="373" t="s">
        <v>2404</v>
      </c>
      <c r="S1272" s="144">
        <v>66275.350000000006</v>
      </c>
      <c r="T1272" s="226"/>
      <c r="U1272" s="145">
        <v>0</v>
      </c>
      <c r="V1272" s="145">
        <v>0</v>
      </c>
      <c r="W1272" s="145">
        <v>0</v>
      </c>
      <c r="X1272" s="145">
        <f t="shared" si="423"/>
        <v>0</v>
      </c>
      <c r="Y1272" s="145">
        <v>0</v>
      </c>
      <c r="Z1272" s="145">
        <v>0</v>
      </c>
      <c r="AA1272" s="145">
        <v>0</v>
      </c>
      <c r="AB1272" s="145">
        <v>0</v>
      </c>
      <c r="AC1272" s="145">
        <v>0</v>
      </c>
      <c r="AD1272" s="145">
        <v>0</v>
      </c>
      <c r="AE1272" s="145">
        <v>0</v>
      </c>
      <c r="AF1272" s="145">
        <v>0</v>
      </c>
      <c r="AG1272" s="145">
        <v>0</v>
      </c>
      <c r="AH1272" s="145">
        <v>0</v>
      </c>
      <c r="AI1272" s="145">
        <v>0</v>
      </c>
      <c r="AJ1272" s="145">
        <v>0</v>
      </c>
      <c r="AK1272" s="145">
        <f t="shared" si="418"/>
        <v>0</v>
      </c>
      <c r="AL1272" s="145">
        <v>44927.32</v>
      </c>
      <c r="AM1272" s="145">
        <v>21348.03</v>
      </c>
      <c r="AN1272" s="145">
        <v>0</v>
      </c>
      <c r="AO1272" s="145">
        <v>0</v>
      </c>
      <c r="AP1272" s="145">
        <v>0</v>
      </c>
      <c r="AQ1272" s="145">
        <v>0</v>
      </c>
      <c r="AR1272" s="145">
        <v>0</v>
      </c>
      <c r="AS1272" s="144">
        <f t="shared" si="427"/>
        <v>66275.350000000006</v>
      </c>
      <c r="AT1272" s="144">
        <v>0</v>
      </c>
      <c r="AU1272" s="146">
        <f t="shared" si="417"/>
        <v>66275.350000000006</v>
      </c>
      <c r="AV1272" s="146">
        <f>IFERROR(VLOOKUP(J1272,Maksājumu_pieprasījumu_iesn.!G:BL,57,0),0)</f>
        <v>0</v>
      </c>
      <c r="AW1272" s="139">
        <f t="shared" si="421"/>
        <v>-66275.350000000006</v>
      </c>
      <c r="AX1272" s="147">
        <f t="shared" si="425"/>
        <v>0</v>
      </c>
      <c r="AY1272" s="147"/>
      <c r="AZ1272" s="147"/>
      <c r="BA1272" s="149"/>
      <c r="BB1272" s="144"/>
      <c r="BC1272" s="144"/>
      <c r="BD1272" s="144"/>
      <c r="BE1272" s="144"/>
      <c r="BF1272" s="144"/>
      <c r="BG1272" s="144"/>
      <c r="BH1272" s="149"/>
      <c r="BI1272" s="149"/>
      <c r="BJ1272" s="149"/>
      <c r="BK1272" s="149"/>
      <c r="BL1272" s="149"/>
      <c r="BM1272" s="149"/>
      <c r="BN1272" s="149"/>
    </row>
    <row r="1273" spans="1:66" ht="38.25" hidden="1" customHeight="1" x14ac:dyDescent="0.2">
      <c r="A1273" s="142" t="s">
        <v>2279</v>
      </c>
      <c r="B1273" s="18" t="s">
        <v>406</v>
      </c>
      <c r="C1273" s="18" t="s">
        <v>411</v>
      </c>
      <c r="D1273" s="19" t="s">
        <v>606</v>
      </c>
      <c r="E1273" s="22">
        <v>1</v>
      </c>
      <c r="F1273" s="18" t="s">
        <v>402</v>
      </c>
      <c r="G1273" s="18" t="s">
        <v>77</v>
      </c>
      <c r="H1273" s="18" t="s">
        <v>3</v>
      </c>
      <c r="I1273" s="18"/>
      <c r="J1273" s="18" t="s">
        <v>795</v>
      </c>
      <c r="K1273" s="19" t="s">
        <v>833</v>
      </c>
      <c r="L1273" s="19"/>
      <c r="M1273" s="19"/>
      <c r="N1273" s="19" t="s">
        <v>834</v>
      </c>
      <c r="O1273" s="143"/>
      <c r="P1273" s="143"/>
      <c r="Q1273" s="143"/>
      <c r="R1273" s="373" t="s">
        <v>2405</v>
      </c>
      <c r="S1273" s="144">
        <v>262394</v>
      </c>
      <c r="T1273" s="226"/>
      <c r="U1273" s="378">
        <v>0</v>
      </c>
      <c r="V1273" s="378">
        <v>0</v>
      </c>
      <c r="W1273" s="378">
        <v>0</v>
      </c>
      <c r="X1273" s="145">
        <f t="shared" si="423"/>
        <v>0</v>
      </c>
      <c r="Y1273" s="378">
        <v>0</v>
      </c>
      <c r="Z1273" s="378">
        <v>0</v>
      </c>
      <c r="AA1273" s="378">
        <v>0</v>
      </c>
      <c r="AB1273" s="378">
        <v>0</v>
      </c>
      <c r="AC1273" s="378">
        <v>0</v>
      </c>
      <c r="AD1273" s="378">
        <v>0</v>
      </c>
      <c r="AE1273" s="378">
        <v>0</v>
      </c>
      <c r="AF1273" s="378">
        <v>0</v>
      </c>
      <c r="AG1273" s="378">
        <v>0</v>
      </c>
      <c r="AH1273" s="378">
        <v>0</v>
      </c>
      <c r="AI1273" s="378">
        <v>0</v>
      </c>
      <c r="AJ1273" s="378">
        <v>0</v>
      </c>
      <c r="AK1273" s="145">
        <f t="shared" si="418"/>
        <v>0</v>
      </c>
      <c r="AL1273" s="378">
        <v>170556</v>
      </c>
      <c r="AM1273" s="378">
        <v>91838</v>
      </c>
      <c r="AN1273" s="378">
        <v>0</v>
      </c>
      <c r="AO1273" s="378">
        <v>0</v>
      </c>
      <c r="AP1273" s="378">
        <v>0</v>
      </c>
      <c r="AQ1273" s="378">
        <v>0</v>
      </c>
      <c r="AR1273" s="378">
        <v>0</v>
      </c>
      <c r="AS1273" s="375">
        <f t="shared" si="427"/>
        <v>262394</v>
      </c>
      <c r="AT1273" s="147">
        <v>0</v>
      </c>
      <c r="AU1273" s="146">
        <f t="shared" si="417"/>
        <v>262394</v>
      </c>
      <c r="AV1273" s="146">
        <f>IFERROR(VLOOKUP(J1273,Maksājumu_pieprasījumu_iesn.!G:BL,57,0),0)</f>
        <v>0</v>
      </c>
      <c r="AW1273" s="139">
        <f t="shared" si="421"/>
        <v>-262394</v>
      </c>
      <c r="AX1273" s="147">
        <f t="shared" si="425"/>
        <v>0</v>
      </c>
      <c r="AY1273" s="147"/>
      <c r="AZ1273" s="147"/>
      <c r="BA1273" s="149"/>
      <c r="BB1273" s="144"/>
      <c r="BC1273" s="144"/>
      <c r="BD1273" s="144"/>
      <c r="BE1273" s="144"/>
      <c r="BF1273" s="144"/>
      <c r="BG1273" s="144"/>
      <c r="BH1273" s="149"/>
      <c r="BI1273" s="149"/>
      <c r="BJ1273" s="149"/>
      <c r="BK1273" s="149"/>
      <c r="BL1273" s="149"/>
      <c r="BM1273" s="149"/>
      <c r="BN1273" s="149"/>
    </row>
    <row r="1274" spans="1:66" ht="51" hidden="1" customHeight="1" x14ac:dyDescent="0.2">
      <c r="A1274" s="142" t="s">
        <v>2279</v>
      </c>
      <c r="B1274" s="18" t="s">
        <v>406</v>
      </c>
      <c r="C1274" s="18" t="s">
        <v>411</v>
      </c>
      <c r="D1274" s="19" t="s">
        <v>606</v>
      </c>
      <c r="E1274" s="18">
        <v>1</v>
      </c>
      <c r="F1274" s="18" t="s">
        <v>402</v>
      </c>
      <c r="G1274" s="18" t="s">
        <v>77</v>
      </c>
      <c r="H1274" s="18" t="s">
        <v>3</v>
      </c>
      <c r="I1274" s="18"/>
      <c r="J1274" s="18" t="s">
        <v>2406</v>
      </c>
      <c r="K1274" s="19" t="s">
        <v>1578</v>
      </c>
      <c r="L1274" s="19"/>
      <c r="M1274" s="19"/>
      <c r="N1274" s="19" t="s">
        <v>2407</v>
      </c>
      <c r="O1274" s="143"/>
      <c r="P1274" s="143"/>
      <c r="Q1274" s="143"/>
      <c r="R1274" s="373" t="s">
        <v>2368</v>
      </c>
      <c r="S1274" s="144">
        <v>24196.95</v>
      </c>
      <c r="T1274" s="226"/>
      <c r="U1274" s="145">
        <v>0</v>
      </c>
      <c r="V1274" s="145">
        <v>0</v>
      </c>
      <c r="W1274" s="145">
        <v>0</v>
      </c>
      <c r="X1274" s="145">
        <f t="shared" si="423"/>
        <v>0</v>
      </c>
      <c r="Y1274" s="145">
        <v>0</v>
      </c>
      <c r="Z1274" s="145">
        <v>0</v>
      </c>
      <c r="AA1274" s="145">
        <v>0</v>
      </c>
      <c r="AB1274" s="145">
        <v>0</v>
      </c>
      <c r="AC1274" s="145">
        <v>0</v>
      </c>
      <c r="AD1274" s="145">
        <v>0</v>
      </c>
      <c r="AE1274" s="145">
        <v>0</v>
      </c>
      <c r="AF1274" s="145">
        <v>0</v>
      </c>
      <c r="AG1274" s="145">
        <v>0</v>
      </c>
      <c r="AH1274" s="145">
        <v>0</v>
      </c>
      <c r="AI1274" s="145">
        <v>0</v>
      </c>
      <c r="AJ1274" s="145">
        <v>0</v>
      </c>
      <c r="AK1274" s="145">
        <f t="shared" si="418"/>
        <v>0</v>
      </c>
      <c r="AL1274" s="145">
        <v>16131.3</v>
      </c>
      <c r="AM1274" s="145">
        <v>8065.65</v>
      </c>
      <c r="AN1274" s="145">
        <v>0</v>
      </c>
      <c r="AO1274" s="145">
        <v>0</v>
      </c>
      <c r="AP1274" s="145">
        <v>0</v>
      </c>
      <c r="AQ1274" s="145">
        <v>0</v>
      </c>
      <c r="AR1274" s="145">
        <v>0</v>
      </c>
      <c r="AS1274" s="144">
        <f t="shared" si="427"/>
        <v>24196.949999999997</v>
      </c>
      <c r="AT1274" s="144">
        <v>0</v>
      </c>
      <c r="AU1274" s="146">
        <f t="shared" si="417"/>
        <v>24196.949999999997</v>
      </c>
      <c r="AV1274" s="146">
        <f>IFERROR(VLOOKUP(J1274,Maksājumu_pieprasījumu_iesn.!G:BL,57,0),0)</f>
        <v>0</v>
      </c>
      <c r="AW1274" s="139">
        <f t="shared" si="421"/>
        <v>-24196.949999999997</v>
      </c>
      <c r="AX1274" s="147">
        <f t="shared" si="425"/>
        <v>0</v>
      </c>
      <c r="AY1274" s="147"/>
      <c r="AZ1274" s="147"/>
      <c r="BA1274" s="149"/>
      <c r="BB1274" s="144"/>
      <c r="BC1274" s="144"/>
      <c r="BD1274" s="144"/>
      <c r="BE1274" s="144"/>
      <c r="BF1274" s="144"/>
      <c r="BG1274" s="144"/>
      <c r="BH1274" s="149"/>
      <c r="BI1274" s="149"/>
      <c r="BJ1274" s="149"/>
      <c r="BK1274" s="149"/>
      <c r="BL1274" s="149"/>
      <c r="BM1274" s="149"/>
      <c r="BN1274" s="149"/>
    </row>
    <row r="1275" spans="1:66" ht="38.25" hidden="1" customHeight="1" x14ac:dyDescent="0.2">
      <c r="A1275" s="142" t="s">
        <v>2279</v>
      </c>
      <c r="B1275" s="18" t="s">
        <v>406</v>
      </c>
      <c r="C1275" s="18" t="s">
        <v>411</v>
      </c>
      <c r="D1275" s="19" t="s">
        <v>606</v>
      </c>
      <c r="E1275" s="22">
        <v>1</v>
      </c>
      <c r="F1275" s="18" t="s">
        <v>402</v>
      </c>
      <c r="G1275" s="18" t="s">
        <v>77</v>
      </c>
      <c r="H1275" s="18" t="s">
        <v>3</v>
      </c>
      <c r="I1275" s="18"/>
      <c r="J1275" s="18" t="s">
        <v>796</v>
      </c>
      <c r="K1275" s="19" t="s">
        <v>835</v>
      </c>
      <c r="L1275" s="19"/>
      <c r="M1275" s="19"/>
      <c r="N1275" s="19" t="s">
        <v>836</v>
      </c>
      <c r="O1275" s="143"/>
      <c r="P1275" s="143"/>
      <c r="Q1275" s="143"/>
      <c r="R1275" s="373" t="s">
        <v>2315</v>
      </c>
      <c r="S1275" s="144">
        <v>26102.65</v>
      </c>
      <c r="T1275" s="226"/>
      <c r="U1275" s="145">
        <v>0</v>
      </c>
      <c r="V1275" s="145">
        <v>0</v>
      </c>
      <c r="W1275" s="145">
        <v>0</v>
      </c>
      <c r="X1275" s="145">
        <f t="shared" si="423"/>
        <v>0</v>
      </c>
      <c r="Y1275" s="145">
        <v>0</v>
      </c>
      <c r="Z1275" s="145">
        <v>0</v>
      </c>
      <c r="AA1275" s="145">
        <v>0</v>
      </c>
      <c r="AB1275" s="145">
        <v>0</v>
      </c>
      <c r="AC1275" s="145">
        <v>0</v>
      </c>
      <c r="AD1275" s="145">
        <v>0</v>
      </c>
      <c r="AE1275" s="145">
        <v>0</v>
      </c>
      <c r="AF1275" s="145">
        <v>0</v>
      </c>
      <c r="AG1275" s="145">
        <v>0</v>
      </c>
      <c r="AH1275" s="145">
        <v>0</v>
      </c>
      <c r="AI1275" s="145">
        <v>0</v>
      </c>
      <c r="AJ1275" s="145">
        <v>0</v>
      </c>
      <c r="AK1275" s="145">
        <f t="shared" si="418"/>
        <v>0</v>
      </c>
      <c r="AL1275" s="145">
        <v>18551.419999999998</v>
      </c>
      <c r="AM1275" s="145">
        <v>7551.23</v>
      </c>
      <c r="AN1275" s="145">
        <v>0</v>
      </c>
      <c r="AO1275" s="145">
        <v>0</v>
      </c>
      <c r="AP1275" s="145">
        <v>0</v>
      </c>
      <c r="AQ1275" s="145">
        <v>0</v>
      </c>
      <c r="AR1275" s="145">
        <v>0</v>
      </c>
      <c r="AS1275" s="144">
        <f t="shared" si="427"/>
        <v>26102.649999999998</v>
      </c>
      <c r="AT1275" s="144">
        <v>0</v>
      </c>
      <c r="AU1275" s="146">
        <f t="shared" ref="AU1275:AU1342" si="428">AS1275-AT1275</f>
        <v>26102.649999999998</v>
      </c>
      <c r="AV1275" s="146">
        <f>IFERROR(VLOOKUP(J1275,Maksājumu_pieprasījumu_iesn.!G:BL,57,0),0)</f>
        <v>0</v>
      </c>
      <c r="AW1275" s="139">
        <f t="shared" si="421"/>
        <v>-26102.649999999998</v>
      </c>
      <c r="AX1275" s="147">
        <f t="shared" si="425"/>
        <v>0</v>
      </c>
      <c r="AY1275" s="147"/>
      <c r="AZ1275" s="147"/>
      <c r="BA1275" s="149"/>
      <c r="BB1275" s="144"/>
      <c r="BC1275" s="144"/>
      <c r="BD1275" s="144"/>
      <c r="BE1275" s="144"/>
      <c r="BF1275" s="144"/>
      <c r="BG1275" s="144"/>
      <c r="BH1275" s="149"/>
      <c r="BI1275" s="149"/>
      <c r="BJ1275" s="149"/>
      <c r="BK1275" s="149"/>
      <c r="BL1275" s="149"/>
      <c r="BM1275" s="149"/>
      <c r="BN1275" s="149"/>
    </row>
    <row r="1276" spans="1:66" ht="38.25" hidden="1" customHeight="1" x14ac:dyDescent="0.2">
      <c r="A1276" s="142" t="s">
        <v>2279</v>
      </c>
      <c r="B1276" s="18" t="s">
        <v>406</v>
      </c>
      <c r="C1276" s="18" t="s">
        <v>411</v>
      </c>
      <c r="D1276" s="19" t="s">
        <v>606</v>
      </c>
      <c r="E1276" s="18">
        <v>1</v>
      </c>
      <c r="F1276" s="18" t="s">
        <v>402</v>
      </c>
      <c r="G1276" s="18" t="s">
        <v>77</v>
      </c>
      <c r="H1276" s="18" t="s">
        <v>3</v>
      </c>
      <c r="I1276" s="18"/>
      <c r="J1276" s="18" t="s">
        <v>2408</v>
      </c>
      <c r="K1276" s="19" t="s">
        <v>2409</v>
      </c>
      <c r="L1276" s="19"/>
      <c r="M1276" s="19"/>
      <c r="N1276" s="19" t="s">
        <v>2410</v>
      </c>
      <c r="O1276" s="143"/>
      <c r="P1276" s="143"/>
      <c r="Q1276" s="143"/>
      <c r="R1276" s="373" t="s">
        <v>2404</v>
      </c>
      <c r="S1276" s="144">
        <v>56222.400000000001</v>
      </c>
      <c r="T1276" s="226"/>
      <c r="U1276" s="145">
        <v>0</v>
      </c>
      <c r="V1276" s="145">
        <v>0</v>
      </c>
      <c r="W1276" s="145">
        <v>0</v>
      </c>
      <c r="X1276" s="145">
        <f t="shared" si="423"/>
        <v>0</v>
      </c>
      <c r="Y1276" s="145">
        <v>0</v>
      </c>
      <c r="Z1276" s="145">
        <v>0</v>
      </c>
      <c r="AA1276" s="145">
        <v>0</v>
      </c>
      <c r="AB1276" s="145">
        <v>0</v>
      </c>
      <c r="AC1276" s="145">
        <v>0</v>
      </c>
      <c r="AD1276" s="145">
        <v>0</v>
      </c>
      <c r="AE1276" s="145">
        <v>0</v>
      </c>
      <c r="AF1276" s="145">
        <v>0</v>
      </c>
      <c r="AG1276" s="145">
        <v>0</v>
      </c>
      <c r="AH1276" s="145">
        <v>0</v>
      </c>
      <c r="AI1276" s="145">
        <v>0</v>
      </c>
      <c r="AJ1276" s="145">
        <v>0</v>
      </c>
      <c r="AK1276" s="145">
        <f t="shared" si="418"/>
        <v>0</v>
      </c>
      <c r="AL1276" s="145">
        <v>44977.919999999998</v>
      </c>
      <c r="AM1276" s="145">
        <v>11244.48</v>
      </c>
      <c r="AN1276" s="145">
        <v>0</v>
      </c>
      <c r="AO1276" s="145">
        <v>0</v>
      </c>
      <c r="AP1276" s="145">
        <v>0</v>
      </c>
      <c r="AQ1276" s="145">
        <v>0</v>
      </c>
      <c r="AR1276" s="145">
        <v>0</v>
      </c>
      <c r="AS1276" s="144">
        <f t="shared" si="427"/>
        <v>56222.399999999994</v>
      </c>
      <c r="AT1276" s="144">
        <v>0</v>
      </c>
      <c r="AU1276" s="146">
        <f t="shared" si="428"/>
        <v>56222.399999999994</v>
      </c>
      <c r="AV1276" s="146">
        <f>IFERROR(VLOOKUP(J1276,Maksājumu_pieprasījumu_iesn.!G:BL,57,0),0)</f>
        <v>0</v>
      </c>
      <c r="AW1276" s="139">
        <f t="shared" si="421"/>
        <v>-56222.399999999994</v>
      </c>
      <c r="AX1276" s="147">
        <f t="shared" si="425"/>
        <v>0</v>
      </c>
      <c r="AY1276" s="147"/>
      <c r="AZ1276" s="147"/>
      <c r="BA1276" s="149"/>
      <c r="BB1276" s="144"/>
      <c r="BC1276" s="144"/>
      <c r="BD1276" s="144"/>
      <c r="BE1276" s="144"/>
      <c r="BF1276" s="144"/>
      <c r="BG1276" s="144"/>
      <c r="BH1276" s="149"/>
      <c r="BI1276" s="149"/>
      <c r="BJ1276" s="149"/>
      <c r="BK1276" s="149"/>
      <c r="BL1276" s="149"/>
      <c r="BM1276" s="149"/>
      <c r="BN1276" s="149"/>
    </row>
    <row r="1277" spans="1:66" ht="51" hidden="1" customHeight="1" x14ac:dyDescent="0.2">
      <c r="A1277" s="142" t="s">
        <v>2279</v>
      </c>
      <c r="B1277" s="18" t="s">
        <v>406</v>
      </c>
      <c r="C1277" s="18" t="s">
        <v>411</v>
      </c>
      <c r="D1277" s="19" t="s">
        <v>606</v>
      </c>
      <c r="E1277" s="22">
        <v>1</v>
      </c>
      <c r="F1277" s="18" t="s">
        <v>402</v>
      </c>
      <c r="G1277" s="18" t="s">
        <v>77</v>
      </c>
      <c r="H1277" s="18" t="s">
        <v>3</v>
      </c>
      <c r="I1277" s="18"/>
      <c r="J1277" s="18" t="s">
        <v>2411</v>
      </c>
      <c r="K1277" s="19" t="s">
        <v>2412</v>
      </c>
      <c r="L1277" s="19"/>
      <c r="M1277" s="19"/>
      <c r="N1277" s="19" t="s">
        <v>2413</v>
      </c>
      <c r="O1277" s="143"/>
      <c r="P1277" s="143"/>
      <c r="Q1277" s="143"/>
      <c r="R1277" s="373" t="s">
        <v>2368</v>
      </c>
      <c r="S1277" s="144">
        <v>18003</v>
      </c>
      <c r="T1277" s="226"/>
      <c r="U1277" s="378">
        <v>0</v>
      </c>
      <c r="V1277" s="378">
        <v>0</v>
      </c>
      <c r="W1277" s="378">
        <v>0</v>
      </c>
      <c r="X1277" s="145">
        <f t="shared" si="423"/>
        <v>0</v>
      </c>
      <c r="Y1277" s="378">
        <v>0</v>
      </c>
      <c r="Z1277" s="378">
        <v>0</v>
      </c>
      <c r="AA1277" s="378">
        <v>0</v>
      </c>
      <c r="AB1277" s="378">
        <v>0</v>
      </c>
      <c r="AC1277" s="378">
        <v>0</v>
      </c>
      <c r="AD1277" s="378">
        <v>0</v>
      </c>
      <c r="AE1277" s="378">
        <v>0</v>
      </c>
      <c r="AF1277" s="378">
        <v>0</v>
      </c>
      <c r="AG1277" s="378">
        <v>0</v>
      </c>
      <c r="AH1277" s="378">
        <v>0</v>
      </c>
      <c r="AI1277" s="378">
        <v>0</v>
      </c>
      <c r="AJ1277" s="378">
        <v>0</v>
      </c>
      <c r="AK1277" s="145">
        <f t="shared" si="418"/>
        <v>0</v>
      </c>
      <c r="AL1277" s="378">
        <v>12002</v>
      </c>
      <c r="AM1277" s="378">
        <v>6001</v>
      </c>
      <c r="AN1277" s="378">
        <v>0</v>
      </c>
      <c r="AO1277" s="378">
        <v>0</v>
      </c>
      <c r="AP1277" s="378">
        <v>0</v>
      </c>
      <c r="AQ1277" s="378">
        <v>0</v>
      </c>
      <c r="AR1277" s="378">
        <v>0</v>
      </c>
      <c r="AS1277" s="375">
        <v>17917.150000000001</v>
      </c>
      <c r="AT1277" s="147">
        <v>0</v>
      </c>
      <c r="AU1277" s="146">
        <f t="shared" si="428"/>
        <v>17917.150000000001</v>
      </c>
      <c r="AV1277" s="146">
        <f>IFERROR(VLOOKUP(J1277,Maksājumu_pieprasījumu_iesn.!G:BL,57,0),0)</f>
        <v>0</v>
      </c>
      <c r="AW1277" s="139">
        <f t="shared" si="421"/>
        <v>-17917.150000000001</v>
      </c>
      <c r="AX1277" s="147">
        <f t="shared" si="425"/>
        <v>85.849999999998545</v>
      </c>
      <c r="AY1277" s="147"/>
      <c r="AZ1277" s="147"/>
      <c r="BA1277" s="149"/>
      <c r="BB1277" s="144"/>
      <c r="BC1277" s="144"/>
      <c r="BD1277" s="144"/>
      <c r="BE1277" s="144"/>
      <c r="BF1277" s="144"/>
      <c r="BG1277" s="144"/>
      <c r="BH1277" s="149"/>
      <c r="BI1277" s="149"/>
      <c r="BJ1277" s="149"/>
      <c r="BK1277" s="149"/>
      <c r="BL1277" s="149"/>
      <c r="BM1277" s="149"/>
      <c r="BN1277" s="149"/>
    </row>
    <row r="1278" spans="1:66" ht="38.25" hidden="1" customHeight="1" x14ac:dyDescent="0.2">
      <c r="A1278" s="142" t="s">
        <v>2279</v>
      </c>
      <c r="B1278" s="18" t="s">
        <v>406</v>
      </c>
      <c r="C1278" s="18" t="s">
        <v>411</v>
      </c>
      <c r="D1278" s="19" t="s">
        <v>606</v>
      </c>
      <c r="E1278" s="18">
        <v>1</v>
      </c>
      <c r="F1278" s="18" t="s">
        <v>402</v>
      </c>
      <c r="G1278" s="18" t="s">
        <v>77</v>
      </c>
      <c r="H1278" s="18" t="s">
        <v>3</v>
      </c>
      <c r="I1278" s="18"/>
      <c r="J1278" s="18" t="s">
        <v>937</v>
      </c>
      <c r="K1278" s="19" t="s">
        <v>938</v>
      </c>
      <c r="L1278" s="19"/>
      <c r="M1278" s="19"/>
      <c r="N1278" s="19" t="s">
        <v>939</v>
      </c>
      <c r="O1278" s="143"/>
      <c r="P1278" s="143"/>
      <c r="Q1278" s="143"/>
      <c r="R1278" s="373" t="s">
        <v>2414</v>
      </c>
      <c r="S1278" s="144">
        <v>59506.8</v>
      </c>
      <c r="T1278" s="226"/>
      <c r="U1278" s="145">
        <v>0</v>
      </c>
      <c r="V1278" s="145">
        <v>0</v>
      </c>
      <c r="W1278" s="145">
        <v>0</v>
      </c>
      <c r="X1278" s="145">
        <f t="shared" si="423"/>
        <v>0</v>
      </c>
      <c r="Y1278" s="145">
        <v>0</v>
      </c>
      <c r="Z1278" s="145">
        <v>0</v>
      </c>
      <c r="AA1278" s="145">
        <v>0</v>
      </c>
      <c r="AB1278" s="145">
        <v>0</v>
      </c>
      <c r="AC1278" s="145">
        <v>0</v>
      </c>
      <c r="AD1278" s="145">
        <v>0</v>
      </c>
      <c r="AE1278" s="145">
        <v>0</v>
      </c>
      <c r="AF1278" s="145">
        <v>0</v>
      </c>
      <c r="AG1278" s="145">
        <v>0</v>
      </c>
      <c r="AH1278" s="145">
        <v>0</v>
      </c>
      <c r="AI1278" s="145">
        <v>0</v>
      </c>
      <c r="AJ1278" s="145">
        <v>0</v>
      </c>
      <c r="AK1278" s="145">
        <f t="shared" si="418"/>
        <v>0</v>
      </c>
      <c r="AL1278" s="145">
        <v>41654.76</v>
      </c>
      <c r="AM1278" s="145">
        <v>17852.04</v>
      </c>
      <c r="AN1278" s="145">
        <v>0</v>
      </c>
      <c r="AO1278" s="145">
        <v>0</v>
      </c>
      <c r="AP1278" s="145">
        <v>0</v>
      </c>
      <c r="AQ1278" s="145">
        <v>0</v>
      </c>
      <c r="AR1278" s="145">
        <v>0</v>
      </c>
      <c r="AS1278" s="144">
        <f t="shared" si="427"/>
        <v>59506.8</v>
      </c>
      <c r="AT1278" s="144">
        <v>0</v>
      </c>
      <c r="AU1278" s="146">
        <f t="shared" si="428"/>
        <v>59506.8</v>
      </c>
      <c r="AV1278" s="146">
        <f>IFERROR(VLOOKUP(J1278,Maksājumu_pieprasījumu_iesn.!G:BL,57,0),0)</f>
        <v>0</v>
      </c>
      <c r="AW1278" s="139">
        <f t="shared" si="421"/>
        <v>-59506.8</v>
      </c>
      <c r="AX1278" s="147">
        <f t="shared" si="425"/>
        <v>0</v>
      </c>
      <c r="AY1278" s="147"/>
      <c r="AZ1278" s="147"/>
      <c r="BA1278" s="149"/>
      <c r="BB1278" s="144"/>
      <c r="BC1278" s="144"/>
      <c r="BD1278" s="144"/>
      <c r="BE1278" s="144"/>
      <c r="BF1278" s="144"/>
      <c r="BG1278" s="144"/>
      <c r="BH1278" s="149"/>
      <c r="BI1278" s="149"/>
      <c r="BJ1278" s="149"/>
      <c r="BK1278" s="149"/>
      <c r="BL1278" s="149"/>
      <c r="BM1278" s="149"/>
      <c r="BN1278" s="149"/>
    </row>
    <row r="1279" spans="1:66" ht="25.5" hidden="1" customHeight="1" x14ac:dyDescent="0.2">
      <c r="A1279" s="142" t="s">
        <v>2279</v>
      </c>
      <c r="B1279" s="18" t="s">
        <v>406</v>
      </c>
      <c r="C1279" s="18" t="s">
        <v>411</v>
      </c>
      <c r="D1279" s="19" t="s">
        <v>606</v>
      </c>
      <c r="E1279" s="22">
        <v>1</v>
      </c>
      <c r="F1279" s="18" t="s">
        <v>402</v>
      </c>
      <c r="G1279" s="18" t="s">
        <v>77</v>
      </c>
      <c r="H1279" s="18" t="s">
        <v>3</v>
      </c>
      <c r="I1279" s="18"/>
      <c r="J1279" s="18" t="s">
        <v>2415</v>
      </c>
      <c r="K1279" s="19" t="s">
        <v>683</v>
      </c>
      <c r="L1279" s="19"/>
      <c r="M1279" s="19"/>
      <c r="N1279" s="19" t="s">
        <v>2416</v>
      </c>
      <c r="O1279" s="143"/>
      <c r="P1279" s="143"/>
      <c r="Q1279" s="143"/>
      <c r="R1279" s="373" t="s">
        <v>2315</v>
      </c>
      <c r="S1279" s="144">
        <v>34351.050000000003</v>
      </c>
      <c r="T1279" s="226"/>
      <c r="U1279" s="145">
        <v>0</v>
      </c>
      <c r="V1279" s="145">
        <v>0</v>
      </c>
      <c r="W1279" s="145">
        <v>0</v>
      </c>
      <c r="X1279" s="145">
        <f t="shared" si="423"/>
        <v>0</v>
      </c>
      <c r="Y1279" s="145">
        <v>0</v>
      </c>
      <c r="Z1279" s="145">
        <v>0</v>
      </c>
      <c r="AA1279" s="145">
        <v>0</v>
      </c>
      <c r="AB1279" s="145">
        <v>0</v>
      </c>
      <c r="AC1279" s="145">
        <v>0</v>
      </c>
      <c r="AD1279" s="145">
        <v>0</v>
      </c>
      <c r="AE1279" s="145">
        <v>0</v>
      </c>
      <c r="AF1279" s="145">
        <v>0</v>
      </c>
      <c r="AG1279" s="145">
        <v>0</v>
      </c>
      <c r="AH1279" s="145">
        <v>0</v>
      </c>
      <c r="AI1279" s="145">
        <v>0</v>
      </c>
      <c r="AJ1279" s="145">
        <v>0</v>
      </c>
      <c r="AK1279" s="145">
        <f t="shared" si="418"/>
        <v>0</v>
      </c>
      <c r="AL1279" s="145">
        <v>23233.050000000003</v>
      </c>
      <c r="AM1279" s="145">
        <v>11118</v>
      </c>
      <c r="AN1279" s="145">
        <v>0</v>
      </c>
      <c r="AO1279" s="145">
        <v>0</v>
      </c>
      <c r="AP1279" s="145">
        <v>0</v>
      </c>
      <c r="AQ1279" s="145">
        <v>0</v>
      </c>
      <c r="AR1279" s="145">
        <v>0</v>
      </c>
      <c r="AS1279" s="144">
        <f t="shared" si="427"/>
        <v>34351.050000000003</v>
      </c>
      <c r="AT1279" s="144">
        <v>0</v>
      </c>
      <c r="AU1279" s="146">
        <f t="shared" si="428"/>
        <v>34351.050000000003</v>
      </c>
      <c r="AV1279" s="146">
        <f>IFERROR(VLOOKUP(J1279,Maksājumu_pieprasījumu_iesn.!G:BL,57,0),0)</f>
        <v>0</v>
      </c>
      <c r="AW1279" s="139">
        <f t="shared" si="421"/>
        <v>-34351.050000000003</v>
      </c>
      <c r="AX1279" s="147">
        <f t="shared" si="425"/>
        <v>0</v>
      </c>
      <c r="AY1279" s="147"/>
      <c r="AZ1279" s="147"/>
      <c r="BA1279" s="149"/>
      <c r="BB1279" s="144"/>
      <c r="BC1279" s="144"/>
      <c r="BD1279" s="144"/>
      <c r="BE1279" s="144"/>
      <c r="BF1279" s="144"/>
      <c r="BG1279" s="144"/>
      <c r="BH1279" s="149"/>
      <c r="BI1279" s="149"/>
      <c r="BJ1279" s="149"/>
      <c r="BK1279" s="149"/>
      <c r="BL1279" s="149"/>
      <c r="BM1279" s="149"/>
      <c r="BN1279" s="149"/>
    </row>
    <row r="1280" spans="1:66" ht="38.25" hidden="1" customHeight="1" x14ac:dyDescent="0.2">
      <c r="A1280" s="142" t="s">
        <v>2279</v>
      </c>
      <c r="B1280" s="18" t="s">
        <v>406</v>
      </c>
      <c r="C1280" s="18" t="s">
        <v>411</v>
      </c>
      <c r="D1280" s="19" t="s">
        <v>606</v>
      </c>
      <c r="E1280" s="18">
        <v>1</v>
      </c>
      <c r="F1280" s="18" t="s">
        <v>402</v>
      </c>
      <c r="G1280" s="18" t="s">
        <v>77</v>
      </c>
      <c r="H1280" s="18" t="s">
        <v>3</v>
      </c>
      <c r="I1280" s="18"/>
      <c r="J1280" s="18" t="s">
        <v>2417</v>
      </c>
      <c r="K1280" s="19" t="s">
        <v>2418</v>
      </c>
      <c r="L1280" s="19"/>
      <c r="M1280" s="19"/>
      <c r="N1280" s="19" t="s">
        <v>2419</v>
      </c>
      <c r="O1280" s="143"/>
      <c r="P1280" s="143"/>
      <c r="Q1280" s="143"/>
      <c r="R1280" s="373" t="s">
        <v>2404</v>
      </c>
      <c r="S1280" s="144">
        <v>26060.15</v>
      </c>
      <c r="T1280" s="226"/>
      <c r="U1280" s="145">
        <v>0</v>
      </c>
      <c r="V1280" s="145">
        <v>0</v>
      </c>
      <c r="W1280" s="145">
        <v>0</v>
      </c>
      <c r="X1280" s="145">
        <f t="shared" si="423"/>
        <v>0</v>
      </c>
      <c r="Y1280" s="145">
        <v>0</v>
      </c>
      <c r="Z1280" s="145">
        <v>0</v>
      </c>
      <c r="AA1280" s="145">
        <v>0</v>
      </c>
      <c r="AB1280" s="145">
        <v>0</v>
      </c>
      <c r="AC1280" s="145">
        <v>0</v>
      </c>
      <c r="AD1280" s="145">
        <v>0</v>
      </c>
      <c r="AE1280" s="145">
        <v>0</v>
      </c>
      <c r="AF1280" s="145">
        <v>0</v>
      </c>
      <c r="AG1280" s="145">
        <v>0</v>
      </c>
      <c r="AH1280" s="145">
        <v>0</v>
      </c>
      <c r="AI1280" s="145">
        <v>0</v>
      </c>
      <c r="AJ1280" s="145">
        <v>0</v>
      </c>
      <c r="AK1280" s="145">
        <f t="shared" si="418"/>
        <v>0</v>
      </c>
      <c r="AL1280" s="145">
        <v>18242.099999999999</v>
      </c>
      <c r="AM1280" s="145">
        <v>7818.05</v>
      </c>
      <c r="AN1280" s="145">
        <v>0</v>
      </c>
      <c r="AO1280" s="145">
        <v>0</v>
      </c>
      <c r="AP1280" s="145">
        <v>0</v>
      </c>
      <c r="AQ1280" s="145">
        <v>0</v>
      </c>
      <c r="AR1280" s="145">
        <v>0</v>
      </c>
      <c r="AS1280" s="144">
        <f t="shared" si="427"/>
        <v>26060.149999999998</v>
      </c>
      <c r="AT1280" s="144">
        <v>0</v>
      </c>
      <c r="AU1280" s="146">
        <f t="shared" si="428"/>
        <v>26060.149999999998</v>
      </c>
      <c r="AV1280" s="146">
        <f>IFERROR(VLOOKUP(J1280,Maksājumu_pieprasījumu_iesn.!G:BL,57,0),0)</f>
        <v>0</v>
      </c>
      <c r="AW1280" s="139">
        <f t="shared" si="421"/>
        <v>-26060.149999999998</v>
      </c>
      <c r="AX1280" s="147">
        <f t="shared" si="425"/>
        <v>0</v>
      </c>
      <c r="AY1280" s="147"/>
      <c r="AZ1280" s="147"/>
      <c r="BA1280" s="149"/>
      <c r="BB1280" s="144"/>
      <c r="BC1280" s="144"/>
      <c r="BD1280" s="144"/>
      <c r="BE1280" s="144"/>
      <c r="BF1280" s="144"/>
      <c r="BG1280" s="144"/>
      <c r="BH1280" s="149"/>
      <c r="BI1280" s="149"/>
      <c r="BJ1280" s="149"/>
      <c r="BK1280" s="149"/>
      <c r="BL1280" s="149"/>
      <c r="BM1280" s="149"/>
      <c r="BN1280" s="149"/>
    </row>
    <row r="1281" spans="1:66" ht="38.25" hidden="1" customHeight="1" x14ac:dyDescent="0.2">
      <c r="A1281" s="142" t="s">
        <v>2279</v>
      </c>
      <c r="B1281" s="18" t="s">
        <v>406</v>
      </c>
      <c r="C1281" s="18" t="s">
        <v>411</v>
      </c>
      <c r="D1281" s="19" t="s">
        <v>606</v>
      </c>
      <c r="E1281" s="22">
        <v>1</v>
      </c>
      <c r="F1281" s="18" t="s">
        <v>402</v>
      </c>
      <c r="G1281" s="18" t="s">
        <v>77</v>
      </c>
      <c r="H1281" s="18" t="s">
        <v>3</v>
      </c>
      <c r="I1281" s="18"/>
      <c r="J1281" s="18" t="s">
        <v>2420</v>
      </c>
      <c r="K1281" s="19" t="s">
        <v>2421</v>
      </c>
      <c r="L1281" s="19"/>
      <c r="M1281" s="19"/>
      <c r="N1281" s="19" t="s">
        <v>2422</v>
      </c>
      <c r="O1281" s="143"/>
      <c r="P1281" s="143"/>
      <c r="Q1281" s="143"/>
      <c r="R1281" s="373" t="s">
        <v>2389</v>
      </c>
      <c r="S1281" s="144">
        <v>99377.75</v>
      </c>
      <c r="T1281" s="226"/>
      <c r="U1281" s="145">
        <v>0</v>
      </c>
      <c r="V1281" s="145">
        <v>0</v>
      </c>
      <c r="W1281" s="145">
        <v>0</v>
      </c>
      <c r="X1281" s="145">
        <f t="shared" si="423"/>
        <v>0</v>
      </c>
      <c r="Y1281" s="145">
        <v>0</v>
      </c>
      <c r="Z1281" s="145">
        <v>0</v>
      </c>
      <c r="AA1281" s="145">
        <v>0</v>
      </c>
      <c r="AB1281" s="145">
        <v>0</v>
      </c>
      <c r="AC1281" s="145">
        <v>0</v>
      </c>
      <c r="AD1281" s="145">
        <v>0</v>
      </c>
      <c r="AE1281" s="145">
        <v>0</v>
      </c>
      <c r="AF1281" s="145">
        <v>0</v>
      </c>
      <c r="AG1281" s="145">
        <v>0</v>
      </c>
      <c r="AH1281" s="145">
        <v>0</v>
      </c>
      <c r="AI1281" s="145">
        <v>0</v>
      </c>
      <c r="AJ1281" s="145">
        <v>0</v>
      </c>
      <c r="AK1281" s="145">
        <f t="shared" si="418"/>
        <v>0</v>
      </c>
      <c r="AL1281" s="145">
        <v>62607.91</v>
      </c>
      <c r="AM1281" s="145">
        <v>36769.839999999997</v>
      </c>
      <c r="AN1281" s="145">
        <v>0</v>
      </c>
      <c r="AO1281" s="145">
        <v>0</v>
      </c>
      <c r="AP1281" s="145">
        <v>0</v>
      </c>
      <c r="AQ1281" s="145">
        <v>0</v>
      </c>
      <c r="AR1281" s="145">
        <v>0</v>
      </c>
      <c r="AS1281" s="144">
        <f t="shared" si="427"/>
        <v>99377.75</v>
      </c>
      <c r="AT1281" s="144">
        <v>0</v>
      </c>
      <c r="AU1281" s="146">
        <f t="shared" si="428"/>
        <v>99377.75</v>
      </c>
      <c r="AV1281" s="146">
        <f>IFERROR(VLOOKUP(J1281,Maksājumu_pieprasījumu_iesn.!G:BL,57,0),0)</f>
        <v>0</v>
      </c>
      <c r="AW1281" s="139">
        <f t="shared" si="421"/>
        <v>-99377.75</v>
      </c>
      <c r="AX1281" s="147">
        <f t="shared" si="425"/>
        <v>0</v>
      </c>
      <c r="AY1281" s="147"/>
      <c r="AZ1281" s="147"/>
      <c r="BA1281" s="149"/>
      <c r="BB1281" s="144"/>
      <c r="BC1281" s="144"/>
      <c r="BD1281" s="144"/>
      <c r="BE1281" s="144"/>
      <c r="BF1281" s="144"/>
      <c r="BG1281" s="144"/>
      <c r="BH1281" s="149"/>
      <c r="BI1281" s="149"/>
      <c r="BJ1281" s="149"/>
      <c r="BK1281" s="149"/>
      <c r="BL1281" s="149"/>
      <c r="BM1281" s="149"/>
      <c r="BN1281" s="149"/>
    </row>
    <row r="1282" spans="1:66" ht="38.25" hidden="1" customHeight="1" x14ac:dyDescent="0.2">
      <c r="A1282" s="142" t="s">
        <v>2279</v>
      </c>
      <c r="B1282" s="18" t="s">
        <v>406</v>
      </c>
      <c r="C1282" s="18" t="s">
        <v>411</v>
      </c>
      <c r="D1282" s="19" t="s">
        <v>606</v>
      </c>
      <c r="E1282" s="18">
        <v>1</v>
      </c>
      <c r="F1282" s="18" t="s">
        <v>402</v>
      </c>
      <c r="G1282" s="18" t="s">
        <v>77</v>
      </c>
      <c r="H1282" s="18" t="s">
        <v>3</v>
      </c>
      <c r="I1282" s="18"/>
      <c r="J1282" s="18" t="s">
        <v>2423</v>
      </c>
      <c r="K1282" s="19" t="s">
        <v>2424</v>
      </c>
      <c r="L1282" s="19"/>
      <c r="M1282" s="19"/>
      <c r="N1282" s="19" t="s">
        <v>2425</v>
      </c>
      <c r="O1282" s="143"/>
      <c r="P1282" s="143"/>
      <c r="Q1282" s="143"/>
      <c r="R1282" s="373" t="s">
        <v>2404</v>
      </c>
      <c r="S1282" s="144">
        <v>33435.599999999999</v>
      </c>
      <c r="T1282" s="226"/>
      <c r="U1282" s="145">
        <v>0</v>
      </c>
      <c r="V1282" s="145">
        <v>0</v>
      </c>
      <c r="W1282" s="145">
        <v>0</v>
      </c>
      <c r="X1282" s="145">
        <f t="shared" si="423"/>
        <v>0</v>
      </c>
      <c r="Y1282" s="145">
        <v>0</v>
      </c>
      <c r="Z1282" s="145">
        <v>0</v>
      </c>
      <c r="AA1282" s="145">
        <v>0</v>
      </c>
      <c r="AB1282" s="145">
        <v>0</v>
      </c>
      <c r="AC1282" s="145">
        <v>0</v>
      </c>
      <c r="AD1282" s="145">
        <v>0</v>
      </c>
      <c r="AE1282" s="145">
        <v>0</v>
      </c>
      <c r="AF1282" s="145">
        <v>0</v>
      </c>
      <c r="AG1282" s="145">
        <v>0</v>
      </c>
      <c r="AH1282" s="145">
        <v>0</v>
      </c>
      <c r="AI1282" s="145">
        <v>0</v>
      </c>
      <c r="AJ1282" s="145">
        <v>0</v>
      </c>
      <c r="AK1282" s="145">
        <f t="shared" si="418"/>
        <v>0</v>
      </c>
      <c r="AL1282" s="145">
        <v>23247.5</v>
      </c>
      <c r="AM1282" s="145">
        <v>10188.1</v>
      </c>
      <c r="AN1282" s="145">
        <v>0</v>
      </c>
      <c r="AO1282" s="145">
        <v>0</v>
      </c>
      <c r="AP1282" s="145">
        <v>0</v>
      </c>
      <c r="AQ1282" s="145">
        <v>0</v>
      </c>
      <c r="AR1282" s="145">
        <v>0</v>
      </c>
      <c r="AS1282" s="144">
        <f t="shared" si="427"/>
        <v>33435.599999999999</v>
      </c>
      <c r="AT1282" s="144">
        <v>0</v>
      </c>
      <c r="AU1282" s="146">
        <f t="shared" si="428"/>
        <v>33435.599999999999</v>
      </c>
      <c r="AV1282" s="146">
        <f>IFERROR(VLOOKUP(J1282,Maksājumu_pieprasījumu_iesn.!G:BL,57,0),0)</f>
        <v>0</v>
      </c>
      <c r="AW1282" s="139">
        <f t="shared" si="421"/>
        <v>-33435.599999999999</v>
      </c>
      <c r="AX1282" s="147">
        <f t="shared" si="425"/>
        <v>0</v>
      </c>
      <c r="AY1282" s="147"/>
      <c r="AZ1282" s="147"/>
      <c r="BA1282" s="149"/>
      <c r="BB1282" s="144"/>
      <c r="BC1282" s="144"/>
      <c r="BD1282" s="144"/>
      <c r="BE1282" s="144"/>
      <c r="BF1282" s="144"/>
      <c r="BG1282" s="144"/>
      <c r="BH1282" s="149"/>
      <c r="BI1282" s="149"/>
      <c r="BJ1282" s="149"/>
      <c r="BK1282" s="149"/>
      <c r="BL1282" s="149"/>
      <c r="BM1282" s="149"/>
      <c r="BN1282" s="149"/>
    </row>
    <row r="1283" spans="1:66" ht="63.75" hidden="1" customHeight="1" x14ac:dyDescent="0.2">
      <c r="A1283" s="142" t="s">
        <v>2279</v>
      </c>
      <c r="B1283" s="18" t="s">
        <v>406</v>
      </c>
      <c r="C1283" s="18" t="s">
        <v>411</v>
      </c>
      <c r="D1283" s="19" t="s">
        <v>606</v>
      </c>
      <c r="E1283" s="22">
        <v>1</v>
      </c>
      <c r="F1283" s="18" t="s">
        <v>402</v>
      </c>
      <c r="G1283" s="18" t="s">
        <v>77</v>
      </c>
      <c r="H1283" s="18" t="s">
        <v>3</v>
      </c>
      <c r="I1283" s="18"/>
      <c r="J1283" s="18" t="s">
        <v>940</v>
      </c>
      <c r="K1283" s="19" t="s">
        <v>913</v>
      </c>
      <c r="L1283" s="19"/>
      <c r="M1283" s="19"/>
      <c r="N1283" s="19" t="s">
        <v>941</v>
      </c>
      <c r="O1283" s="143"/>
      <c r="P1283" s="143"/>
      <c r="Q1283" s="143"/>
      <c r="R1283" s="373" t="s">
        <v>2360</v>
      </c>
      <c r="S1283" s="144">
        <v>85704.65</v>
      </c>
      <c r="T1283" s="226"/>
      <c r="U1283" s="145">
        <v>0</v>
      </c>
      <c r="V1283" s="145">
        <v>0</v>
      </c>
      <c r="W1283" s="145">
        <v>0</v>
      </c>
      <c r="X1283" s="145">
        <f t="shared" si="423"/>
        <v>0</v>
      </c>
      <c r="Y1283" s="145">
        <v>0</v>
      </c>
      <c r="Z1283" s="145">
        <v>0</v>
      </c>
      <c r="AA1283" s="145">
        <v>0</v>
      </c>
      <c r="AB1283" s="145">
        <v>0</v>
      </c>
      <c r="AC1283" s="145">
        <v>0</v>
      </c>
      <c r="AD1283" s="145">
        <v>0</v>
      </c>
      <c r="AE1283" s="145">
        <v>0</v>
      </c>
      <c r="AF1283" s="145">
        <v>0</v>
      </c>
      <c r="AG1283" s="145">
        <v>0</v>
      </c>
      <c r="AH1283" s="145">
        <v>0</v>
      </c>
      <c r="AI1283" s="145">
        <v>0</v>
      </c>
      <c r="AJ1283" s="145">
        <v>0</v>
      </c>
      <c r="AK1283" s="145">
        <f t="shared" si="418"/>
        <v>0</v>
      </c>
      <c r="AL1283" s="145">
        <v>55585.32</v>
      </c>
      <c r="AM1283" s="145">
        <v>30119.33</v>
      </c>
      <c r="AN1283" s="145">
        <v>0</v>
      </c>
      <c r="AO1283" s="145">
        <v>0</v>
      </c>
      <c r="AP1283" s="145">
        <v>0</v>
      </c>
      <c r="AQ1283" s="145">
        <v>0</v>
      </c>
      <c r="AR1283" s="145">
        <v>0</v>
      </c>
      <c r="AS1283" s="144">
        <f t="shared" si="427"/>
        <v>85704.65</v>
      </c>
      <c r="AT1283" s="144">
        <v>0</v>
      </c>
      <c r="AU1283" s="146">
        <f t="shared" si="428"/>
        <v>85704.65</v>
      </c>
      <c r="AV1283" s="146">
        <f>IFERROR(VLOOKUP(J1283,Maksājumu_pieprasījumu_iesn.!G:BL,57,0),0)</f>
        <v>0</v>
      </c>
      <c r="AW1283" s="139">
        <f t="shared" si="421"/>
        <v>-85704.65</v>
      </c>
      <c r="AX1283" s="147">
        <f t="shared" si="425"/>
        <v>0</v>
      </c>
      <c r="AY1283" s="147"/>
      <c r="AZ1283" s="147"/>
      <c r="BA1283" s="149"/>
      <c r="BB1283" s="144"/>
      <c r="BC1283" s="144"/>
      <c r="BD1283" s="144"/>
      <c r="BE1283" s="144"/>
      <c r="BF1283" s="144"/>
      <c r="BG1283" s="144"/>
      <c r="BH1283" s="149"/>
      <c r="BI1283" s="149"/>
      <c r="BJ1283" s="149"/>
      <c r="BK1283" s="149"/>
      <c r="BL1283" s="149"/>
      <c r="BM1283" s="149"/>
      <c r="BN1283" s="149"/>
    </row>
    <row r="1284" spans="1:66" ht="38.25" hidden="1" customHeight="1" x14ac:dyDescent="0.2">
      <c r="A1284" s="142" t="s">
        <v>2279</v>
      </c>
      <c r="B1284" s="18" t="s">
        <v>406</v>
      </c>
      <c r="C1284" s="18" t="s">
        <v>411</v>
      </c>
      <c r="D1284" s="19" t="s">
        <v>606</v>
      </c>
      <c r="E1284" s="18">
        <v>1</v>
      </c>
      <c r="F1284" s="18" t="s">
        <v>402</v>
      </c>
      <c r="G1284" s="18" t="s">
        <v>77</v>
      </c>
      <c r="H1284" s="18" t="s">
        <v>3</v>
      </c>
      <c r="I1284" s="18"/>
      <c r="J1284" s="18" t="s">
        <v>2426</v>
      </c>
      <c r="K1284" s="19" t="s">
        <v>1293</v>
      </c>
      <c r="L1284" s="19"/>
      <c r="M1284" s="19"/>
      <c r="N1284" s="19" t="s">
        <v>2427</v>
      </c>
      <c r="O1284" s="143"/>
      <c r="P1284" s="143"/>
      <c r="Q1284" s="143"/>
      <c r="R1284" s="373" t="s">
        <v>2315</v>
      </c>
      <c r="S1284" s="144">
        <v>98055.15</v>
      </c>
      <c r="T1284" s="226"/>
      <c r="U1284" s="145">
        <v>0</v>
      </c>
      <c r="V1284" s="145">
        <v>0</v>
      </c>
      <c r="W1284" s="145">
        <v>0</v>
      </c>
      <c r="X1284" s="145">
        <f t="shared" si="423"/>
        <v>0</v>
      </c>
      <c r="Y1284" s="145">
        <v>0</v>
      </c>
      <c r="Z1284" s="145">
        <v>0</v>
      </c>
      <c r="AA1284" s="145">
        <v>0</v>
      </c>
      <c r="AB1284" s="145">
        <v>0</v>
      </c>
      <c r="AC1284" s="145">
        <v>0</v>
      </c>
      <c r="AD1284" s="145">
        <v>0</v>
      </c>
      <c r="AE1284" s="145">
        <v>0</v>
      </c>
      <c r="AF1284" s="145">
        <v>0</v>
      </c>
      <c r="AG1284" s="145">
        <v>0</v>
      </c>
      <c r="AH1284" s="145">
        <v>0</v>
      </c>
      <c r="AI1284" s="145">
        <v>0</v>
      </c>
      <c r="AJ1284" s="145">
        <v>0</v>
      </c>
      <c r="AK1284" s="145">
        <f t="shared" si="418"/>
        <v>0</v>
      </c>
      <c r="AL1284" s="145">
        <v>65015</v>
      </c>
      <c r="AM1284" s="145">
        <v>33040.15</v>
      </c>
      <c r="AN1284" s="145">
        <v>0</v>
      </c>
      <c r="AO1284" s="145">
        <v>0</v>
      </c>
      <c r="AP1284" s="145">
        <v>0</v>
      </c>
      <c r="AQ1284" s="145">
        <v>0</v>
      </c>
      <c r="AR1284" s="145">
        <v>0</v>
      </c>
      <c r="AS1284" s="144">
        <f t="shared" si="427"/>
        <v>98055.15</v>
      </c>
      <c r="AT1284" s="144">
        <v>0</v>
      </c>
      <c r="AU1284" s="146">
        <f t="shared" si="428"/>
        <v>98055.15</v>
      </c>
      <c r="AV1284" s="146">
        <f>IFERROR(VLOOKUP(J1284,Maksājumu_pieprasījumu_iesn.!G:BL,57,0),0)</f>
        <v>0</v>
      </c>
      <c r="AW1284" s="139">
        <f t="shared" si="421"/>
        <v>-98055.15</v>
      </c>
      <c r="AX1284" s="147">
        <f t="shared" si="425"/>
        <v>0</v>
      </c>
      <c r="AY1284" s="147"/>
      <c r="AZ1284" s="147"/>
      <c r="BA1284" s="149"/>
      <c r="BB1284" s="144"/>
      <c r="BC1284" s="144"/>
      <c r="BD1284" s="144"/>
      <c r="BE1284" s="144"/>
      <c r="BF1284" s="144"/>
      <c r="BG1284" s="144"/>
      <c r="BH1284" s="149"/>
      <c r="BI1284" s="149"/>
      <c r="BJ1284" s="149"/>
      <c r="BK1284" s="149"/>
      <c r="BL1284" s="149"/>
      <c r="BM1284" s="149"/>
      <c r="BN1284" s="149"/>
    </row>
    <row r="1285" spans="1:66" ht="38.25" hidden="1" customHeight="1" x14ac:dyDescent="0.2">
      <c r="A1285" s="142" t="s">
        <v>2279</v>
      </c>
      <c r="B1285" s="18" t="s">
        <v>406</v>
      </c>
      <c r="C1285" s="18" t="s">
        <v>411</v>
      </c>
      <c r="D1285" s="19" t="s">
        <v>606</v>
      </c>
      <c r="E1285" s="22">
        <v>1</v>
      </c>
      <c r="F1285" s="18" t="s">
        <v>402</v>
      </c>
      <c r="G1285" s="18" t="s">
        <v>77</v>
      </c>
      <c r="H1285" s="18" t="s">
        <v>3</v>
      </c>
      <c r="I1285" s="18"/>
      <c r="J1285" s="18" t="s">
        <v>2428</v>
      </c>
      <c r="K1285" s="19" t="s">
        <v>2429</v>
      </c>
      <c r="L1285" s="19"/>
      <c r="M1285" s="19"/>
      <c r="N1285" s="19" t="s">
        <v>2430</v>
      </c>
      <c r="O1285" s="143"/>
      <c r="P1285" s="143"/>
      <c r="Q1285" s="143"/>
      <c r="R1285" s="373" t="s">
        <v>2431</v>
      </c>
      <c r="S1285" s="144">
        <v>35728.050000000003</v>
      </c>
      <c r="T1285" s="226"/>
      <c r="U1285" s="378">
        <v>0</v>
      </c>
      <c r="V1285" s="378">
        <v>0</v>
      </c>
      <c r="W1285" s="378">
        <v>0</v>
      </c>
      <c r="X1285" s="145">
        <f t="shared" si="423"/>
        <v>0</v>
      </c>
      <c r="Y1285" s="378">
        <v>0</v>
      </c>
      <c r="Z1285" s="378">
        <v>0</v>
      </c>
      <c r="AA1285" s="378">
        <v>0</v>
      </c>
      <c r="AB1285" s="378">
        <v>0</v>
      </c>
      <c r="AC1285" s="378">
        <v>0</v>
      </c>
      <c r="AD1285" s="378">
        <v>0</v>
      </c>
      <c r="AE1285" s="378">
        <v>0</v>
      </c>
      <c r="AF1285" s="378">
        <v>0</v>
      </c>
      <c r="AG1285" s="378">
        <v>0</v>
      </c>
      <c r="AH1285" s="378">
        <v>0</v>
      </c>
      <c r="AI1285" s="378">
        <v>0</v>
      </c>
      <c r="AJ1285" s="378">
        <v>0</v>
      </c>
      <c r="AK1285" s="145">
        <f t="shared" ref="AK1285:AK1348" si="429">SUM(Y1285:AJ1285)</f>
        <v>0</v>
      </c>
      <c r="AL1285" s="378">
        <v>23818.7</v>
      </c>
      <c r="AM1285" s="378">
        <v>11909.35</v>
      </c>
      <c r="AN1285" s="378">
        <v>0</v>
      </c>
      <c r="AO1285" s="378">
        <v>0</v>
      </c>
      <c r="AP1285" s="378">
        <v>0</v>
      </c>
      <c r="AQ1285" s="378">
        <v>0</v>
      </c>
      <c r="AR1285" s="378">
        <v>0</v>
      </c>
      <c r="AS1285" s="375">
        <f t="shared" si="427"/>
        <v>35728.050000000003</v>
      </c>
      <c r="AT1285" s="147">
        <v>0</v>
      </c>
      <c r="AU1285" s="146">
        <f t="shared" si="428"/>
        <v>35728.050000000003</v>
      </c>
      <c r="AV1285" s="146">
        <f>IFERROR(VLOOKUP(J1285,Maksājumu_pieprasījumu_iesn.!G:BL,57,0),0)</f>
        <v>0</v>
      </c>
      <c r="AW1285" s="139">
        <f t="shared" si="421"/>
        <v>-35728.050000000003</v>
      </c>
      <c r="AX1285" s="147">
        <f t="shared" ref="AX1285:AX1311" si="430">S1285-AS1285</f>
        <v>0</v>
      </c>
      <c r="AY1285" s="147"/>
      <c r="AZ1285" s="147"/>
      <c r="BA1285" s="149"/>
      <c r="BB1285" s="144"/>
      <c r="BC1285" s="144"/>
      <c r="BD1285" s="144"/>
      <c r="BE1285" s="144"/>
      <c r="BF1285" s="144"/>
      <c r="BG1285" s="144"/>
      <c r="BH1285" s="149"/>
      <c r="BI1285" s="149"/>
      <c r="BJ1285" s="149"/>
      <c r="BK1285" s="149"/>
      <c r="BL1285" s="149"/>
      <c r="BM1285" s="149"/>
      <c r="BN1285" s="149"/>
    </row>
    <row r="1286" spans="1:66" ht="38.25" hidden="1" customHeight="1" x14ac:dyDescent="0.2">
      <c r="A1286" s="142" t="s">
        <v>2279</v>
      </c>
      <c r="B1286" s="18" t="s">
        <v>406</v>
      </c>
      <c r="C1286" s="18" t="s">
        <v>411</v>
      </c>
      <c r="D1286" s="19" t="s">
        <v>606</v>
      </c>
      <c r="E1286" s="18">
        <v>1</v>
      </c>
      <c r="F1286" s="18" t="s">
        <v>402</v>
      </c>
      <c r="G1286" s="18" t="s">
        <v>77</v>
      </c>
      <c r="H1286" s="18" t="s">
        <v>3</v>
      </c>
      <c r="I1286" s="18"/>
      <c r="J1286" s="18" t="s">
        <v>2432</v>
      </c>
      <c r="K1286" s="19" t="s">
        <v>1528</v>
      </c>
      <c r="L1286" s="19"/>
      <c r="M1286" s="19"/>
      <c r="N1286" s="19" t="s">
        <v>2433</v>
      </c>
      <c r="O1286" s="143"/>
      <c r="P1286" s="143"/>
      <c r="Q1286" s="143"/>
      <c r="R1286" s="373" t="s">
        <v>2434</v>
      </c>
      <c r="S1286" s="144">
        <v>55738.75</v>
      </c>
      <c r="T1286" s="226"/>
      <c r="U1286" s="145">
        <v>0</v>
      </c>
      <c r="V1286" s="145">
        <v>0</v>
      </c>
      <c r="W1286" s="145">
        <v>0</v>
      </c>
      <c r="X1286" s="145">
        <f t="shared" si="423"/>
        <v>0</v>
      </c>
      <c r="Y1286" s="145">
        <v>0</v>
      </c>
      <c r="Z1286" s="145">
        <v>0</v>
      </c>
      <c r="AA1286" s="145">
        <v>0</v>
      </c>
      <c r="AB1286" s="145">
        <v>0</v>
      </c>
      <c r="AC1286" s="145">
        <v>0</v>
      </c>
      <c r="AD1286" s="145">
        <v>0</v>
      </c>
      <c r="AE1286" s="145">
        <v>0</v>
      </c>
      <c r="AF1286" s="145">
        <v>0</v>
      </c>
      <c r="AG1286" s="145">
        <v>0</v>
      </c>
      <c r="AH1286" s="145">
        <v>0</v>
      </c>
      <c r="AI1286" s="145">
        <v>0</v>
      </c>
      <c r="AJ1286" s="145">
        <v>0</v>
      </c>
      <c r="AK1286" s="145">
        <f t="shared" si="429"/>
        <v>0</v>
      </c>
      <c r="AL1286" s="145">
        <v>39017.130000000005</v>
      </c>
      <c r="AM1286" s="145">
        <v>16721.62</v>
      </c>
      <c r="AN1286" s="145">
        <v>0</v>
      </c>
      <c r="AO1286" s="145">
        <v>0</v>
      </c>
      <c r="AP1286" s="145">
        <v>0</v>
      </c>
      <c r="AQ1286" s="145">
        <v>0</v>
      </c>
      <c r="AR1286" s="145">
        <v>0</v>
      </c>
      <c r="AS1286" s="144">
        <f t="shared" si="427"/>
        <v>55738.75</v>
      </c>
      <c r="AT1286" s="144">
        <v>0</v>
      </c>
      <c r="AU1286" s="146">
        <f t="shared" si="428"/>
        <v>55738.75</v>
      </c>
      <c r="AV1286" s="146">
        <f>IFERROR(VLOOKUP(J1286,Maksājumu_pieprasījumu_iesn.!G:BL,57,0),0)</f>
        <v>0</v>
      </c>
      <c r="AW1286" s="139">
        <f t="shared" si="421"/>
        <v>-55738.75</v>
      </c>
      <c r="AX1286" s="147">
        <f t="shared" si="430"/>
        <v>0</v>
      </c>
      <c r="AY1286" s="147"/>
      <c r="AZ1286" s="147"/>
      <c r="BA1286" s="149"/>
      <c r="BB1286" s="144"/>
      <c r="BC1286" s="144"/>
      <c r="BD1286" s="144"/>
      <c r="BE1286" s="144"/>
      <c r="BF1286" s="144"/>
      <c r="BG1286" s="144"/>
      <c r="BH1286" s="149"/>
      <c r="BI1286" s="149"/>
      <c r="BJ1286" s="149"/>
      <c r="BK1286" s="149"/>
      <c r="BL1286" s="149"/>
      <c r="BM1286" s="149"/>
      <c r="BN1286" s="149"/>
    </row>
    <row r="1287" spans="1:66" ht="51" hidden="1" customHeight="1" x14ac:dyDescent="0.2">
      <c r="A1287" s="142" t="s">
        <v>2279</v>
      </c>
      <c r="B1287" s="18" t="s">
        <v>406</v>
      </c>
      <c r="C1287" s="18" t="s">
        <v>411</v>
      </c>
      <c r="D1287" s="19" t="s">
        <v>606</v>
      </c>
      <c r="E1287" s="22">
        <v>1</v>
      </c>
      <c r="F1287" s="18" t="s">
        <v>402</v>
      </c>
      <c r="G1287" s="18" t="s">
        <v>77</v>
      </c>
      <c r="H1287" s="18" t="s">
        <v>3</v>
      </c>
      <c r="I1287" s="18"/>
      <c r="J1287" s="18" t="s">
        <v>729</v>
      </c>
      <c r="K1287" s="19" t="s">
        <v>730</v>
      </c>
      <c r="L1287" s="19"/>
      <c r="M1287" s="19"/>
      <c r="N1287" s="19" t="s">
        <v>731</v>
      </c>
      <c r="O1287" s="143"/>
      <c r="P1287" s="143"/>
      <c r="Q1287" s="143"/>
      <c r="R1287" s="373" t="s">
        <v>2368</v>
      </c>
      <c r="S1287" s="144">
        <v>82575.8</v>
      </c>
      <c r="T1287" s="226"/>
      <c r="U1287" s="145">
        <v>0</v>
      </c>
      <c r="V1287" s="145">
        <v>0</v>
      </c>
      <c r="W1287" s="145">
        <v>0</v>
      </c>
      <c r="X1287" s="145">
        <f t="shared" si="423"/>
        <v>0</v>
      </c>
      <c r="Y1287" s="145">
        <v>0</v>
      </c>
      <c r="Z1287" s="145">
        <v>0</v>
      </c>
      <c r="AA1287" s="145">
        <v>0</v>
      </c>
      <c r="AB1287" s="145">
        <v>0</v>
      </c>
      <c r="AC1287" s="145">
        <v>33030.32</v>
      </c>
      <c r="AD1287" s="145">
        <v>0</v>
      </c>
      <c r="AE1287" s="145">
        <v>0</v>
      </c>
      <c r="AF1287" s="145">
        <v>0</v>
      </c>
      <c r="AG1287" s="145">
        <v>0</v>
      </c>
      <c r="AH1287" s="145">
        <v>0</v>
      </c>
      <c r="AI1287" s="145">
        <v>0</v>
      </c>
      <c r="AJ1287" s="145">
        <v>0</v>
      </c>
      <c r="AK1287" s="145">
        <f t="shared" si="429"/>
        <v>33030.32</v>
      </c>
      <c r="AL1287" s="145">
        <v>49545.479999999996</v>
      </c>
      <c r="AM1287" s="145">
        <v>0</v>
      </c>
      <c r="AN1287" s="145">
        <v>0</v>
      </c>
      <c r="AO1287" s="145">
        <v>0</v>
      </c>
      <c r="AP1287" s="145">
        <v>0</v>
      </c>
      <c r="AQ1287" s="145">
        <v>0</v>
      </c>
      <c r="AR1287" s="145">
        <v>0</v>
      </c>
      <c r="AS1287" s="144">
        <f t="shared" si="427"/>
        <v>82575.799999999988</v>
      </c>
      <c r="AT1287" s="144">
        <v>0</v>
      </c>
      <c r="AU1287" s="146">
        <f t="shared" si="428"/>
        <v>82575.799999999988</v>
      </c>
      <c r="AV1287" s="146">
        <f>IFERROR(VLOOKUP(J1287,Maksājumu_pieprasījumu_iesn.!G:BL,57,0),0)</f>
        <v>0</v>
      </c>
      <c r="AW1287" s="139">
        <f t="shared" si="421"/>
        <v>-82575.799999999988</v>
      </c>
      <c r="AX1287" s="147">
        <f t="shared" si="430"/>
        <v>0</v>
      </c>
      <c r="AY1287" s="147"/>
      <c r="AZ1287" s="147"/>
      <c r="BA1287" s="149"/>
      <c r="BB1287" s="144"/>
      <c r="BC1287" s="144"/>
      <c r="BD1287" s="144"/>
      <c r="BE1287" s="144"/>
      <c r="BF1287" s="144"/>
      <c r="BG1287" s="144"/>
      <c r="BH1287" s="149"/>
      <c r="BI1287" s="149"/>
      <c r="BJ1287" s="149"/>
      <c r="BK1287" s="149"/>
      <c r="BL1287" s="149"/>
      <c r="BM1287" s="149"/>
      <c r="BN1287" s="149"/>
    </row>
    <row r="1288" spans="1:66" ht="38.25" hidden="1" customHeight="1" x14ac:dyDescent="0.2">
      <c r="A1288" s="142" t="s">
        <v>2279</v>
      </c>
      <c r="B1288" s="18" t="s">
        <v>406</v>
      </c>
      <c r="C1288" s="18" t="s">
        <v>411</v>
      </c>
      <c r="D1288" s="19" t="s">
        <v>606</v>
      </c>
      <c r="E1288" s="18">
        <v>1</v>
      </c>
      <c r="F1288" s="18" t="s">
        <v>402</v>
      </c>
      <c r="G1288" s="18" t="s">
        <v>77</v>
      </c>
      <c r="H1288" s="18" t="s">
        <v>3</v>
      </c>
      <c r="I1288" s="18"/>
      <c r="J1288" s="18" t="s">
        <v>732</v>
      </c>
      <c r="K1288" s="19" t="s">
        <v>519</v>
      </c>
      <c r="L1288" s="19"/>
      <c r="M1288" s="19"/>
      <c r="N1288" s="19" t="s">
        <v>733</v>
      </c>
      <c r="O1288" s="143"/>
      <c r="P1288" s="143"/>
      <c r="Q1288" s="143"/>
      <c r="R1288" s="373">
        <v>42857</v>
      </c>
      <c r="S1288" s="144">
        <v>542319.55000000005</v>
      </c>
      <c r="T1288" s="226"/>
      <c r="U1288" s="378">
        <v>0</v>
      </c>
      <c r="V1288" s="378">
        <v>0</v>
      </c>
      <c r="W1288" s="378">
        <v>0</v>
      </c>
      <c r="X1288" s="145">
        <f t="shared" si="423"/>
        <v>0</v>
      </c>
      <c r="Y1288" s="378">
        <v>0</v>
      </c>
      <c r="Z1288" s="378">
        <v>0</v>
      </c>
      <c r="AA1288" s="378">
        <v>0</v>
      </c>
      <c r="AB1288" s="378">
        <v>0</v>
      </c>
      <c r="AC1288" s="378">
        <v>0</v>
      </c>
      <c r="AD1288" s="378">
        <v>0</v>
      </c>
      <c r="AE1288" s="378">
        <v>0</v>
      </c>
      <c r="AF1288" s="422">
        <v>42534</v>
      </c>
      <c r="AG1288" s="378">
        <v>0</v>
      </c>
      <c r="AH1288" s="378">
        <v>0</v>
      </c>
      <c r="AI1288" s="378">
        <v>58671.25</v>
      </c>
      <c r="AJ1288" s="378">
        <v>0</v>
      </c>
      <c r="AK1288" s="145">
        <f t="shared" si="429"/>
        <v>101205.25</v>
      </c>
      <c r="AL1288" s="378">
        <v>210390.3</v>
      </c>
      <c r="AM1288" s="378">
        <v>193909.65</v>
      </c>
      <c r="AN1288" s="378">
        <v>36814.35</v>
      </c>
      <c r="AO1288" s="378">
        <v>0</v>
      </c>
      <c r="AP1288" s="378">
        <v>0</v>
      </c>
      <c r="AQ1288" s="378">
        <v>0</v>
      </c>
      <c r="AR1288" s="378">
        <v>0</v>
      </c>
      <c r="AS1288" s="375">
        <f t="shared" si="427"/>
        <v>542319.54999999993</v>
      </c>
      <c r="AT1288" s="147">
        <v>0</v>
      </c>
      <c r="AU1288" s="146">
        <f>AS1288-AT1288</f>
        <v>542319.54999999993</v>
      </c>
      <c r="AV1288" s="146">
        <f>IFERROR(VLOOKUP(J1288,Maksājumu_pieprasījumu_iesn.!G:BL,57,0),0)</f>
        <v>0</v>
      </c>
      <c r="AW1288" s="139">
        <f t="shared" si="421"/>
        <v>-542319.54999999993</v>
      </c>
      <c r="AX1288" s="147">
        <f t="shared" si="430"/>
        <v>0</v>
      </c>
      <c r="AY1288" s="147"/>
      <c r="AZ1288" s="147"/>
      <c r="BA1288" s="149"/>
      <c r="BB1288" s="144"/>
      <c r="BC1288" s="144"/>
      <c r="BD1288" s="144"/>
      <c r="BE1288" s="144"/>
      <c r="BF1288" s="144"/>
      <c r="BG1288" s="144"/>
      <c r="BH1288" s="149"/>
      <c r="BI1288" s="149"/>
      <c r="BJ1288" s="149"/>
      <c r="BK1288" s="149"/>
      <c r="BL1288" s="149"/>
      <c r="BM1288" s="149"/>
      <c r="BN1288" s="149"/>
    </row>
    <row r="1289" spans="1:66" ht="38.25" hidden="1" customHeight="1" x14ac:dyDescent="0.2">
      <c r="A1289" s="142" t="s">
        <v>2279</v>
      </c>
      <c r="B1289" s="18" t="s">
        <v>406</v>
      </c>
      <c r="C1289" s="18" t="s">
        <v>411</v>
      </c>
      <c r="D1289" s="19" t="s">
        <v>606</v>
      </c>
      <c r="E1289" s="22">
        <v>1</v>
      </c>
      <c r="F1289" s="18" t="s">
        <v>402</v>
      </c>
      <c r="G1289" s="18" t="s">
        <v>77</v>
      </c>
      <c r="H1289" s="18" t="s">
        <v>3</v>
      </c>
      <c r="I1289" s="18"/>
      <c r="J1289" s="18" t="s">
        <v>732</v>
      </c>
      <c r="K1289" s="19" t="s">
        <v>519</v>
      </c>
      <c r="L1289" s="19"/>
      <c r="M1289" s="19"/>
      <c r="N1289" s="19" t="s">
        <v>733</v>
      </c>
      <c r="O1289" s="143" t="s">
        <v>880</v>
      </c>
      <c r="P1289" s="143"/>
      <c r="Q1289" s="143"/>
      <c r="R1289" s="373"/>
      <c r="S1289" s="144"/>
      <c r="T1289" s="226"/>
      <c r="U1289" s="378"/>
      <c r="V1289" s="378"/>
      <c r="W1289" s="378"/>
      <c r="X1289" s="145">
        <f t="shared" si="423"/>
        <v>0</v>
      </c>
      <c r="Y1289" s="378"/>
      <c r="Z1289" s="378"/>
      <c r="AA1289" s="378"/>
      <c r="AB1289" s="378"/>
      <c r="AC1289" s="378">
        <v>34000</v>
      </c>
      <c r="AD1289" s="379"/>
      <c r="AE1289" s="379">
        <v>51000</v>
      </c>
      <c r="AF1289" s="378"/>
      <c r="AG1289" s="378"/>
      <c r="AH1289" s="378"/>
      <c r="AI1289" s="378"/>
      <c r="AJ1289" s="378"/>
      <c r="AK1289" s="145">
        <f t="shared" si="429"/>
        <v>85000</v>
      </c>
      <c r="AL1289" s="378"/>
      <c r="AM1289" s="378"/>
      <c r="AN1289" s="378"/>
      <c r="AO1289" s="378"/>
      <c r="AP1289" s="378"/>
      <c r="AQ1289" s="378"/>
      <c r="AR1289" s="378"/>
      <c r="AS1289" s="86"/>
      <c r="AT1289" s="375">
        <f>U1289+V1289+W1289+AK1289+AL1289+AM1289+AN1289+AO1289+AP1289+AQ1289+AR1289</f>
        <v>85000</v>
      </c>
      <c r="AU1289" s="146"/>
      <c r="AV1289" s="146">
        <f>IFERROR(VLOOKUP(J1289,Maksājumu_pieprasījumu_iesn.!G:BL,57,0),0)</f>
        <v>0</v>
      </c>
      <c r="AW1289" s="139">
        <f t="shared" si="421"/>
        <v>0</v>
      </c>
      <c r="AX1289" s="147">
        <f t="shared" si="430"/>
        <v>0</v>
      </c>
      <c r="AY1289" s="147"/>
      <c r="AZ1289" s="147"/>
      <c r="BA1289" s="149"/>
      <c r="BB1289" s="144"/>
      <c r="BC1289" s="144"/>
      <c r="BD1289" s="144"/>
      <c r="BE1289" s="144"/>
      <c r="BF1289" s="144"/>
      <c r="BG1289" s="144"/>
      <c r="BH1289" s="149"/>
      <c r="BI1289" s="149"/>
      <c r="BJ1289" s="149"/>
      <c r="BK1289" s="149"/>
      <c r="BL1289" s="149"/>
      <c r="BM1289" s="149"/>
      <c r="BN1289" s="149"/>
    </row>
    <row r="1290" spans="1:66" ht="38.25" hidden="1" customHeight="1" x14ac:dyDescent="0.2">
      <c r="A1290" s="142" t="s">
        <v>2279</v>
      </c>
      <c r="B1290" s="18" t="s">
        <v>406</v>
      </c>
      <c r="C1290" s="18" t="s">
        <v>411</v>
      </c>
      <c r="D1290" s="19" t="s">
        <v>606</v>
      </c>
      <c r="E1290" s="18">
        <v>1</v>
      </c>
      <c r="F1290" s="18" t="s">
        <v>402</v>
      </c>
      <c r="G1290" s="18" t="s">
        <v>77</v>
      </c>
      <c r="H1290" s="18" t="s">
        <v>3</v>
      </c>
      <c r="I1290" s="18"/>
      <c r="J1290" s="18" t="s">
        <v>2435</v>
      </c>
      <c r="K1290" s="19" t="s">
        <v>2436</v>
      </c>
      <c r="L1290" s="19"/>
      <c r="M1290" s="19"/>
      <c r="N1290" s="19" t="s">
        <v>2437</v>
      </c>
      <c r="O1290" s="143"/>
      <c r="P1290" s="143"/>
      <c r="Q1290" s="143"/>
      <c r="R1290" s="373" t="s">
        <v>2438</v>
      </c>
      <c r="S1290" s="144">
        <v>60026.15</v>
      </c>
      <c r="T1290" s="226"/>
      <c r="U1290" s="145">
        <v>0</v>
      </c>
      <c r="V1290" s="145">
        <v>0</v>
      </c>
      <c r="W1290" s="145">
        <v>0</v>
      </c>
      <c r="X1290" s="145">
        <f t="shared" si="423"/>
        <v>0</v>
      </c>
      <c r="Y1290" s="145">
        <v>0</v>
      </c>
      <c r="Z1290" s="145">
        <v>0</v>
      </c>
      <c r="AA1290" s="145">
        <v>0</v>
      </c>
      <c r="AB1290" s="145">
        <v>0</v>
      </c>
      <c r="AC1290" s="145">
        <v>0</v>
      </c>
      <c r="AD1290" s="145">
        <v>0</v>
      </c>
      <c r="AE1290" s="145">
        <v>0</v>
      </c>
      <c r="AF1290" s="145">
        <v>0</v>
      </c>
      <c r="AG1290" s="145">
        <v>0</v>
      </c>
      <c r="AH1290" s="145">
        <v>0</v>
      </c>
      <c r="AI1290" s="145">
        <v>0</v>
      </c>
      <c r="AJ1290" s="145">
        <v>0</v>
      </c>
      <c r="AK1290" s="145">
        <f t="shared" si="429"/>
        <v>0</v>
      </c>
      <c r="AL1290" s="145">
        <v>40476.15</v>
      </c>
      <c r="AM1290" s="145">
        <v>19550</v>
      </c>
      <c r="AN1290" s="145">
        <v>0</v>
      </c>
      <c r="AO1290" s="145">
        <v>0</v>
      </c>
      <c r="AP1290" s="145">
        <v>0</v>
      </c>
      <c r="AQ1290" s="145">
        <v>0</v>
      </c>
      <c r="AR1290" s="145">
        <v>0</v>
      </c>
      <c r="AS1290" s="144">
        <f t="shared" ref="AS1290:AS1302" si="431">U1290+V1290+W1290+AK1290+AL1290+AM1290+AN1290+AO1290+AP1290+AQ1290+AR1290</f>
        <v>60026.15</v>
      </c>
      <c r="AT1290" s="144">
        <v>0</v>
      </c>
      <c r="AU1290" s="146">
        <f t="shared" si="428"/>
        <v>60026.15</v>
      </c>
      <c r="AV1290" s="146">
        <f>IFERROR(VLOOKUP(J1290,Maksājumu_pieprasījumu_iesn.!G:BL,57,0),0)</f>
        <v>0</v>
      </c>
      <c r="AW1290" s="139">
        <f t="shared" si="421"/>
        <v>-60026.15</v>
      </c>
      <c r="AX1290" s="147">
        <f t="shared" si="430"/>
        <v>0</v>
      </c>
      <c r="AY1290" s="147"/>
      <c r="AZ1290" s="147"/>
      <c r="BA1290" s="149"/>
      <c r="BB1290" s="144"/>
      <c r="BC1290" s="144"/>
      <c r="BD1290" s="144"/>
      <c r="BE1290" s="144"/>
      <c r="BF1290" s="144"/>
      <c r="BG1290" s="144"/>
      <c r="BH1290" s="149"/>
      <c r="BI1290" s="149"/>
      <c r="BJ1290" s="149"/>
      <c r="BK1290" s="149"/>
      <c r="BL1290" s="149"/>
      <c r="BM1290" s="149"/>
      <c r="BN1290" s="149"/>
    </row>
    <row r="1291" spans="1:66" ht="38.25" hidden="1" customHeight="1" x14ac:dyDescent="0.2">
      <c r="A1291" s="142" t="s">
        <v>2279</v>
      </c>
      <c r="B1291" s="18" t="s">
        <v>406</v>
      </c>
      <c r="C1291" s="18" t="s">
        <v>411</v>
      </c>
      <c r="D1291" s="19" t="s">
        <v>606</v>
      </c>
      <c r="E1291" s="22">
        <v>1</v>
      </c>
      <c r="F1291" s="18" t="s">
        <v>402</v>
      </c>
      <c r="G1291" s="18" t="s">
        <v>77</v>
      </c>
      <c r="H1291" s="18" t="s">
        <v>3</v>
      </c>
      <c r="I1291" s="18"/>
      <c r="J1291" s="18" t="s">
        <v>2439</v>
      </c>
      <c r="K1291" s="19" t="s">
        <v>2440</v>
      </c>
      <c r="L1291" s="19"/>
      <c r="M1291" s="19"/>
      <c r="N1291" s="19" t="s">
        <v>2441</v>
      </c>
      <c r="O1291" s="143"/>
      <c r="P1291" s="143"/>
      <c r="Q1291" s="143"/>
      <c r="R1291" s="373" t="s">
        <v>2442</v>
      </c>
      <c r="S1291" s="144">
        <v>53435.25</v>
      </c>
      <c r="T1291" s="226"/>
      <c r="U1291" s="145">
        <v>0</v>
      </c>
      <c r="V1291" s="145">
        <v>0</v>
      </c>
      <c r="W1291" s="145">
        <v>0</v>
      </c>
      <c r="X1291" s="145">
        <f t="shared" si="423"/>
        <v>0</v>
      </c>
      <c r="Y1291" s="145">
        <v>0</v>
      </c>
      <c r="Z1291" s="145">
        <v>0</v>
      </c>
      <c r="AA1291" s="145">
        <v>0</v>
      </c>
      <c r="AB1291" s="145">
        <v>0</v>
      </c>
      <c r="AC1291" s="145">
        <v>0</v>
      </c>
      <c r="AD1291" s="145">
        <v>0</v>
      </c>
      <c r="AE1291" s="145">
        <v>0</v>
      </c>
      <c r="AF1291" s="145">
        <v>0</v>
      </c>
      <c r="AG1291" s="145">
        <v>0</v>
      </c>
      <c r="AH1291" s="145">
        <v>0</v>
      </c>
      <c r="AI1291" s="145">
        <v>0</v>
      </c>
      <c r="AJ1291" s="145">
        <v>0</v>
      </c>
      <c r="AK1291" s="145">
        <f t="shared" si="429"/>
        <v>0</v>
      </c>
      <c r="AL1291" s="145">
        <v>35623.5</v>
      </c>
      <c r="AM1291" s="145">
        <v>17811.75</v>
      </c>
      <c r="AN1291" s="145">
        <v>0</v>
      </c>
      <c r="AO1291" s="145">
        <v>0</v>
      </c>
      <c r="AP1291" s="145">
        <v>0</v>
      </c>
      <c r="AQ1291" s="145">
        <v>0</v>
      </c>
      <c r="AR1291" s="145">
        <v>0</v>
      </c>
      <c r="AS1291" s="144">
        <f t="shared" si="431"/>
        <v>53435.25</v>
      </c>
      <c r="AT1291" s="144">
        <v>0</v>
      </c>
      <c r="AU1291" s="146">
        <f t="shared" si="428"/>
        <v>53435.25</v>
      </c>
      <c r="AV1291" s="146">
        <f>IFERROR(VLOOKUP(J1291,Maksājumu_pieprasījumu_iesn.!G:BL,57,0),0)</f>
        <v>0</v>
      </c>
      <c r="AW1291" s="139">
        <f t="shared" si="421"/>
        <v>-53435.25</v>
      </c>
      <c r="AX1291" s="147">
        <f t="shared" si="430"/>
        <v>0</v>
      </c>
      <c r="AY1291" s="147"/>
      <c r="AZ1291" s="147"/>
      <c r="BA1291" s="149"/>
      <c r="BB1291" s="144"/>
      <c r="BC1291" s="144"/>
      <c r="BD1291" s="144"/>
      <c r="BE1291" s="144"/>
      <c r="BF1291" s="144"/>
      <c r="BG1291" s="144"/>
      <c r="BH1291" s="149"/>
      <c r="BI1291" s="149"/>
      <c r="BJ1291" s="149"/>
      <c r="BK1291" s="149"/>
      <c r="BL1291" s="149"/>
      <c r="BM1291" s="149"/>
      <c r="BN1291" s="149"/>
    </row>
    <row r="1292" spans="1:66" ht="25.5" hidden="1" customHeight="1" x14ac:dyDescent="0.2">
      <c r="A1292" s="142" t="s">
        <v>2279</v>
      </c>
      <c r="B1292" s="18" t="s">
        <v>406</v>
      </c>
      <c r="C1292" s="18" t="s">
        <v>411</v>
      </c>
      <c r="D1292" s="19" t="s">
        <v>606</v>
      </c>
      <c r="E1292" s="18">
        <v>1</v>
      </c>
      <c r="F1292" s="18" t="s">
        <v>402</v>
      </c>
      <c r="G1292" s="18" t="s">
        <v>77</v>
      </c>
      <c r="H1292" s="18" t="s">
        <v>3</v>
      </c>
      <c r="I1292" s="18"/>
      <c r="J1292" s="18" t="s">
        <v>800</v>
      </c>
      <c r="K1292" s="19" t="s">
        <v>499</v>
      </c>
      <c r="L1292" s="19"/>
      <c r="M1292" s="19"/>
      <c r="N1292" s="19" t="s">
        <v>837</v>
      </c>
      <c r="O1292" s="143"/>
      <c r="P1292" s="143"/>
      <c r="Q1292" s="143"/>
      <c r="R1292" s="373" t="s">
        <v>2314</v>
      </c>
      <c r="S1292" s="144">
        <v>687617.7</v>
      </c>
      <c r="T1292" s="226"/>
      <c r="U1292" s="145">
        <v>0</v>
      </c>
      <c r="V1292" s="145">
        <v>0</v>
      </c>
      <c r="W1292" s="145">
        <v>0</v>
      </c>
      <c r="X1292" s="145">
        <f t="shared" si="423"/>
        <v>0</v>
      </c>
      <c r="Y1292" s="145">
        <v>0</v>
      </c>
      <c r="Z1292" s="145">
        <v>0</v>
      </c>
      <c r="AA1292" s="145">
        <v>0</v>
      </c>
      <c r="AB1292" s="145">
        <v>0</v>
      </c>
      <c r="AC1292" s="145">
        <v>0</v>
      </c>
      <c r="AD1292" s="145">
        <v>0</v>
      </c>
      <c r="AE1292" s="145">
        <v>0</v>
      </c>
      <c r="AF1292" s="145">
        <v>0</v>
      </c>
      <c r="AG1292" s="145">
        <v>0</v>
      </c>
      <c r="AH1292" s="145">
        <v>0</v>
      </c>
      <c r="AI1292" s="145">
        <v>0</v>
      </c>
      <c r="AJ1292" s="145">
        <v>0</v>
      </c>
      <c r="AK1292" s="145">
        <f t="shared" si="429"/>
        <v>0</v>
      </c>
      <c r="AL1292" s="145">
        <v>458411.8</v>
      </c>
      <c r="AM1292" s="145">
        <v>229205.9</v>
      </c>
      <c r="AN1292" s="145">
        <v>0</v>
      </c>
      <c r="AO1292" s="145">
        <v>0</v>
      </c>
      <c r="AP1292" s="145">
        <v>0</v>
      </c>
      <c r="AQ1292" s="145">
        <v>0</v>
      </c>
      <c r="AR1292" s="145">
        <v>0</v>
      </c>
      <c r="AS1292" s="144">
        <f t="shared" si="431"/>
        <v>687617.7</v>
      </c>
      <c r="AT1292" s="144">
        <v>0</v>
      </c>
      <c r="AU1292" s="146">
        <f t="shared" si="428"/>
        <v>687617.7</v>
      </c>
      <c r="AV1292" s="146">
        <f>IFERROR(VLOOKUP(J1292,Maksājumu_pieprasījumu_iesn.!G:BL,57,0),0)</f>
        <v>0</v>
      </c>
      <c r="AW1292" s="139">
        <f t="shared" si="421"/>
        <v>-687617.7</v>
      </c>
      <c r="AX1292" s="147">
        <f t="shared" si="430"/>
        <v>0</v>
      </c>
      <c r="AY1292" s="147"/>
      <c r="AZ1292" s="147"/>
      <c r="BA1292" s="149"/>
      <c r="BB1292" s="144"/>
      <c r="BC1292" s="144"/>
      <c r="BD1292" s="144"/>
      <c r="BE1292" s="144"/>
      <c r="BF1292" s="144"/>
      <c r="BG1292" s="144"/>
      <c r="BH1292" s="149"/>
      <c r="BI1292" s="149"/>
      <c r="BJ1292" s="149"/>
      <c r="BK1292" s="149"/>
      <c r="BL1292" s="149"/>
      <c r="BM1292" s="149"/>
      <c r="BN1292" s="149"/>
    </row>
    <row r="1293" spans="1:66" ht="63.75" hidden="1" customHeight="1" x14ac:dyDescent="0.2">
      <c r="A1293" s="142" t="s">
        <v>2279</v>
      </c>
      <c r="B1293" s="18" t="s">
        <v>406</v>
      </c>
      <c r="C1293" s="18" t="s">
        <v>411</v>
      </c>
      <c r="D1293" s="19" t="s">
        <v>606</v>
      </c>
      <c r="E1293" s="22">
        <v>1</v>
      </c>
      <c r="F1293" s="18" t="s">
        <v>402</v>
      </c>
      <c r="G1293" s="18" t="s">
        <v>77</v>
      </c>
      <c r="H1293" s="18" t="s">
        <v>3</v>
      </c>
      <c r="I1293" s="18"/>
      <c r="J1293" s="18" t="s">
        <v>2443</v>
      </c>
      <c r="K1293" s="19" t="s">
        <v>2444</v>
      </c>
      <c r="L1293" s="19"/>
      <c r="M1293" s="19"/>
      <c r="N1293" s="19" t="s">
        <v>2445</v>
      </c>
      <c r="O1293" s="143"/>
      <c r="P1293" s="143"/>
      <c r="Q1293" s="143"/>
      <c r="R1293" s="373" t="s">
        <v>2446</v>
      </c>
      <c r="S1293" s="144">
        <v>39614</v>
      </c>
      <c r="T1293" s="226"/>
      <c r="U1293" s="378">
        <v>0</v>
      </c>
      <c r="V1293" s="378">
        <v>0</v>
      </c>
      <c r="W1293" s="378">
        <v>0</v>
      </c>
      <c r="X1293" s="145">
        <f t="shared" si="423"/>
        <v>0</v>
      </c>
      <c r="Y1293" s="378">
        <v>0</v>
      </c>
      <c r="Z1293" s="378">
        <v>0</v>
      </c>
      <c r="AA1293" s="378">
        <v>0</v>
      </c>
      <c r="AB1293" s="378">
        <v>0</v>
      </c>
      <c r="AC1293" s="378">
        <v>0</v>
      </c>
      <c r="AD1293" s="378">
        <v>0</v>
      </c>
      <c r="AE1293" s="378">
        <v>0</v>
      </c>
      <c r="AF1293" s="378">
        <v>0</v>
      </c>
      <c r="AG1293" s="378">
        <v>0</v>
      </c>
      <c r="AH1293" s="378">
        <v>0</v>
      </c>
      <c r="AI1293" s="378">
        <v>0</v>
      </c>
      <c r="AJ1293" s="378">
        <v>0</v>
      </c>
      <c r="AK1293" s="145">
        <f t="shared" si="429"/>
        <v>0</v>
      </c>
      <c r="AL1293" s="378">
        <v>27730</v>
      </c>
      <c r="AM1293" s="378">
        <v>11884</v>
      </c>
      <c r="AN1293" s="378">
        <v>0</v>
      </c>
      <c r="AO1293" s="378">
        <v>0</v>
      </c>
      <c r="AP1293" s="378">
        <v>0</v>
      </c>
      <c r="AQ1293" s="378">
        <v>0</v>
      </c>
      <c r="AR1293" s="378">
        <v>0</v>
      </c>
      <c r="AS1293" s="375">
        <f t="shared" si="431"/>
        <v>39614</v>
      </c>
      <c r="AT1293" s="147">
        <v>0</v>
      </c>
      <c r="AU1293" s="146">
        <f t="shared" si="428"/>
        <v>39614</v>
      </c>
      <c r="AV1293" s="146">
        <f>IFERROR(VLOOKUP(J1293,Maksājumu_pieprasījumu_iesn.!G:BL,57,0),0)</f>
        <v>0</v>
      </c>
      <c r="AW1293" s="139">
        <f t="shared" si="421"/>
        <v>-39614</v>
      </c>
      <c r="AX1293" s="147">
        <f t="shared" si="430"/>
        <v>0</v>
      </c>
      <c r="AY1293" s="147"/>
      <c r="AZ1293" s="147"/>
      <c r="BA1293" s="149"/>
      <c r="BB1293" s="144"/>
      <c r="BC1293" s="144"/>
      <c r="BD1293" s="144"/>
      <c r="BE1293" s="144"/>
      <c r="BF1293" s="144"/>
      <c r="BG1293" s="144"/>
      <c r="BH1293" s="149"/>
      <c r="BI1293" s="149"/>
      <c r="BJ1293" s="149"/>
      <c r="BK1293" s="149"/>
      <c r="BL1293" s="149"/>
      <c r="BM1293" s="149"/>
      <c r="BN1293" s="149"/>
    </row>
    <row r="1294" spans="1:66" ht="38.25" hidden="1" customHeight="1" x14ac:dyDescent="0.2">
      <c r="A1294" s="142" t="s">
        <v>2279</v>
      </c>
      <c r="B1294" s="18" t="s">
        <v>406</v>
      </c>
      <c r="C1294" s="18" t="s">
        <v>411</v>
      </c>
      <c r="D1294" s="19" t="s">
        <v>606</v>
      </c>
      <c r="E1294" s="18">
        <v>1</v>
      </c>
      <c r="F1294" s="18" t="s">
        <v>402</v>
      </c>
      <c r="G1294" s="18" t="s">
        <v>77</v>
      </c>
      <c r="H1294" s="18" t="s">
        <v>3</v>
      </c>
      <c r="I1294" s="18"/>
      <c r="J1294" s="18" t="s">
        <v>2447</v>
      </c>
      <c r="K1294" s="19" t="s">
        <v>2448</v>
      </c>
      <c r="L1294" s="19"/>
      <c r="M1294" s="19"/>
      <c r="N1294" s="19" t="s">
        <v>2449</v>
      </c>
      <c r="O1294" s="143"/>
      <c r="P1294" s="143"/>
      <c r="Q1294" s="143"/>
      <c r="R1294" s="373" t="s">
        <v>2450</v>
      </c>
      <c r="S1294" s="144">
        <v>67082</v>
      </c>
      <c r="T1294" s="226"/>
      <c r="U1294" s="145">
        <v>0</v>
      </c>
      <c r="V1294" s="145">
        <v>0</v>
      </c>
      <c r="W1294" s="145">
        <v>0</v>
      </c>
      <c r="X1294" s="145">
        <f t="shared" si="423"/>
        <v>0</v>
      </c>
      <c r="Y1294" s="145">
        <v>0</v>
      </c>
      <c r="Z1294" s="145">
        <v>0</v>
      </c>
      <c r="AA1294" s="145">
        <v>0</v>
      </c>
      <c r="AB1294" s="145">
        <v>0</v>
      </c>
      <c r="AC1294" s="145">
        <v>0</v>
      </c>
      <c r="AD1294" s="145">
        <v>0</v>
      </c>
      <c r="AE1294" s="145">
        <v>0</v>
      </c>
      <c r="AF1294" s="145">
        <v>0</v>
      </c>
      <c r="AG1294" s="145">
        <v>0</v>
      </c>
      <c r="AH1294" s="145">
        <v>0</v>
      </c>
      <c r="AI1294" s="145">
        <v>0</v>
      </c>
      <c r="AJ1294" s="145">
        <v>0</v>
      </c>
      <c r="AK1294" s="145">
        <f t="shared" si="429"/>
        <v>0</v>
      </c>
      <c r="AL1294" s="145">
        <v>47762.38</v>
      </c>
      <c r="AM1294" s="145">
        <v>19319.62</v>
      </c>
      <c r="AN1294" s="145">
        <v>0</v>
      </c>
      <c r="AO1294" s="145">
        <v>0</v>
      </c>
      <c r="AP1294" s="145">
        <v>0</v>
      </c>
      <c r="AQ1294" s="145">
        <v>0</v>
      </c>
      <c r="AR1294" s="145">
        <v>0</v>
      </c>
      <c r="AS1294" s="144">
        <f t="shared" si="431"/>
        <v>67082</v>
      </c>
      <c r="AT1294" s="144">
        <v>0</v>
      </c>
      <c r="AU1294" s="146">
        <f t="shared" si="428"/>
        <v>67082</v>
      </c>
      <c r="AV1294" s="146">
        <f>IFERROR(VLOOKUP(J1294,Maksājumu_pieprasījumu_iesn.!G:BL,57,0),0)</f>
        <v>0</v>
      </c>
      <c r="AW1294" s="139">
        <f t="shared" si="421"/>
        <v>-67082</v>
      </c>
      <c r="AX1294" s="147">
        <f t="shared" si="430"/>
        <v>0</v>
      </c>
      <c r="AY1294" s="147"/>
      <c r="AZ1294" s="147"/>
      <c r="BA1294" s="149"/>
      <c r="BB1294" s="144"/>
      <c r="BC1294" s="144"/>
      <c r="BD1294" s="144"/>
      <c r="BE1294" s="144"/>
      <c r="BF1294" s="144"/>
      <c r="BG1294" s="144"/>
      <c r="BH1294" s="149"/>
      <c r="BI1294" s="149"/>
      <c r="BJ1294" s="149"/>
      <c r="BK1294" s="149"/>
      <c r="BL1294" s="149"/>
      <c r="BM1294" s="149"/>
      <c r="BN1294" s="149"/>
    </row>
    <row r="1295" spans="1:66" ht="25.5" hidden="1" customHeight="1" x14ac:dyDescent="0.2">
      <c r="A1295" s="142" t="s">
        <v>2279</v>
      </c>
      <c r="B1295" s="18" t="s">
        <v>406</v>
      </c>
      <c r="C1295" s="18" t="s">
        <v>411</v>
      </c>
      <c r="D1295" s="19" t="s">
        <v>606</v>
      </c>
      <c r="E1295" s="22">
        <v>1</v>
      </c>
      <c r="F1295" s="18" t="s">
        <v>402</v>
      </c>
      <c r="G1295" s="18" t="s">
        <v>77</v>
      </c>
      <c r="H1295" s="18" t="s">
        <v>3</v>
      </c>
      <c r="I1295" s="18"/>
      <c r="J1295" s="18" t="s">
        <v>2451</v>
      </c>
      <c r="K1295" s="19" t="s">
        <v>1559</v>
      </c>
      <c r="L1295" s="19"/>
      <c r="M1295" s="19"/>
      <c r="N1295" s="19" t="s">
        <v>2452</v>
      </c>
      <c r="O1295" s="143"/>
      <c r="P1295" s="143"/>
      <c r="Q1295" s="143"/>
      <c r="R1295" s="373" t="s">
        <v>2453</v>
      </c>
      <c r="S1295" s="144">
        <v>53362.15</v>
      </c>
      <c r="T1295" s="226"/>
      <c r="U1295" s="145">
        <v>0</v>
      </c>
      <c r="V1295" s="145">
        <v>0</v>
      </c>
      <c r="W1295" s="145">
        <v>0</v>
      </c>
      <c r="X1295" s="145">
        <f t="shared" si="423"/>
        <v>0</v>
      </c>
      <c r="Y1295" s="145">
        <v>0</v>
      </c>
      <c r="Z1295" s="145">
        <v>0</v>
      </c>
      <c r="AA1295" s="145">
        <v>0</v>
      </c>
      <c r="AB1295" s="145">
        <v>0</v>
      </c>
      <c r="AC1295" s="145">
        <v>0</v>
      </c>
      <c r="AD1295" s="145">
        <v>0</v>
      </c>
      <c r="AE1295" s="145">
        <v>0</v>
      </c>
      <c r="AF1295" s="145">
        <v>0</v>
      </c>
      <c r="AG1295" s="145">
        <v>0</v>
      </c>
      <c r="AH1295" s="145">
        <v>0</v>
      </c>
      <c r="AI1295" s="145">
        <v>0</v>
      </c>
      <c r="AJ1295" s="145">
        <v>0</v>
      </c>
      <c r="AK1295" s="145">
        <f t="shared" si="429"/>
        <v>0</v>
      </c>
      <c r="AL1295" s="145">
        <v>35574.74</v>
      </c>
      <c r="AM1295" s="145">
        <v>17787.41</v>
      </c>
      <c r="AN1295" s="145">
        <v>0</v>
      </c>
      <c r="AO1295" s="145">
        <v>0</v>
      </c>
      <c r="AP1295" s="145">
        <v>0</v>
      </c>
      <c r="AQ1295" s="145">
        <v>0</v>
      </c>
      <c r="AR1295" s="145">
        <v>0</v>
      </c>
      <c r="AS1295" s="144">
        <f t="shared" si="431"/>
        <v>53362.149999999994</v>
      </c>
      <c r="AT1295" s="144">
        <v>0</v>
      </c>
      <c r="AU1295" s="146">
        <f t="shared" si="428"/>
        <v>53362.149999999994</v>
      </c>
      <c r="AV1295" s="146">
        <f>IFERROR(VLOOKUP(J1295,Maksājumu_pieprasījumu_iesn.!G:BL,57,0),0)</f>
        <v>0</v>
      </c>
      <c r="AW1295" s="139">
        <f t="shared" si="421"/>
        <v>-53362.149999999994</v>
      </c>
      <c r="AX1295" s="147">
        <f t="shared" si="430"/>
        <v>0</v>
      </c>
      <c r="AY1295" s="147"/>
      <c r="AZ1295" s="147"/>
      <c r="BA1295" s="149"/>
      <c r="BB1295" s="144"/>
      <c r="BC1295" s="144"/>
      <c r="BD1295" s="144"/>
      <c r="BE1295" s="144"/>
      <c r="BF1295" s="144"/>
      <c r="BG1295" s="144"/>
      <c r="BH1295" s="149"/>
      <c r="BI1295" s="149"/>
      <c r="BJ1295" s="149"/>
      <c r="BK1295" s="149"/>
      <c r="BL1295" s="149"/>
      <c r="BM1295" s="149"/>
      <c r="BN1295" s="149"/>
    </row>
    <row r="1296" spans="1:66" ht="38.25" hidden="1" customHeight="1" x14ac:dyDescent="0.2">
      <c r="A1296" s="142" t="s">
        <v>2279</v>
      </c>
      <c r="B1296" s="18" t="s">
        <v>406</v>
      </c>
      <c r="C1296" s="18" t="s">
        <v>411</v>
      </c>
      <c r="D1296" s="19" t="s">
        <v>606</v>
      </c>
      <c r="E1296" s="18">
        <v>1</v>
      </c>
      <c r="F1296" s="18" t="s">
        <v>402</v>
      </c>
      <c r="G1296" s="18" t="s">
        <v>77</v>
      </c>
      <c r="H1296" s="18" t="s">
        <v>3</v>
      </c>
      <c r="I1296" s="18"/>
      <c r="J1296" s="18" t="s">
        <v>2454</v>
      </c>
      <c r="K1296" s="19" t="s">
        <v>1232</v>
      </c>
      <c r="L1296" s="19"/>
      <c r="M1296" s="19"/>
      <c r="N1296" s="19" t="s">
        <v>2455</v>
      </c>
      <c r="O1296" s="143"/>
      <c r="P1296" s="143"/>
      <c r="Q1296" s="143"/>
      <c r="R1296" s="373" t="s">
        <v>2456</v>
      </c>
      <c r="S1296" s="144">
        <v>255378.25</v>
      </c>
      <c r="T1296" s="226"/>
      <c r="U1296" s="145">
        <v>0</v>
      </c>
      <c r="V1296" s="145">
        <v>0</v>
      </c>
      <c r="W1296" s="145">
        <v>0</v>
      </c>
      <c r="X1296" s="145">
        <f t="shared" si="423"/>
        <v>0</v>
      </c>
      <c r="Y1296" s="145">
        <v>0</v>
      </c>
      <c r="Z1296" s="145">
        <v>0</v>
      </c>
      <c r="AA1296" s="145">
        <v>0</v>
      </c>
      <c r="AB1296" s="145">
        <v>0</v>
      </c>
      <c r="AC1296" s="145">
        <v>0</v>
      </c>
      <c r="AD1296" s="145">
        <v>0</v>
      </c>
      <c r="AE1296" s="145">
        <v>0</v>
      </c>
      <c r="AF1296" s="145">
        <v>0</v>
      </c>
      <c r="AG1296" s="145">
        <v>0</v>
      </c>
      <c r="AH1296" s="145">
        <v>0</v>
      </c>
      <c r="AI1296" s="145">
        <v>0</v>
      </c>
      <c r="AJ1296" s="145">
        <v>0</v>
      </c>
      <c r="AK1296" s="145">
        <f t="shared" si="429"/>
        <v>0</v>
      </c>
      <c r="AL1296" s="145">
        <v>170136</v>
      </c>
      <c r="AM1296" s="145">
        <v>85242.25</v>
      </c>
      <c r="AN1296" s="145">
        <v>0</v>
      </c>
      <c r="AO1296" s="145">
        <v>0</v>
      </c>
      <c r="AP1296" s="145">
        <v>0</v>
      </c>
      <c r="AQ1296" s="145">
        <v>0</v>
      </c>
      <c r="AR1296" s="145">
        <v>0</v>
      </c>
      <c r="AS1296" s="144">
        <f t="shared" si="431"/>
        <v>255378.25</v>
      </c>
      <c r="AT1296" s="144">
        <v>0</v>
      </c>
      <c r="AU1296" s="146">
        <f t="shared" si="428"/>
        <v>255378.25</v>
      </c>
      <c r="AV1296" s="146">
        <f>IFERROR(VLOOKUP(J1296,Maksājumu_pieprasījumu_iesn.!G:BL,57,0),0)</f>
        <v>0</v>
      </c>
      <c r="AW1296" s="139">
        <f t="shared" ref="AW1296:AW1359" si="432">AV1296-AU1296</f>
        <v>-255378.25</v>
      </c>
      <c r="AX1296" s="147">
        <f t="shared" si="430"/>
        <v>0</v>
      </c>
      <c r="AY1296" s="147"/>
      <c r="AZ1296" s="147"/>
      <c r="BA1296" s="149"/>
      <c r="BB1296" s="144"/>
      <c r="BC1296" s="144"/>
      <c r="BD1296" s="144"/>
      <c r="BE1296" s="144"/>
      <c r="BF1296" s="144"/>
      <c r="BG1296" s="144"/>
      <c r="BH1296" s="149"/>
      <c r="BI1296" s="149"/>
      <c r="BJ1296" s="149"/>
      <c r="BK1296" s="149"/>
      <c r="BL1296" s="149"/>
      <c r="BM1296" s="149"/>
      <c r="BN1296" s="149"/>
    </row>
    <row r="1297" spans="1:66" ht="51" hidden="1" customHeight="1" x14ac:dyDescent="0.2">
      <c r="A1297" s="142" t="s">
        <v>2279</v>
      </c>
      <c r="B1297" s="18" t="s">
        <v>406</v>
      </c>
      <c r="C1297" s="18" t="s">
        <v>411</v>
      </c>
      <c r="D1297" s="19" t="s">
        <v>606</v>
      </c>
      <c r="E1297" s="22">
        <v>1</v>
      </c>
      <c r="F1297" s="18" t="s">
        <v>402</v>
      </c>
      <c r="G1297" s="18" t="s">
        <v>77</v>
      </c>
      <c r="H1297" s="18" t="s">
        <v>3</v>
      </c>
      <c r="I1297" s="18"/>
      <c r="J1297" s="18" t="s">
        <v>2457</v>
      </c>
      <c r="K1297" s="19" t="s">
        <v>2458</v>
      </c>
      <c r="L1297" s="19"/>
      <c r="M1297" s="19"/>
      <c r="N1297" s="19" t="s">
        <v>2459</v>
      </c>
      <c r="O1297" s="143"/>
      <c r="P1297" s="143"/>
      <c r="Q1297" s="143"/>
      <c r="R1297" s="373" t="s">
        <v>2460</v>
      </c>
      <c r="S1297" s="144">
        <v>55115.7</v>
      </c>
      <c r="T1297" s="226"/>
      <c r="U1297" s="145">
        <v>0</v>
      </c>
      <c r="V1297" s="145">
        <v>0</v>
      </c>
      <c r="W1297" s="145">
        <v>0</v>
      </c>
      <c r="X1297" s="145">
        <f t="shared" si="423"/>
        <v>0</v>
      </c>
      <c r="Y1297" s="145">
        <v>0</v>
      </c>
      <c r="Z1297" s="145">
        <v>0</v>
      </c>
      <c r="AA1297" s="145">
        <v>0</v>
      </c>
      <c r="AB1297" s="145">
        <v>0</v>
      </c>
      <c r="AC1297" s="145">
        <v>0</v>
      </c>
      <c r="AD1297" s="145">
        <v>0</v>
      </c>
      <c r="AE1297" s="145">
        <v>0</v>
      </c>
      <c r="AF1297" s="145">
        <v>0</v>
      </c>
      <c r="AG1297" s="145">
        <v>0</v>
      </c>
      <c r="AH1297" s="145">
        <v>0</v>
      </c>
      <c r="AI1297" s="145">
        <v>0</v>
      </c>
      <c r="AJ1297" s="145">
        <v>0</v>
      </c>
      <c r="AK1297" s="145">
        <f t="shared" si="429"/>
        <v>0</v>
      </c>
      <c r="AL1297" s="145">
        <v>36743.800000000003</v>
      </c>
      <c r="AM1297" s="145">
        <v>18371.900000000001</v>
      </c>
      <c r="AN1297" s="145">
        <v>0</v>
      </c>
      <c r="AO1297" s="145">
        <v>0</v>
      </c>
      <c r="AP1297" s="145">
        <v>0</v>
      </c>
      <c r="AQ1297" s="145">
        <v>0</v>
      </c>
      <c r="AR1297" s="145">
        <v>0</v>
      </c>
      <c r="AS1297" s="144">
        <f t="shared" si="431"/>
        <v>55115.700000000004</v>
      </c>
      <c r="AT1297" s="144">
        <v>0</v>
      </c>
      <c r="AU1297" s="146">
        <f t="shared" si="428"/>
        <v>55115.700000000004</v>
      </c>
      <c r="AV1297" s="146">
        <f>IFERROR(VLOOKUP(J1297,Maksājumu_pieprasījumu_iesn.!G:BL,57,0),0)</f>
        <v>0</v>
      </c>
      <c r="AW1297" s="139">
        <f t="shared" si="432"/>
        <v>-55115.700000000004</v>
      </c>
      <c r="AX1297" s="147">
        <f t="shared" si="430"/>
        <v>0</v>
      </c>
      <c r="AY1297" s="147"/>
      <c r="AZ1297" s="147"/>
      <c r="BA1297" s="149"/>
      <c r="BB1297" s="144"/>
      <c r="BC1297" s="144"/>
      <c r="BD1297" s="144"/>
      <c r="BE1297" s="144"/>
      <c r="BF1297" s="144"/>
      <c r="BG1297" s="144"/>
      <c r="BH1297" s="149"/>
      <c r="BI1297" s="149"/>
      <c r="BJ1297" s="149"/>
      <c r="BK1297" s="149"/>
      <c r="BL1297" s="149"/>
      <c r="BM1297" s="149"/>
      <c r="BN1297" s="149"/>
    </row>
    <row r="1298" spans="1:66" ht="51" hidden="1" customHeight="1" x14ac:dyDescent="0.2">
      <c r="A1298" s="142" t="s">
        <v>2279</v>
      </c>
      <c r="B1298" s="18" t="s">
        <v>406</v>
      </c>
      <c r="C1298" s="18" t="s">
        <v>411</v>
      </c>
      <c r="D1298" s="19" t="s">
        <v>606</v>
      </c>
      <c r="E1298" s="18">
        <v>1</v>
      </c>
      <c r="F1298" s="18" t="s">
        <v>402</v>
      </c>
      <c r="G1298" s="18" t="s">
        <v>77</v>
      </c>
      <c r="H1298" s="18" t="s">
        <v>3</v>
      </c>
      <c r="I1298" s="18"/>
      <c r="J1298" s="18" t="s">
        <v>2461</v>
      </c>
      <c r="K1298" s="19" t="s">
        <v>1291</v>
      </c>
      <c r="L1298" s="19"/>
      <c r="M1298" s="19"/>
      <c r="N1298" s="19" t="s">
        <v>2462</v>
      </c>
      <c r="O1298" s="143"/>
      <c r="P1298" s="143"/>
      <c r="Q1298" s="143"/>
      <c r="R1298" s="373" t="s">
        <v>2377</v>
      </c>
      <c r="S1298" s="144">
        <v>202678.25</v>
      </c>
      <c r="T1298" s="226"/>
      <c r="U1298" s="145">
        <v>0</v>
      </c>
      <c r="V1298" s="145">
        <v>0</v>
      </c>
      <c r="W1298" s="145">
        <v>0</v>
      </c>
      <c r="X1298" s="145">
        <f t="shared" si="423"/>
        <v>0</v>
      </c>
      <c r="Y1298" s="145">
        <v>0</v>
      </c>
      <c r="Z1298" s="145">
        <v>0</v>
      </c>
      <c r="AA1298" s="145">
        <v>0</v>
      </c>
      <c r="AB1298" s="145">
        <v>0</v>
      </c>
      <c r="AC1298" s="145">
        <v>0</v>
      </c>
      <c r="AD1298" s="145">
        <v>0</v>
      </c>
      <c r="AE1298" s="145">
        <v>0</v>
      </c>
      <c r="AF1298" s="145">
        <v>0</v>
      </c>
      <c r="AG1298" s="145">
        <v>0</v>
      </c>
      <c r="AH1298" s="145">
        <v>0</v>
      </c>
      <c r="AI1298" s="145">
        <v>0</v>
      </c>
      <c r="AJ1298" s="145">
        <v>0</v>
      </c>
      <c r="AK1298" s="145">
        <f t="shared" si="429"/>
        <v>0</v>
      </c>
      <c r="AL1298" s="145">
        <v>136000</v>
      </c>
      <c r="AM1298" s="145">
        <v>66678.25</v>
      </c>
      <c r="AN1298" s="145">
        <v>0</v>
      </c>
      <c r="AO1298" s="145">
        <v>0</v>
      </c>
      <c r="AP1298" s="145">
        <v>0</v>
      </c>
      <c r="AQ1298" s="145">
        <v>0</v>
      </c>
      <c r="AR1298" s="145">
        <v>0</v>
      </c>
      <c r="AS1298" s="144">
        <f t="shared" si="431"/>
        <v>202678.25</v>
      </c>
      <c r="AT1298" s="144">
        <v>0</v>
      </c>
      <c r="AU1298" s="146">
        <f t="shared" si="428"/>
        <v>202678.25</v>
      </c>
      <c r="AV1298" s="146">
        <f>IFERROR(VLOOKUP(J1298,Maksājumu_pieprasījumu_iesn.!G:BL,57,0),0)</f>
        <v>0</v>
      </c>
      <c r="AW1298" s="139">
        <f t="shared" si="432"/>
        <v>-202678.25</v>
      </c>
      <c r="AX1298" s="147">
        <f t="shared" si="430"/>
        <v>0</v>
      </c>
      <c r="AY1298" s="147"/>
      <c r="AZ1298" s="147"/>
      <c r="BA1298" s="149"/>
      <c r="BB1298" s="144"/>
      <c r="BC1298" s="144"/>
      <c r="BD1298" s="144"/>
      <c r="BE1298" s="144"/>
      <c r="BF1298" s="144"/>
      <c r="BG1298" s="144"/>
      <c r="BH1298" s="149"/>
      <c r="BI1298" s="149"/>
      <c r="BJ1298" s="149"/>
      <c r="BK1298" s="149"/>
      <c r="BL1298" s="149"/>
      <c r="BM1298" s="149"/>
      <c r="BN1298" s="149"/>
    </row>
    <row r="1299" spans="1:66" ht="51" hidden="1" customHeight="1" x14ac:dyDescent="0.2">
      <c r="A1299" s="142" t="s">
        <v>2279</v>
      </c>
      <c r="B1299" s="18" t="s">
        <v>406</v>
      </c>
      <c r="C1299" s="18" t="s">
        <v>411</v>
      </c>
      <c r="D1299" s="19" t="s">
        <v>606</v>
      </c>
      <c r="E1299" s="22">
        <v>1</v>
      </c>
      <c r="F1299" s="18" t="s">
        <v>402</v>
      </c>
      <c r="G1299" s="18" t="s">
        <v>77</v>
      </c>
      <c r="H1299" s="18" t="s">
        <v>3</v>
      </c>
      <c r="I1299" s="18"/>
      <c r="J1299" s="18" t="s">
        <v>2463</v>
      </c>
      <c r="K1299" s="19" t="s">
        <v>711</v>
      </c>
      <c r="L1299" s="19"/>
      <c r="M1299" s="19"/>
      <c r="N1299" s="19" t="s">
        <v>2464</v>
      </c>
      <c r="O1299" s="143"/>
      <c r="P1299" s="143"/>
      <c r="Q1299" s="143"/>
      <c r="R1299" s="373" t="s">
        <v>2465</v>
      </c>
      <c r="S1299" s="144">
        <v>250848.84</v>
      </c>
      <c r="T1299" s="226"/>
      <c r="U1299" s="145">
        <v>0</v>
      </c>
      <c r="V1299" s="145">
        <v>0</v>
      </c>
      <c r="W1299" s="145">
        <v>0</v>
      </c>
      <c r="X1299" s="145">
        <f t="shared" si="423"/>
        <v>0</v>
      </c>
      <c r="Y1299" s="145">
        <v>0</v>
      </c>
      <c r="Z1299" s="145">
        <v>0</v>
      </c>
      <c r="AA1299" s="145">
        <v>0</v>
      </c>
      <c r="AB1299" s="145">
        <v>0</v>
      </c>
      <c r="AC1299" s="145">
        <v>0</v>
      </c>
      <c r="AD1299" s="145">
        <v>0</v>
      </c>
      <c r="AE1299" s="145">
        <v>0</v>
      </c>
      <c r="AF1299" s="145">
        <v>0</v>
      </c>
      <c r="AG1299" s="145">
        <v>0</v>
      </c>
      <c r="AH1299" s="145">
        <v>0</v>
      </c>
      <c r="AI1299" s="145">
        <v>0</v>
      </c>
      <c r="AJ1299" s="145">
        <v>0</v>
      </c>
      <c r="AK1299" s="145">
        <f t="shared" si="429"/>
        <v>0</v>
      </c>
      <c r="AL1299" s="145">
        <v>166834.41999999998</v>
      </c>
      <c r="AM1299" s="145">
        <v>84014.42</v>
      </c>
      <c r="AN1299" s="145">
        <v>0</v>
      </c>
      <c r="AO1299" s="145">
        <v>0</v>
      </c>
      <c r="AP1299" s="145">
        <v>0</v>
      </c>
      <c r="AQ1299" s="145">
        <v>0</v>
      </c>
      <c r="AR1299" s="145">
        <v>0</v>
      </c>
      <c r="AS1299" s="144">
        <f t="shared" si="431"/>
        <v>250848.83999999997</v>
      </c>
      <c r="AT1299" s="144">
        <v>0</v>
      </c>
      <c r="AU1299" s="146">
        <f t="shared" si="428"/>
        <v>250848.83999999997</v>
      </c>
      <c r="AV1299" s="146">
        <f>IFERROR(VLOOKUP(J1299,Maksājumu_pieprasījumu_iesn.!G:BL,57,0),0)</f>
        <v>0</v>
      </c>
      <c r="AW1299" s="139">
        <f t="shared" si="432"/>
        <v>-250848.83999999997</v>
      </c>
      <c r="AX1299" s="147">
        <f t="shared" si="430"/>
        <v>0</v>
      </c>
      <c r="AY1299" s="147"/>
      <c r="AZ1299" s="147"/>
      <c r="BA1299" s="149"/>
      <c r="BB1299" s="144"/>
      <c r="BC1299" s="144"/>
      <c r="BD1299" s="144"/>
      <c r="BE1299" s="144"/>
      <c r="BF1299" s="144"/>
      <c r="BG1299" s="144"/>
      <c r="BH1299" s="149"/>
      <c r="BI1299" s="149"/>
      <c r="BJ1299" s="149"/>
      <c r="BK1299" s="149"/>
      <c r="BL1299" s="149"/>
      <c r="BM1299" s="149"/>
      <c r="BN1299" s="149"/>
    </row>
    <row r="1300" spans="1:66" ht="51" hidden="1" customHeight="1" x14ac:dyDescent="0.2">
      <c r="A1300" s="310" t="s">
        <v>2279</v>
      </c>
      <c r="B1300" s="238" t="s">
        <v>406</v>
      </c>
      <c r="C1300" s="238" t="s">
        <v>411</v>
      </c>
      <c r="D1300" s="239" t="s">
        <v>606</v>
      </c>
      <c r="E1300" s="18">
        <v>1</v>
      </c>
      <c r="F1300" s="238" t="s">
        <v>402</v>
      </c>
      <c r="G1300" s="238" t="s">
        <v>77</v>
      </c>
      <c r="H1300" s="238" t="s">
        <v>3</v>
      </c>
      <c r="I1300" s="238"/>
      <c r="J1300" s="238" t="s">
        <v>2466</v>
      </c>
      <c r="K1300" s="239" t="s">
        <v>1569</v>
      </c>
      <c r="L1300" s="239"/>
      <c r="M1300" s="239"/>
      <c r="N1300" s="239" t="s">
        <v>2467</v>
      </c>
      <c r="O1300" s="311"/>
      <c r="P1300" s="311"/>
      <c r="Q1300" s="311"/>
      <c r="R1300" s="376" t="s">
        <v>2468</v>
      </c>
      <c r="S1300" s="194">
        <v>0</v>
      </c>
      <c r="T1300" s="377"/>
      <c r="U1300" s="380">
        <v>0</v>
      </c>
      <c r="V1300" s="380">
        <v>0</v>
      </c>
      <c r="W1300" s="380">
        <v>0</v>
      </c>
      <c r="X1300" s="380"/>
      <c r="Y1300" s="380">
        <v>0</v>
      </c>
      <c r="Z1300" s="380">
        <v>0</v>
      </c>
      <c r="AA1300" s="380">
        <v>0</v>
      </c>
      <c r="AB1300" s="380">
        <v>0</v>
      </c>
      <c r="AC1300" s="380">
        <v>0</v>
      </c>
      <c r="AD1300" s="380">
        <v>0</v>
      </c>
      <c r="AE1300" s="380">
        <v>0</v>
      </c>
      <c r="AF1300" s="380">
        <v>0</v>
      </c>
      <c r="AG1300" s="380">
        <v>0</v>
      </c>
      <c r="AH1300" s="380">
        <v>0</v>
      </c>
      <c r="AI1300" s="380">
        <v>0</v>
      </c>
      <c r="AJ1300" s="380">
        <v>0</v>
      </c>
      <c r="AK1300" s="145">
        <f t="shared" si="429"/>
        <v>0</v>
      </c>
      <c r="AL1300" s="380">
        <v>0</v>
      </c>
      <c r="AM1300" s="380">
        <v>0</v>
      </c>
      <c r="AN1300" s="380">
        <v>0</v>
      </c>
      <c r="AO1300" s="380">
        <v>0</v>
      </c>
      <c r="AP1300" s="380">
        <v>0</v>
      </c>
      <c r="AQ1300" s="380">
        <v>0</v>
      </c>
      <c r="AR1300" s="380">
        <v>0</v>
      </c>
      <c r="AS1300" s="381">
        <f t="shared" si="431"/>
        <v>0</v>
      </c>
      <c r="AT1300" s="194">
        <v>0</v>
      </c>
      <c r="AU1300" s="146">
        <f t="shared" si="428"/>
        <v>0</v>
      </c>
      <c r="AV1300" s="146">
        <f>IFERROR(VLOOKUP(J1300,Maksājumu_pieprasījumu_iesn.!G:BL,57,0),0)</f>
        <v>0</v>
      </c>
      <c r="AW1300" s="139">
        <f t="shared" si="432"/>
        <v>0</v>
      </c>
      <c r="AX1300" s="147">
        <f t="shared" si="430"/>
        <v>0</v>
      </c>
      <c r="AY1300" s="194"/>
      <c r="AZ1300" s="194"/>
      <c r="BA1300" s="313" t="s">
        <v>2469</v>
      </c>
      <c r="BB1300" s="194"/>
      <c r="BC1300" s="194"/>
      <c r="BD1300" s="194"/>
      <c r="BE1300" s="194"/>
      <c r="BF1300" s="194"/>
      <c r="BG1300" s="194"/>
      <c r="BH1300" s="313"/>
      <c r="BI1300" s="313"/>
      <c r="BJ1300" s="313"/>
      <c r="BK1300" s="313"/>
      <c r="BL1300" s="313"/>
      <c r="BM1300" s="313"/>
      <c r="BN1300" s="313"/>
    </row>
    <row r="1301" spans="1:66" ht="51" hidden="1" customHeight="1" x14ac:dyDescent="0.2">
      <c r="A1301" s="142" t="s">
        <v>2279</v>
      </c>
      <c r="B1301" s="18" t="s">
        <v>406</v>
      </c>
      <c r="C1301" s="18" t="s">
        <v>411</v>
      </c>
      <c r="D1301" s="19" t="s">
        <v>606</v>
      </c>
      <c r="E1301" s="22">
        <v>1</v>
      </c>
      <c r="F1301" s="18" t="s">
        <v>402</v>
      </c>
      <c r="G1301" s="18" t="s">
        <v>77</v>
      </c>
      <c r="H1301" s="18" t="s">
        <v>3</v>
      </c>
      <c r="I1301" s="18"/>
      <c r="J1301" s="18" t="s">
        <v>2470</v>
      </c>
      <c r="K1301" s="19" t="s">
        <v>2471</v>
      </c>
      <c r="L1301" s="19"/>
      <c r="M1301" s="19"/>
      <c r="N1301" s="19" t="s">
        <v>2472</v>
      </c>
      <c r="O1301" s="143"/>
      <c r="P1301" s="143"/>
      <c r="Q1301" s="143"/>
      <c r="R1301" s="373" t="s">
        <v>2473</v>
      </c>
      <c r="S1301" s="144">
        <v>172146.25</v>
      </c>
      <c r="T1301" s="226"/>
      <c r="U1301" s="145">
        <v>0</v>
      </c>
      <c r="V1301" s="145">
        <v>0</v>
      </c>
      <c r="W1301" s="145">
        <v>0</v>
      </c>
      <c r="X1301" s="145">
        <f t="shared" ref="X1301:X1312" si="433">W1301+V1301+U1301</f>
        <v>0</v>
      </c>
      <c r="Y1301" s="145">
        <v>0</v>
      </c>
      <c r="Z1301" s="145">
        <v>0</v>
      </c>
      <c r="AA1301" s="145">
        <v>0</v>
      </c>
      <c r="AB1301" s="145">
        <v>0</v>
      </c>
      <c r="AC1301" s="145">
        <v>0</v>
      </c>
      <c r="AD1301" s="145">
        <v>0</v>
      </c>
      <c r="AE1301" s="145">
        <v>0</v>
      </c>
      <c r="AF1301" s="145">
        <v>0</v>
      </c>
      <c r="AG1301" s="145">
        <v>0</v>
      </c>
      <c r="AH1301" s="145">
        <v>0</v>
      </c>
      <c r="AI1301" s="145">
        <v>0</v>
      </c>
      <c r="AJ1301" s="145">
        <v>0</v>
      </c>
      <c r="AK1301" s="145">
        <f t="shared" si="429"/>
        <v>0</v>
      </c>
      <c r="AL1301" s="145">
        <v>114764.16</v>
      </c>
      <c r="AM1301" s="145">
        <v>57382.09</v>
      </c>
      <c r="AN1301" s="145">
        <v>0</v>
      </c>
      <c r="AO1301" s="145">
        <v>0</v>
      </c>
      <c r="AP1301" s="145">
        <v>0</v>
      </c>
      <c r="AQ1301" s="145">
        <v>0</v>
      </c>
      <c r="AR1301" s="145">
        <v>0</v>
      </c>
      <c r="AS1301" s="144">
        <f t="shared" si="431"/>
        <v>172146.25</v>
      </c>
      <c r="AT1301" s="144">
        <v>0</v>
      </c>
      <c r="AU1301" s="146">
        <f t="shared" si="428"/>
        <v>172146.25</v>
      </c>
      <c r="AV1301" s="146">
        <f>IFERROR(VLOOKUP(J1301,Maksājumu_pieprasījumu_iesn.!G:BL,57,0),0)</f>
        <v>0</v>
      </c>
      <c r="AW1301" s="139">
        <f t="shared" si="432"/>
        <v>-172146.25</v>
      </c>
      <c r="AX1301" s="147">
        <f t="shared" si="430"/>
        <v>0</v>
      </c>
      <c r="AY1301" s="147"/>
      <c r="AZ1301" s="147"/>
      <c r="BA1301" s="149"/>
      <c r="BB1301" s="144"/>
      <c r="BC1301" s="144"/>
      <c r="BD1301" s="144"/>
      <c r="BE1301" s="144"/>
      <c r="BF1301" s="144"/>
      <c r="BG1301" s="144"/>
      <c r="BH1301" s="149"/>
      <c r="BI1301" s="149"/>
      <c r="BJ1301" s="149"/>
      <c r="BK1301" s="149"/>
      <c r="BL1301" s="149"/>
      <c r="BM1301" s="149"/>
      <c r="BN1301" s="149"/>
    </row>
    <row r="1302" spans="1:66" ht="51" hidden="1" customHeight="1" x14ac:dyDescent="0.2">
      <c r="A1302" s="142" t="s">
        <v>2279</v>
      </c>
      <c r="B1302" s="18" t="s">
        <v>406</v>
      </c>
      <c r="C1302" s="18" t="s">
        <v>411</v>
      </c>
      <c r="D1302" s="19" t="s">
        <v>606</v>
      </c>
      <c r="E1302" s="18">
        <v>1</v>
      </c>
      <c r="F1302" s="18" t="s">
        <v>402</v>
      </c>
      <c r="G1302" s="18" t="s">
        <v>77</v>
      </c>
      <c r="H1302" s="18" t="s">
        <v>3</v>
      </c>
      <c r="I1302" s="18"/>
      <c r="J1302" s="18" t="s">
        <v>445</v>
      </c>
      <c r="K1302" s="19" t="s">
        <v>446</v>
      </c>
      <c r="L1302" s="19"/>
      <c r="M1302" s="19"/>
      <c r="N1302" s="19" t="s">
        <v>447</v>
      </c>
      <c r="O1302" s="143"/>
      <c r="P1302" s="143"/>
      <c r="Q1302" s="143"/>
      <c r="R1302" s="373">
        <v>42830</v>
      </c>
      <c r="S1302" s="144">
        <v>20542.8</v>
      </c>
      <c r="T1302" s="226"/>
      <c r="U1302" s="378">
        <v>0</v>
      </c>
      <c r="V1302" s="378">
        <v>0</v>
      </c>
      <c r="W1302" s="378">
        <v>0</v>
      </c>
      <c r="X1302" s="145">
        <f t="shared" si="433"/>
        <v>0</v>
      </c>
      <c r="Y1302" s="378">
        <v>0</v>
      </c>
      <c r="Z1302" s="378">
        <v>0</v>
      </c>
      <c r="AA1302" s="378">
        <v>0</v>
      </c>
      <c r="AB1302" s="378">
        <v>0</v>
      </c>
      <c r="AC1302" s="378">
        <v>0</v>
      </c>
      <c r="AD1302" s="378">
        <v>0</v>
      </c>
      <c r="AE1302" s="379">
        <v>2125</v>
      </c>
      <c r="AF1302" s="378">
        <v>0</v>
      </c>
      <c r="AG1302" s="378">
        <v>0</v>
      </c>
      <c r="AH1302" s="378">
        <v>1700</v>
      </c>
      <c r="AI1302" s="378">
        <v>0</v>
      </c>
      <c r="AJ1302" s="378">
        <v>0</v>
      </c>
      <c r="AK1302" s="145">
        <f t="shared" si="429"/>
        <v>3825</v>
      </c>
      <c r="AL1302" s="378">
        <v>8245</v>
      </c>
      <c r="AM1302" s="378">
        <v>6418.52</v>
      </c>
      <c r="AN1302" s="378">
        <v>2054.2800000000002</v>
      </c>
      <c r="AO1302" s="378">
        <v>0</v>
      </c>
      <c r="AP1302" s="378">
        <v>0</v>
      </c>
      <c r="AQ1302" s="378">
        <v>0</v>
      </c>
      <c r="AR1302" s="378">
        <v>0</v>
      </c>
      <c r="AS1302" s="375">
        <f t="shared" si="431"/>
        <v>20542.8</v>
      </c>
      <c r="AT1302" s="147">
        <v>0</v>
      </c>
      <c r="AU1302" s="146">
        <f t="shared" si="428"/>
        <v>20542.8</v>
      </c>
      <c r="AV1302" s="146">
        <f>IFERROR(VLOOKUP(J1302,Maksājumu_pieprasījumu_iesn.!G:BL,57,0),0)</f>
        <v>0</v>
      </c>
      <c r="AW1302" s="139">
        <f t="shared" si="432"/>
        <v>-20542.8</v>
      </c>
      <c r="AX1302" s="147">
        <f t="shared" si="430"/>
        <v>0</v>
      </c>
      <c r="AY1302" s="147"/>
      <c r="AZ1302" s="147"/>
      <c r="BA1302" s="149"/>
      <c r="BB1302" s="144"/>
      <c r="BC1302" s="144"/>
      <c r="BD1302" s="144"/>
      <c r="BE1302" s="144"/>
      <c r="BF1302" s="144"/>
      <c r="BG1302" s="144"/>
      <c r="BH1302" s="149"/>
      <c r="BI1302" s="149"/>
      <c r="BJ1302" s="149"/>
      <c r="BK1302" s="149"/>
      <c r="BL1302" s="149"/>
      <c r="BM1302" s="149"/>
      <c r="BN1302" s="149"/>
    </row>
    <row r="1303" spans="1:66" ht="51" hidden="1" customHeight="1" x14ac:dyDescent="0.2">
      <c r="A1303" s="142" t="s">
        <v>2279</v>
      </c>
      <c r="B1303" s="18" t="s">
        <v>406</v>
      </c>
      <c r="C1303" s="18" t="s">
        <v>411</v>
      </c>
      <c r="D1303" s="19" t="s">
        <v>606</v>
      </c>
      <c r="E1303" s="22">
        <v>1</v>
      </c>
      <c r="F1303" s="18" t="s">
        <v>402</v>
      </c>
      <c r="G1303" s="18" t="s">
        <v>77</v>
      </c>
      <c r="H1303" s="18" t="s">
        <v>3</v>
      </c>
      <c r="I1303" s="18"/>
      <c r="J1303" s="18" t="s">
        <v>445</v>
      </c>
      <c r="K1303" s="19" t="s">
        <v>446</v>
      </c>
      <c r="L1303" s="19"/>
      <c r="M1303" s="19"/>
      <c r="N1303" s="19" t="s">
        <v>447</v>
      </c>
      <c r="O1303" s="143" t="s">
        <v>880</v>
      </c>
      <c r="P1303" s="143"/>
      <c r="Q1303" s="143"/>
      <c r="R1303" s="373"/>
      <c r="S1303" s="144"/>
      <c r="T1303" s="226"/>
      <c r="U1303" s="378"/>
      <c r="V1303" s="378"/>
      <c r="W1303" s="378"/>
      <c r="X1303" s="145">
        <f t="shared" si="433"/>
        <v>0</v>
      </c>
      <c r="Y1303" s="378"/>
      <c r="Z1303" s="378"/>
      <c r="AA1303" s="378"/>
      <c r="AB1303" s="378"/>
      <c r="AC1303" s="378">
        <v>844.3</v>
      </c>
      <c r="AD1303" s="378"/>
      <c r="AE1303" s="378"/>
      <c r="AF1303" s="378"/>
      <c r="AG1303" s="378"/>
      <c r="AH1303" s="378">
        <v>1700</v>
      </c>
      <c r="AI1303" s="378"/>
      <c r="AJ1303" s="378"/>
      <c r="AK1303" s="145">
        <f t="shared" si="429"/>
        <v>2544.3000000000002</v>
      </c>
      <c r="AL1303" s="378">
        <v>3825</v>
      </c>
      <c r="AM1303" s="378">
        <v>3825</v>
      </c>
      <c r="AN1303" s="378"/>
      <c r="AO1303" s="378"/>
      <c r="AP1303" s="378"/>
      <c r="AQ1303" s="378"/>
      <c r="AR1303" s="378"/>
      <c r="AS1303" s="86"/>
      <c r="AT1303" s="375">
        <f>U1303+V1303+W1303+AK1303+AL1303+AM1303+AN1303+AO1303+AP1303+AQ1303+AR1303</f>
        <v>10194.299999999999</v>
      </c>
      <c r="AU1303" s="146"/>
      <c r="AV1303" s="146">
        <f>IFERROR(VLOOKUP(J1303,Maksājumu_pieprasījumu_iesn.!G:BL,57,0),0)</f>
        <v>0</v>
      </c>
      <c r="AW1303" s="139">
        <f t="shared" si="432"/>
        <v>0</v>
      </c>
      <c r="AX1303" s="147">
        <f t="shared" si="430"/>
        <v>0</v>
      </c>
      <c r="AY1303" s="147"/>
      <c r="AZ1303" s="147"/>
      <c r="BA1303" s="149"/>
      <c r="BB1303" s="144"/>
      <c r="BC1303" s="144"/>
      <c r="BD1303" s="144"/>
      <c r="BE1303" s="144"/>
      <c r="BF1303" s="144"/>
      <c r="BG1303" s="144"/>
      <c r="BH1303" s="149"/>
      <c r="BI1303" s="149"/>
      <c r="BJ1303" s="149"/>
      <c r="BK1303" s="149"/>
      <c r="BL1303" s="149"/>
      <c r="BM1303" s="149"/>
      <c r="BN1303" s="149"/>
    </row>
    <row r="1304" spans="1:66" ht="51" hidden="1" customHeight="1" x14ac:dyDescent="0.2">
      <c r="A1304" s="142" t="s">
        <v>2279</v>
      </c>
      <c r="B1304" s="18" t="s">
        <v>406</v>
      </c>
      <c r="C1304" s="18" t="s">
        <v>411</v>
      </c>
      <c r="D1304" s="19" t="s">
        <v>606</v>
      </c>
      <c r="E1304" s="18">
        <v>1</v>
      </c>
      <c r="F1304" s="18" t="s">
        <v>402</v>
      </c>
      <c r="G1304" s="18" t="s">
        <v>77</v>
      </c>
      <c r="H1304" s="18" t="s">
        <v>3</v>
      </c>
      <c r="I1304" s="18"/>
      <c r="J1304" s="18" t="s">
        <v>2474</v>
      </c>
      <c r="K1304" s="19" t="s">
        <v>2475</v>
      </c>
      <c r="L1304" s="19"/>
      <c r="M1304" s="19"/>
      <c r="N1304" s="19" t="s">
        <v>2476</v>
      </c>
      <c r="O1304" s="143"/>
      <c r="P1304" s="143"/>
      <c r="Q1304" s="143"/>
      <c r="R1304" s="373" t="s">
        <v>2477</v>
      </c>
      <c r="S1304" s="144">
        <v>58949.2</v>
      </c>
      <c r="T1304" s="226"/>
      <c r="U1304" s="145">
        <v>0</v>
      </c>
      <c r="V1304" s="145">
        <v>0</v>
      </c>
      <c r="W1304" s="145">
        <v>0</v>
      </c>
      <c r="X1304" s="145">
        <f t="shared" si="433"/>
        <v>0</v>
      </c>
      <c r="Y1304" s="145">
        <v>0</v>
      </c>
      <c r="Z1304" s="145">
        <v>0</v>
      </c>
      <c r="AA1304" s="145">
        <v>0</v>
      </c>
      <c r="AB1304" s="145">
        <v>0</v>
      </c>
      <c r="AC1304" s="145">
        <v>0</v>
      </c>
      <c r="AD1304" s="145">
        <v>0</v>
      </c>
      <c r="AE1304" s="145">
        <v>0</v>
      </c>
      <c r="AF1304" s="145">
        <v>0</v>
      </c>
      <c r="AG1304" s="145">
        <v>0</v>
      </c>
      <c r="AH1304" s="145">
        <v>0</v>
      </c>
      <c r="AI1304" s="145">
        <v>0</v>
      </c>
      <c r="AJ1304" s="145">
        <v>0</v>
      </c>
      <c r="AK1304" s="145">
        <f t="shared" si="429"/>
        <v>0</v>
      </c>
      <c r="AL1304" s="145">
        <v>39299.480000000003</v>
      </c>
      <c r="AM1304" s="145">
        <v>19649.72</v>
      </c>
      <c r="AN1304" s="145">
        <v>0</v>
      </c>
      <c r="AO1304" s="145">
        <v>0</v>
      </c>
      <c r="AP1304" s="145">
        <v>0</v>
      </c>
      <c r="AQ1304" s="145">
        <v>0</v>
      </c>
      <c r="AR1304" s="145">
        <v>0</v>
      </c>
      <c r="AS1304" s="144">
        <f t="shared" ref="AS1304:AS1311" si="434">U1304+V1304+W1304+AK1304+AL1304+AM1304+AN1304+AO1304+AP1304+AQ1304+AR1304</f>
        <v>58949.200000000004</v>
      </c>
      <c r="AT1304" s="144">
        <v>0</v>
      </c>
      <c r="AU1304" s="146">
        <f t="shared" si="428"/>
        <v>58949.200000000004</v>
      </c>
      <c r="AV1304" s="146">
        <f>IFERROR(VLOOKUP(J1304,Maksājumu_pieprasījumu_iesn.!G:BL,57,0),0)</f>
        <v>0</v>
      </c>
      <c r="AW1304" s="139">
        <f t="shared" si="432"/>
        <v>-58949.200000000004</v>
      </c>
      <c r="AX1304" s="147">
        <f t="shared" si="430"/>
        <v>0</v>
      </c>
      <c r="AY1304" s="147"/>
      <c r="AZ1304" s="147"/>
      <c r="BA1304" s="149"/>
      <c r="BB1304" s="144"/>
      <c r="BC1304" s="144"/>
      <c r="BD1304" s="144"/>
      <c r="BE1304" s="144"/>
      <c r="BF1304" s="144"/>
      <c r="BG1304" s="144"/>
      <c r="BH1304" s="149"/>
      <c r="BI1304" s="149"/>
      <c r="BJ1304" s="149"/>
      <c r="BK1304" s="149"/>
      <c r="BL1304" s="149"/>
      <c r="BM1304" s="149"/>
      <c r="BN1304" s="149"/>
    </row>
    <row r="1305" spans="1:66" ht="51" hidden="1" customHeight="1" x14ac:dyDescent="0.2">
      <c r="A1305" s="142" t="s">
        <v>2279</v>
      </c>
      <c r="B1305" s="18" t="s">
        <v>406</v>
      </c>
      <c r="C1305" s="18" t="s">
        <v>411</v>
      </c>
      <c r="D1305" s="19" t="s">
        <v>606</v>
      </c>
      <c r="E1305" s="22">
        <v>1</v>
      </c>
      <c r="F1305" s="18" t="s">
        <v>402</v>
      </c>
      <c r="G1305" s="18" t="s">
        <v>77</v>
      </c>
      <c r="H1305" s="18" t="s">
        <v>3</v>
      </c>
      <c r="I1305" s="18"/>
      <c r="J1305" s="18" t="s">
        <v>2478</v>
      </c>
      <c r="K1305" s="19" t="s">
        <v>1517</v>
      </c>
      <c r="L1305" s="19"/>
      <c r="M1305" s="19"/>
      <c r="N1305" s="19" t="s">
        <v>2479</v>
      </c>
      <c r="O1305" s="143"/>
      <c r="P1305" s="143"/>
      <c r="Q1305" s="143"/>
      <c r="R1305" s="373" t="s">
        <v>2353</v>
      </c>
      <c r="S1305" s="144">
        <v>92777.5</v>
      </c>
      <c r="T1305" s="226"/>
      <c r="U1305" s="145">
        <v>0</v>
      </c>
      <c r="V1305" s="145">
        <v>0</v>
      </c>
      <c r="W1305" s="145">
        <v>0</v>
      </c>
      <c r="X1305" s="145">
        <f t="shared" si="433"/>
        <v>0</v>
      </c>
      <c r="Y1305" s="145">
        <v>0</v>
      </c>
      <c r="Z1305" s="145">
        <v>0</v>
      </c>
      <c r="AA1305" s="145">
        <v>0</v>
      </c>
      <c r="AB1305" s="145">
        <v>0</v>
      </c>
      <c r="AC1305" s="145">
        <v>0</v>
      </c>
      <c r="AD1305" s="145">
        <v>0</v>
      </c>
      <c r="AE1305" s="145">
        <v>0</v>
      </c>
      <c r="AF1305" s="145">
        <v>0</v>
      </c>
      <c r="AG1305" s="145">
        <v>0</v>
      </c>
      <c r="AH1305" s="145">
        <v>0</v>
      </c>
      <c r="AI1305" s="145">
        <v>0</v>
      </c>
      <c r="AJ1305" s="145">
        <v>0</v>
      </c>
      <c r="AK1305" s="145">
        <f t="shared" si="429"/>
        <v>0</v>
      </c>
      <c r="AL1305" s="145">
        <v>64605.950000000004</v>
      </c>
      <c r="AM1305" s="145">
        <v>28171.55</v>
      </c>
      <c r="AN1305" s="145">
        <v>0</v>
      </c>
      <c r="AO1305" s="145">
        <v>0</v>
      </c>
      <c r="AP1305" s="145">
        <v>0</v>
      </c>
      <c r="AQ1305" s="145">
        <v>0</v>
      </c>
      <c r="AR1305" s="145">
        <v>0</v>
      </c>
      <c r="AS1305" s="144">
        <f t="shared" si="434"/>
        <v>92777.5</v>
      </c>
      <c r="AT1305" s="144">
        <v>0</v>
      </c>
      <c r="AU1305" s="146">
        <f t="shared" si="428"/>
        <v>92777.5</v>
      </c>
      <c r="AV1305" s="146">
        <f>IFERROR(VLOOKUP(J1305,Maksājumu_pieprasījumu_iesn.!G:BL,57,0),0)</f>
        <v>0</v>
      </c>
      <c r="AW1305" s="139">
        <f t="shared" si="432"/>
        <v>-92777.5</v>
      </c>
      <c r="AX1305" s="147">
        <f t="shared" si="430"/>
        <v>0</v>
      </c>
      <c r="AY1305" s="147"/>
      <c r="AZ1305" s="147"/>
      <c r="BA1305" s="149"/>
      <c r="BB1305" s="144"/>
      <c r="BC1305" s="144"/>
      <c r="BD1305" s="144"/>
      <c r="BE1305" s="144"/>
      <c r="BF1305" s="144"/>
      <c r="BG1305" s="144"/>
      <c r="BH1305" s="149"/>
      <c r="BI1305" s="149"/>
      <c r="BJ1305" s="149"/>
      <c r="BK1305" s="149"/>
      <c r="BL1305" s="149"/>
      <c r="BM1305" s="149"/>
      <c r="BN1305" s="149"/>
    </row>
    <row r="1306" spans="1:66" ht="51" hidden="1" customHeight="1" x14ac:dyDescent="0.2">
      <c r="A1306" s="142" t="s">
        <v>2279</v>
      </c>
      <c r="B1306" s="18" t="s">
        <v>406</v>
      </c>
      <c r="C1306" s="18" t="s">
        <v>411</v>
      </c>
      <c r="D1306" s="19" t="s">
        <v>606</v>
      </c>
      <c r="E1306" s="18">
        <v>1</v>
      </c>
      <c r="F1306" s="18" t="s">
        <v>402</v>
      </c>
      <c r="G1306" s="18" t="s">
        <v>77</v>
      </c>
      <c r="H1306" s="18" t="s">
        <v>3</v>
      </c>
      <c r="I1306" s="18"/>
      <c r="J1306" s="18" t="s">
        <v>734</v>
      </c>
      <c r="K1306" s="19" t="s">
        <v>527</v>
      </c>
      <c r="L1306" s="19"/>
      <c r="M1306" s="19"/>
      <c r="N1306" s="19" t="s">
        <v>735</v>
      </c>
      <c r="O1306" s="143"/>
      <c r="P1306" s="143"/>
      <c r="Q1306" s="143"/>
      <c r="R1306" s="373" t="s">
        <v>2465</v>
      </c>
      <c r="S1306" s="144">
        <v>843662.4</v>
      </c>
      <c r="T1306" s="226"/>
      <c r="U1306" s="145">
        <v>0</v>
      </c>
      <c r="V1306" s="145">
        <v>0</v>
      </c>
      <c r="W1306" s="145">
        <v>0</v>
      </c>
      <c r="X1306" s="145">
        <f t="shared" si="433"/>
        <v>0</v>
      </c>
      <c r="Y1306" s="145">
        <v>0</v>
      </c>
      <c r="Z1306" s="145">
        <v>0</v>
      </c>
      <c r="AA1306" s="145">
        <v>0</v>
      </c>
      <c r="AB1306" s="145">
        <v>0</v>
      </c>
      <c r="AC1306" s="145">
        <v>8436.6200000000008</v>
      </c>
      <c r="AD1306" s="145">
        <v>0</v>
      </c>
      <c r="AE1306" s="145">
        <v>0</v>
      </c>
      <c r="AF1306" s="145">
        <v>0</v>
      </c>
      <c r="AG1306" s="145">
        <v>0</v>
      </c>
      <c r="AH1306" s="145">
        <v>0</v>
      </c>
      <c r="AI1306" s="145">
        <v>0</v>
      </c>
      <c r="AJ1306" s="145">
        <v>0</v>
      </c>
      <c r="AK1306" s="145">
        <f t="shared" si="429"/>
        <v>8436.6200000000008</v>
      </c>
      <c r="AL1306" s="145">
        <v>584652.04</v>
      </c>
      <c r="AM1306" s="145">
        <v>250573.74</v>
      </c>
      <c r="AN1306" s="145">
        <v>0</v>
      </c>
      <c r="AO1306" s="145">
        <v>0</v>
      </c>
      <c r="AP1306" s="145">
        <v>0</v>
      </c>
      <c r="AQ1306" s="145">
        <v>0</v>
      </c>
      <c r="AR1306" s="145">
        <v>0</v>
      </c>
      <c r="AS1306" s="144">
        <f t="shared" si="434"/>
        <v>843662.4</v>
      </c>
      <c r="AT1306" s="144">
        <v>0</v>
      </c>
      <c r="AU1306" s="146">
        <f t="shared" si="428"/>
        <v>843662.4</v>
      </c>
      <c r="AV1306" s="146">
        <f>IFERROR(VLOOKUP(J1306,Maksājumu_pieprasījumu_iesn.!G:BL,57,0),0)</f>
        <v>0</v>
      </c>
      <c r="AW1306" s="139">
        <f t="shared" si="432"/>
        <v>-843662.4</v>
      </c>
      <c r="AX1306" s="147">
        <f t="shared" si="430"/>
        <v>0</v>
      </c>
      <c r="AY1306" s="147"/>
      <c r="AZ1306" s="147"/>
      <c r="BA1306" s="149"/>
      <c r="BB1306" s="144"/>
      <c r="BC1306" s="144"/>
      <c r="BD1306" s="144"/>
      <c r="BE1306" s="144"/>
      <c r="BF1306" s="144"/>
      <c r="BG1306" s="144"/>
      <c r="BH1306" s="149"/>
      <c r="BI1306" s="149"/>
      <c r="BJ1306" s="149"/>
      <c r="BK1306" s="149"/>
      <c r="BL1306" s="149"/>
      <c r="BM1306" s="149"/>
      <c r="BN1306" s="149"/>
    </row>
    <row r="1307" spans="1:66" ht="51" hidden="1" customHeight="1" x14ac:dyDescent="0.2">
      <c r="A1307" s="142" t="s">
        <v>2279</v>
      </c>
      <c r="B1307" s="18" t="s">
        <v>406</v>
      </c>
      <c r="C1307" s="18" t="s">
        <v>411</v>
      </c>
      <c r="D1307" s="19" t="s">
        <v>606</v>
      </c>
      <c r="E1307" s="22">
        <v>1</v>
      </c>
      <c r="F1307" s="18" t="s">
        <v>402</v>
      </c>
      <c r="G1307" s="18" t="s">
        <v>77</v>
      </c>
      <c r="H1307" s="18" t="s">
        <v>3</v>
      </c>
      <c r="I1307" s="18"/>
      <c r="J1307" s="18" t="s">
        <v>2480</v>
      </c>
      <c r="K1307" s="19" t="s">
        <v>2481</v>
      </c>
      <c r="L1307" s="19"/>
      <c r="M1307" s="19"/>
      <c r="N1307" s="19" t="s">
        <v>2482</v>
      </c>
      <c r="O1307" s="143"/>
      <c r="P1307" s="143"/>
      <c r="Q1307" s="143"/>
      <c r="R1307" s="373" t="s">
        <v>2483</v>
      </c>
      <c r="S1307" s="144">
        <v>24531.85</v>
      </c>
      <c r="T1307" s="226"/>
      <c r="U1307" s="145">
        <v>0</v>
      </c>
      <c r="V1307" s="145">
        <v>0</v>
      </c>
      <c r="W1307" s="145">
        <v>0</v>
      </c>
      <c r="X1307" s="145">
        <f t="shared" si="433"/>
        <v>0</v>
      </c>
      <c r="Y1307" s="145">
        <v>0</v>
      </c>
      <c r="Z1307" s="145">
        <v>0</v>
      </c>
      <c r="AA1307" s="145">
        <v>0</v>
      </c>
      <c r="AB1307" s="145">
        <v>0</v>
      </c>
      <c r="AC1307" s="145">
        <v>0</v>
      </c>
      <c r="AD1307" s="145">
        <v>0</v>
      </c>
      <c r="AE1307" s="145">
        <v>0</v>
      </c>
      <c r="AF1307" s="145">
        <v>0</v>
      </c>
      <c r="AG1307" s="145">
        <v>0</v>
      </c>
      <c r="AH1307" s="145">
        <v>0</v>
      </c>
      <c r="AI1307" s="145">
        <v>0</v>
      </c>
      <c r="AJ1307" s="145">
        <v>0</v>
      </c>
      <c r="AK1307" s="145">
        <f t="shared" si="429"/>
        <v>0</v>
      </c>
      <c r="AL1307" s="145">
        <v>15831.25</v>
      </c>
      <c r="AM1307" s="145">
        <v>8700.6</v>
      </c>
      <c r="AN1307" s="145">
        <v>0</v>
      </c>
      <c r="AO1307" s="145">
        <v>0</v>
      </c>
      <c r="AP1307" s="145">
        <v>0</v>
      </c>
      <c r="AQ1307" s="145">
        <v>0</v>
      </c>
      <c r="AR1307" s="145">
        <v>0</v>
      </c>
      <c r="AS1307" s="144">
        <f t="shared" si="434"/>
        <v>24531.85</v>
      </c>
      <c r="AT1307" s="144">
        <v>0</v>
      </c>
      <c r="AU1307" s="146">
        <f t="shared" si="428"/>
        <v>24531.85</v>
      </c>
      <c r="AV1307" s="146">
        <f>IFERROR(VLOOKUP(J1307,Maksājumu_pieprasījumu_iesn.!G:BL,57,0),0)</f>
        <v>0</v>
      </c>
      <c r="AW1307" s="139">
        <f t="shared" si="432"/>
        <v>-24531.85</v>
      </c>
      <c r="AX1307" s="147">
        <f t="shared" si="430"/>
        <v>0</v>
      </c>
      <c r="AY1307" s="147"/>
      <c r="AZ1307" s="147"/>
      <c r="BA1307" s="149"/>
      <c r="BB1307" s="144"/>
      <c r="BC1307" s="144"/>
      <c r="BD1307" s="144"/>
      <c r="BE1307" s="144"/>
      <c r="BF1307" s="144"/>
      <c r="BG1307" s="144"/>
      <c r="BH1307" s="149"/>
      <c r="BI1307" s="149"/>
      <c r="BJ1307" s="149"/>
      <c r="BK1307" s="149"/>
      <c r="BL1307" s="149"/>
      <c r="BM1307" s="149"/>
      <c r="BN1307" s="149"/>
    </row>
    <row r="1308" spans="1:66" ht="38.25" hidden="1" customHeight="1" x14ac:dyDescent="0.2">
      <c r="A1308" s="142" t="s">
        <v>2279</v>
      </c>
      <c r="B1308" s="18" t="s">
        <v>406</v>
      </c>
      <c r="C1308" s="18" t="s">
        <v>411</v>
      </c>
      <c r="D1308" s="19" t="s">
        <v>606</v>
      </c>
      <c r="E1308" s="18">
        <v>1</v>
      </c>
      <c r="F1308" s="18" t="s">
        <v>402</v>
      </c>
      <c r="G1308" s="18" t="s">
        <v>77</v>
      </c>
      <c r="H1308" s="18" t="s">
        <v>3</v>
      </c>
      <c r="I1308" s="18"/>
      <c r="J1308" s="18" t="s">
        <v>797</v>
      </c>
      <c r="K1308" s="19" t="s">
        <v>535</v>
      </c>
      <c r="L1308" s="19"/>
      <c r="M1308" s="19"/>
      <c r="N1308" s="19" t="s">
        <v>801</v>
      </c>
      <c r="O1308" s="143"/>
      <c r="P1308" s="143"/>
      <c r="Q1308" s="143"/>
      <c r="R1308" s="373" t="s">
        <v>2314</v>
      </c>
      <c r="S1308" s="144">
        <v>349860.85</v>
      </c>
      <c r="T1308" s="226"/>
      <c r="U1308" s="145">
        <v>0</v>
      </c>
      <c r="V1308" s="145">
        <v>0</v>
      </c>
      <c r="W1308" s="145">
        <v>0</v>
      </c>
      <c r="X1308" s="145">
        <f t="shared" si="433"/>
        <v>0</v>
      </c>
      <c r="Y1308" s="145">
        <v>0</v>
      </c>
      <c r="Z1308" s="145">
        <v>0</v>
      </c>
      <c r="AA1308" s="145">
        <v>0</v>
      </c>
      <c r="AB1308" s="145">
        <v>0</v>
      </c>
      <c r="AC1308" s="145">
        <v>0</v>
      </c>
      <c r="AD1308" s="145">
        <v>0</v>
      </c>
      <c r="AE1308" s="145">
        <v>0</v>
      </c>
      <c r="AF1308" s="145">
        <v>0</v>
      </c>
      <c r="AG1308" s="145">
        <v>0</v>
      </c>
      <c r="AH1308" s="145">
        <v>0</v>
      </c>
      <c r="AI1308" s="145">
        <v>0</v>
      </c>
      <c r="AJ1308" s="145">
        <v>0</v>
      </c>
      <c r="AK1308" s="145">
        <f t="shared" si="429"/>
        <v>0</v>
      </c>
      <c r="AL1308" s="145">
        <v>233009.65</v>
      </c>
      <c r="AM1308" s="145">
        <v>116851.2</v>
      </c>
      <c r="AN1308" s="145">
        <v>0</v>
      </c>
      <c r="AO1308" s="145">
        <v>0</v>
      </c>
      <c r="AP1308" s="145">
        <v>0</v>
      </c>
      <c r="AQ1308" s="145">
        <v>0</v>
      </c>
      <c r="AR1308" s="145">
        <v>0</v>
      </c>
      <c r="AS1308" s="144">
        <f t="shared" si="434"/>
        <v>349860.85</v>
      </c>
      <c r="AT1308" s="144">
        <v>0</v>
      </c>
      <c r="AU1308" s="146">
        <f t="shared" si="428"/>
        <v>349860.85</v>
      </c>
      <c r="AV1308" s="146">
        <f>IFERROR(VLOOKUP(J1308,Maksājumu_pieprasījumu_iesn.!G:BL,57,0),0)</f>
        <v>0</v>
      </c>
      <c r="AW1308" s="139">
        <f t="shared" si="432"/>
        <v>-349860.85</v>
      </c>
      <c r="AX1308" s="147">
        <f t="shared" si="430"/>
        <v>0</v>
      </c>
      <c r="AY1308" s="147"/>
      <c r="AZ1308" s="147"/>
      <c r="BA1308" s="149"/>
      <c r="BB1308" s="144"/>
      <c r="BC1308" s="144"/>
      <c r="BD1308" s="144"/>
      <c r="BE1308" s="144"/>
      <c r="BF1308" s="144"/>
      <c r="BG1308" s="144"/>
      <c r="BH1308" s="149"/>
      <c r="BI1308" s="149"/>
      <c r="BJ1308" s="149"/>
      <c r="BK1308" s="149"/>
      <c r="BL1308" s="149"/>
      <c r="BM1308" s="149"/>
      <c r="BN1308" s="149"/>
    </row>
    <row r="1309" spans="1:66" ht="25.5" hidden="1" customHeight="1" x14ac:dyDescent="0.2">
      <c r="A1309" s="142" t="s">
        <v>2279</v>
      </c>
      <c r="B1309" s="18" t="s">
        <v>406</v>
      </c>
      <c r="C1309" s="18" t="s">
        <v>411</v>
      </c>
      <c r="D1309" s="19" t="s">
        <v>606</v>
      </c>
      <c r="E1309" s="22">
        <v>1</v>
      </c>
      <c r="F1309" s="18" t="s">
        <v>402</v>
      </c>
      <c r="G1309" s="18" t="s">
        <v>77</v>
      </c>
      <c r="H1309" s="18" t="s">
        <v>3</v>
      </c>
      <c r="I1309" s="18"/>
      <c r="J1309" s="18" t="s">
        <v>798</v>
      </c>
      <c r="K1309" s="19" t="s">
        <v>838</v>
      </c>
      <c r="L1309" s="19"/>
      <c r="M1309" s="19"/>
      <c r="N1309" s="19" t="s">
        <v>839</v>
      </c>
      <c r="O1309" s="143"/>
      <c r="P1309" s="143"/>
      <c r="Q1309" s="143"/>
      <c r="R1309" s="373" t="s">
        <v>2484</v>
      </c>
      <c r="S1309" s="144">
        <v>42466</v>
      </c>
      <c r="T1309" s="226"/>
      <c r="U1309" s="378">
        <v>0</v>
      </c>
      <c r="V1309" s="378">
        <v>0</v>
      </c>
      <c r="W1309" s="378">
        <v>0</v>
      </c>
      <c r="X1309" s="145">
        <f t="shared" si="433"/>
        <v>0</v>
      </c>
      <c r="Y1309" s="378">
        <v>0</v>
      </c>
      <c r="Z1309" s="378">
        <v>0</v>
      </c>
      <c r="AA1309" s="378">
        <v>0</v>
      </c>
      <c r="AB1309" s="378">
        <v>0</v>
      </c>
      <c r="AC1309" s="378">
        <v>0</v>
      </c>
      <c r="AD1309" s="378">
        <v>0</v>
      </c>
      <c r="AE1309" s="378">
        <v>0</v>
      </c>
      <c r="AF1309" s="378">
        <v>0</v>
      </c>
      <c r="AG1309" s="378">
        <v>0</v>
      </c>
      <c r="AH1309" s="378">
        <v>0</v>
      </c>
      <c r="AI1309" s="378">
        <v>0</v>
      </c>
      <c r="AJ1309" s="378">
        <v>0</v>
      </c>
      <c r="AK1309" s="145">
        <f t="shared" si="429"/>
        <v>0</v>
      </c>
      <c r="AL1309" s="378">
        <v>26880.400000000001</v>
      </c>
      <c r="AM1309" s="378">
        <v>15585.6</v>
      </c>
      <c r="AN1309" s="378">
        <v>0</v>
      </c>
      <c r="AO1309" s="378">
        <v>0</v>
      </c>
      <c r="AP1309" s="378">
        <v>0</v>
      </c>
      <c r="AQ1309" s="378">
        <v>0</v>
      </c>
      <c r="AR1309" s="378">
        <v>0</v>
      </c>
      <c r="AS1309" s="375">
        <f t="shared" si="434"/>
        <v>42466</v>
      </c>
      <c r="AT1309" s="147">
        <v>0</v>
      </c>
      <c r="AU1309" s="146">
        <f t="shared" si="428"/>
        <v>42466</v>
      </c>
      <c r="AV1309" s="146">
        <f>IFERROR(VLOOKUP(J1309,Maksājumu_pieprasījumu_iesn.!G:BL,57,0),0)</f>
        <v>0</v>
      </c>
      <c r="AW1309" s="139">
        <f t="shared" si="432"/>
        <v>-42466</v>
      </c>
      <c r="AX1309" s="147">
        <f t="shared" si="430"/>
        <v>0</v>
      </c>
      <c r="AY1309" s="147"/>
      <c r="AZ1309" s="147"/>
      <c r="BA1309" s="149"/>
      <c r="BB1309" s="144"/>
      <c r="BC1309" s="144"/>
      <c r="BD1309" s="144"/>
      <c r="BE1309" s="144"/>
      <c r="BF1309" s="144"/>
      <c r="BG1309" s="144"/>
      <c r="BH1309" s="149"/>
      <c r="BI1309" s="149"/>
      <c r="BJ1309" s="149"/>
      <c r="BK1309" s="149"/>
      <c r="BL1309" s="149"/>
      <c r="BM1309" s="149"/>
      <c r="BN1309" s="149"/>
    </row>
    <row r="1310" spans="1:66" ht="51" hidden="1" customHeight="1" x14ac:dyDescent="0.2">
      <c r="A1310" s="142" t="s">
        <v>2279</v>
      </c>
      <c r="B1310" s="18" t="s">
        <v>406</v>
      </c>
      <c r="C1310" s="18" t="s">
        <v>411</v>
      </c>
      <c r="D1310" s="19" t="s">
        <v>606</v>
      </c>
      <c r="E1310" s="18">
        <v>1</v>
      </c>
      <c r="F1310" s="18" t="s">
        <v>402</v>
      </c>
      <c r="G1310" s="18" t="s">
        <v>77</v>
      </c>
      <c r="H1310" s="18" t="s">
        <v>3</v>
      </c>
      <c r="I1310" s="18"/>
      <c r="J1310" s="18" t="s">
        <v>799</v>
      </c>
      <c r="K1310" s="19" t="s">
        <v>662</v>
      </c>
      <c r="L1310" s="19"/>
      <c r="M1310" s="19"/>
      <c r="N1310" s="19" t="s">
        <v>840</v>
      </c>
      <c r="O1310" s="143"/>
      <c r="P1310" s="143"/>
      <c r="Q1310" s="143"/>
      <c r="R1310" s="373">
        <v>42843</v>
      </c>
      <c r="S1310" s="144">
        <v>163963.29999999999</v>
      </c>
      <c r="T1310" s="226"/>
      <c r="U1310" s="145">
        <v>0</v>
      </c>
      <c r="V1310" s="145">
        <v>0</v>
      </c>
      <c r="W1310" s="145">
        <v>0</v>
      </c>
      <c r="X1310" s="145">
        <f t="shared" si="433"/>
        <v>0</v>
      </c>
      <c r="Y1310" s="145">
        <v>0</v>
      </c>
      <c r="Z1310" s="145">
        <v>0</v>
      </c>
      <c r="AA1310" s="145">
        <v>0</v>
      </c>
      <c r="AB1310" s="145">
        <v>0</v>
      </c>
      <c r="AC1310" s="145">
        <v>0</v>
      </c>
      <c r="AD1310" s="145">
        <v>0</v>
      </c>
      <c r="AE1310" s="145">
        <v>0</v>
      </c>
      <c r="AF1310" s="145">
        <v>0</v>
      </c>
      <c r="AG1310" s="145">
        <v>0</v>
      </c>
      <c r="AH1310" s="145">
        <v>0</v>
      </c>
      <c r="AI1310" s="145">
        <v>0</v>
      </c>
      <c r="AJ1310" s="145">
        <v>0</v>
      </c>
      <c r="AK1310" s="145">
        <f t="shared" si="429"/>
        <v>0</v>
      </c>
      <c r="AL1310" s="145">
        <v>111855.38</v>
      </c>
      <c r="AM1310" s="145">
        <v>52107.92</v>
      </c>
      <c r="AN1310" s="145">
        <v>0</v>
      </c>
      <c r="AO1310" s="145">
        <v>0</v>
      </c>
      <c r="AP1310" s="145">
        <v>0</v>
      </c>
      <c r="AQ1310" s="145">
        <v>0</v>
      </c>
      <c r="AR1310" s="145">
        <v>0</v>
      </c>
      <c r="AS1310" s="144">
        <f t="shared" si="434"/>
        <v>163963.29999999999</v>
      </c>
      <c r="AT1310" s="144">
        <v>0</v>
      </c>
      <c r="AU1310" s="146">
        <f t="shared" si="428"/>
        <v>163963.29999999999</v>
      </c>
      <c r="AV1310" s="146">
        <f>IFERROR(VLOOKUP(J1310,Maksājumu_pieprasījumu_iesn.!G:BL,57,0),0)</f>
        <v>0</v>
      </c>
      <c r="AW1310" s="139">
        <f t="shared" si="432"/>
        <v>-163963.29999999999</v>
      </c>
      <c r="AX1310" s="147">
        <f t="shared" si="430"/>
        <v>0</v>
      </c>
      <c r="AY1310" s="147"/>
      <c r="AZ1310" s="147"/>
      <c r="BA1310" s="149"/>
      <c r="BB1310" s="144"/>
      <c r="BC1310" s="144"/>
      <c r="BD1310" s="144"/>
      <c r="BE1310" s="144"/>
      <c r="BF1310" s="144"/>
      <c r="BG1310" s="144"/>
      <c r="BH1310" s="149"/>
      <c r="BI1310" s="149"/>
      <c r="BJ1310" s="149"/>
      <c r="BK1310" s="149"/>
      <c r="BL1310" s="149"/>
      <c r="BM1310" s="149"/>
      <c r="BN1310" s="149"/>
    </row>
    <row r="1311" spans="1:66" ht="51" hidden="1" customHeight="1" x14ac:dyDescent="0.2">
      <c r="A1311" s="142" t="s">
        <v>2279</v>
      </c>
      <c r="B1311" s="18" t="s">
        <v>406</v>
      </c>
      <c r="C1311" s="18" t="s">
        <v>411</v>
      </c>
      <c r="D1311" s="19" t="s">
        <v>606</v>
      </c>
      <c r="E1311" s="22">
        <v>1</v>
      </c>
      <c r="F1311" s="18" t="s">
        <v>402</v>
      </c>
      <c r="G1311" s="18" t="s">
        <v>77</v>
      </c>
      <c r="H1311" s="18" t="s">
        <v>3</v>
      </c>
      <c r="I1311" s="18"/>
      <c r="J1311" s="18" t="s">
        <v>884</v>
      </c>
      <c r="K1311" s="19" t="s">
        <v>885</v>
      </c>
      <c r="L1311" s="19"/>
      <c r="M1311" s="19"/>
      <c r="N1311" s="19" t="s">
        <v>886</v>
      </c>
      <c r="O1311" s="143"/>
      <c r="P1311" s="143"/>
      <c r="Q1311" s="143"/>
      <c r="R1311" s="373">
        <v>42850</v>
      </c>
      <c r="S1311" s="144">
        <v>365293.45</v>
      </c>
      <c r="T1311" s="226"/>
      <c r="U1311" s="378">
        <v>0</v>
      </c>
      <c r="V1311" s="378">
        <v>0</v>
      </c>
      <c r="W1311" s="378">
        <v>0</v>
      </c>
      <c r="X1311" s="145">
        <f t="shared" si="433"/>
        <v>0</v>
      </c>
      <c r="Y1311" s="378">
        <v>0</v>
      </c>
      <c r="Z1311" s="378">
        <v>0</v>
      </c>
      <c r="AA1311" s="378">
        <v>0</v>
      </c>
      <c r="AB1311" s="378">
        <v>0</v>
      </c>
      <c r="AC1311" s="378">
        <v>0</v>
      </c>
      <c r="AD1311" s="378">
        <v>0</v>
      </c>
      <c r="AE1311" s="379">
        <v>9875.14</v>
      </c>
      <c r="AF1311" s="378">
        <v>0</v>
      </c>
      <c r="AG1311" s="378">
        <v>0</v>
      </c>
      <c r="AH1311" s="378">
        <v>48346.5</v>
      </c>
      <c r="AI1311" s="378">
        <v>0</v>
      </c>
      <c r="AJ1311" s="378">
        <v>0</v>
      </c>
      <c r="AK1311" s="145">
        <f t="shared" si="429"/>
        <v>58221.64</v>
      </c>
      <c r="AL1311" s="378">
        <v>155482.93000000002</v>
      </c>
      <c r="AM1311" s="378">
        <v>151588.88</v>
      </c>
      <c r="AN1311" s="378">
        <v>0</v>
      </c>
      <c r="AO1311" s="378">
        <v>0</v>
      </c>
      <c r="AP1311" s="378">
        <v>0</v>
      </c>
      <c r="AQ1311" s="378">
        <v>0</v>
      </c>
      <c r="AR1311" s="378">
        <v>0</v>
      </c>
      <c r="AS1311" s="375">
        <f t="shared" si="434"/>
        <v>365293.45</v>
      </c>
      <c r="AT1311" s="147">
        <v>0</v>
      </c>
      <c r="AU1311" s="146">
        <f t="shared" si="428"/>
        <v>365293.45</v>
      </c>
      <c r="AV1311" s="146">
        <f>IFERROR(VLOOKUP(J1311,Maksājumu_pieprasījumu_iesn.!G:BL,57,0),0)</f>
        <v>0</v>
      </c>
      <c r="AW1311" s="139">
        <f t="shared" si="432"/>
        <v>-365293.45</v>
      </c>
      <c r="AX1311" s="147">
        <f t="shared" si="430"/>
        <v>0</v>
      </c>
      <c r="AY1311" s="147"/>
      <c r="AZ1311" s="147"/>
      <c r="BA1311" s="149"/>
      <c r="BB1311" s="144"/>
      <c r="BC1311" s="144"/>
      <c r="BD1311" s="144"/>
      <c r="BE1311" s="144"/>
      <c r="BF1311" s="144"/>
      <c r="BG1311" s="144"/>
      <c r="BH1311" s="149"/>
      <c r="BI1311" s="149"/>
      <c r="BJ1311" s="149"/>
      <c r="BK1311" s="149"/>
      <c r="BL1311" s="149"/>
      <c r="BM1311" s="149"/>
      <c r="BN1311" s="149"/>
    </row>
    <row r="1312" spans="1:66" ht="25.5" hidden="1" customHeight="1" x14ac:dyDescent="0.2">
      <c r="A1312" s="142" t="s">
        <v>2279</v>
      </c>
      <c r="B1312" s="18" t="s">
        <v>406</v>
      </c>
      <c r="C1312" s="18" t="s">
        <v>411</v>
      </c>
      <c r="D1312" s="19" t="s">
        <v>606</v>
      </c>
      <c r="E1312" s="22">
        <v>2</v>
      </c>
      <c r="F1312" s="18" t="s">
        <v>402</v>
      </c>
      <c r="G1312" s="18" t="s">
        <v>77</v>
      </c>
      <c r="H1312" s="18" t="s">
        <v>3</v>
      </c>
      <c r="I1312" s="18"/>
      <c r="J1312" s="18" t="s">
        <v>2275</v>
      </c>
      <c r="K1312" s="19"/>
      <c r="L1312" s="19"/>
      <c r="M1312" s="19"/>
      <c r="N1312" s="19"/>
      <c r="O1312" s="143"/>
      <c r="P1312" s="143"/>
      <c r="Q1312" s="143"/>
      <c r="R1312" s="373"/>
      <c r="S1312" s="144">
        <f>S1186-SUM(S1187:S1311)</f>
        <v>509112.10999999568</v>
      </c>
      <c r="T1312" s="226"/>
      <c r="U1312" s="378"/>
      <c r="V1312" s="378"/>
      <c r="W1312" s="378"/>
      <c r="X1312" s="145">
        <f t="shared" si="433"/>
        <v>0</v>
      </c>
      <c r="Y1312" s="378"/>
      <c r="Z1312" s="378"/>
      <c r="AA1312" s="378"/>
      <c r="AB1312" s="378"/>
      <c r="AC1312" s="378"/>
      <c r="AD1312" s="378"/>
      <c r="AE1312" s="378"/>
      <c r="AF1312" s="378"/>
      <c r="AG1312" s="378"/>
      <c r="AH1312" s="378"/>
      <c r="AI1312" s="378"/>
      <c r="AJ1312" s="378"/>
      <c r="AK1312" s="145">
        <f t="shared" si="429"/>
        <v>0</v>
      </c>
      <c r="AL1312" s="378"/>
      <c r="AM1312" s="378"/>
      <c r="AN1312" s="378"/>
      <c r="AO1312" s="378"/>
      <c r="AP1312" s="378"/>
      <c r="AQ1312" s="378"/>
      <c r="AR1312" s="378"/>
      <c r="AS1312" s="375"/>
      <c r="AT1312" s="147"/>
      <c r="AU1312" s="146"/>
      <c r="AV1312" s="146">
        <f>IFERROR(VLOOKUP(J1312,Maksājumu_pieprasījumu_iesn.!G:BL,57,0),0)</f>
        <v>0</v>
      </c>
      <c r="AW1312" s="139">
        <f t="shared" si="432"/>
        <v>0</v>
      </c>
      <c r="AX1312" s="147"/>
      <c r="AY1312" s="147">
        <f>S1312</f>
        <v>509112.10999999568</v>
      </c>
      <c r="AZ1312" s="147"/>
      <c r="BA1312" s="149" t="s">
        <v>2485</v>
      </c>
      <c r="BB1312" s="144"/>
      <c r="BC1312" s="144"/>
      <c r="BD1312" s="144"/>
      <c r="BE1312" s="144"/>
      <c r="BF1312" s="144"/>
      <c r="BG1312" s="144"/>
      <c r="BH1312" s="149"/>
      <c r="BI1312" s="149"/>
      <c r="BJ1312" s="149"/>
      <c r="BK1312" s="149"/>
      <c r="BL1312" s="149"/>
      <c r="BM1312" s="149"/>
      <c r="BN1312" s="149"/>
    </row>
    <row r="1313" spans="1:66" s="91" customFormat="1" ht="216.75" hidden="1" customHeight="1" x14ac:dyDescent="0.2">
      <c r="A1313" s="131" t="s">
        <v>2279</v>
      </c>
      <c r="B1313" s="132" t="s">
        <v>406</v>
      </c>
      <c r="C1313" s="132" t="s">
        <v>411</v>
      </c>
      <c r="D1313" s="133" t="s">
        <v>606</v>
      </c>
      <c r="E1313" s="22">
        <v>2</v>
      </c>
      <c r="F1313" s="22" t="s">
        <v>402</v>
      </c>
      <c r="G1313" s="22" t="s">
        <v>77</v>
      </c>
      <c r="H1313" s="22" t="s">
        <v>3</v>
      </c>
      <c r="I1313" s="22" t="s">
        <v>1022</v>
      </c>
      <c r="J1313" s="134" t="s">
        <v>1026</v>
      </c>
      <c r="K1313" s="133"/>
      <c r="L1313" s="133"/>
      <c r="M1313" s="133"/>
      <c r="N1313" s="133"/>
      <c r="O1313" s="135"/>
      <c r="P1313" s="135"/>
      <c r="Q1313" s="135"/>
      <c r="R1313" s="135"/>
      <c r="S1313" s="136">
        <v>16444269</v>
      </c>
      <c r="T1313" s="136">
        <v>4900999</v>
      </c>
      <c r="U1313" s="137">
        <f>SUM(U1314:U1426)</f>
        <v>0</v>
      </c>
      <c r="V1313" s="137">
        <f>SUM(V1314:V1426)</f>
        <v>0</v>
      </c>
      <c r="W1313" s="137">
        <f>SUM(W1314:W1426)</f>
        <v>0</v>
      </c>
      <c r="X1313" s="138">
        <f>U1313+V1313+W1313</f>
        <v>0</v>
      </c>
      <c r="Y1313" s="137">
        <f t="shared" ref="Y1313:AR1313" si="435">SUM(Y1314:Y1426)</f>
        <v>0</v>
      </c>
      <c r="Z1313" s="137">
        <f t="shared" si="435"/>
        <v>0</v>
      </c>
      <c r="AA1313" s="137">
        <f t="shared" si="435"/>
        <v>0</v>
      </c>
      <c r="AB1313" s="137">
        <f t="shared" si="435"/>
        <v>0</v>
      </c>
      <c r="AC1313" s="137">
        <f t="shared" si="435"/>
        <v>0</v>
      </c>
      <c r="AD1313" s="137">
        <f t="shared" si="435"/>
        <v>0</v>
      </c>
      <c r="AE1313" s="137">
        <f t="shared" si="435"/>
        <v>0</v>
      </c>
      <c r="AF1313" s="137">
        <f t="shared" si="435"/>
        <v>0</v>
      </c>
      <c r="AG1313" s="137">
        <f t="shared" si="435"/>
        <v>0</v>
      </c>
      <c r="AH1313" s="137">
        <f t="shared" si="435"/>
        <v>0</v>
      </c>
      <c r="AI1313" s="137">
        <f t="shared" si="435"/>
        <v>0</v>
      </c>
      <c r="AJ1313" s="137">
        <f t="shared" si="435"/>
        <v>0</v>
      </c>
      <c r="AK1313" s="145">
        <f t="shared" si="429"/>
        <v>0</v>
      </c>
      <c r="AL1313" s="137">
        <f t="shared" si="435"/>
        <v>0</v>
      </c>
      <c r="AM1313" s="137">
        <f t="shared" si="435"/>
        <v>0</v>
      </c>
      <c r="AN1313" s="137">
        <f t="shared" si="435"/>
        <v>0</v>
      </c>
      <c r="AO1313" s="137">
        <f t="shared" si="435"/>
        <v>0</v>
      </c>
      <c r="AP1313" s="137">
        <f t="shared" si="435"/>
        <v>0</v>
      </c>
      <c r="AQ1313" s="137">
        <f t="shared" si="435"/>
        <v>0</v>
      </c>
      <c r="AR1313" s="137">
        <f t="shared" si="435"/>
        <v>0</v>
      </c>
      <c r="AS1313" s="137">
        <f t="shared" ref="AS1313:AS1344" si="436">U1313+V1313+W1313+AK1313+AL1313+AM1313+AN1313+AO1313+AP1313+AQ1313+AR1313</f>
        <v>0</v>
      </c>
      <c r="AT1313" s="137">
        <f>SUM(AT1314:AT1426)</f>
        <v>0</v>
      </c>
      <c r="AU1313" s="139">
        <f t="shared" si="428"/>
        <v>0</v>
      </c>
      <c r="AV1313" s="146">
        <f>IFERROR(VLOOKUP(J1313,Maksājumu_pieprasījumu_iesn.!G:BL,57,0),0)</f>
        <v>0</v>
      </c>
      <c r="AW1313" s="139">
        <f t="shared" si="432"/>
        <v>0</v>
      </c>
      <c r="AX1313" s="140">
        <f>S1313-T1313-AU1313</f>
        <v>11543270</v>
      </c>
      <c r="AY1313" s="137">
        <f>AX1313</f>
        <v>11543270</v>
      </c>
      <c r="AZ1313" s="137"/>
      <c r="BA1313" s="138" t="s">
        <v>2486</v>
      </c>
      <c r="BB1313" s="140"/>
      <c r="BC1313" s="140">
        <f>X1313+AK1313+AL1313/2</f>
        <v>0</v>
      </c>
      <c r="BD1313" s="140"/>
      <c r="BE1313" s="140">
        <f>BC1313/0.85</f>
        <v>0</v>
      </c>
      <c r="BF1313" s="137"/>
      <c r="BG1313" s="137"/>
      <c r="BH1313" s="138">
        <v>0</v>
      </c>
      <c r="BI1313" s="138">
        <v>0</v>
      </c>
      <c r="BJ1313" s="138"/>
      <c r="BK1313" s="138"/>
      <c r="BL1313" s="138">
        <v>0</v>
      </c>
      <c r="BM1313" s="138"/>
      <c r="BN1313" s="138"/>
    </row>
    <row r="1314" spans="1:66" s="91" customFormat="1" ht="25.5" hidden="1" customHeight="1" outlineLevel="2" x14ac:dyDescent="0.2">
      <c r="A1314" s="150" t="s">
        <v>2279</v>
      </c>
      <c r="B1314" s="355" t="s">
        <v>406</v>
      </c>
      <c r="C1314" s="355" t="s">
        <v>411</v>
      </c>
      <c r="D1314" s="356" t="s">
        <v>606</v>
      </c>
      <c r="E1314" s="114">
        <v>2</v>
      </c>
      <c r="F1314" s="114" t="s">
        <v>402</v>
      </c>
      <c r="G1314" s="114" t="s">
        <v>77</v>
      </c>
      <c r="H1314" s="114" t="s">
        <v>3</v>
      </c>
      <c r="I1314" s="114"/>
      <c r="J1314" s="114"/>
      <c r="K1314" s="356" t="s">
        <v>416</v>
      </c>
      <c r="L1314" s="356"/>
      <c r="M1314" s="356"/>
      <c r="N1314" s="356"/>
      <c r="O1314" s="357">
        <v>43616</v>
      </c>
      <c r="P1314" s="357"/>
      <c r="Q1314" s="357"/>
      <c r="R1314" s="357"/>
      <c r="S1314" s="117"/>
      <c r="T1314" s="117"/>
      <c r="U1314" s="358">
        <v>0</v>
      </c>
      <c r="V1314" s="358">
        <v>0</v>
      </c>
      <c r="W1314" s="358">
        <v>0</v>
      </c>
      <c r="X1314" s="358">
        <f t="shared" ref="X1314:X1377" si="437">W1314+V1314+U1314</f>
        <v>0</v>
      </c>
      <c r="Y1314" s="358">
        <v>0</v>
      </c>
      <c r="Z1314" s="358">
        <v>0</v>
      </c>
      <c r="AA1314" s="358">
        <v>0</v>
      </c>
      <c r="AB1314" s="358">
        <v>0</v>
      </c>
      <c r="AC1314" s="358">
        <v>0</v>
      </c>
      <c r="AD1314" s="358">
        <v>0</v>
      </c>
      <c r="AE1314" s="358">
        <v>0</v>
      </c>
      <c r="AF1314" s="358">
        <v>0</v>
      </c>
      <c r="AG1314" s="358">
        <v>0</v>
      </c>
      <c r="AH1314" s="358">
        <v>0</v>
      </c>
      <c r="AI1314" s="358">
        <v>0</v>
      </c>
      <c r="AJ1314" s="358">
        <v>0</v>
      </c>
      <c r="AK1314" s="358">
        <f t="shared" si="429"/>
        <v>0</v>
      </c>
      <c r="AL1314" s="358">
        <v>0</v>
      </c>
      <c r="AM1314" s="358">
        <v>0</v>
      </c>
      <c r="AN1314" s="358">
        <v>0</v>
      </c>
      <c r="AO1314" s="358">
        <v>0</v>
      </c>
      <c r="AP1314" s="358">
        <v>0</v>
      </c>
      <c r="AQ1314" s="358">
        <v>0</v>
      </c>
      <c r="AR1314" s="358">
        <v>0</v>
      </c>
      <c r="AS1314" s="358">
        <f t="shared" si="436"/>
        <v>0</v>
      </c>
      <c r="AT1314" s="145">
        <v>0</v>
      </c>
      <c r="AU1314" s="139">
        <f t="shared" si="428"/>
        <v>0</v>
      </c>
      <c r="AV1314" s="146">
        <f>IFERROR(VLOOKUP(J1314,Maksājumu_pieprasījumu_iesn.!G:BL,57,0),0)</f>
        <v>0</v>
      </c>
      <c r="AW1314" s="139">
        <f t="shared" si="432"/>
        <v>0</v>
      </c>
      <c r="AX1314" s="358"/>
      <c r="AY1314" s="358"/>
      <c r="AZ1314" s="358"/>
      <c r="BA1314" s="360"/>
      <c r="BB1314" s="358"/>
      <c r="BC1314" s="358"/>
      <c r="BD1314" s="358"/>
      <c r="BE1314" s="358"/>
      <c r="BF1314" s="358"/>
      <c r="BG1314" s="358"/>
      <c r="BH1314" s="360"/>
      <c r="BI1314" s="360"/>
      <c r="BJ1314" s="360"/>
      <c r="BK1314" s="360"/>
      <c r="BL1314" s="360"/>
      <c r="BM1314" s="360"/>
      <c r="BN1314" s="360"/>
    </row>
    <row r="1315" spans="1:66" s="91" customFormat="1" ht="25.5" hidden="1" customHeight="1" outlineLevel="2" x14ac:dyDescent="0.2">
      <c r="A1315" s="150" t="s">
        <v>2279</v>
      </c>
      <c r="B1315" s="355" t="s">
        <v>406</v>
      </c>
      <c r="C1315" s="355" t="s">
        <v>411</v>
      </c>
      <c r="D1315" s="356" t="s">
        <v>606</v>
      </c>
      <c r="E1315" s="114">
        <v>2</v>
      </c>
      <c r="F1315" s="114" t="s">
        <v>402</v>
      </c>
      <c r="G1315" s="114" t="s">
        <v>77</v>
      </c>
      <c r="H1315" s="114" t="s">
        <v>3</v>
      </c>
      <c r="I1315" s="114"/>
      <c r="J1315" s="114"/>
      <c r="K1315" s="356" t="s">
        <v>703</v>
      </c>
      <c r="L1315" s="356"/>
      <c r="M1315" s="356"/>
      <c r="N1315" s="356"/>
      <c r="O1315" s="357">
        <v>43616</v>
      </c>
      <c r="P1315" s="357"/>
      <c r="Q1315" s="357"/>
      <c r="R1315" s="357"/>
      <c r="S1315" s="117"/>
      <c r="T1315" s="117"/>
      <c r="U1315" s="358">
        <v>0</v>
      </c>
      <c r="V1315" s="358">
        <v>0</v>
      </c>
      <c r="W1315" s="358">
        <v>0</v>
      </c>
      <c r="X1315" s="358">
        <f t="shared" si="437"/>
        <v>0</v>
      </c>
      <c r="Y1315" s="358">
        <v>0</v>
      </c>
      <c r="Z1315" s="358">
        <v>0</v>
      </c>
      <c r="AA1315" s="358">
        <v>0</v>
      </c>
      <c r="AB1315" s="358">
        <v>0</v>
      </c>
      <c r="AC1315" s="358">
        <v>0</v>
      </c>
      <c r="AD1315" s="358">
        <v>0</v>
      </c>
      <c r="AE1315" s="358">
        <v>0</v>
      </c>
      <c r="AF1315" s="358">
        <v>0</v>
      </c>
      <c r="AG1315" s="358">
        <v>0</v>
      </c>
      <c r="AH1315" s="358">
        <v>0</v>
      </c>
      <c r="AI1315" s="358">
        <v>0</v>
      </c>
      <c r="AJ1315" s="358">
        <v>0</v>
      </c>
      <c r="AK1315" s="358">
        <f t="shared" si="429"/>
        <v>0</v>
      </c>
      <c r="AL1315" s="358">
        <v>0</v>
      </c>
      <c r="AM1315" s="358">
        <v>0</v>
      </c>
      <c r="AN1315" s="358">
        <v>0</v>
      </c>
      <c r="AO1315" s="358">
        <v>0</v>
      </c>
      <c r="AP1315" s="358">
        <v>0</v>
      </c>
      <c r="AQ1315" s="358">
        <v>0</v>
      </c>
      <c r="AR1315" s="358">
        <v>0</v>
      </c>
      <c r="AS1315" s="358">
        <f t="shared" si="436"/>
        <v>0</v>
      </c>
      <c r="AT1315" s="145">
        <v>0</v>
      </c>
      <c r="AU1315" s="139">
        <f t="shared" si="428"/>
        <v>0</v>
      </c>
      <c r="AV1315" s="146">
        <f>IFERROR(VLOOKUP(J1315,Maksājumu_pieprasījumu_iesn.!G:BL,57,0),0)</f>
        <v>0</v>
      </c>
      <c r="AW1315" s="139">
        <f t="shared" si="432"/>
        <v>0</v>
      </c>
      <c r="AX1315" s="358"/>
      <c r="AY1315" s="358"/>
      <c r="AZ1315" s="358"/>
      <c r="BA1315" s="360"/>
      <c r="BB1315" s="358"/>
      <c r="BC1315" s="358"/>
      <c r="BD1315" s="358"/>
      <c r="BE1315" s="358"/>
      <c r="BF1315" s="358"/>
      <c r="BG1315" s="358"/>
      <c r="BH1315" s="360"/>
      <c r="BI1315" s="360"/>
      <c r="BJ1315" s="360"/>
      <c r="BK1315" s="360"/>
      <c r="BL1315" s="360"/>
      <c r="BM1315" s="360"/>
      <c r="BN1315" s="360"/>
    </row>
    <row r="1316" spans="1:66" s="91" customFormat="1" ht="25.5" hidden="1" customHeight="1" outlineLevel="2" x14ac:dyDescent="0.2">
      <c r="A1316" s="150" t="s">
        <v>2279</v>
      </c>
      <c r="B1316" s="355" t="s">
        <v>406</v>
      </c>
      <c r="C1316" s="355" t="s">
        <v>411</v>
      </c>
      <c r="D1316" s="356" t="s">
        <v>606</v>
      </c>
      <c r="E1316" s="114">
        <v>2</v>
      </c>
      <c r="F1316" s="114" t="s">
        <v>402</v>
      </c>
      <c r="G1316" s="114" t="s">
        <v>77</v>
      </c>
      <c r="H1316" s="114" t="s">
        <v>3</v>
      </c>
      <c r="I1316" s="114"/>
      <c r="J1316" s="114"/>
      <c r="K1316" s="356" t="s">
        <v>2487</v>
      </c>
      <c r="L1316" s="356"/>
      <c r="M1316" s="356"/>
      <c r="N1316" s="356"/>
      <c r="O1316" s="357">
        <v>43616</v>
      </c>
      <c r="P1316" s="357"/>
      <c r="Q1316" s="357"/>
      <c r="R1316" s="357"/>
      <c r="S1316" s="117"/>
      <c r="T1316" s="117"/>
      <c r="U1316" s="358">
        <v>0</v>
      </c>
      <c r="V1316" s="358">
        <v>0</v>
      </c>
      <c r="W1316" s="358">
        <v>0</v>
      </c>
      <c r="X1316" s="358">
        <f t="shared" si="437"/>
        <v>0</v>
      </c>
      <c r="Y1316" s="358">
        <v>0</v>
      </c>
      <c r="Z1316" s="358">
        <v>0</v>
      </c>
      <c r="AA1316" s="358">
        <v>0</v>
      </c>
      <c r="AB1316" s="358">
        <v>0</v>
      </c>
      <c r="AC1316" s="358">
        <v>0</v>
      </c>
      <c r="AD1316" s="358">
        <v>0</v>
      </c>
      <c r="AE1316" s="358">
        <v>0</v>
      </c>
      <c r="AF1316" s="358">
        <v>0</v>
      </c>
      <c r="AG1316" s="358">
        <v>0</v>
      </c>
      <c r="AH1316" s="358">
        <v>0</v>
      </c>
      <c r="AI1316" s="358">
        <v>0</v>
      </c>
      <c r="AJ1316" s="358">
        <v>0</v>
      </c>
      <c r="AK1316" s="358">
        <f t="shared" si="429"/>
        <v>0</v>
      </c>
      <c r="AL1316" s="358">
        <v>0</v>
      </c>
      <c r="AM1316" s="358">
        <v>0</v>
      </c>
      <c r="AN1316" s="358">
        <v>0</v>
      </c>
      <c r="AO1316" s="358">
        <v>0</v>
      </c>
      <c r="AP1316" s="358">
        <v>0</v>
      </c>
      <c r="AQ1316" s="358">
        <v>0</v>
      </c>
      <c r="AR1316" s="358">
        <v>0</v>
      </c>
      <c r="AS1316" s="358">
        <f t="shared" si="436"/>
        <v>0</v>
      </c>
      <c r="AT1316" s="145">
        <v>0</v>
      </c>
      <c r="AU1316" s="139">
        <f t="shared" si="428"/>
        <v>0</v>
      </c>
      <c r="AV1316" s="146">
        <f>IFERROR(VLOOKUP(J1316,Maksājumu_pieprasījumu_iesn.!G:BL,57,0),0)</f>
        <v>0</v>
      </c>
      <c r="AW1316" s="139">
        <f t="shared" si="432"/>
        <v>0</v>
      </c>
      <c r="AX1316" s="358"/>
      <c r="AY1316" s="358"/>
      <c r="AZ1316" s="358"/>
      <c r="BA1316" s="360"/>
      <c r="BB1316" s="358"/>
      <c r="BC1316" s="358"/>
      <c r="BD1316" s="358"/>
      <c r="BE1316" s="358"/>
      <c r="BF1316" s="358"/>
      <c r="BG1316" s="358"/>
      <c r="BH1316" s="360"/>
      <c r="BI1316" s="360"/>
      <c r="BJ1316" s="360"/>
      <c r="BK1316" s="360"/>
      <c r="BL1316" s="360"/>
      <c r="BM1316" s="360"/>
      <c r="BN1316" s="360"/>
    </row>
    <row r="1317" spans="1:66" s="91" customFormat="1" ht="25.5" hidden="1" customHeight="1" outlineLevel="2" x14ac:dyDescent="0.2">
      <c r="A1317" s="150" t="s">
        <v>2279</v>
      </c>
      <c r="B1317" s="355" t="s">
        <v>406</v>
      </c>
      <c r="C1317" s="355" t="s">
        <v>411</v>
      </c>
      <c r="D1317" s="356" t="s">
        <v>606</v>
      </c>
      <c r="E1317" s="114">
        <v>2</v>
      </c>
      <c r="F1317" s="114" t="s">
        <v>402</v>
      </c>
      <c r="G1317" s="114" t="s">
        <v>77</v>
      </c>
      <c r="H1317" s="114" t="s">
        <v>3</v>
      </c>
      <c r="I1317" s="114"/>
      <c r="J1317" s="114"/>
      <c r="K1317" s="356" t="s">
        <v>2488</v>
      </c>
      <c r="L1317" s="356"/>
      <c r="M1317" s="356"/>
      <c r="N1317" s="356"/>
      <c r="O1317" s="357">
        <v>43616</v>
      </c>
      <c r="P1317" s="357"/>
      <c r="Q1317" s="357"/>
      <c r="R1317" s="357"/>
      <c r="S1317" s="117"/>
      <c r="T1317" s="117"/>
      <c r="U1317" s="358">
        <v>0</v>
      </c>
      <c r="V1317" s="358">
        <v>0</v>
      </c>
      <c r="W1317" s="358">
        <v>0</v>
      </c>
      <c r="X1317" s="358">
        <f t="shared" si="437"/>
        <v>0</v>
      </c>
      <c r="Y1317" s="358">
        <v>0</v>
      </c>
      <c r="Z1317" s="358">
        <v>0</v>
      </c>
      <c r="AA1317" s="358">
        <v>0</v>
      </c>
      <c r="AB1317" s="358">
        <v>0</v>
      </c>
      <c r="AC1317" s="358">
        <v>0</v>
      </c>
      <c r="AD1317" s="358">
        <v>0</v>
      </c>
      <c r="AE1317" s="358">
        <v>0</v>
      </c>
      <c r="AF1317" s="358">
        <v>0</v>
      </c>
      <c r="AG1317" s="358">
        <v>0</v>
      </c>
      <c r="AH1317" s="358">
        <v>0</v>
      </c>
      <c r="AI1317" s="358">
        <v>0</v>
      </c>
      <c r="AJ1317" s="358">
        <v>0</v>
      </c>
      <c r="AK1317" s="358">
        <f t="shared" si="429"/>
        <v>0</v>
      </c>
      <c r="AL1317" s="358">
        <v>0</v>
      </c>
      <c r="AM1317" s="358">
        <v>0</v>
      </c>
      <c r="AN1317" s="358">
        <v>0</v>
      </c>
      <c r="AO1317" s="358">
        <v>0</v>
      </c>
      <c r="AP1317" s="358">
        <v>0</v>
      </c>
      <c r="AQ1317" s="358">
        <v>0</v>
      </c>
      <c r="AR1317" s="358">
        <v>0</v>
      </c>
      <c r="AS1317" s="358">
        <f t="shared" si="436"/>
        <v>0</v>
      </c>
      <c r="AT1317" s="145">
        <v>0</v>
      </c>
      <c r="AU1317" s="139">
        <f t="shared" si="428"/>
        <v>0</v>
      </c>
      <c r="AV1317" s="146">
        <f>IFERROR(VLOOKUP(J1317,Maksājumu_pieprasījumu_iesn.!G:BL,57,0),0)</f>
        <v>0</v>
      </c>
      <c r="AW1317" s="139">
        <f t="shared" si="432"/>
        <v>0</v>
      </c>
      <c r="AX1317" s="358"/>
      <c r="AY1317" s="358"/>
      <c r="AZ1317" s="358"/>
      <c r="BA1317" s="360"/>
      <c r="BB1317" s="358"/>
      <c r="BC1317" s="358"/>
      <c r="BD1317" s="358"/>
      <c r="BE1317" s="358"/>
      <c r="BF1317" s="358"/>
      <c r="BG1317" s="358"/>
      <c r="BH1317" s="360"/>
      <c r="BI1317" s="360"/>
      <c r="BJ1317" s="360"/>
      <c r="BK1317" s="360"/>
      <c r="BL1317" s="360"/>
      <c r="BM1317" s="360"/>
      <c r="BN1317" s="360"/>
    </row>
    <row r="1318" spans="1:66" s="91" customFormat="1" ht="25.5" hidden="1" customHeight="1" outlineLevel="2" x14ac:dyDescent="0.2">
      <c r="A1318" s="150" t="s">
        <v>2279</v>
      </c>
      <c r="B1318" s="355" t="s">
        <v>406</v>
      </c>
      <c r="C1318" s="355" t="s">
        <v>411</v>
      </c>
      <c r="D1318" s="356" t="s">
        <v>606</v>
      </c>
      <c r="E1318" s="114">
        <v>2</v>
      </c>
      <c r="F1318" s="114" t="s">
        <v>402</v>
      </c>
      <c r="G1318" s="114" t="s">
        <v>77</v>
      </c>
      <c r="H1318" s="114" t="s">
        <v>3</v>
      </c>
      <c r="I1318" s="114"/>
      <c r="J1318" s="114"/>
      <c r="K1318" s="356" t="s">
        <v>870</v>
      </c>
      <c r="L1318" s="356"/>
      <c r="M1318" s="356"/>
      <c r="N1318" s="356"/>
      <c r="O1318" s="357">
        <v>43616</v>
      </c>
      <c r="P1318" s="357"/>
      <c r="Q1318" s="357"/>
      <c r="R1318" s="357"/>
      <c r="S1318" s="117"/>
      <c r="T1318" s="117"/>
      <c r="U1318" s="358">
        <v>0</v>
      </c>
      <c r="V1318" s="358">
        <v>0</v>
      </c>
      <c r="W1318" s="358">
        <v>0</v>
      </c>
      <c r="X1318" s="358">
        <f t="shared" si="437"/>
        <v>0</v>
      </c>
      <c r="Y1318" s="358">
        <v>0</v>
      </c>
      <c r="Z1318" s="358">
        <v>0</v>
      </c>
      <c r="AA1318" s="358">
        <v>0</v>
      </c>
      <c r="AB1318" s="358">
        <v>0</v>
      </c>
      <c r="AC1318" s="358">
        <v>0</v>
      </c>
      <c r="AD1318" s="358">
        <v>0</v>
      </c>
      <c r="AE1318" s="358">
        <v>0</v>
      </c>
      <c r="AF1318" s="358">
        <v>0</v>
      </c>
      <c r="AG1318" s="358">
        <v>0</v>
      </c>
      <c r="AH1318" s="358">
        <v>0</v>
      </c>
      <c r="AI1318" s="358">
        <v>0</v>
      </c>
      <c r="AJ1318" s="358">
        <v>0</v>
      </c>
      <c r="AK1318" s="358">
        <f t="shared" si="429"/>
        <v>0</v>
      </c>
      <c r="AL1318" s="358">
        <v>0</v>
      </c>
      <c r="AM1318" s="358">
        <v>0</v>
      </c>
      <c r="AN1318" s="358">
        <v>0</v>
      </c>
      <c r="AO1318" s="358">
        <v>0</v>
      </c>
      <c r="AP1318" s="358">
        <v>0</v>
      </c>
      <c r="AQ1318" s="358">
        <v>0</v>
      </c>
      <c r="AR1318" s="358">
        <v>0</v>
      </c>
      <c r="AS1318" s="358">
        <f t="shared" si="436"/>
        <v>0</v>
      </c>
      <c r="AT1318" s="145">
        <v>0</v>
      </c>
      <c r="AU1318" s="139">
        <f t="shared" si="428"/>
        <v>0</v>
      </c>
      <c r="AV1318" s="146">
        <f>IFERROR(VLOOKUP(J1318,Maksājumu_pieprasījumu_iesn.!G:BL,57,0),0)</f>
        <v>0</v>
      </c>
      <c r="AW1318" s="139">
        <f t="shared" si="432"/>
        <v>0</v>
      </c>
      <c r="AX1318" s="358"/>
      <c r="AY1318" s="358"/>
      <c r="AZ1318" s="358"/>
      <c r="BA1318" s="360"/>
      <c r="BB1318" s="358"/>
      <c r="BC1318" s="358"/>
      <c r="BD1318" s="358"/>
      <c r="BE1318" s="358"/>
      <c r="BF1318" s="358"/>
      <c r="BG1318" s="358"/>
      <c r="BH1318" s="360"/>
      <c r="BI1318" s="360"/>
      <c r="BJ1318" s="360"/>
      <c r="BK1318" s="360"/>
      <c r="BL1318" s="360"/>
      <c r="BM1318" s="360"/>
      <c r="BN1318" s="360"/>
    </row>
    <row r="1319" spans="1:66" s="91" customFormat="1" ht="25.5" hidden="1" customHeight="1" outlineLevel="2" x14ac:dyDescent="0.2">
      <c r="A1319" s="150" t="s">
        <v>2279</v>
      </c>
      <c r="B1319" s="355" t="s">
        <v>406</v>
      </c>
      <c r="C1319" s="355" t="s">
        <v>411</v>
      </c>
      <c r="D1319" s="356" t="s">
        <v>606</v>
      </c>
      <c r="E1319" s="114">
        <v>2</v>
      </c>
      <c r="F1319" s="114" t="s">
        <v>402</v>
      </c>
      <c r="G1319" s="114" t="s">
        <v>77</v>
      </c>
      <c r="H1319" s="114" t="s">
        <v>3</v>
      </c>
      <c r="I1319" s="114"/>
      <c r="J1319" s="114"/>
      <c r="K1319" s="356" t="s">
        <v>1245</v>
      </c>
      <c r="L1319" s="356"/>
      <c r="M1319" s="356"/>
      <c r="N1319" s="356"/>
      <c r="O1319" s="357">
        <v>43616</v>
      </c>
      <c r="P1319" s="357"/>
      <c r="Q1319" s="357"/>
      <c r="R1319" s="357"/>
      <c r="S1319" s="117"/>
      <c r="T1319" s="117"/>
      <c r="U1319" s="358">
        <v>0</v>
      </c>
      <c r="V1319" s="358">
        <v>0</v>
      </c>
      <c r="W1319" s="358">
        <v>0</v>
      </c>
      <c r="X1319" s="358">
        <f t="shared" si="437"/>
        <v>0</v>
      </c>
      <c r="Y1319" s="358">
        <v>0</v>
      </c>
      <c r="Z1319" s="358">
        <v>0</v>
      </c>
      <c r="AA1319" s="358">
        <v>0</v>
      </c>
      <c r="AB1319" s="358">
        <v>0</v>
      </c>
      <c r="AC1319" s="358">
        <v>0</v>
      </c>
      <c r="AD1319" s="358">
        <v>0</v>
      </c>
      <c r="AE1319" s="358">
        <v>0</v>
      </c>
      <c r="AF1319" s="358">
        <v>0</v>
      </c>
      <c r="AG1319" s="358">
        <v>0</v>
      </c>
      <c r="AH1319" s="358">
        <v>0</v>
      </c>
      <c r="AI1319" s="358">
        <v>0</v>
      </c>
      <c r="AJ1319" s="358">
        <v>0</v>
      </c>
      <c r="AK1319" s="358">
        <f t="shared" si="429"/>
        <v>0</v>
      </c>
      <c r="AL1319" s="358">
        <v>0</v>
      </c>
      <c r="AM1319" s="358">
        <v>0</v>
      </c>
      <c r="AN1319" s="358">
        <v>0</v>
      </c>
      <c r="AO1319" s="358">
        <v>0</v>
      </c>
      <c r="AP1319" s="358">
        <v>0</v>
      </c>
      <c r="AQ1319" s="358">
        <v>0</v>
      </c>
      <c r="AR1319" s="358">
        <v>0</v>
      </c>
      <c r="AS1319" s="358">
        <f t="shared" si="436"/>
        <v>0</v>
      </c>
      <c r="AT1319" s="145">
        <v>0</v>
      </c>
      <c r="AU1319" s="139">
        <f t="shared" si="428"/>
        <v>0</v>
      </c>
      <c r="AV1319" s="146">
        <f>IFERROR(VLOOKUP(J1319,Maksājumu_pieprasījumu_iesn.!G:BL,57,0),0)</f>
        <v>0</v>
      </c>
      <c r="AW1319" s="139">
        <f t="shared" si="432"/>
        <v>0</v>
      </c>
      <c r="AX1319" s="358"/>
      <c r="AY1319" s="358"/>
      <c r="AZ1319" s="358"/>
      <c r="BA1319" s="360"/>
      <c r="BB1319" s="358"/>
      <c r="BC1319" s="358"/>
      <c r="BD1319" s="358"/>
      <c r="BE1319" s="358"/>
      <c r="BF1319" s="358"/>
      <c r="BG1319" s="358"/>
      <c r="BH1319" s="360"/>
      <c r="BI1319" s="360"/>
      <c r="BJ1319" s="360"/>
      <c r="BK1319" s="360"/>
      <c r="BL1319" s="360"/>
      <c r="BM1319" s="360"/>
      <c r="BN1319" s="360"/>
    </row>
    <row r="1320" spans="1:66" s="91" customFormat="1" ht="25.5" hidden="1" customHeight="1" outlineLevel="2" x14ac:dyDescent="0.2">
      <c r="A1320" s="150" t="s">
        <v>2279</v>
      </c>
      <c r="B1320" s="355" t="s">
        <v>406</v>
      </c>
      <c r="C1320" s="355" t="s">
        <v>411</v>
      </c>
      <c r="D1320" s="356" t="s">
        <v>606</v>
      </c>
      <c r="E1320" s="114">
        <v>2</v>
      </c>
      <c r="F1320" s="114" t="s">
        <v>402</v>
      </c>
      <c r="G1320" s="114" t="s">
        <v>77</v>
      </c>
      <c r="H1320" s="114" t="s">
        <v>3</v>
      </c>
      <c r="I1320" s="114"/>
      <c r="J1320" s="114"/>
      <c r="K1320" s="356" t="s">
        <v>2489</v>
      </c>
      <c r="L1320" s="356"/>
      <c r="M1320" s="356"/>
      <c r="N1320" s="356"/>
      <c r="O1320" s="357">
        <v>43616</v>
      </c>
      <c r="P1320" s="357"/>
      <c r="Q1320" s="357"/>
      <c r="R1320" s="357"/>
      <c r="S1320" s="117"/>
      <c r="T1320" s="117"/>
      <c r="U1320" s="358">
        <v>0</v>
      </c>
      <c r="V1320" s="358">
        <v>0</v>
      </c>
      <c r="W1320" s="358">
        <v>0</v>
      </c>
      <c r="X1320" s="358">
        <f t="shared" si="437"/>
        <v>0</v>
      </c>
      <c r="Y1320" s="358">
        <v>0</v>
      </c>
      <c r="Z1320" s="358">
        <v>0</v>
      </c>
      <c r="AA1320" s="358">
        <v>0</v>
      </c>
      <c r="AB1320" s="358">
        <v>0</v>
      </c>
      <c r="AC1320" s="358">
        <v>0</v>
      </c>
      <c r="AD1320" s="358">
        <v>0</v>
      </c>
      <c r="AE1320" s="358">
        <v>0</v>
      </c>
      <c r="AF1320" s="358">
        <v>0</v>
      </c>
      <c r="AG1320" s="358">
        <v>0</v>
      </c>
      <c r="AH1320" s="358">
        <v>0</v>
      </c>
      <c r="AI1320" s="358">
        <v>0</v>
      </c>
      <c r="AJ1320" s="358">
        <v>0</v>
      </c>
      <c r="AK1320" s="358">
        <f t="shared" si="429"/>
        <v>0</v>
      </c>
      <c r="AL1320" s="358">
        <v>0</v>
      </c>
      <c r="AM1320" s="358">
        <v>0</v>
      </c>
      <c r="AN1320" s="358">
        <v>0</v>
      </c>
      <c r="AO1320" s="358">
        <v>0</v>
      </c>
      <c r="AP1320" s="358">
        <v>0</v>
      </c>
      <c r="AQ1320" s="358">
        <v>0</v>
      </c>
      <c r="AR1320" s="358">
        <v>0</v>
      </c>
      <c r="AS1320" s="358">
        <f t="shared" si="436"/>
        <v>0</v>
      </c>
      <c r="AT1320" s="145">
        <v>0</v>
      </c>
      <c r="AU1320" s="139">
        <f t="shared" si="428"/>
        <v>0</v>
      </c>
      <c r="AV1320" s="146">
        <f>IFERROR(VLOOKUP(J1320,Maksājumu_pieprasījumu_iesn.!G:BL,57,0),0)</f>
        <v>0</v>
      </c>
      <c r="AW1320" s="139">
        <f t="shared" si="432"/>
        <v>0</v>
      </c>
      <c r="AX1320" s="358"/>
      <c r="AY1320" s="358"/>
      <c r="AZ1320" s="358"/>
      <c r="BA1320" s="360"/>
      <c r="BB1320" s="358"/>
      <c r="BC1320" s="358"/>
      <c r="BD1320" s="358"/>
      <c r="BE1320" s="358"/>
      <c r="BF1320" s="358"/>
      <c r="BG1320" s="358"/>
      <c r="BH1320" s="360"/>
      <c r="BI1320" s="360"/>
      <c r="BJ1320" s="360"/>
      <c r="BK1320" s="360"/>
      <c r="BL1320" s="360"/>
      <c r="BM1320" s="360"/>
      <c r="BN1320" s="360"/>
    </row>
    <row r="1321" spans="1:66" s="91" customFormat="1" ht="25.5" hidden="1" customHeight="1" outlineLevel="2" x14ac:dyDescent="0.2">
      <c r="A1321" s="150" t="s">
        <v>2279</v>
      </c>
      <c r="B1321" s="355" t="s">
        <v>406</v>
      </c>
      <c r="C1321" s="355" t="s">
        <v>411</v>
      </c>
      <c r="D1321" s="356" t="s">
        <v>606</v>
      </c>
      <c r="E1321" s="114">
        <v>2</v>
      </c>
      <c r="F1321" s="114" t="s">
        <v>402</v>
      </c>
      <c r="G1321" s="114" t="s">
        <v>77</v>
      </c>
      <c r="H1321" s="114" t="s">
        <v>3</v>
      </c>
      <c r="I1321" s="114"/>
      <c r="J1321" s="114"/>
      <c r="K1321" s="356" t="s">
        <v>63</v>
      </c>
      <c r="L1321" s="356"/>
      <c r="M1321" s="356"/>
      <c r="N1321" s="356"/>
      <c r="O1321" s="357">
        <v>43616</v>
      </c>
      <c r="P1321" s="357"/>
      <c r="Q1321" s="357"/>
      <c r="R1321" s="357"/>
      <c r="S1321" s="117"/>
      <c r="T1321" s="117"/>
      <c r="U1321" s="358">
        <v>0</v>
      </c>
      <c r="V1321" s="358">
        <v>0</v>
      </c>
      <c r="W1321" s="358">
        <v>0</v>
      </c>
      <c r="X1321" s="358">
        <f t="shared" si="437"/>
        <v>0</v>
      </c>
      <c r="Y1321" s="358">
        <v>0</v>
      </c>
      <c r="Z1321" s="358">
        <v>0</v>
      </c>
      <c r="AA1321" s="358">
        <v>0</v>
      </c>
      <c r="AB1321" s="358">
        <v>0</v>
      </c>
      <c r="AC1321" s="358">
        <v>0</v>
      </c>
      <c r="AD1321" s="358">
        <v>0</v>
      </c>
      <c r="AE1321" s="358">
        <v>0</v>
      </c>
      <c r="AF1321" s="358">
        <v>0</v>
      </c>
      <c r="AG1321" s="358">
        <v>0</v>
      </c>
      <c r="AH1321" s="358">
        <v>0</v>
      </c>
      <c r="AI1321" s="358">
        <v>0</v>
      </c>
      <c r="AJ1321" s="358">
        <v>0</v>
      </c>
      <c r="AK1321" s="358">
        <f t="shared" si="429"/>
        <v>0</v>
      </c>
      <c r="AL1321" s="358">
        <v>0</v>
      </c>
      <c r="AM1321" s="358">
        <v>0</v>
      </c>
      <c r="AN1321" s="358">
        <v>0</v>
      </c>
      <c r="AO1321" s="358">
        <v>0</v>
      </c>
      <c r="AP1321" s="358">
        <v>0</v>
      </c>
      <c r="AQ1321" s="358">
        <v>0</v>
      </c>
      <c r="AR1321" s="358">
        <v>0</v>
      </c>
      <c r="AS1321" s="358">
        <f t="shared" si="436"/>
        <v>0</v>
      </c>
      <c r="AT1321" s="145">
        <v>0</v>
      </c>
      <c r="AU1321" s="139">
        <f t="shared" si="428"/>
        <v>0</v>
      </c>
      <c r="AV1321" s="146">
        <f>IFERROR(VLOOKUP(J1321,Maksājumu_pieprasījumu_iesn.!G:BL,57,0),0)</f>
        <v>0</v>
      </c>
      <c r="AW1321" s="139">
        <f t="shared" si="432"/>
        <v>0</v>
      </c>
      <c r="AX1321" s="358"/>
      <c r="AY1321" s="358"/>
      <c r="AZ1321" s="358"/>
      <c r="BA1321" s="360"/>
      <c r="BB1321" s="358"/>
      <c r="BC1321" s="358"/>
      <c r="BD1321" s="358"/>
      <c r="BE1321" s="358"/>
      <c r="BF1321" s="358"/>
      <c r="BG1321" s="358"/>
      <c r="BH1321" s="360"/>
      <c r="BI1321" s="360"/>
      <c r="BJ1321" s="360"/>
      <c r="BK1321" s="360"/>
      <c r="BL1321" s="360"/>
      <c r="BM1321" s="360"/>
      <c r="BN1321" s="360"/>
    </row>
    <row r="1322" spans="1:66" s="91" customFormat="1" ht="25.5" hidden="1" customHeight="1" outlineLevel="2" x14ac:dyDescent="0.2">
      <c r="A1322" s="150" t="s">
        <v>2279</v>
      </c>
      <c r="B1322" s="355" t="s">
        <v>406</v>
      </c>
      <c r="C1322" s="355" t="s">
        <v>411</v>
      </c>
      <c r="D1322" s="356" t="s">
        <v>606</v>
      </c>
      <c r="E1322" s="114">
        <v>2</v>
      </c>
      <c r="F1322" s="114" t="s">
        <v>402</v>
      </c>
      <c r="G1322" s="114" t="s">
        <v>77</v>
      </c>
      <c r="H1322" s="114" t="s">
        <v>3</v>
      </c>
      <c r="I1322" s="114"/>
      <c r="J1322" s="114"/>
      <c r="K1322" s="356" t="s">
        <v>2490</v>
      </c>
      <c r="L1322" s="356"/>
      <c r="M1322" s="356"/>
      <c r="N1322" s="356"/>
      <c r="O1322" s="357">
        <v>43616</v>
      </c>
      <c r="P1322" s="357"/>
      <c r="Q1322" s="357"/>
      <c r="R1322" s="357"/>
      <c r="S1322" s="117"/>
      <c r="T1322" s="117"/>
      <c r="U1322" s="358">
        <v>0</v>
      </c>
      <c r="V1322" s="358">
        <v>0</v>
      </c>
      <c r="W1322" s="358">
        <v>0</v>
      </c>
      <c r="X1322" s="358">
        <f t="shared" si="437"/>
        <v>0</v>
      </c>
      <c r="Y1322" s="358">
        <v>0</v>
      </c>
      <c r="Z1322" s="358">
        <v>0</v>
      </c>
      <c r="AA1322" s="358">
        <v>0</v>
      </c>
      <c r="AB1322" s="358">
        <v>0</v>
      </c>
      <c r="AC1322" s="358">
        <v>0</v>
      </c>
      <c r="AD1322" s="358">
        <v>0</v>
      </c>
      <c r="AE1322" s="358">
        <v>0</v>
      </c>
      <c r="AF1322" s="358">
        <v>0</v>
      </c>
      <c r="AG1322" s="358">
        <v>0</v>
      </c>
      <c r="AH1322" s="358">
        <v>0</v>
      </c>
      <c r="AI1322" s="358">
        <v>0</v>
      </c>
      <c r="AJ1322" s="358">
        <v>0</v>
      </c>
      <c r="AK1322" s="358">
        <f t="shared" si="429"/>
        <v>0</v>
      </c>
      <c r="AL1322" s="358">
        <v>0</v>
      </c>
      <c r="AM1322" s="358">
        <v>0</v>
      </c>
      <c r="AN1322" s="358">
        <v>0</v>
      </c>
      <c r="AO1322" s="358">
        <v>0</v>
      </c>
      <c r="AP1322" s="358">
        <v>0</v>
      </c>
      <c r="AQ1322" s="358">
        <v>0</v>
      </c>
      <c r="AR1322" s="358">
        <v>0</v>
      </c>
      <c r="AS1322" s="358">
        <f t="shared" si="436"/>
        <v>0</v>
      </c>
      <c r="AT1322" s="145">
        <v>0</v>
      </c>
      <c r="AU1322" s="139">
        <f t="shared" si="428"/>
        <v>0</v>
      </c>
      <c r="AV1322" s="146">
        <f>IFERROR(VLOOKUP(J1322,Maksājumu_pieprasījumu_iesn.!G:BL,57,0),0)</f>
        <v>0</v>
      </c>
      <c r="AW1322" s="139">
        <f t="shared" si="432"/>
        <v>0</v>
      </c>
      <c r="AX1322" s="358"/>
      <c r="AY1322" s="358"/>
      <c r="AZ1322" s="358"/>
      <c r="BA1322" s="360"/>
      <c r="BB1322" s="358"/>
      <c r="BC1322" s="358"/>
      <c r="BD1322" s="358"/>
      <c r="BE1322" s="358"/>
      <c r="BF1322" s="358"/>
      <c r="BG1322" s="358"/>
      <c r="BH1322" s="360"/>
      <c r="BI1322" s="360"/>
      <c r="BJ1322" s="360"/>
      <c r="BK1322" s="360"/>
      <c r="BL1322" s="360"/>
      <c r="BM1322" s="360"/>
      <c r="BN1322" s="360"/>
    </row>
    <row r="1323" spans="1:66" s="91" customFormat="1" ht="25.5" hidden="1" customHeight="1" outlineLevel="2" x14ac:dyDescent="0.2">
      <c r="A1323" s="150" t="s">
        <v>2279</v>
      </c>
      <c r="B1323" s="355" t="s">
        <v>406</v>
      </c>
      <c r="C1323" s="355" t="s">
        <v>411</v>
      </c>
      <c r="D1323" s="356" t="s">
        <v>606</v>
      </c>
      <c r="E1323" s="114">
        <v>2</v>
      </c>
      <c r="F1323" s="114" t="s">
        <v>402</v>
      </c>
      <c r="G1323" s="114" t="s">
        <v>77</v>
      </c>
      <c r="H1323" s="114" t="s">
        <v>3</v>
      </c>
      <c r="I1323" s="114"/>
      <c r="J1323" s="114"/>
      <c r="K1323" s="356" t="s">
        <v>1253</v>
      </c>
      <c r="L1323" s="356"/>
      <c r="M1323" s="356"/>
      <c r="N1323" s="356"/>
      <c r="O1323" s="357">
        <v>43616</v>
      </c>
      <c r="P1323" s="357"/>
      <c r="Q1323" s="357"/>
      <c r="R1323" s="357"/>
      <c r="S1323" s="117"/>
      <c r="T1323" s="117"/>
      <c r="U1323" s="358">
        <v>0</v>
      </c>
      <c r="V1323" s="358">
        <v>0</v>
      </c>
      <c r="W1323" s="358">
        <v>0</v>
      </c>
      <c r="X1323" s="358">
        <f t="shared" si="437"/>
        <v>0</v>
      </c>
      <c r="Y1323" s="358">
        <v>0</v>
      </c>
      <c r="Z1323" s="358">
        <v>0</v>
      </c>
      <c r="AA1323" s="358">
        <v>0</v>
      </c>
      <c r="AB1323" s="358">
        <v>0</v>
      </c>
      <c r="AC1323" s="358">
        <v>0</v>
      </c>
      <c r="AD1323" s="358">
        <v>0</v>
      </c>
      <c r="AE1323" s="358">
        <v>0</v>
      </c>
      <c r="AF1323" s="358">
        <v>0</v>
      </c>
      <c r="AG1323" s="358">
        <v>0</v>
      </c>
      <c r="AH1323" s="358">
        <v>0</v>
      </c>
      <c r="AI1323" s="358">
        <v>0</v>
      </c>
      <c r="AJ1323" s="358">
        <v>0</v>
      </c>
      <c r="AK1323" s="358">
        <f t="shared" si="429"/>
        <v>0</v>
      </c>
      <c r="AL1323" s="358">
        <v>0</v>
      </c>
      <c r="AM1323" s="358">
        <v>0</v>
      </c>
      <c r="AN1323" s="358">
        <v>0</v>
      </c>
      <c r="AO1323" s="358">
        <v>0</v>
      </c>
      <c r="AP1323" s="358">
        <v>0</v>
      </c>
      <c r="AQ1323" s="358">
        <v>0</v>
      </c>
      <c r="AR1323" s="358">
        <v>0</v>
      </c>
      <c r="AS1323" s="358">
        <f t="shared" si="436"/>
        <v>0</v>
      </c>
      <c r="AT1323" s="145">
        <v>0</v>
      </c>
      <c r="AU1323" s="139">
        <f t="shared" si="428"/>
        <v>0</v>
      </c>
      <c r="AV1323" s="146">
        <f>IFERROR(VLOOKUP(J1323,Maksājumu_pieprasījumu_iesn.!G:BL,57,0),0)</f>
        <v>0</v>
      </c>
      <c r="AW1323" s="139">
        <f t="shared" si="432"/>
        <v>0</v>
      </c>
      <c r="AX1323" s="358"/>
      <c r="AY1323" s="358"/>
      <c r="AZ1323" s="358"/>
      <c r="BA1323" s="360"/>
      <c r="BB1323" s="358"/>
      <c r="BC1323" s="358"/>
      <c r="BD1323" s="358"/>
      <c r="BE1323" s="358"/>
      <c r="BF1323" s="358"/>
      <c r="BG1323" s="358"/>
      <c r="BH1323" s="360"/>
      <c r="BI1323" s="360"/>
      <c r="BJ1323" s="360"/>
      <c r="BK1323" s="360"/>
      <c r="BL1323" s="360"/>
      <c r="BM1323" s="360"/>
      <c r="BN1323" s="360"/>
    </row>
    <row r="1324" spans="1:66" s="91" customFormat="1" ht="25.5" hidden="1" customHeight="1" outlineLevel="2" x14ac:dyDescent="0.2">
      <c r="A1324" s="150" t="s">
        <v>2279</v>
      </c>
      <c r="B1324" s="355" t="s">
        <v>406</v>
      </c>
      <c r="C1324" s="355" t="s">
        <v>411</v>
      </c>
      <c r="D1324" s="356" t="s">
        <v>606</v>
      </c>
      <c r="E1324" s="114">
        <v>2</v>
      </c>
      <c r="F1324" s="114" t="s">
        <v>402</v>
      </c>
      <c r="G1324" s="114" t="s">
        <v>77</v>
      </c>
      <c r="H1324" s="114" t="s">
        <v>3</v>
      </c>
      <c r="I1324" s="114"/>
      <c r="J1324" s="114"/>
      <c r="K1324" s="356" t="s">
        <v>413</v>
      </c>
      <c r="L1324" s="356"/>
      <c r="M1324" s="356"/>
      <c r="N1324" s="356"/>
      <c r="O1324" s="357">
        <v>43616</v>
      </c>
      <c r="P1324" s="357"/>
      <c r="Q1324" s="357"/>
      <c r="R1324" s="357"/>
      <c r="S1324" s="117"/>
      <c r="T1324" s="117"/>
      <c r="U1324" s="358">
        <v>0</v>
      </c>
      <c r="V1324" s="358">
        <v>0</v>
      </c>
      <c r="W1324" s="358">
        <v>0</v>
      </c>
      <c r="X1324" s="358">
        <f t="shared" si="437"/>
        <v>0</v>
      </c>
      <c r="Y1324" s="358">
        <v>0</v>
      </c>
      <c r="Z1324" s="358">
        <v>0</v>
      </c>
      <c r="AA1324" s="358">
        <v>0</v>
      </c>
      <c r="AB1324" s="358">
        <v>0</v>
      </c>
      <c r="AC1324" s="358">
        <v>0</v>
      </c>
      <c r="AD1324" s="358">
        <v>0</v>
      </c>
      <c r="AE1324" s="358">
        <v>0</v>
      </c>
      <c r="AF1324" s="358">
        <v>0</v>
      </c>
      <c r="AG1324" s="358">
        <v>0</v>
      </c>
      <c r="AH1324" s="358">
        <v>0</v>
      </c>
      <c r="AI1324" s="358">
        <v>0</v>
      </c>
      <c r="AJ1324" s="358">
        <v>0</v>
      </c>
      <c r="AK1324" s="358">
        <f t="shared" si="429"/>
        <v>0</v>
      </c>
      <c r="AL1324" s="358">
        <v>0</v>
      </c>
      <c r="AM1324" s="358">
        <v>0</v>
      </c>
      <c r="AN1324" s="358">
        <v>0</v>
      </c>
      <c r="AO1324" s="358">
        <v>0</v>
      </c>
      <c r="AP1324" s="358">
        <v>0</v>
      </c>
      <c r="AQ1324" s="358">
        <v>0</v>
      </c>
      <c r="AR1324" s="358">
        <v>0</v>
      </c>
      <c r="AS1324" s="358">
        <f t="shared" si="436"/>
        <v>0</v>
      </c>
      <c r="AT1324" s="145">
        <v>0</v>
      </c>
      <c r="AU1324" s="139">
        <f t="shared" si="428"/>
        <v>0</v>
      </c>
      <c r="AV1324" s="146">
        <f>IFERROR(VLOOKUP(J1324,Maksājumu_pieprasījumu_iesn.!G:BL,57,0),0)</f>
        <v>0</v>
      </c>
      <c r="AW1324" s="139">
        <f t="shared" si="432"/>
        <v>0</v>
      </c>
      <c r="AX1324" s="358"/>
      <c r="AY1324" s="358"/>
      <c r="AZ1324" s="358"/>
      <c r="BA1324" s="360"/>
      <c r="BB1324" s="358"/>
      <c r="BC1324" s="358"/>
      <c r="BD1324" s="358"/>
      <c r="BE1324" s="358"/>
      <c r="BF1324" s="358"/>
      <c r="BG1324" s="358"/>
      <c r="BH1324" s="360"/>
      <c r="BI1324" s="360"/>
      <c r="BJ1324" s="360"/>
      <c r="BK1324" s="360"/>
      <c r="BL1324" s="360"/>
      <c r="BM1324" s="360"/>
      <c r="BN1324" s="360"/>
    </row>
    <row r="1325" spans="1:66" s="91" customFormat="1" ht="25.5" hidden="1" customHeight="1" outlineLevel="2" x14ac:dyDescent="0.2">
      <c r="A1325" s="150" t="s">
        <v>2279</v>
      </c>
      <c r="B1325" s="355" t="s">
        <v>406</v>
      </c>
      <c r="C1325" s="355" t="s">
        <v>411</v>
      </c>
      <c r="D1325" s="356" t="s">
        <v>606</v>
      </c>
      <c r="E1325" s="114">
        <v>2</v>
      </c>
      <c r="F1325" s="114" t="s">
        <v>402</v>
      </c>
      <c r="G1325" s="114" t="s">
        <v>77</v>
      </c>
      <c r="H1325" s="114" t="s">
        <v>3</v>
      </c>
      <c r="I1325" s="114"/>
      <c r="J1325" s="114"/>
      <c r="K1325" s="356" t="s">
        <v>1259</v>
      </c>
      <c r="L1325" s="356"/>
      <c r="M1325" s="356"/>
      <c r="N1325" s="356"/>
      <c r="O1325" s="357">
        <v>43616</v>
      </c>
      <c r="P1325" s="357"/>
      <c r="Q1325" s="357"/>
      <c r="R1325" s="357"/>
      <c r="S1325" s="117"/>
      <c r="T1325" s="117"/>
      <c r="U1325" s="358">
        <v>0</v>
      </c>
      <c r="V1325" s="358">
        <v>0</v>
      </c>
      <c r="W1325" s="358">
        <v>0</v>
      </c>
      <c r="X1325" s="358">
        <f t="shared" si="437"/>
        <v>0</v>
      </c>
      <c r="Y1325" s="358">
        <v>0</v>
      </c>
      <c r="Z1325" s="358">
        <v>0</v>
      </c>
      <c r="AA1325" s="358">
        <v>0</v>
      </c>
      <c r="AB1325" s="358">
        <v>0</v>
      </c>
      <c r="AC1325" s="358">
        <v>0</v>
      </c>
      <c r="AD1325" s="358">
        <v>0</v>
      </c>
      <c r="AE1325" s="358">
        <v>0</v>
      </c>
      <c r="AF1325" s="358">
        <v>0</v>
      </c>
      <c r="AG1325" s="358">
        <v>0</v>
      </c>
      <c r="AH1325" s="358">
        <v>0</v>
      </c>
      <c r="AI1325" s="358">
        <v>0</v>
      </c>
      <c r="AJ1325" s="358">
        <v>0</v>
      </c>
      <c r="AK1325" s="358">
        <f t="shared" si="429"/>
        <v>0</v>
      </c>
      <c r="AL1325" s="358">
        <v>0</v>
      </c>
      <c r="AM1325" s="358">
        <v>0</v>
      </c>
      <c r="AN1325" s="358">
        <v>0</v>
      </c>
      <c r="AO1325" s="358">
        <v>0</v>
      </c>
      <c r="AP1325" s="358">
        <v>0</v>
      </c>
      <c r="AQ1325" s="358">
        <v>0</v>
      </c>
      <c r="AR1325" s="358">
        <v>0</v>
      </c>
      <c r="AS1325" s="358">
        <f t="shared" si="436"/>
        <v>0</v>
      </c>
      <c r="AT1325" s="145">
        <v>0</v>
      </c>
      <c r="AU1325" s="139">
        <f t="shared" si="428"/>
        <v>0</v>
      </c>
      <c r="AV1325" s="146">
        <f>IFERROR(VLOOKUP(J1325,Maksājumu_pieprasījumu_iesn.!G:BL,57,0),0)</f>
        <v>0</v>
      </c>
      <c r="AW1325" s="139">
        <f t="shared" si="432"/>
        <v>0</v>
      </c>
      <c r="AX1325" s="358"/>
      <c r="AY1325" s="358"/>
      <c r="AZ1325" s="358"/>
      <c r="BA1325" s="360"/>
      <c r="BB1325" s="358"/>
      <c r="BC1325" s="358"/>
      <c r="BD1325" s="358"/>
      <c r="BE1325" s="358"/>
      <c r="BF1325" s="358"/>
      <c r="BG1325" s="358"/>
      <c r="BH1325" s="360"/>
      <c r="BI1325" s="360"/>
      <c r="BJ1325" s="360"/>
      <c r="BK1325" s="360"/>
      <c r="BL1325" s="360"/>
      <c r="BM1325" s="360"/>
      <c r="BN1325" s="360"/>
    </row>
    <row r="1326" spans="1:66" s="91" customFormat="1" ht="25.5" hidden="1" customHeight="1" outlineLevel="2" x14ac:dyDescent="0.2">
      <c r="A1326" s="150" t="s">
        <v>2279</v>
      </c>
      <c r="B1326" s="355" t="s">
        <v>406</v>
      </c>
      <c r="C1326" s="355" t="s">
        <v>411</v>
      </c>
      <c r="D1326" s="356" t="s">
        <v>606</v>
      </c>
      <c r="E1326" s="114">
        <v>2</v>
      </c>
      <c r="F1326" s="114" t="s">
        <v>402</v>
      </c>
      <c r="G1326" s="114" t="s">
        <v>77</v>
      </c>
      <c r="H1326" s="114" t="s">
        <v>3</v>
      </c>
      <c r="I1326" s="114"/>
      <c r="J1326" s="114"/>
      <c r="K1326" s="356" t="s">
        <v>2491</v>
      </c>
      <c r="L1326" s="356"/>
      <c r="M1326" s="356"/>
      <c r="N1326" s="356"/>
      <c r="O1326" s="357">
        <v>43616</v>
      </c>
      <c r="P1326" s="357"/>
      <c r="Q1326" s="357"/>
      <c r="R1326" s="357"/>
      <c r="S1326" s="117"/>
      <c r="T1326" s="117"/>
      <c r="U1326" s="358">
        <v>0</v>
      </c>
      <c r="V1326" s="358">
        <v>0</v>
      </c>
      <c r="W1326" s="358">
        <v>0</v>
      </c>
      <c r="X1326" s="358">
        <f t="shared" si="437"/>
        <v>0</v>
      </c>
      <c r="Y1326" s="358">
        <v>0</v>
      </c>
      <c r="Z1326" s="358">
        <v>0</v>
      </c>
      <c r="AA1326" s="358">
        <v>0</v>
      </c>
      <c r="AB1326" s="358">
        <v>0</v>
      </c>
      <c r="AC1326" s="358">
        <v>0</v>
      </c>
      <c r="AD1326" s="358">
        <v>0</v>
      </c>
      <c r="AE1326" s="358">
        <v>0</v>
      </c>
      <c r="AF1326" s="358">
        <v>0</v>
      </c>
      <c r="AG1326" s="358">
        <v>0</v>
      </c>
      <c r="AH1326" s="358">
        <v>0</v>
      </c>
      <c r="AI1326" s="358">
        <v>0</v>
      </c>
      <c r="AJ1326" s="358">
        <v>0</v>
      </c>
      <c r="AK1326" s="358">
        <f t="shared" si="429"/>
        <v>0</v>
      </c>
      <c r="AL1326" s="358">
        <v>0</v>
      </c>
      <c r="AM1326" s="358">
        <v>0</v>
      </c>
      <c r="AN1326" s="358">
        <v>0</v>
      </c>
      <c r="AO1326" s="358">
        <v>0</v>
      </c>
      <c r="AP1326" s="358">
        <v>0</v>
      </c>
      <c r="AQ1326" s="358">
        <v>0</v>
      </c>
      <c r="AR1326" s="358">
        <v>0</v>
      </c>
      <c r="AS1326" s="358">
        <f t="shared" si="436"/>
        <v>0</v>
      </c>
      <c r="AT1326" s="145">
        <v>0</v>
      </c>
      <c r="AU1326" s="139">
        <f t="shared" si="428"/>
        <v>0</v>
      </c>
      <c r="AV1326" s="146">
        <f>IFERROR(VLOOKUP(J1326,Maksājumu_pieprasījumu_iesn.!G:BL,57,0),0)</f>
        <v>0</v>
      </c>
      <c r="AW1326" s="139">
        <f t="shared" si="432"/>
        <v>0</v>
      </c>
      <c r="AX1326" s="358"/>
      <c r="AY1326" s="358"/>
      <c r="AZ1326" s="358"/>
      <c r="BA1326" s="360"/>
      <c r="BB1326" s="358"/>
      <c r="BC1326" s="358"/>
      <c r="BD1326" s="358"/>
      <c r="BE1326" s="358"/>
      <c r="BF1326" s="358"/>
      <c r="BG1326" s="358"/>
      <c r="BH1326" s="360"/>
      <c r="BI1326" s="360"/>
      <c r="BJ1326" s="360"/>
      <c r="BK1326" s="360"/>
      <c r="BL1326" s="360"/>
      <c r="BM1326" s="360"/>
      <c r="BN1326" s="360"/>
    </row>
    <row r="1327" spans="1:66" s="91" customFormat="1" ht="25.5" hidden="1" customHeight="1" outlineLevel="2" x14ac:dyDescent="0.2">
      <c r="A1327" s="150" t="s">
        <v>2279</v>
      </c>
      <c r="B1327" s="355" t="s">
        <v>406</v>
      </c>
      <c r="C1327" s="355" t="s">
        <v>411</v>
      </c>
      <c r="D1327" s="356" t="s">
        <v>606</v>
      </c>
      <c r="E1327" s="114">
        <v>2</v>
      </c>
      <c r="F1327" s="114" t="s">
        <v>402</v>
      </c>
      <c r="G1327" s="114" t="s">
        <v>77</v>
      </c>
      <c r="H1327" s="114" t="s">
        <v>3</v>
      </c>
      <c r="I1327" s="114"/>
      <c r="J1327" s="114"/>
      <c r="K1327" s="356" t="s">
        <v>1218</v>
      </c>
      <c r="L1327" s="356"/>
      <c r="M1327" s="356"/>
      <c r="N1327" s="356"/>
      <c r="O1327" s="357">
        <v>43616</v>
      </c>
      <c r="P1327" s="357"/>
      <c r="Q1327" s="357"/>
      <c r="R1327" s="357"/>
      <c r="S1327" s="117"/>
      <c r="T1327" s="117"/>
      <c r="U1327" s="358">
        <v>0</v>
      </c>
      <c r="V1327" s="358">
        <v>0</v>
      </c>
      <c r="W1327" s="358">
        <v>0</v>
      </c>
      <c r="X1327" s="358">
        <f t="shared" si="437"/>
        <v>0</v>
      </c>
      <c r="Y1327" s="358">
        <v>0</v>
      </c>
      <c r="Z1327" s="358">
        <v>0</v>
      </c>
      <c r="AA1327" s="358">
        <v>0</v>
      </c>
      <c r="AB1327" s="358">
        <v>0</v>
      </c>
      <c r="AC1327" s="358">
        <v>0</v>
      </c>
      <c r="AD1327" s="358">
        <v>0</v>
      </c>
      <c r="AE1327" s="358">
        <v>0</v>
      </c>
      <c r="AF1327" s="358">
        <v>0</v>
      </c>
      <c r="AG1327" s="358">
        <v>0</v>
      </c>
      <c r="AH1327" s="358">
        <v>0</v>
      </c>
      <c r="AI1327" s="358">
        <v>0</v>
      </c>
      <c r="AJ1327" s="358">
        <v>0</v>
      </c>
      <c r="AK1327" s="358">
        <f t="shared" si="429"/>
        <v>0</v>
      </c>
      <c r="AL1327" s="358">
        <v>0</v>
      </c>
      <c r="AM1327" s="358">
        <v>0</v>
      </c>
      <c r="AN1327" s="358">
        <v>0</v>
      </c>
      <c r="AO1327" s="358">
        <v>0</v>
      </c>
      <c r="AP1327" s="358">
        <v>0</v>
      </c>
      <c r="AQ1327" s="358">
        <v>0</v>
      </c>
      <c r="AR1327" s="358">
        <v>0</v>
      </c>
      <c r="AS1327" s="358">
        <f t="shared" si="436"/>
        <v>0</v>
      </c>
      <c r="AT1327" s="145">
        <v>0</v>
      </c>
      <c r="AU1327" s="139">
        <f t="shared" si="428"/>
        <v>0</v>
      </c>
      <c r="AV1327" s="146">
        <f>IFERROR(VLOOKUP(J1327,Maksājumu_pieprasījumu_iesn.!G:BL,57,0),0)</f>
        <v>0</v>
      </c>
      <c r="AW1327" s="139">
        <f t="shared" si="432"/>
        <v>0</v>
      </c>
      <c r="AX1327" s="358"/>
      <c r="AY1327" s="358"/>
      <c r="AZ1327" s="358"/>
      <c r="BA1327" s="360"/>
      <c r="BB1327" s="358"/>
      <c r="BC1327" s="358"/>
      <c r="BD1327" s="358"/>
      <c r="BE1327" s="358"/>
      <c r="BF1327" s="358"/>
      <c r="BG1327" s="358"/>
      <c r="BH1327" s="360"/>
      <c r="BI1327" s="360"/>
      <c r="BJ1327" s="360"/>
      <c r="BK1327" s="360"/>
      <c r="BL1327" s="360"/>
      <c r="BM1327" s="360"/>
      <c r="BN1327" s="360"/>
    </row>
    <row r="1328" spans="1:66" s="91" customFormat="1" ht="25.5" hidden="1" customHeight="1" outlineLevel="2" x14ac:dyDescent="0.2">
      <c r="A1328" s="150" t="s">
        <v>2279</v>
      </c>
      <c r="B1328" s="355" t="s">
        <v>406</v>
      </c>
      <c r="C1328" s="355" t="s">
        <v>411</v>
      </c>
      <c r="D1328" s="356" t="s">
        <v>606</v>
      </c>
      <c r="E1328" s="114">
        <v>2</v>
      </c>
      <c r="F1328" s="114" t="s">
        <v>402</v>
      </c>
      <c r="G1328" s="114" t="s">
        <v>77</v>
      </c>
      <c r="H1328" s="114" t="s">
        <v>3</v>
      </c>
      <c r="I1328" s="114"/>
      <c r="J1328" s="114"/>
      <c r="K1328" s="356" t="s">
        <v>894</v>
      </c>
      <c r="L1328" s="356"/>
      <c r="M1328" s="356"/>
      <c r="N1328" s="356"/>
      <c r="O1328" s="357">
        <v>43616</v>
      </c>
      <c r="P1328" s="357"/>
      <c r="Q1328" s="357"/>
      <c r="R1328" s="357"/>
      <c r="S1328" s="117"/>
      <c r="T1328" s="117"/>
      <c r="U1328" s="358">
        <v>0</v>
      </c>
      <c r="V1328" s="358">
        <v>0</v>
      </c>
      <c r="W1328" s="358">
        <v>0</v>
      </c>
      <c r="X1328" s="358">
        <f t="shared" si="437"/>
        <v>0</v>
      </c>
      <c r="Y1328" s="358">
        <v>0</v>
      </c>
      <c r="Z1328" s="358">
        <v>0</v>
      </c>
      <c r="AA1328" s="358">
        <v>0</v>
      </c>
      <c r="AB1328" s="358">
        <v>0</v>
      </c>
      <c r="AC1328" s="358">
        <v>0</v>
      </c>
      <c r="AD1328" s="358">
        <v>0</v>
      </c>
      <c r="AE1328" s="358">
        <v>0</v>
      </c>
      <c r="AF1328" s="358">
        <v>0</v>
      </c>
      <c r="AG1328" s="358">
        <v>0</v>
      </c>
      <c r="AH1328" s="358">
        <v>0</v>
      </c>
      <c r="AI1328" s="358">
        <v>0</v>
      </c>
      <c r="AJ1328" s="358">
        <v>0</v>
      </c>
      <c r="AK1328" s="358">
        <f t="shared" si="429"/>
        <v>0</v>
      </c>
      <c r="AL1328" s="358">
        <v>0</v>
      </c>
      <c r="AM1328" s="358">
        <v>0</v>
      </c>
      <c r="AN1328" s="358">
        <v>0</v>
      </c>
      <c r="AO1328" s="358">
        <v>0</v>
      </c>
      <c r="AP1328" s="358">
        <v>0</v>
      </c>
      <c r="AQ1328" s="358">
        <v>0</v>
      </c>
      <c r="AR1328" s="358">
        <v>0</v>
      </c>
      <c r="AS1328" s="358">
        <f t="shared" si="436"/>
        <v>0</v>
      </c>
      <c r="AT1328" s="145">
        <v>0</v>
      </c>
      <c r="AU1328" s="139">
        <f t="shared" si="428"/>
        <v>0</v>
      </c>
      <c r="AV1328" s="146">
        <f>IFERROR(VLOOKUP(J1328,Maksājumu_pieprasījumu_iesn.!G:BL,57,0),0)</f>
        <v>0</v>
      </c>
      <c r="AW1328" s="139">
        <f t="shared" si="432"/>
        <v>0</v>
      </c>
      <c r="AX1328" s="358"/>
      <c r="AY1328" s="358"/>
      <c r="AZ1328" s="358"/>
      <c r="BA1328" s="360"/>
      <c r="BB1328" s="358"/>
      <c r="BC1328" s="358"/>
      <c r="BD1328" s="358"/>
      <c r="BE1328" s="358"/>
      <c r="BF1328" s="358"/>
      <c r="BG1328" s="358"/>
      <c r="BH1328" s="360"/>
      <c r="BI1328" s="360"/>
      <c r="BJ1328" s="360"/>
      <c r="BK1328" s="360"/>
      <c r="BL1328" s="360"/>
      <c r="BM1328" s="360"/>
      <c r="BN1328" s="360"/>
    </row>
    <row r="1329" spans="1:66" s="91" customFormat="1" ht="25.5" hidden="1" customHeight="1" outlineLevel="2" x14ac:dyDescent="0.2">
      <c r="A1329" s="150" t="s">
        <v>2279</v>
      </c>
      <c r="B1329" s="355" t="s">
        <v>406</v>
      </c>
      <c r="C1329" s="355" t="s">
        <v>411</v>
      </c>
      <c r="D1329" s="356" t="s">
        <v>606</v>
      </c>
      <c r="E1329" s="114">
        <v>2</v>
      </c>
      <c r="F1329" s="114" t="s">
        <v>402</v>
      </c>
      <c r="G1329" s="114" t="s">
        <v>77</v>
      </c>
      <c r="H1329" s="114" t="s">
        <v>3</v>
      </c>
      <c r="I1329" s="114"/>
      <c r="J1329" s="114"/>
      <c r="K1329" s="356" t="s">
        <v>2362</v>
      </c>
      <c r="L1329" s="356"/>
      <c r="M1329" s="356"/>
      <c r="N1329" s="356"/>
      <c r="O1329" s="357">
        <v>43616</v>
      </c>
      <c r="P1329" s="357"/>
      <c r="Q1329" s="357"/>
      <c r="R1329" s="357"/>
      <c r="S1329" s="117"/>
      <c r="T1329" s="117"/>
      <c r="U1329" s="358">
        <v>0</v>
      </c>
      <c r="V1329" s="358">
        <v>0</v>
      </c>
      <c r="W1329" s="358">
        <v>0</v>
      </c>
      <c r="X1329" s="358">
        <f t="shared" si="437"/>
        <v>0</v>
      </c>
      <c r="Y1329" s="358">
        <v>0</v>
      </c>
      <c r="Z1329" s="358">
        <v>0</v>
      </c>
      <c r="AA1329" s="358">
        <v>0</v>
      </c>
      <c r="AB1329" s="358">
        <v>0</v>
      </c>
      <c r="AC1329" s="358">
        <v>0</v>
      </c>
      <c r="AD1329" s="358">
        <v>0</v>
      </c>
      <c r="AE1329" s="358">
        <v>0</v>
      </c>
      <c r="AF1329" s="358">
        <v>0</v>
      </c>
      <c r="AG1329" s="358">
        <v>0</v>
      </c>
      <c r="AH1329" s="358">
        <v>0</v>
      </c>
      <c r="AI1329" s="358">
        <v>0</v>
      </c>
      <c r="AJ1329" s="358">
        <v>0</v>
      </c>
      <c r="AK1329" s="358">
        <f t="shared" si="429"/>
        <v>0</v>
      </c>
      <c r="AL1329" s="358">
        <v>0</v>
      </c>
      <c r="AM1329" s="358">
        <v>0</v>
      </c>
      <c r="AN1329" s="358">
        <v>0</v>
      </c>
      <c r="AO1329" s="358">
        <v>0</v>
      </c>
      <c r="AP1329" s="358">
        <v>0</v>
      </c>
      <c r="AQ1329" s="358">
        <v>0</v>
      </c>
      <c r="AR1329" s="358">
        <v>0</v>
      </c>
      <c r="AS1329" s="358">
        <f t="shared" si="436"/>
        <v>0</v>
      </c>
      <c r="AT1329" s="145">
        <v>0</v>
      </c>
      <c r="AU1329" s="139">
        <f t="shared" si="428"/>
        <v>0</v>
      </c>
      <c r="AV1329" s="146">
        <f>IFERROR(VLOOKUP(J1329,Maksājumu_pieprasījumu_iesn.!G:BL,57,0),0)</f>
        <v>0</v>
      </c>
      <c r="AW1329" s="139">
        <f t="shared" si="432"/>
        <v>0</v>
      </c>
      <c r="AX1329" s="358"/>
      <c r="AY1329" s="358"/>
      <c r="AZ1329" s="358"/>
      <c r="BA1329" s="360"/>
      <c r="BB1329" s="358"/>
      <c r="BC1329" s="358"/>
      <c r="BD1329" s="358"/>
      <c r="BE1329" s="358"/>
      <c r="BF1329" s="358"/>
      <c r="BG1329" s="358"/>
      <c r="BH1329" s="360"/>
      <c r="BI1329" s="360"/>
      <c r="BJ1329" s="360"/>
      <c r="BK1329" s="360"/>
      <c r="BL1329" s="360"/>
      <c r="BM1329" s="360"/>
      <c r="BN1329" s="360"/>
    </row>
    <row r="1330" spans="1:66" s="91" customFormat="1" ht="25.5" hidden="1" customHeight="1" outlineLevel="2" x14ac:dyDescent="0.2">
      <c r="A1330" s="150" t="s">
        <v>2279</v>
      </c>
      <c r="B1330" s="355" t="s">
        <v>406</v>
      </c>
      <c r="C1330" s="355" t="s">
        <v>411</v>
      </c>
      <c r="D1330" s="356" t="s">
        <v>606</v>
      </c>
      <c r="E1330" s="114">
        <v>2</v>
      </c>
      <c r="F1330" s="114" t="s">
        <v>402</v>
      </c>
      <c r="G1330" s="114" t="s">
        <v>77</v>
      </c>
      <c r="H1330" s="114" t="s">
        <v>3</v>
      </c>
      <c r="I1330" s="114"/>
      <c r="J1330" s="114"/>
      <c r="K1330" s="356" t="s">
        <v>2436</v>
      </c>
      <c r="L1330" s="356"/>
      <c r="M1330" s="356"/>
      <c r="N1330" s="356"/>
      <c r="O1330" s="357">
        <v>43616</v>
      </c>
      <c r="P1330" s="357"/>
      <c r="Q1330" s="357"/>
      <c r="R1330" s="357"/>
      <c r="S1330" s="117"/>
      <c r="T1330" s="117"/>
      <c r="U1330" s="358">
        <v>0</v>
      </c>
      <c r="V1330" s="358">
        <v>0</v>
      </c>
      <c r="W1330" s="358">
        <v>0</v>
      </c>
      <c r="X1330" s="358">
        <f t="shared" si="437"/>
        <v>0</v>
      </c>
      <c r="Y1330" s="358">
        <v>0</v>
      </c>
      <c r="Z1330" s="358">
        <v>0</v>
      </c>
      <c r="AA1330" s="358">
        <v>0</v>
      </c>
      <c r="AB1330" s="358">
        <v>0</v>
      </c>
      <c r="AC1330" s="358">
        <v>0</v>
      </c>
      <c r="AD1330" s="358">
        <v>0</v>
      </c>
      <c r="AE1330" s="358">
        <v>0</v>
      </c>
      <c r="AF1330" s="358">
        <v>0</v>
      </c>
      <c r="AG1330" s="358">
        <v>0</v>
      </c>
      <c r="AH1330" s="358">
        <v>0</v>
      </c>
      <c r="AI1330" s="358">
        <v>0</v>
      </c>
      <c r="AJ1330" s="358">
        <v>0</v>
      </c>
      <c r="AK1330" s="358">
        <f t="shared" si="429"/>
        <v>0</v>
      </c>
      <c r="AL1330" s="358">
        <v>0</v>
      </c>
      <c r="AM1330" s="358">
        <v>0</v>
      </c>
      <c r="AN1330" s="358">
        <v>0</v>
      </c>
      <c r="AO1330" s="358">
        <v>0</v>
      </c>
      <c r="AP1330" s="358">
        <v>0</v>
      </c>
      <c r="AQ1330" s="358">
        <v>0</v>
      </c>
      <c r="AR1330" s="358">
        <v>0</v>
      </c>
      <c r="AS1330" s="358">
        <f t="shared" si="436"/>
        <v>0</v>
      </c>
      <c r="AT1330" s="145">
        <v>0</v>
      </c>
      <c r="AU1330" s="139">
        <f t="shared" si="428"/>
        <v>0</v>
      </c>
      <c r="AV1330" s="146">
        <f>IFERROR(VLOOKUP(J1330,Maksājumu_pieprasījumu_iesn.!G:BL,57,0),0)</f>
        <v>0</v>
      </c>
      <c r="AW1330" s="139">
        <f t="shared" si="432"/>
        <v>0</v>
      </c>
      <c r="AX1330" s="358"/>
      <c r="AY1330" s="358"/>
      <c r="AZ1330" s="358"/>
      <c r="BA1330" s="360"/>
      <c r="BB1330" s="358"/>
      <c r="BC1330" s="358"/>
      <c r="BD1330" s="358"/>
      <c r="BE1330" s="358"/>
      <c r="BF1330" s="358"/>
      <c r="BG1330" s="358"/>
      <c r="BH1330" s="360"/>
      <c r="BI1330" s="360"/>
      <c r="BJ1330" s="360"/>
      <c r="BK1330" s="360"/>
      <c r="BL1330" s="360"/>
      <c r="BM1330" s="360"/>
      <c r="BN1330" s="360"/>
    </row>
    <row r="1331" spans="1:66" s="91" customFormat="1" ht="25.5" hidden="1" customHeight="1" outlineLevel="2" x14ac:dyDescent="0.2">
      <c r="A1331" s="150" t="s">
        <v>2279</v>
      </c>
      <c r="B1331" s="355" t="s">
        <v>406</v>
      </c>
      <c r="C1331" s="355" t="s">
        <v>411</v>
      </c>
      <c r="D1331" s="356" t="s">
        <v>606</v>
      </c>
      <c r="E1331" s="114">
        <v>2</v>
      </c>
      <c r="F1331" s="114" t="s">
        <v>402</v>
      </c>
      <c r="G1331" s="114" t="s">
        <v>77</v>
      </c>
      <c r="H1331" s="114" t="s">
        <v>3</v>
      </c>
      <c r="I1331" s="114"/>
      <c r="J1331" s="114"/>
      <c r="K1331" s="356" t="s">
        <v>730</v>
      </c>
      <c r="L1331" s="356"/>
      <c r="M1331" s="356"/>
      <c r="N1331" s="356"/>
      <c r="O1331" s="357">
        <v>43616</v>
      </c>
      <c r="P1331" s="357"/>
      <c r="Q1331" s="357"/>
      <c r="R1331" s="357"/>
      <c r="S1331" s="117"/>
      <c r="T1331" s="117"/>
      <c r="U1331" s="358">
        <v>0</v>
      </c>
      <c r="V1331" s="358">
        <v>0</v>
      </c>
      <c r="W1331" s="358">
        <v>0</v>
      </c>
      <c r="X1331" s="358">
        <f t="shared" si="437"/>
        <v>0</v>
      </c>
      <c r="Y1331" s="358">
        <v>0</v>
      </c>
      <c r="Z1331" s="358">
        <v>0</v>
      </c>
      <c r="AA1331" s="358">
        <v>0</v>
      </c>
      <c r="AB1331" s="358">
        <v>0</v>
      </c>
      <c r="AC1331" s="358">
        <v>0</v>
      </c>
      <c r="AD1331" s="358">
        <v>0</v>
      </c>
      <c r="AE1331" s="358">
        <v>0</v>
      </c>
      <c r="AF1331" s="358">
        <v>0</v>
      </c>
      <c r="AG1331" s="358">
        <v>0</v>
      </c>
      <c r="AH1331" s="358">
        <v>0</v>
      </c>
      <c r="AI1331" s="358">
        <v>0</v>
      </c>
      <c r="AJ1331" s="358">
        <v>0</v>
      </c>
      <c r="AK1331" s="358">
        <f t="shared" si="429"/>
        <v>0</v>
      </c>
      <c r="AL1331" s="358">
        <v>0</v>
      </c>
      <c r="AM1331" s="358">
        <v>0</v>
      </c>
      <c r="AN1331" s="358">
        <v>0</v>
      </c>
      <c r="AO1331" s="358">
        <v>0</v>
      </c>
      <c r="AP1331" s="358">
        <v>0</v>
      </c>
      <c r="AQ1331" s="358">
        <v>0</v>
      </c>
      <c r="AR1331" s="358">
        <v>0</v>
      </c>
      <c r="AS1331" s="358">
        <f t="shared" si="436"/>
        <v>0</v>
      </c>
      <c r="AT1331" s="145">
        <v>0</v>
      </c>
      <c r="AU1331" s="139">
        <f t="shared" si="428"/>
        <v>0</v>
      </c>
      <c r="AV1331" s="146">
        <f>IFERROR(VLOOKUP(J1331,Maksājumu_pieprasījumu_iesn.!G:BL,57,0),0)</f>
        <v>0</v>
      </c>
      <c r="AW1331" s="139">
        <f t="shared" si="432"/>
        <v>0</v>
      </c>
      <c r="AX1331" s="358"/>
      <c r="AY1331" s="358"/>
      <c r="AZ1331" s="358"/>
      <c r="BA1331" s="360"/>
      <c r="BB1331" s="358"/>
      <c r="BC1331" s="358"/>
      <c r="BD1331" s="358"/>
      <c r="BE1331" s="358"/>
      <c r="BF1331" s="358"/>
      <c r="BG1331" s="358"/>
      <c r="BH1331" s="360"/>
      <c r="BI1331" s="360"/>
      <c r="BJ1331" s="360"/>
      <c r="BK1331" s="360"/>
      <c r="BL1331" s="360"/>
      <c r="BM1331" s="360"/>
      <c r="BN1331" s="360"/>
    </row>
    <row r="1332" spans="1:66" s="91" customFormat="1" ht="25.5" hidden="1" customHeight="1" outlineLevel="2" x14ac:dyDescent="0.2">
      <c r="A1332" s="150" t="s">
        <v>2279</v>
      </c>
      <c r="B1332" s="355" t="s">
        <v>406</v>
      </c>
      <c r="C1332" s="355" t="s">
        <v>411</v>
      </c>
      <c r="D1332" s="356" t="s">
        <v>606</v>
      </c>
      <c r="E1332" s="114">
        <v>2</v>
      </c>
      <c r="F1332" s="114" t="s">
        <v>402</v>
      </c>
      <c r="G1332" s="114" t="s">
        <v>77</v>
      </c>
      <c r="H1332" s="114" t="s">
        <v>3</v>
      </c>
      <c r="I1332" s="114"/>
      <c r="J1332" s="114"/>
      <c r="K1332" s="356" t="s">
        <v>2492</v>
      </c>
      <c r="L1332" s="356"/>
      <c r="M1332" s="356"/>
      <c r="N1332" s="356"/>
      <c r="O1332" s="357">
        <v>43616</v>
      </c>
      <c r="P1332" s="357"/>
      <c r="Q1332" s="357"/>
      <c r="R1332" s="357"/>
      <c r="S1332" s="117"/>
      <c r="T1332" s="117"/>
      <c r="U1332" s="358">
        <v>0</v>
      </c>
      <c r="V1332" s="358">
        <v>0</v>
      </c>
      <c r="W1332" s="358">
        <v>0</v>
      </c>
      <c r="X1332" s="358">
        <f t="shared" si="437"/>
        <v>0</v>
      </c>
      <c r="Y1332" s="358">
        <v>0</v>
      </c>
      <c r="Z1332" s="358">
        <v>0</v>
      </c>
      <c r="AA1332" s="358">
        <v>0</v>
      </c>
      <c r="AB1332" s="358">
        <v>0</v>
      </c>
      <c r="AC1332" s="358">
        <v>0</v>
      </c>
      <c r="AD1332" s="358">
        <v>0</v>
      </c>
      <c r="AE1332" s="358">
        <v>0</v>
      </c>
      <c r="AF1332" s="358">
        <v>0</v>
      </c>
      <c r="AG1332" s="358">
        <v>0</v>
      </c>
      <c r="AH1332" s="358">
        <v>0</v>
      </c>
      <c r="AI1332" s="358">
        <v>0</v>
      </c>
      <c r="AJ1332" s="358">
        <v>0</v>
      </c>
      <c r="AK1332" s="358">
        <f t="shared" si="429"/>
        <v>0</v>
      </c>
      <c r="AL1332" s="358">
        <v>0</v>
      </c>
      <c r="AM1332" s="358">
        <v>0</v>
      </c>
      <c r="AN1332" s="358">
        <v>0</v>
      </c>
      <c r="AO1332" s="358">
        <v>0</v>
      </c>
      <c r="AP1332" s="358">
        <v>0</v>
      </c>
      <c r="AQ1332" s="358">
        <v>0</v>
      </c>
      <c r="AR1332" s="358">
        <v>0</v>
      </c>
      <c r="AS1332" s="358">
        <f t="shared" si="436"/>
        <v>0</v>
      </c>
      <c r="AT1332" s="145">
        <v>0</v>
      </c>
      <c r="AU1332" s="139">
        <f t="shared" si="428"/>
        <v>0</v>
      </c>
      <c r="AV1332" s="146">
        <f>IFERROR(VLOOKUP(J1332,Maksājumu_pieprasījumu_iesn.!G:BL,57,0),0)</f>
        <v>0</v>
      </c>
      <c r="AW1332" s="139">
        <f t="shared" si="432"/>
        <v>0</v>
      </c>
      <c r="AX1332" s="358"/>
      <c r="AY1332" s="358"/>
      <c r="AZ1332" s="358"/>
      <c r="BA1332" s="360"/>
      <c r="BB1332" s="358"/>
      <c r="BC1332" s="358"/>
      <c r="BD1332" s="358"/>
      <c r="BE1332" s="358"/>
      <c r="BF1332" s="358"/>
      <c r="BG1332" s="358"/>
      <c r="BH1332" s="360"/>
      <c r="BI1332" s="360"/>
      <c r="BJ1332" s="360"/>
      <c r="BK1332" s="360"/>
      <c r="BL1332" s="360"/>
      <c r="BM1332" s="360"/>
      <c r="BN1332" s="360"/>
    </row>
    <row r="1333" spans="1:66" s="91" customFormat="1" ht="25.5" hidden="1" customHeight="1" outlineLevel="2" x14ac:dyDescent="0.2">
      <c r="A1333" s="150" t="s">
        <v>2279</v>
      </c>
      <c r="B1333" s="355" t="s">
        <v>406</v>
      </c>
      <c r="C1333" s="355" t="s">
        <v>411</v>
      </c>
      <c r="D1333" s="356" t="s">
        <v>606</v>
      </c>
      <c r="E1333" s="114">
        <v>2</v>
      </c>
      <c r="F1333" s="114" t="s">
        <v>402</v>
      </c>
      <c r="G1333" s="114" t="s">
        <v>77</v>
      </c>
      <c r="H1333" s="114" t="s">
        <v>3</v>
      </c>
      <c r="I1333" s="114"/>
      <c r="J1333" s="114"/>
      <c r="K1333" s="356" t="s">
        <v>1266</v>
      </c>
      <c r="L1333" s="356"/>
      <c r="M1333" s="356"/>
      <c r="N1333" s="356"/>
      <c r="O1333" s="357">
        <v>43616</v>
      </c>
      <c r="P1333" s="357"/>
      <c r="Q1333" s="357"/>
      <c r="R1333" s="357"/>
      <c r="S1333" s="117"/>
      <c r="T1333" s="117"/>
      <c r="U1333" s="358">
        <v>0</v>
      </c>
      <c r="V1333" s="358">
        <v>0</v>
      </c>
      <c r="W1333" s="358">
        <v>0</v>
      </c>
      <c r="X1333" s="358">
        <f t="shared" si="437"/>
        <v>0</v>
      </c>
      <c r="Y1333" s="358">
        <v>0</v>
      </c>
      <c r="Z1333" s="358">
        <v>0</v>
      </c>
      <c r="AA1333" s="358">
        <v>0</v>
      </c>
      <c r="AB1333" s="358">
        <v>0</v>
      </c>
      <c r="AC1333" s="358">
        <v>0</v>
      </c>
      <c r="AD1333" s="358">
        <v>0</v>
      </c>
      <c r="AE1333" s="358">
        <v>0</v>
      </c>
      <c r="AF1333" s="358">
        <v>0</v>
      </c>
      <c r="AG1333" s="358">
        <v>0</v>
      </c>
      <c r="AH1333" s="358">
        <v>0</v>
      </c>
      <c r="AI1333" s="358">
        <v>0</v>
      </c>
      <c r="AJ1333" s="358">
        <v>0</v>
      </c>
      <c r="AK1333" s="358">
        <f t="shared" si="429"/>
        <v>0</v>
      </c>
      <c r="AL1333" s="358">
        <v>0</v>
      </c>
      <c r="AM1333" s="358">
        <v>0</v>
      </c>
      <c r="AN1333" s="358">
        <v>0</v>
      </c>
      <c r="AO1333" s="358">
        <v>0</v>
      </c>
      <c r="AP1333" s="358">
        <v>0</v>
      </c>
      <c r="AQ1333" s="358">
        <v>0</v>
      </c>
      <c r="AR1333" s="358">
        <v>0</v>
      </c>
      <c r="AS1333" s="358">
        <f t="shared" si="436"/>
        <v>0</v>
      </c>
      <c r="AT1333" s="145">
        <v>0</v>
      </c>
      <c r="AU1333" s="139">
        <f t="shared" si="428"/>
        <v>0</v>
      </c>
      <c r="AV1333" s="146">
        <f>IFERROR(VLOOKUP(J1333,Maksājumu_pieprasījumu_iesn.!G:BL,57,0),0)</f>
        <v>0</v>
      </c>
      <c r="AW1333" s="139">
        <f t="shared" si="432"/>
        <v>0</v>
      </c>
      <c r="AX1333" s="358"/>
      <c r="AY1333" s="358"/>
      <c r="AZ1333" s="358"/>
      <c r="BA1333" s="360"/>
      <c r="BB1333" s="358"/>
      <c r="BC1333" s="358"/>
      <c r="BD1333" s="358"/>
      <c r="BE1333" s="358"/>
      <c r="BF1333" s="358"/>
      <c r="BG1333" s="358"/>
      <c r="BH1333" s="360"/>
      <c r="BI1333" s="360"/>
      <c r="BJ1333" s="360"/>
      <c r="BK1333" s="360"/>
      <c r="BL1333" s="360"/>
      <c r="BM1333" s="360"/>
      <c r="BN1333" s="360"/>
    </row>
    <row r="1334" spans="1:66" s="91" customFormat="1" ht="25.5" hidden="1" customHeight="1" outlineLevel="2" x14ac:dyDescent="0.2">
      <c r="A1334" s="150" t="s">
        <v>2279</v>
      </c>
      <c r="B1334" s="355" t="s">
        <v>406</v>
      </c>
      <c r="C1334" s="355" t="s">
        <v>411</v>
      </c>
      <c r="D1334" s="356" t="s">
        <v>606</v>
      </c>
      <c r="E1334" s="114">
        <v>2</v>
      </c>
      <c r="F1334" s="114" t="s">
        <v>402</v>
      </c>
      <c r="G1334" s="114" t="s">
        <v>77</v>
      </c>
      <c r="H1334" s="114" t="s">
        <v>3</v>
      </c>
      <c r="I1334" s="114"/>
      <c r="J1334" s="114"/>
      <c r="K1334" s="356" t="s">
        <v>662</v>
      </c>
      <c r="L1334" s="356"/>
      <c r="M1334" s="356"/>
      <c r="N1334" s="356"/>
      <c r="O1334" s="357">
        <v>43616</v>
      </c>
      <c r="P1334" s="357"/>
      <c r="Q1334" s="357"/>
      <c r="R1334" s="357"/>
      <c r="S1334" s="117"/>
      <c r="T1334" s="117"/>
      <c r="U1334" s="358">
        <v>0</v>
      </c>
      <c r="V1334" s="358">
        <v>0</v>
      </c>
      <c r="W1334" s="358">
        <v>0</v>
      </c>
      <c r="X1334" s="358">
        <f t="shared" si="437"/>
        <v>0</v>
      </c>
      <c r="Y1334" s="358">
        <v>0</v>
      </c>
      <c r="Z1334" s="358">
        <v>0</v>
      </c>
      <c r="AA1334" s="358">
        <v>0</v>
      </c>
      <c r="AB1334" s="358">
        <v>0</v>
      </c>
      <c r="AC1334" s="358">
        <v>0</v>
      </c>
      <c r="AD1334" s="358">
        <v>0</v>
      </c>
      <c r="AE1334" s="358">
        <v>0</v>
      </c>
      <c r="AF1334" s="358">
        <v>0</v>
      </c>
      <c r="AG1334" s="358">
        <v>0</v>
      </c>
      <c r="AH1334" s="358">
        <v>0</v>
      </c>
      <c r="AI1334" s="358">
        <v>0</v>
      </c>
      <c r="AJ1334" s="358">
        <v>0</v>
      </c>
      <c r="AK1334" s="358">
        <f t="shared" si="429"/>
        <v>0</v>
      </c>
      <c r="AL1334" s="358">
        <v>0</v>
      </c>
      <c r="AM1334" s="358">
        <v>0</v>
      </c>
      <c r="AN1334" s="358">
        <v>0</v>
      </c>
      <c r="AO1334" s="358">
        <v>0</v>
      </c>
      <c r="AP1334" s="358">
        <v>0</v>
      </c>
      <c r="AQ1334" s="358">
        <v>0</v>
      </c>
      <c r="AR1334" s="358">
        <v>0</v>
      </c>
      <c r="AS1334" s="358">
        <f t="shared" si="436"/>
        <v>0</v>
      </c>
      <c r="AT1334" s="145">
        <v>0</v>
      </c>
      <c r="AU1334" s="139">
        <f t="shared" si="428"/>
        <v>0</v>
      </c>
      <c r="AV1334" s="146">
        <f>IFERROR(VLOOKUP(J1334,Maksājumu_pieprasījumu_iesn.!G:BL,57,0),0)</f>
        <v>0</v>
      </c>
      <c r="AW1334" s="139">
        <f t="shared" si="432"/>
        <v>0</v>
      </c>
      <c r="AX1334" s="358"/>
      <c r="AY1334" s="358"/>
      <c r="AZ1334" s="358"/>
      <c r="BA1334" s="360"/>
      <c r="BB1334" s="358"/>
      <c r="BC1334" s="358"/>
      <c r="BD1334" s="358"/>
      <c r="BE1334" s="358"/>
      <c r="BF1334" s="358"/>
      <c r="BG1334" s="358"/>
      <c r="BH1334" s="360"/>
      <c r="BI1334" s="360"/>
      <c r="BJ1334" s="360"/>
      <c r="BK1334" s="360"/>
      <c r="BL1334" s="360"/>
      <c r="BM1334" s="360"/>
      <c r="BN1334" s="360"/>
    </row>
    <row r="1335" spans="1:66" s="91" customFormat="1" ht="25.5" hidden="1" customHeight="1" outlineLevel="2" x14ac:dyDescent="0.2">
      <c r="A1335" s="150" t="s">
        <v>2279</v>
      </c>
      <c r="B1335" s="355" t="s">
        <v>406</v>
      </c>
      <c r="C1335" s="355" t="s">
        <v>411</v>
      </c>
      <c r="D1335" s="356" t="s">
        <v>606</v>
      </c>
      <c r="E1335" s="114">
        <v>2</v>
      </c>
      <c r="F1335" s="114" t="s">
        <v>402</v>
      </c>
      <c r="G1335" s="114" t="s">
        <v>77</v>
      </c>
      <c r="H1335" s="114" t="s">
        <v>3</v>
      </c>
      <c r="I1335" s="114"/>
      <c r="J1335" s="114"/>
      <c r="K1335" s="356" t="s">
        <v>2399</v>
      </c>
      <c r="L1335" s="356"/>
      <c r="M1335" s="356"/>
      <c r="N1335" s="356"/>
      <c r="O1335" s="357">
        <v>43616</v>
      </c>
      <c r="P1335" s="357"/>
      <c r="Q1335" s="357"/>
      <c r="R1335" s="357"/>
      <c r="S1335" s="117"/>
      <c r="T1335" s="117"/>
      <c r="U1335" s="358">
        <v>0</v>
      </c>
      <c r="V1335" s="358">
        <v>0</v>
      </c>
      <c r="W1335" s="358">
        <v>0</v>
      </c>
      <c r="X1335" s="358">
        <f t="shared" si="437"/>
        <v>0</v>
      </c>
      <c r="Y1335" s="358">
        <v>0</v>
      </c>
      <c r="Z1335" s="358">
        <v>0</v>
      </c>
      <c r="AA1335" s="358">
        <v>0</v>
      </c>
      <c r="AB1335" s="358">
        <v>0</v>
      </c>
      <c r="AC1335" s="358">
        <v>0</v>
      </c>
      <c r="AD1335" s="358">
        <v>0</v>
      </c>
      <c r="AE1335" s="358">
        <v>0</v>
      </c>
      <c r="AF1335" s="358">
        <v>0</v>
      </c>
      <c r="AG1335" s="358">
        <v>0</v>
      </c>
      <c r="AH1335" s="358">
        <v>0</v>
      </c>
      <c r="AI1335" s="358">
        <v>0</v>
      </c>
      <c r="AJ1335" s="358">
        <v>0</v>
      </c>
      <c r="AK1335" s="358">
        <f t="shared" si="429"/>
        <v>0</v>
      </c>
      <c r="AL1335" s="358">
        <v>0</v>
      </c>
      <c r="AM1335" s="358">
        <v>0</v>
      </c>
      <c r="AN1335" s="358">
        <v>0</v>
      </c>
      <c r="AO1335" s="358">
        <v>0</v>
      </c>
      <c r="AP1335" s="358">
        <v>0</v>
      </c>
      <c r="AQ1335" s="358">
        <v>0</v>
      </c>
      <c r="AR1335" s="358">
        <v>0</v>
      </c>
      <c r="AS1335" s="358">
        <f t="shared" si="436"/>
        <v>0</v>
      </c>
      <c r="AT1335" s="145">
        <v>0</v>
      </c>
      <c r="AU1335" s="139">
        <f t="shared" si="428"/>
        <v>0</v>
      </c>
      <c r="AV1335" s="146">
        <f>IFERROR(VLOOKUP(J1335,Maksājumu_pieprasījumu_iesn.!G:BL,57,0),0)</f>
        <v>0</v>
      </c>
      <c r="AW1335" s="139">
        <f t="shared" si="432"/>
        <v>0</v>
      </c>
      <c r="AX1335" s="358"/>
      <c r="AY1335" s="358"/>
      <c r="AZ1335" s="358"/>
      <c r="BA1335" s="360"/>
      <c r="BB1335" s="358"/>
      <c r="BC1335" s="358"/>
      <c r="BD1335" s="358"/>
      <c r="BE1335" s="358"/>
      <c r="BF1335" s="358"/>
      <c r="BG1335" s="358"/>
      <c r="BH1335" s="360"/>
      <c r="BI1335" s="360"/>
      <c r="BJ1335" s="360"/>
      <c r="BK1335" s="360"/>
      <c r="BL1335" s="360"/>
      <c r="BM1335" s="360"/>
      <c r="BN1335" s="360"/>
    </row>
    <row r="1336" spans="1:66" s="91" customFormat="1" ht="25.5" hidden="1" customHeight="1" outlineLevel="2" x14ac:dyDescent="0.2">
      <c r="A1336" s="150" t="s">
        <v>2279</v>
      </c>
      <c r="B1336" s="355" t="s">
        <v>406</v>
      </c>
      <c r="C1336" s="355" t="s">
        <v>411</v>
      </c>
      <c r="D1336" s="356" t="s">
        <v>606</v>
      </c>
      <c r="E1336" s="114">
        <v>2</v>
      </c>
      <c r="F1336" s="114" t="s">
        <v>402</v>
      </c>
      <c r="G1336" s="114" t="s">
        <v>77</v>
      </c>
      <c r="H1336" s="114" t="s">
        <v>3</v>
      </c>
      <c r="I1336" s="114"/>
      <c r="J1336" s="114"/>
      <c r="K1336" s="356" t="s">
        <v>434</v>
      </c>
      <c r="L1336" s="356"/>
      <c r="M1336" s="356"/>
      <c r="N1336" s="356"/>
      <c r="O1336" s="357">
        <v>43616</v>
      </c>
      <c r="P1336" s="357"/>
      <c r="Q1336" s="357"/>
      <c r="R1336" s="357"/>
      <c r="S1336" s="117"/>
      <c r="T1336" s="117"/>
      <c r="U1336" s="358">
        <v>0</v>
      </c>
      <c r="V1336" s="358">
        <v>0</v>
      </c>
      <c r="W1336" s="358">
        <v>0</v>
      </c>
      <c r="X1336" s="358">
        <f t="shared" si="437"/>
        <v>0</v>
      </c>
      <c r="Y1336" s="358">
        <v>0</v>
      </c>
      <c r="Z1336" s="358">
        <v>0</v>
      </c>
      <c r="AA1336" s="358">
        <v>0</v>
      </c>
      <c r="AB1336" s="358">
        <v>0</v>
      </c>
      <c r="AC1336" s="358">
        <v>0</v>
      </c>
      <c r="AD1336" s="358">
        <v>0</v>
      </c>
      <c r="AE1336" s="358">
        <v>0</v>
      </c>
      <c r="AF1336" s="358">
        <v>0</v>
      </c>
      <c r="AG1336" s="358">
        <v>0</v>
      </c>
      <c r="AH1336" s="358">
        <v>0</v>
      </c>
      <c r="AI1336" s="358">
        <v>0</v>
      </c>
      <c r="AJ1336" s="358">
        <v>0</v>
      </c>
      <c r="AK1336" s="358">
        <f t="shared" si="429"/>
        <v>0</v>
      </c>
      <c r="AL1336" s="358">
        <v>0</v>
      </c>
      <c r="AM1336" s="358">
        <v>0</v>
      </c>
      <c r="AN1336" s="358">
        <v>0</v>
      </c>
      <c r="AO1336" s="358">
        <v>0</v>
      </c>
      <c r="AP1336" s="358">
        <v>0</v>
      </c>
      <c r="AQ1336" s="358">
        <v>0</v>
      </c>
      <c r="AR1336" s="358">
        <v>0</v>
      </c>
      <c r="AS1336" s="358">
        <f t="shared" si="436"/>
        <v>0</v>
      </c>
      <c r="AT1336" s="145">
        <v>0</v>
      </c>
      <c r="AU1336" s="139">
        <f t="shared" si="428"/>
        <v>0</v>
      </c>
      <c r="AV1336" s="146">
        <f>IFERROR(VLOOKUP(J1336,Maksājumu_pieprasījumu_iesn.!G:BL,57,0),0)</f>
        <v>0</v>
      </c>
      <c r="AW1336" s="139">
        <f t="shared" si="432"/>
        <v>0</v>
      </c>
      <c r="AX1336" s="358"/>
      <c r="AY1336" s="358"/>
      <c r="AZ1336" s="358"/>
      <c r="BA1336" s="360"/>
      <c r="BB1336" s="358"/>
      <c r="BC1336" s="358"/>
      <c r="BD1336" s="358"/>
      <c r="BE1336" s="358"/>
      <c r="BF1336" s="358"/>
      <c r="BG1336" s="358"/>
      <c r="BH1336" s="360"/>
      <c r="BI1336" s="360"/>
      <c r="BJ1336" s="360"/>
      <c r="BK1336" s="360"/>
      <c r="BL1336" s="360"/>
      <c r="BM1336" s="360"/>
      <c r="BN1336" s="360"/>
    </row>
    <row r="1337" spans="1:66" s="91" customFormat="1" ht="25.5" hidden="1" customHeight="1" outlineLevel="2" x14ac:dyDescent="0.2">
      <c r="A1337" s="150" t="s">
        <v>2279</v>
      </c>
      <c r="B1337" s="355" t="s">
        <v>406</v>
      </c>
      <c r="C1337" s="355" t="s">
        <v>411</v>
      </c>
      <c r="D1337" s="356" t="s">
        <v>606</v>
      </c>
      <c r="E1337" s="114">
        <v>2</v>
      </c>
      <c r="F1337" s="114" t="s">
        <v>402</v>
      </c>
      <c r="G1337" s="114" t="s">
        <v>77</v>
      </c>
      <c r="H1337" s="114" t="s">
        <v>3</v>
      </c>
      <c r="I1337" s="114"/>
      <c r="J1337" s="114"/>
      <c r="K1337" s="356" t="s">
        <v>527</v>
      </c>
      <c r="L1337" s="356"/>
      <c r="M1337" s="356"/>
      <c r="N1337" s="356"/>
      <c r="O1337" s="357">
        <v>43616</v>
      </c>
      <c r="P1337" s="357"/>
      <c r="Q1337" s="357"/>
      <c r="R1337" s="357"/>
      <c r="S1337" s="117"/>
      <c r="T1337" s="117"/>
      <c r="U1337" s="358">
        <v>0</v>
      </c>
      <c r="V1337" s="358">
        <v>0</v>
      </c>
      <c r="W1337" s="358">
        <v>0</v>
      </c>
      <c r="X1337" s="358">
        <f t="shared" si="437"/>
        <v>0</v>
      </c>
      <c r="Y1337" s="358">
        <v>0</v>
      </c>
      <c r="Z1337" s="358">
        <v>0</v>
      </c>
      <c r="AA1337" s="358">
        <v>0</v>
      </c>
      <c r="AB1337" s="358">
        <v>0</v>
      </c>
      <c r="AC1337" s="358">
        <v>0</v>
      </c>
      <c r="AD1337" s="358">
        <v>0</v>
      </c>
      <c r="AE1337" s="358">
        <v>0</v>
      </c>
      <c r="AF1337" s="358">
        <v>0</v>
      </c>
      <c r="AG1337" s="358">
        <v>0</v>
      </c>
      <c r="AH1337" s="358">
        <v>0</v>
      </c>
      <c r="AI1337" s="358">
        <v>0</v>
      </c>
      <c r="AJ1337" s="358">
        <v>0</v>
      </c>
      <c r="AK1337" s="358">
        <f t="shared" si="429"/>
        <v>0</v>
      </c>
      <c r="AL1337" s="358">
        <v>0</v>
      </c>
      <c r="AM1337" s="358">
        <v>0</v>
      </c>
      <c r="AN1337" s="358">
        <v>0</v>
      </c>
      <c r="AO1337" s="358">
        <v>0</v>
      </c>
      <c r="AP1337" s="358">
        <v>0</v>
      </c>
      <c r="AQ1337" s="358">
        <v>0</v>
      </c>
      <c r="AR1337" s="358">
        <v>0</v>
      </c>
      <c r="AS1337" s="358">
        <f t="shared" si="436"/>
        <v>0</v>
      </c>
      <c r="AT1337" s="145">
        <v>0</v>
      </c>
      <c r="AU1337" s="139">
        <f t="shared" si="428"/>
        <v>0</v>
      </c>
      <c r="AV1337" s="146">
        <f>IFERROR(VLOOKUP(J1337,Maksājumu_pieprasījumu_iesn.!G:BL,57,0),0)</f>
        <v>0</v>
      </c>
      <c r="AW1337" s="139">
        <f t="shared" si="432"/>
        <v>0</v>
      </c>
      <c r="AX1337" s="358"/>
      <c r="AY1337" s="358"/>
      <c r="AZ1337" s="358"/>
      <c r="BA1337" s="360"/>
      <c r="BB1337" s="358"/>
      <c r="BC1337" s="358"/>
      <c r="BD1337" s="358"/>
      <c r="BE1337" s="358"/>
      <c r="BF1337" s="358"/>
      <c r="BG1337" s="358"/>
      <c r="BH1337" s="360"/>
      <c r="BI1337" s="360"/>
      <c r="BJ1337" s="360"/>
      <c r="BK1337" s="360"/>
      <c r="BL1337" s="360"/>
      <c r="BM1337" s="360"/>
      <c r="BN1337" s="360"/>
    </row>
    <row r="1338" spans="1:66" s="91" customFormat="1" ht="25.5" hidden="1" customHeight="1" outlineLevel="2" x14ac:dyDescent="0.2">
      <c r="A1338" s="150" t="s">
        <v>2279</v>
      </c>
      <c r="B1338" s="355" t="s">
        <v>406</v>
      </c>
      <c r="C1338" s="355" t="s">
        <v>411</v>
      </c>
      <c r="D1338" s="356" t="s">
        <v>606</v>
      </c>
      <c r="E1338" s="114">
        <v>2</v>
      </c>
      <c r="F1338" s="114" t="s">
        <v>402</v>
      </c>
      <c r="G1338" s="114" t="s">
        <v>77</v>
      </c>
      <c r="H1338" s="114" t="s">
        <v>3</v>
      </c>
      <c r="I1338" s="114"/>
      <c r="J1338" s="114"/>
      <c r="K1338" s="356" t="s">
        <v>1508</v>
      </c>
      <c r="L1338" s="356"/>
      <c r="M1338" s="356"/>
      <c r="N1338" s="356"/>
      <c r="O1338" s="357">
        <v>43616</v>
      </c>
      <c r="P1338" s="357"/>
      <c r="Q1338" s="357"/>
      <c r="R1338" s="357"/>
      <c r="S1338" s="117"/>
      <c r="T1338" s="117"/>
      <c r="U1338" s="358">
        <v>0</v>
      </c>
      <c r="V1338" s="358">
        <v>0</v>
      </c>
      <c r="W1338" s="358">
        <v>0</v>
      </c>
      <c r="X1338" s="358">
        <f t="shared" si="437"/>
        <v>0</v>
      </c>
      <c r="Y1338" s="358">
        <v>0</v>
      </c>
      <c r="Z1338" s="358">
        <v>0</v>
      </c>
      <c r="AA1338" s="358">
        <v>0</v>
      </c>
      <c r="AB1338" s="358">
        <v>0</v>
      </c>
      <c r="AC1338" s="358">
        <v>0</v>
      </c>
      <c r="AD1338" s="358">
        <v>0</v>
      </c>
      <c r="AE1338" s="358">
        <v>0</v>
      </c>
      <c r="AF1338" s="358">
        <v>0</v>
      </c>
      <c r="AG1338" s="358">
        <v>0</v>
      </c>
      <c r="AH1338" s="358">
        <v>0</v>
      </c>
      <c r="AI1338" s="358">
        <v>0</v>
      </c>
      <c r="AJ1338" s="358">
        <v>0</v>
      </c>
      <c r="AK1338" s="358">
        <f t="shared" si="429"/>
        <v>0</v>
      </c>
      <c r="AL1338" s="358">
        <v>0</v>
      </c>
      <c r="AM1338" s="358">
        <v>0</v>
      </c>
      <c r="AN1338" s="358">
        <v>0</v>
      </c>
      <c r="AO1338" s="358">
        <v>0</v>
      </c>
      <c r="AP1338" s="358">
        <v>0</v>
      </c>
      <c r="AQ1338" s="358">
        <v>0</v>
      </c>
      <c r="AR1338" s="358">
        <v>0</v>
      </c>
      <c r="AS1338" s="358">
        <f t="shared" si="436"/>
        <v>0</v>
      </c>
      <c r="AT1338" s="145">
        <v>0</v>
      </c>
      <c r="AU1338" s="139">
        <f t="shared" si="428"/>
        <v>0</v>
      </c>
      <c r="AV1338" s="146">
        <f>IFERROR(VLOOKUP(J1338,Maksājumu_pieprasījumu_iesn.!G:BL,57,0),0)</f>
        <v>0</v>
      </c>
      <c r="AW1338" s="139">
        <f t="shared" si="432"/>
        <v>0</v>
      </c>
      <c r="AX1338" s="358"/>
      <c r="AY1338" s="358"/>
      <c r="AZ1338" s="358"/>
      <c r="BA1338" s="360"/>
      <c r="BB1338" s="358"/>
      <c r="BC1338" s="358"/>
      <c r="BD1338" s="358"/>
      <c r="BE1338" s="358"/>
      <c r="BF1338" s="358"/>
      <c r="BG1338" s="358"/>
      <c r="BH1338" s="360"/>
      <c r="BI1338" s="360"/>
      <c r="BJ1338" s="360"/>
      <c r="BK1338" s="360"/>
      <c r="BL1338" s="360"/>
      <c r="BM1338" s="360"/>
      <c r="BN1338" s="360"/>
    </row>
    <row r="1339" spans="1:66" s="91" customFormat="1" ht="25.5" hidden="1" customHeight="1" outlineLevel="2" x14ac:dyDescent="0.2">
      <c r="A1339" s="150" t="s">
        <v>2279</v>
      </c>
      <c r="B1339" s="355" t="s">
        <v>406</v>
      </c>
      <c r="C1339" s="355" t="s">
        <v>411</v>
      </c>
      <c r="D1339" s="356" t="s">
        <v>606</v>
      </c>
      <c r="E1339" s="114">
        <v>2</v>
      </c>
      <c r="F1339" s="114" t="s">
        <v>402</v>
      </c>
      <c r="G1339" s="114" t="s">
        <v>77</v>
      </c>
      <c r="H1339" s="114" t="s">
        <v>3</v>
      </c>
      <c r="I1339" s="114"/>
      <c r="J1339" s="114"/>
      <c r="K1339" s="356" t="s">
        <v>829</v>
      </c>
      <c r="L1339" s="356"/>
      <c r="M1339" s="356"/>
      <c r="N1339" s="356"/>
      <c r="O1339" s="357">
        <v>43616</v>
      </c>
      <c r="P1339" s="357"/>
      <c r="Q1339" s="357"/>
      <c r="R1339" s="357"/>
      <c r="S1339" s="117"/>
      <c r="T1339" s="117"/>
      <c r="U1339" s="358">
        <v>0</v>
      </c>
      <c r="V1339" s="358">
        <v>0</v>
      </c>
      <c r="W1339" s="358">
        <v>0</v>
      </c>
      <c r="X1339" s="358">
        <f t="shared" si="437"/>
        <v>0</v>
      </c>
      <c r="Y1339" s="358">
        <v>0</v>
      </c>
      <c r="Z1339" s="358">
        <v>0</v>
      </c>
      <c r="AA1339" s="358">
        <v>0</v>
      </c>
      <c r="AB1339" s="358">
        <v>0</v>
      </c>
      <c r="AC1339" s="358">
        <v>0</v>
      </c>
      <c r="AD1339" s="358">
        <v>0</v>
      </c>
      <c r="AE1339" s="358">
        <v>0</v>
      </c>
      <c r="AF1339" s="358">
        <v>0</v>
      </c>
      <c r="AG1339" s="358">
        <v>0</v>
      </c>
      <c r="AH1339" s="358">
        <v>0</v>
      </c>
      <c r="AI1339" s="358">
        <v>0</v>
      </c>
      <c r="AJ1339" s="358">
        <v>0</v>
      </c>
      <c r="AK1339" s="358">
        <f t="shared" si="429"/>
        <v>0</v>
      </c>
      <c r="AL1339" s="358">
        <v>0</v>
      </c>
      <c r="AM1339" s="358">
        <v>0</v>
      </c>
      <c r="AN1339" s="358">
        <v>0</v>
      </c>
      <c r="AO1339" s="358">
        <v>0</v>
      </c>
      <c r="AP1339" s="358">
        <v>0</v>
      </c>
      <c r="AQ1339" s="358">
        <v>0</v>
      </c>
      <c r="AR1339" s="358">
        <v>0</v>
      </c>
      <c r="AS1339" s="358">
        <f t="shared" si="436"/>
        <v>0</v>
      </c>
      <c r="AT1339" s="145">
        <v>0</v>
      </c>
      <c r="AU1339" s="139">
        <f t="shared" si="428"/>
        <v>0</v>
      </c>
      <c r="AV1339" s="146">
        <f>IFERROR(VLOOKUP(J1339,Maksājumu_pieprasījumu_iesn.!G:BL,57,0),0)</f>
        <v>0</v>
      </c>
      <c r="AW1339" s="139">
        <f t="shared" si="432"/>
        <v>0</v>
      </c>
      <c r="AX1339" s="358"/>
      <c r="AY1339" s="358"/>
      <c r="AZ1339" s="358"/>
      <c r="BA1339" s="360"/>
      <c r="BB1339" s="358"/>
      <c r="BC1339" s="358"/>
      <c r="BD1339" s="358"/>
      <c r="BE1339" s="358"/>
      <c r="BF1339" s="358"/>
      <c r="BG1339" s="358"/>
      <c r="BH1339" s="360"/>
      <c r="BI1339" s="360"/>
      <c r="BJ1339" s="360"/>
      <c r="BK1339" s="360"/>
      <c r="BL1339" s="360"/>
      <c r="BM1339" s="360"/>
      <c r="BN1339" s="360"/>
    </row>
    <row r="1340" spans="1:66" s="91" customFormat="1" ht="25.5" hidden="1" customHeight="1" outlineLevel="2" x14ac:dyDescent="0.2">
      <c r="A1340" s="150" t="s">
        <v>2279</v>
      </c>
      <c r="B1340" s="355" t="s">
        <v>406</v>
      </c>
      <c r="C1340" s="355" t="s">
        <v>411</v>
      </c>
      <c r="D1340" s="356" t="s">
        <v>606</v>
      </c>
      <c r="E1340" s="114">
        <v>2</v>
      </c>
      <c r="F1340" s="114" t="s">
        <v>402</v>
      </c>
      <c r="G1340" s="114" t="s">
        <v>77</v>
      </c>
      <c r="H1340" s="114" t="s">
        <v>3</v>
      </c>
      <c r="I1340" s="114"/>
      <c r="J1340" s="114"/>
      <c r="K1340" s="356" t="s">
        <v>1270</v>
      </c>
      <c r="L1340" s="356"/>
      <c r="M1340" s="356"/>
      <c r="N1340" s="356"/>
      <c r="O1340" s="357">
        <v>43616</v>
      </c>
      <c r="P1340" s="357"/>
      <c r="Q1340" s="357"/>
      <c r="R1340" s="357"/>
      <c r="S1340" s="117"/>
      <c r="T1340" s="117"/>
      <c r="U1340" s="358">
        <v>0</v>
      </c>
      <c r="V1340" s="358">
        <v>0</v>
      </c>
      <c r="W1340" s="358">
        <v>0</v>
      </c>
      <c r="X1340" s="358">
        <f t="shared" si="437"/>
        <v>0</v>
      </c>
      <c r="Y1340" s="358">
        <v>0</v>
      </c>
      <c r="Z1340" s="358">
        <v>0</v>
      </c>
      <c r="AA1340" s="358">
        <v>0</v>
      </c>
      <c r="AB1340" s="358">
        <v>0</v>
      </c>
      <c r="AC1340" s="358">
        <v>0</v>
      </c>
      <c r="AD1340" s="358">
        <v>0</v>
      </c>
      <c r="AE1340" s="358">
        <v>0</v>
      </c>
      <c r="AF1340" s="358">
        <v>0</v>
      </c>
      <c r="AG1340" s="358">
        <v>0</v>
      </c>
      <c r="AH1340" s="358">
        <v>0</v>
      </c>
      <c r="AI1340" s="358">
        <v>0</v>
      </c>
      <c r="AJ1340" s="358">
        <v>0</v>
      </c>
      <c r="AK1340" s="358">
        <f t="shared" si="429"/>
        <v>0</v>
      </c>
      <c r="AL1340" s="358">
        <v>0</v>
      </c>
      <c r="AM1340" s="358">
        <v>0</v>
      </c>
      <c r="AN1340" s="358">
        <v>0</v>
      </c>
      <c r="AO1340" s="358">
        <v>0</v>
      </c>
      <c r="AP1340" s="358">
        <v>0</v>
      </c>
      <c r="AQ1340" s="358">
        <v>0</v>
      </c>
      <c r="AR1340" s="358">
        <v>0</v>
      </c>
      <c r="AS1340" s="358">
        <f t="shared" si="436"/>
        <v>0</v>
      </c>
      <c r="AT1340" s="145">
        <v>0</v>
      </c>
      <c r="AU1340" s="139">
        <f t="shared" si="428"/>
        <v>0</v>
      </c>
      <c r="AV1340" s="146">
        <f>IFERROR(VLOOKUP(J1340,Maksājumu_pieprasījumu_iesn.!G:BL,57,0),0)</f>
        <v>0</v>
      </c>
      <c r="AW1340" s="139">
        <f t="shared" si="432"/>
        <v>0</v>
      </c>
      <c r="AX1340" s="358"/>
      <c r="AY1340" s="358"/>
      <c r="AZ1340" s="358"/>
      <c r="BA1340" s="360"/>
      <c r="BB1340" s="358"/>
      <c r="BC1340" s="358"/>
      <c r="BD1340" s="358"/>
      <c r="BE1340" s="358"/>
      <c r="BF1340" s="358"/>
      <c r="BG1340" s="358"/>
      <c r="BH1340" s="360"/>
      <c r="BI1340" s="360"/>
      <c r="BJ1340" s="360"/>
      <c r="BK1340" s="360"/>
      <c r="BL1340" s="360"/>
      <c r="BM1340" s="360"/>
      <c r="BN1340" s="360"/>
    </row>
    <row r="1341" spans="1:66" s="91" customFormat="1" ht="25.5" hidden="1" customHeight="1" outlineLevel="2" x14ac:dyDescent="0.2">
      <c r="A1341" s="150" t="s">
        <v>2279</v>
      </c>
      <c r="B1341" s="355" t="s">
        <v>406</v>
      </c>
      <c r="C1341" s="355" t="s">
        <v>411</v>
      </c>
      <c r="D1341" s="356" t="s">
        <v>606</v>
      </c>
      <c r="E1341" s="114">
        <v>2</v>
      </c>
      <c r="F1341" s="114" t="s">
        <v>402</v>
      </c>
      <c r="G1341" s="114" t="s">
        <v>77</v>
      </c>
      <c r="H1341" s="114" t="s">
        <v>3</v>
      </c>
      <c r="I1341" s="114"/>
      <c r="J1341" s="114"/>
      <c r="K1341" s="356" t="s">
        <v>1272</v>
      </c>
      <c r="L1341" s="356"/>
      <c r="M1341" s="356"/>
      <c r="N1341" s="356"/>
      <c r="O1341" s="357">
        <v>43616</v>
      </c>
      <c r="P1341" s="357"/>
      <c r="Q1341" s="357"/>
      <c r="R1341" s="357"/>
      <c r="S1341" s="117"/>
      <c r="T1341" s="117"/>
      <c r="U1341" s="358">
        <v>0</v>
      </c>
      <c r="V1341" s="358">
        <v>0</v>
      </c>
      <c r="W1341" s="358">
        <v>0</v>
      </c>
      <c r="X1341" s="358">
        <f t="shared" si="437"/>
        <v>0</v>
      </c>
      <c r="Y1341" s="358">
        <v>0</v>
      </c>
      <c r="Z1341" s="358">
        <v>0</v>
      </c>
      <c r="AA1341" s="358">
        <v>0</v>
      </c>
      <c r="AB1341" s="358">
        <v>0</v>
      </c>
      <c r="AC1341" s="358">
        <v>0</v>
      </c>
      <c r="AD1341" s="358">
        <v>0</v>
      </c>
      <c r="AE1341" s="358">
        <v>0</v>
      </c>
      <c r="AF1341" s="358">
        <v>0</v>
      </c>
      <c r="AG1341" s="358">
        <v>0</v>
      </c>
      <c r="AH1341" s="358">
        <v>0</v>
      </c>
      <c r="AI1341" s="358">
        <v>0</v>
      </c>
      <c r="AJ1341" s="358">
        <v>0</v>
      </c>
      <c r="AK1341" s="358">
        <f t="shared" si="429"/>
        <v>0</v>
      </c>
      <c r="AL1341" s="358">
        <v>0</v>
      </c>
      <c r="AM1341" s="358">
        <v>0</v>
      </c>
      <c r="AN1341" s="358">
        <v>0</v>
      </c>
      <c r="AO1341" s="358">
        <v>0</v>
      </c>
      <c r="AP1341" s="358">
        <v>0</v>
      </c>
      <c r="AQ1341" s="358">
        <v>0</v>
      </c>
      <c r="AR1341" s="358">
        <v>0</v>
      </c>
      <c r="AS1341" s="358">
        <f t="shared" si="436"/>
        <v>0</v>
      </c>
      <c r="AT1341" s="145">
        <v>0</v>
      </c>
      <c r="AU1341" s="139">
        <f t="shared" si="428"/>
        <v>0</v>
      </c>
      <c r="AV1341" s="146">
        <f>IFERROR(VLOOKUP(J1341,Maksājumu_pieprasījumu_iesn.!G:BL,57,0),0)</f>
        <v>0</v>
      </c>
      <c r="AW1341" s="139">
        <f t="shared" si="432"/>
        <v>0</v>
      </c>
      <c r="AX1341" s="358"/>
      <c r="AY1341" s="358"/>
      <c r="AZ1341" s="358"/>
      <c r="BA1341" s="360"/>
      <c r="BB1341" s="358"/>
      <c r="BC1341" s="358"/>
      <c r="BD1341" s="358"/>
      <c r="BE1341" s="358"/>
      <c r="BF1341" s="358"/>
      <c r="BG1341" s="358"/>
      <c r="BH1341" s="360"/>
      <c r="BI1341" s="360"/>
      <c r="BJ1341" s="360"/>
      <c r="BK1341" s="360"/>
      <c r="BL1341" s="360"/>
      <c r="BM1341" s="360"/>
      <c r="BN1341" s="360"/>
    </row>
    <row r="1342" spans="1:66" s="91" customFormat="1" ht="25.5" hidden="1" customHeight="1" outlineLevel="2" x14ac:dyDescent="0.2">
      <c r="A1342" s="150" t="s">
        <v>2279</v>
      </c>
      <c r="B1342" s="355" t="s">
        <v>406</v>
      </c>
      <c r="C1342" s="355" t="s">
        <v>411</v>
      </c>
      <c r="D1342" s="356" t="s">
        <v>606</v>
      </c>
      <c r="E1342" s="114">
        <v>2</v>
      </c>
      <c r="F1342" s="114" t="s">
        <v>402</v>
      </c>
      <c r="G1342" s="114" t="s">
        <v>77</v>
      </c>
      <c r="H1342" s="114" t="s">
        <v>3</v>
      </c>
      <c r="I1342" s="114"/>
      <c r="J1342" s="114"/>
      <c r="K1342" s="356" t="s">
        <v>2493</v>
      </c>
      <c r="L1342" s="356"/>
      <c r="M1342" s="356"/>
      <c r="N1342" s="356"/>
      <c r="O1342" s="357">
        <v>43616</v>
      </c>
      <c r="P1342" s="357"/>
      <c r="Q1342" s="357"/>
      <c r="R1342" s="357"/>
      <c r="S1342" s="117"/>
      <c r="T1342" s="117"/>
      <c r="U1342" s="358">
        <v>0</v>
      </c>
      <c r="V1342" s="358">
        <v>0</v>
      </c>
      <c r="W1342" s="358">
        <v>0</v>
      </c>
      <c r="X1342" s="358">
        <f t="shared" si="437"/>
        <v>0</v>
      </c>
      <c r="Y1342" s="358">
        <v>0</v>
      </c>
      <c r="Z1342" s="358">
        <v>0</v>
      </c>
      <c r="AA1342" s="358">
        <v>0</v>
      </c>
      <c r="AB1342" s="358">
        <v>0</v>
      </c>
      <c r="AC1342" s="358">
        <v>0</v>
      </c>
      <c r="AD1342" s="358">
        <v>0</v>
      </c>
      <c r="AE1342" s="358">
        <v>0</v>
      </c>
      <c r="AF1342" s="358">
        <v>0</v>
      </c>
      <c r="AG1342" s="358">
        <v>0</v>
      </c>
      <c r="AH1342" s="358">
        <v>0</v>
      </c>
      <c r="AI1342" s="358">
        <v>0</v>
      </c>
      <c r="AJ1342" s="358">
        <v>0</v>
      </c>
      <c r="AK1342" s="358">
        <f t="shared" si="429"/>
        <v>0</v>
      </c>
      <c r="AL1342" s="358">
        <v>0</v>
      </c>
      <c r="AM1342" s="358">
        <v>0</v>
      </c>
      <c r="AN1342" s="358">
        <v>0</v>
      </c>
      <c r="AO1342" s="358">
        <v>0</v>
      </c>
      <c r="AP1342" s="358">
        <v>0</v>
      </c>
      <c r="AQ1342" s="358">
        <v>0</v>
      </c>
      <c r="AR1342" s="358">
        <v>0</v>
      </c>
      <c r="AS1342" s="358">
        <f t="shared" si="436"/>
        <v>0</v>
      </c>
      <c r="AT1342" s="145">
        <v>0</v>
      </c>
      <c r="AU1342" s="139">
        <f t="shared" si="428"/>
        <v>0</v>
      </c>
      <c r="AV1342" s="146">
        <f>IFERROR(VLOOKUP(J1342,Maksājumu_pieprasījumu_iesn.!G:BL,57,0),0)</f>
        <v>0</v>
      </c>
      <c r="AW1342" s="139">
        <f t="shared" si="432"/>
        <v>0</v>
      </c>
      <c r="AX1342" s="358"/>
      <c r="AY1342" s="358"/>
      <c r="AZ1342" s="358"/>
      <c r="BA1342" s="360"/>
      <c r="BB1342" s="358"/>
      <c r="BC1342" s="358"/>
      <c r="BD1342" s="358"/>
      <c r="BE1342" s="358"/>
      <c r="BF1342" s="358"/>
      <c r="BG1342" s="358"/>
      <c r="BH1342" s="360"/>
      <c r="BI1342" s="360"/>
      <c r="BJ1342" s="360"/>
      <c r="BK1342" s="360"/>
      <c r="BL1342" s="360"/>
      <c r="BM1342" s="360"/>
      <c r="BN1342" s="360"/>
    </row>
    <row r="1343" spans="1:66" s="91" customFormat="1" ht="25.5" hidden="1" customHeight="1" outlineLevel="2" x14ac:dyDescent="0.2">
      <c r="A1343" s="150" t="s">
        <v>2279</v>
      </c>
      <c r="B1343" s="355" t="s">
        <v>406</v>
      </c>
      <c r="C1343" s="355" t="s">
        <v>411</v>
      </c>
      <c r="D1343" s="356" t="s">
        <v>606</v>
      </c>
      <c r="E1343" s="114">
        <v>2</v>
      </c>
      <c r="F1343" s="114" t="s">
        <v>402</v>
      </c>
      <c r="G1343" s="114" t="s">
        <v>77</v>
      </c>
      <c r="H1343" s="114" t="s">
        <v>3</v>
      </c>
      <c r="I1343" s="114"/>
      <c r="J1343" s="114"/>
      <c r="K1343" s="356" t="s">
        <v>2494</v>
      </c>
      <c r="L1343" s="356"/>
      <c r="M1343" s="356"/>
      <c r="N1343" s="356"/>
      <c r="O1343" s="357">
        <v>43616</v>
      </c>
      <c r="P1343" s="357"/>
      <c r="Q1343" s="357"/>
      <c r="R1343" s="357"/>
      <c r="S1343" s="117"/>
      <c r="T1343" s="117"/>
      <c r="U1343" s="358">
        <v>0</v>
      </c>
      <c r="V1343" s="358">
        <v>0</v>
      </c>
      <c r="W1343" s="358">
        <v>0</v>
      </c>
      <c r="X1343" s="358">
        <f t="shared" si="437"/>
        <v>0</v>
      </c>
      <c r="Y1343" s="358">
        <v>0</v>
      </c>
      <c r="Z1343" s="358">
        <v>0</v>
      </c>
      <c r="AA1343" s="358">
        <v>0</v>
      </c>
      <c r="AB1343" s="358">
        <v>0</v>
      </c>
      <c r="AC1343" s="358">
        <v>0</v>
      </c>
      <c r="AD1343" s="358">
        <v>0</v>
      </c>
      <c r="AE1343" s="358">
        <v>0</v>
      </c>
      <c r="AF1343" s="358">
        <v>0</v>
      </c>
      <c r="AG1343" s="358">
        <v>0</v>
      </c>
      <c r="AH1343" s="358">
        <v>0</v>
      </c>
      <c r="AI1343" s="358">
        <v>0</v>
      </c>
      <c r="AJ1343" s="358">
        <v>0</v>
      </c>
      <c r="AK1343" s="358">
        <f t="shared" si="429"/>
        <v>0</v>
      </c>
      <c r="AL1343" s="358">
        <v>0</v>
      </c>
      <c r="AM1343" s="358">
        <v>0</v>
      </c>
      <c r="AN1343" s="358">
        <v>0</v>
      </c>
      <c r="AO1343" s="358">
        <v>0</v>
      </c>
      <c r="AP1343" s="358">
        <v>0</v>
      </c>
      <c r="AQ1343" s="358">
        <v>0</v>
      </c>
      <c r="AR1343" s="358">
        <v>0</v>
      </c>
      <c r="AS1343" s="358">
        <f t="shared" si="436"/>
        <v>0</v>
      </c>
      <c r="AT1343" s="145">
        <v>0</v>
      </c>
      <c r="AU1343" s="139">
        <f t="shared" ref="AU1343:AU1406" si="438">AS1343-AT1343</f>
        <v>0</v>
      </c>
      <c r="AV1343" s="146">
        <f>IFERROR(VLOOKUP(J1343,Maksājumu_pieprasījumu_iesn.!G:BL,57,0),0)</f>
        <v>0</v>
      </c>
      <c r="AW1343" s="139">
        <f t="shared" si="432"/>
        <v>0</v>
      </c>
      <c r="AX1343" s="358"/>
      <c r="AY1343" s="358"/>
      <c r="AZ1343" s="358"/>
      <c r="BA1343" s="360"/>
      <c r="BB1343" s="358"/>
      <c r="BC1343" s="358"/>
      <c r="BD1343" s="358"/>
      <c r="BE1343" s="358"/>
      <c r="BF1343" s="358"/>
      <c r="BG1343" s="358"/>
      <c r="BH1343" s="360"/>
      <c r="BI1343" s="360"/>
      <c r="BJ1343" s="360"/>
      <c r="BK1343" s="360"/>
      <c r="BL1343" s="360"/>
      <c r="BM1343" s="360"/>
      <c r="BN1343" s="360"/>
    </row>
    <row r="1344" spans="1:66" s="91" customFormat="1" ht="25.5" hidden="1" customHeight="1" outlineLevel="2" x14ac:dyDescent="0.2">
      <c r="A1344" s="150" t="s">
        <v>2279</v>
      </c>
      <c r="B1344" s="355" t="s">
        <v>406</v>
      </c>
      <c r="C1344" s="355" t="s">
        <v>411</v>
      </c>
      <c r="D1344" s="356" t="s">
        <v>606</v>
      </c>
      <c r="E1344" s="114">
        <v>2</v>
      </c>
      <c r="F1344" s="114" t="s">
        <v>402</v>
      </c>
      <c r="G1344" s="114" t="s">
        <v>77</v>
      </c>
      <c r="H1344" s="114" t="s">
        <v>3</v>
      </c>
      <c r="I1344" s="114"/>
      <c r="J1344" s="114"/>
      <c r="K1344" s="356" t="s">
        <v>708</v>
      </c>
      <c r="L1344" s="356"/>
      <c r="M1344" s="356"/>
      <c r="N1344" s="356"/>
      <c r="O1344" s="357">
        <v>43616</v>
      </c>
      <c r="P1344" s="357"/>
      <c r="Q1344" s="357"/>
      <c r="R1344" s="357"/>
      <c r="S1344" s="117"/>
      <c r="T1344" s="117"/>
      <c r="U1344" s="358">
        <v>0</v>
      </c>
      <c r="V1344" s="358">
        <v>0</v>
      </c>
      <c r="W1344" s="358">
        <v>0</v>
      </c>
      <c r="X1344" s="358">
        <f t="shared" si="437"/>
        <v>0</v>
      </c>
      <c r="Y1344" s="358">
        <v>0</v>
      </c>
      <c r="Z1344" s="358">
        <v>0</v>
      </c>
      <c r="AA1344" s="358">
        <v>0</v>
      </c>
      <c r="AB1344" s="358">
        <v>0</v>
      </c>
      <c r="AC1344" s="358">
        <v>0</v>
      </c>
      <c r="AD1344" s="358">
        <v>0</v>
      </c>
      <c r="AE1344" s="358">
        <v>0</v>
      </c>
      <c r="AF1344" s="358">
        <v>0</v>
      </c>
      <c r="AG1344" s="358">
        <v>0</v>
      </c>
      <c r="AH1344" s="358">
        <v>0</v>
      </c>
      <c r="AI1344" s="358">
        <v>0</v>
      </c>
      <c r="AJ1344" s="358">
        <v>0</v>
      </c>
      <c r="AK1344" s="358">
        <f t="shared" si="429"/>
        <v>0</v>
      </c>
      <c r="AL1344" s="358">
        <v>0</v>
      </c>
      <c r="AM1344" s="358">
        <v>0</v>
      </c>
      <c r="AN1344" s="358">
        <v>0</v>
      </c>
      <c r="AO1344" s="358">
        <v>0</v>
      </c>
      <c r="AP1344" s="358">
        <v>0</v>
      </c>
      <c r="AQ1344" s="358">
        <v>0</v>
      </c>
      <c r="AR1344" s="358">
        <v>0</v>
      </c>
      <c r="AS1344" s="358">
        <f t="shared" si="436"/>
        <v>0</v>
      </c>
      <c r="AT1344" s="145">
        <v>0</v>
      </c>
      <c r="AU1344" s="139">
        <f t="shared" si="438"/>
        <v>0</v>
      </c>
      <c r="AV1344" s="146">
        <f>IFERROR(VLOOKUP(J1344,Maksājumu_pieprasījumu_iesn.!G:BL,57,0),0)</f>
        <v>0</v>
      </c>
      <c r="AW1344" s="139">
        <f t="shared" si="432"/>
        <v>0</v>
      </c>
      <c r="AX1344" s="358"/>
      <c r="AY1344" s="358"/>
      <c r="AZ1344" s="358"/>
      <c r="BA1344" s="360"/>
      <c r="BB1344" s="358"/>
      <c r="BC1344" s="358"/>
      <c r="BD1344" s="358"/>
      <c r="BE1344" s="358"/>
      <c r="BF1344" s="358"/>
      <c r="BG1344" s="358"/>
      <c r="BH1344" s="360"/>
      <c r="BI1344" s="360"/>
      <c r="BJ1344" s="360"/>
      <c r="BK1344" s="360"/>
      <c r="BL1344" s="360"/>
      <c r="BM1344" s="360"/>
      <c r="BN1344" s="360"/>
    </row>
    <row r="1345" spans="1:66" s="91" customFormat="1" ht="25.5" hidden="1" customHeight="1" outlineLevel="2" x14ac:dyDescent="0.2">
      <c r="A1345" s="150" t="s">
        <v>2279</v>
      </c>
      <c r="B1345" s="355" t="s">
        <v>406</v>
      </c>
      <c r="C1345" s="355" t="s">
        <v>411</v>
      </c>
      <c r="D1345" s="356" t="s">
        <v>606</v>
      </c>
      <c r="E1345" s="114">
        <v>2</v>
      </c>
      <c r="F1345" s="114" t="s">
        <v>402</v>
      </c>
      <c r="G1345" s="114" t="s">
        <v>77</v>
      </c>
      <c r="H1345" s="114" t="s">
        <v>3</v>
      </c>
      <c r="I1345" s="114"/>
      <c r="J1345" s="114"/>
      <c r="K1345" s="356" t="s">
        <v>2495</v>
      </c>
      <c r="L1345" s="356"/>
      <c r="M1345" s="356"/>
      <c r="N1345" s="356"/>
      <c r="O1345" s="357">
        <v>43616</v>
      </c>
      <c r="P1345" s="357"/>
      <c r="Q1345" s="357"/>
      <c r="R1345" s="357"/>
      <c r="S1345" s="117"/>
      <c r="T1345" s="117"/>
      <c r="U1345" s="358">
        <v>0</v>
      </c>
      <c r="V1345" s="358">
        <v>0</v>
      </c>
      <c r="W1345" s="358">
        <v>0</v>
      </c>
      <c r="X1345" s="358">
        <f t="shared" si="437"/>
        <v>0</v>
      </c>
      <c r="Y1345" s="358">
        <v>0</v>
      </c>
      <c r="Z1345" s="358">
        <v>0</v>
      </c>
      <c r="AA1345" s="358">
        <v>0</v>
      </c>
      <c r="AB1345" s="358">
        <v>0</v>
      </c>
      <c r="AC1345" s="358">
        <v>0</v>
      </c>
      <c r="AD1345" s="358">
        <v>0</v>
      </c>
      <c r="AE1345" s="358">
        <v>0</v>
      </c>
      <c r="AF1345" s="358">
        <v>0</v>
      </c>
      <c r="AG1345" s="358">
        <v>0</v>
      </c>
      <c r="AH1345" s="358">
        <v>0</v>
      </c>
      <c r="AI1345" s="358">
        <v>0</v>
      </c>
      <c r="AJ1345" s="358">
        <v>0</v>
      </c>
      <c r="AK1345" s="358">
        <f t="shared" si="429"/>
        <v>0</v>
      </c>
      <c r="AL1345" s="358">
        <v>0</v>
      </c>
      <c r="AM1345" s="358">
        <v>0</v>
      </c>
      <c r="AN1345" s="358">
        <v>0</v>
      </c>
      <c r="AO1345" s="358">
        <v>0</v>
      </c>
      <c r="AP1345" s="358">
        <v>0</v>
      </c>
      <c r="AQ1345" s="358">
        <v>0</v>
      </c>
      <c r="AR1345" s="358">
        <v>0</v>
      </c>
      <c r="AS1345" s="358">
        <f t="shared" ref="AS1345:AS1376" si="439">U1345+V1345+W1345+AK1345+AL1345+AM1345+AN1345+AO1345+AP1345+AQ1345+AR1345</f>
        <v>0</v>
      </c>
      <c r="AT1345" s="145">
        <v>0</v>
      </c>
      <c r="AU1345" s="139">
        <f t="shared" si="438"/>
        <v>0</v>
      </c>
      <c r="AV1345" s="146">
        <f>IFERROR(VLOOKUP(J1345,Maksājumu_pieprasījumu_iesn.!G:BL,57,0),0)</f>
        <v>0</v>
      </c>
      <c r="AW1345" s="139">
        <f t="shared" si="432"/>
        <v>0</v>
      </c>
      <c r="AX1345" s="358"/>
      <c r="AY1345" s="358"/>
      <c r="AZ1345" s="358"/>
      <c r="BA1345" s="360"/>
      <c r="BB1345" s="358"/>
      <c r="BC1345" s="358"/>
      <c r="BD1345" s="358"/>
      <c r="BE1345" s="358"/>
      <c r="BF1345" s="358"/>
      <c r="BG1345" s="358"/>
      <c r="BH1345" s="360"/>
      <c r="BI1345" s="360"/>
      <c r="BJ1345" s="360"/>
      <c r="BK1345" s="360"/>
      <c r="BL1345" s="360"/>
      <c r="BM1345" s="360"/>
      <c r="BN1345" s="360"/>
    </row>
    <row r="1346" spans="1:66" s="91" customFormat="1" ht="25.5" hidden="1" customHeight="1" outlineLevel="2" x14ac:dyDescent="0.2">
      <c r="A1346" s="150" t="s">
        <v>2279</v>
      </c>
      <c r="B1346" s="355" t="s">
        <v>406</v>
      </c>
      <c r="C1346" s="355" t="s">
        <v>411</v>
      </c>
      <c r="D1346" s="356" t="s">
        <v>606</v>
      </c>
      <c r="E1346" s="114">
        <v>2</v>
      </c>
      <c r="F1346" s="114" t="s">
        <v>402</v>
      </c>
      <c r="G1346" s="114" t="s">
        <v>77</v>
      </c>
      <c r="H1346" s="114" t="s">
        <v>3</v>
      </c>
      <c r="I1346" s="114"/>
      <c r="J1346" s="114"/>
      <c r="K1346" s="356" t="s">
        <v>2496</v>
      </c>
      <c r="L1346" s="356"/>
      <c r="M1346" s="356"/>
      <c r="N1346" s="356"/>
      <c r="O1346" s="357">
        <v>43616</v>
      </c>
      <c r="P1346" s="357"/>
      <c r="Q1346" s="357"/>
      <c r="R1346" s="357"/>
      <c r="S1346" s="117"/>
      <c r="T1346" s="117"/>
      <c r="U1346" s="358">
        <v>0</v>
      </c>
      <c r="V1346" s="358">
        <v>0</v>
      </c>
      <c r="W1346" s="358">
        <v>0</v>
      </c>
      <c r="X1346" s="358">
        <f t="shared" si="437"/>
        <v>0</v>
      </c>
      <c r="Y1346" s="358">
        <v>0</v>
      </c>
      <c r="Z1346" s="358">
        <v>0</v>
      </c>
      <c r="AA1346" s="358">
        <v>0</v>
      </c>
      <c r="AB1346" s="358">
        <v>0</v>
      </c>
      <c r="AC1346" s="358">
        <v>0</v>
      </c>
      <c r="AD1346" s="358">
        <v>0</v>
      </c>
      <c r="AE1346" s="358">
        <v>0</v>
      </c>
      <c r="AF1346" s="358">
        <v>0</v>
      </c>
      <c r="AG1346" s="358">
        <v>0</v>
      </c>
      <c r="AH1346" s="358">
        <v>0</v>
      </c>
      <c r="AI1346" s="358">
        <v>0</v>
      </c>
      <c r="AJ1346" s="358">
        <v>0</v>
      </c>
      <c r="AK1346" s="358">
        <f t="shared" si="429"/>
        <v>0</v>
      </c>
      <c r="AL1346" s="358">
        <v>0</v>
      </c>
      <c r="AM1346" s="358">
        <v>0</v>
      </c>
      <c r="AN1346" s="358">
        <v>0</v>
      </c>
      <c r="AO1346" s="358">
        <v>0</v>
      </c>
      <c r="AP1346" s="358">
        <v>0</v>
      </c>
      <c r="AQ1346" s="358">
        <v>0</v>
      </c>
      <c r="AR1346" s="358">
        <v>0</v>
      </c>
      <c r="AS1346" s="358">
        <f t="shared" si="439"/>
        <v>0</v>
      </c>
      <c r="AT1346" s="145">
        <v>0</v>
      </c>
      <c r="AU1346" s="139">
        <f t="shared" si="438"/>
        <v>0</v>
      </c>
      <c r="AV1346" s="146">
        <f>IFERROR(VLOOKUP(J1346,Maksājumu_pieprasījumu_iesn.!G:BL,57,0),0)</f>
        <v>0</v>
      </c>
      <c r="AW1346" s="139">
        <f t="shared" si="432"/>
        <v>0</v>
      </c>
      <c r="AX1346" s="358"/>
      <c r="AY1346" s="358"/>
      <c r="AZ1346" s="358"/>
      <c r="BA1346" s="360"/>
      <c r="BB1346" s="358"/>
      <c r="BC1346" s="358"/>
      <c r="BD1346" s="358"/>
      <c r="BE1346" s="358"/>
      <c r="BF1346" s="358"/>
      <c r="BG1346" s="358"/>
      <c r="BH1346" s="360"/>
      <c r="BI1346" s="360"/>
      <c r="BJ1346" s="360"/>
      <c r="BK1346" s="360"/>
      <c r="BL1346" s="360"/>
      <c r="BM1346" s="360"/>
      <c r="BN1346" s="360"/>
    </row>
    <row r="1347" spans="1:66" s="91" customFormat="1" ht="25.5" hidden="1" customHeight="1" outlineLevel="2" x14ac:dyDescent="0.2">
      <c r="A1347" s="150" t="s">
        <v>2279</v>
      </c>
      <c r="B1347" s="355" t="s">
        <v>406</v>
      </c>
      <c r="C1347" s="355" t="s">
        <v>411</v>
      </c>
      <c r="D1347" s="356" t="s">
        <v>606</v>
      </c>
      <c r="E1347" s="114">
        <v>2</v>
      </c>
      <c r="F1347" s="114" t="s">
        <v>402</v>
      </c>
      <c r="G1347" s="114" t="s">
        <v>77</v>
      </c>
      <c r="H1347" s="114" t="s">
        <v>3</v>
      </c>
      <c r="I1347" s="114"/>
      <c r="J1347" s="114"/>
      <c r="K1347" s="356" t="s">
        <v>1275</v>
      </c>
      <c r="L1347" s="356"/>
      <c r="M1347" s="356"/>
      <c r="N1347" s="356"/>
      <c r="O1347" s="357">
        <v>43616</v>
      </c>
      <c r="P1347" s="357"/>
      <c r="Q1347" s="357"/>
      <c r="R1347" s="357"/>
      <c r="S1347" s="117"/>
      <c r="T1347" s="117"/>
      <c r="U1347" s="358">
        <v>0</v>
      </c>
      <c r="V1347" s="358">
        <v>0</v>
      </c>
      <c r="W1347" s="358">
        <v>0</v>
      </c>
      <c r="X1347" s="358">
        <f t="shared" si="437"/>
        <v>0</v>
      </c>
      <c r="Y1347" s="358">
        <v>0</v>
      </c>
      <c r="Z1347" s="358">
        <v>0</v>
      </c>
      <c r="AA1347" s="358">
        <v>0</v>
      </c>
      <c r="AB1347" s="358">
        <v>0</v>
      </c>
      <c r="AC1347" s="358">
        <v>0</v>
      </c>
      <c r="AD1347" s="358">
        <v>0</v>
      </c>
      <c r="AE1347" s="358">
        <v>0</v>
      </c>
      <c r="AF1347" s="358">
        <v>0</v>
      </c>
      <c r="AG1347" s="358">
        <v>0</v>
      </c>
      <c r="AH1347" s="358">
        <v>0</v>
      </c>
      <c r="AI1347" s="358">
        <v>0</v>
      </c>
      <c r="AJ1347" s="358">
        <v>0</v>
      </c>
      <c r="AK1347" s="358">
        <f t="shared" si="429"/>
        <v>0</v>
      </c>
      <c r="AL1347" s="358">
        <v>0</v>
      </c>
      <c r="AM1347" s="358">
        <v>0</v>
      </c>
      <c r="AN1347" s="358">
        <v>0</v>
      </c>
      <c r="AO1347" s="358">
        <v>0</v>
      </c>
      <c r="AP1347" s="358">
        <v>0</v>
      </c>
      <c r="AQ1347" s="358">
        <v>0</v>
      </c>
      <c r="AR1347" s="358">
        <v>0</v>
      </c>
      <c r="AS1347" s="358">
        <f t="shared" si="439"/>
        <v>0</v>
      </c>
      <c r="AT1347" s="145">
        <v>0</v>
      </c>
      <c r="AU1347" s="139">
        <f t="shared" si="438"/>
        <v>0</v>
      </c>
      <c r="AV1347" s="146">
        <f>IFERROR(VLOOKUP(J1347,Maksājumu_pieprasījumu_iesn.!G:BL,57,0),0)</f>
        <v>0</v>
      </c>
      <c r="AW1347" s="139">
        <f t="shared" si="432"/>
        <v>0</v>
      </c>
      <c r="AX1347" s="358"/>
      <c r="AY1347" s="358"/>
      <c r="AZ1347" s="358"/>
      <c r="BA1347" s="360"/>
      <c r="BB1347" s="358"/>
      <c r="BC1347" s="358"/>
      <c r="BD1347" s="358"/>
      <c r="BE1347" s="358"/>
      <c r="BF1347" s="358"/>
      <c r="BG1347" s="358"/>
      <c r="BH1347" s="360"/>
      <c r="BI1347" s="360"/>
      <c r="BJ1347" s="360"/>
      <c r="BK1347" s="360"/>
      <c r="BL1347" s="360"/>
      <c r="BM1347" s="360"/>
      <c r="BN1347" s="360"/>
    </row>
    <row r="1348" spans="1:66" s="91" customFormat="1" ht="25.5" hidden="1" customHeight="1" outlineLevel="2" x14ac:dyDescent="0.2">
      <c r="A1348" s="150" t="s">
        <v>2279</v>
      </c>
      <c r="B1348" s="355" t="s">
        <v>406</v>
      </c>
      <c r="C1348" s="355" t="s">
        <v>411</v>
      </c>
      <c r="D1348" s="356" t="s">
        <v>606</v>
      </c>
      <c r="E1348" s="114">
        <v>2</v>
      </c>
      <c r="F1348" s="114" t="s">
        <v>402</v>
      </c>
      <c r="G1348" s="114" t="s">
        <v>77</v>
      </c>
      <c r="H1348" s="114" t="s">
        <v>3</v>
      </c>
      <c r="I1348" s="114"/>
      <c r="J1348" s="114"/>
      <c r="K1348" s="356" t="s">
        <v>873</v>
      </c>
      <c r="L1348" s="356"/>
      <c r="M1348" s="356"/>
      <c r="N1348" s="356"/>
      <c r="O1348" s="357">
        <v>43616</v>
      </c>
      <c r="P1348" s="357"/>
      <c r="Q1348" s="357"/>
      <c r="R1348" s="357"/>
      <c r="S1348" s="117"/>
      <c r="T1348" s="117"/>
      <c r="U1348" s="358">
        <v>0</v>
      </c>
      <c r="V1348" s="358">
        <v>0</v>
      </c>
      <c r="W1348" s="358">
        <v>0</v>
      </c>
      <c r="X1348" s="358">
        <f t="shared" si="437"/>
        <v>0</v>
      </c>
      <c r="Y1348" s="358">
        <v>0</v>
      </c>
      <c r="Z1348" s="358">
        <v>0</v>
      </c>
      <c r="AA1348" s="358">
        <v>0</v>
      </c>
      <c r="AB1348" s="358">
        <v>0</v>
      </c>
      <c r="AC1348" s="358">
        <v>0</v>
      </c>
      <c r="AD1348" s="358">
        <v>0</v>
      </c>
      <c r="AE1348" s="358">
        <v>0</v>
      </c>
      <c r="AF1348" s="358">
        <v>0</v>
      </c>
      <c r="AG1348" s="358">
        <v>0</v>
      </c>
      <c r="AH1348" s="358">
        <v>0</v>
      </c>
      <c r="AI1348" s="358">
        <v>0</v>
      </c>
      <c r="AJ1348" s="358">
        <v>0</v>
      </c>
      <c r="AK1348" s="358">
        <f t="shared" si="429"/>
        <v>0</v>
      </c>
      <c r="AL1348" s="358">
        <v>0</v>
      </c>
      <c r="AM1348" s="358">
        <v>0</v>
      </c>
      <c r="AN1348" s="358">
        <v>0</v>
      </c>
      <c r="AO1348" s="358">
        <v>0</v>
      </c>
      <c r="AP1348" s="358">
        <v>0</v>
      </c>
      <c r="AQ1348" s="358">
        <v>0</v>
      </c>
      <c r="AR1348" s="358">
        <v>0</v>
      </c>
      <c r="AS1348" s="358">
        <f t="shared" si="439"/>
        <v>0</v>
      </c>
      <c r="AT1348" s="145">
        <v>0</v>
      </c>
      <c r="AU1348" s="139">
        <f t="shared" si="438"/>
        <v>0</v>
      </c>
      <c r="AV1348" s="146">
        <f>IFERROR(VLOOKUP(J1348,Maksājumu_pieprasījumu_iesn.!G:BL,57,0),0)</f>
        <v>0</v>
      </c>
      <c r="AW1348" s="139">
        <f t="shared" si="432"/>
        <v>0</v>
      </c>
      <c r="AX1348" s="358"/>
      <c r="AY1348" s="358"/>
      <c r="AZ1348" s="358"/>
      <c r="BA1348" s="360"/>
      <c r="BB1348" s="358"/>
      <c r="BC1348" s="358"/>
      <c r="BD1348" s="358"/>
      <c r="BE1348" s="358"/>
      <c r="BF1348" s="358"/>
      <c r="BG1348" s="358"/>
      <c r="BH1348" s="360"/>
      <c r="BI1348" s="360"/>
      <c r="BJ1348" s="360"/>
      <c r="BK1348" s="360"/>
      <c r="BL1348" s="360"/>
      <c r="BM1348" s="360"/>
      <c r="BN1348" s="360"/>
    </row>
    <row r="1349" spans="1:66" s="91" customFormat="1" ht="25.5" hidden="1" customHeight="1" outlineLevel="2" x14ac:dyDescent="0.2">
      <c r="A1349" s="150" t="s">
        <v>2279</v>
      </c>
      <c r="B1349" s="355" t="s">
        <v>406</v>
      </c>
      <c r="C1349" s="355" t="s">
        <v>411</v>
      </c>
      <c r="D1349" s="356" t="s">
        <v>606</v>
      </c>
      <c r="E1349" s="114">
        <v>2</v>
      </c>
      <c r="F1349" s="114" t="s">
        <v>402</v>
      </c>
      <c r="G1349" s="114" t="s">
        <v>77</v>
      </c>
      <c r="H1349" s="114" t="s">
        <v>3</v>
      </c>
      <c r="I1349" s="114"/>
      <c r="J1349" s="114"/>
      <c r="K1349" s="356" t="s">
        <v>2497</v>
      </c>
      <c r="L1349" s="356"/>
      <c r="M1349" s="356"/>
      <c r="N1349" s="356"/>
      <c r="O1349" s="357">
        <v>43616</v>
      </c>
      <c r="P1349" s="357"/>
      <c r="Q1349" s="357"/>
      <c r="R1349" s="357"/>
      <c r="S1349" s="117"/>
      <c r="T1349" s="117"/>
      <c r="U1349" s="358">
        <v>0</v>
      </c>
      <c r="V1349" s="358">
        <v>0</v>
      </c>
      <c r="W1349" s="358">
        <v>0</v>
      </c>
      <c r="X1349" s="358">
        <f t="shared" si="437"/>
        <v>0</v>
      </c>
      <c r="Y1349" s="358">
        <v>0</v>
      </c>
      <c r="Z1349" s="358">
        <v>0</v>
      </c>
      <c r="AA1349" s="358">
        <v>0</v>
      </c>
      <c r="AB1349" s="358">
        <v>0</v>
      </c>
      <c r="AC1349" s="358">
        <v>0</v>
      </c>
      <c r="AD1349" s="358">
        <v>0</v>
      </c>
      <c r="AE1349" s="358">
        <v>0</v>
      </c>
      <c r="AF1349" s="358">
        <v>0</v>
      </c>
      <c r="AG1349" s="358">
        <v>0</v>
      </c>
      <c r="AH1349" s="358">
        <v>0</v>
      </c>
      <c r="AI1349" s="358">
        <v>0</v>
      </c>
      <c r="AJ1349" s="358">
        <v>0</v>
      </c>
      <c r="AK1349" s="358">
        <f t="shared" ref="AK1349:AK1412" si="440">SUM(Y1349:AJ1349)</f>
        <v>0</v>
      </c>
      <c r="AL1349" s="358">
        <v>0</v>
      </c>
      <c r="AM1349" s="358">
        <v>0</v>
      </c>
      <c r="AN1349" s="358">
        <v>0</v>
      </c>
      <c r="AO1349" s="358">
        <v>0</v>
      </c>
      <c r="AP1349" s="358">
        <v>0</v>
      </c>
      <c r="AQ1349" s="358">
        <v>0</v>
      </c>
      <c r="AR1349" s="358">
        <v>0</v>
      </c>
      <c r="AS1349" s="358">
        <f t="shared" si="439"/>
        <v>0</v>
      </c>
      <c r="AT1349" s="145">
        <v>0</v>
      </c>
      <c r="AU1349" s="139">
        <f t="shared" si="438"/>
        <v>0</v>
      </c>
      <c r="AV1349" s="146">
        <f>IFERROR(VLOOKUP(J1349,Maksājumu_pieprasījumu_iesn.!G:BL,57,0),0)</f>
        <v>0</v>
      </c>
      <c r="AW1349" s="139">
        <f t="shared" si="432"/>
        <v>0</v>
      </c>
      <c r="AX1349" s="358"/>
      <c r="AY1349" s="358"/>
      <c r="AZ1349" s="358"/>
      <c r="BA1349" s="360"/>
      <c r="BB1349" s="358"/>
      <c r="BC1349" s="358"/>
      <c r="BD1349" s="358"/>
      <c r="BE1349" s="358"/>
      <c r="BF1349" s="358"/>
      <c r="BG1349" s="358"/>
      <c r="BH1349" s="360"/>
      <c r="BI1349" s="360"/>
      <c r="BJ1349" s="360"/>
      <c r="BK1349" s="360"/>
      <c r="BL1349" s="360"/>
      <c r="BM1349" s="360"/>
      <c r="BN1349" s="360"/>
    </row>
    <row r="1350" spans="1:66" s="91" customFormat="1" ht="25.5" hidden="1" customHeight="1" outlineLevel="2" x14ac:dyDescent="0.2">
      <c r="A1350" s="150" t="s">
        <v>2279</v>
      </c>
      <c r="B1350" s="355" t="s">
        <v>406</v>
      </c>
      <c r="C1350" s="355" t="s">
        <v>411</v>
      </c>
      <c r="D1350" s="356" t="s">
        <v>606</v>
      </c>
      <c r="E1350" s="114">
        <v>2</v>
      </c>
      <c r="F1350" s="114" t="s">
        <v>402</v>
      </c>
      <c r="G1350" s="114" t="s">
        <v>77</v>
      </c>
      <c r="H1350" s="114" t="s">
        <v>3</v>
      </c>
      <c r="I1350" s="114"/>
      <c r="J1350" s="114"/>
      <c r="K1350" s="356" t="s">
        <v>2498</v>
      </c>
      <c r="L1350" s="356"/>
      <c r="M1350" s="356"/>
      <c r="N1350" s="356"/>
      <c r="O1350" s="357">
        <v>43616</v>
      </c>
      <c r="P1350" s="357"/>
      <c r="Q1350" s="357"/>
      <c r="R1350" s="357"/>
      <c r="S1350" s="117"/>
      <c r="T1350" s="117"/>
      <c r="U1350" s="358">
        <v>0</v>
      </c>
      <c r="V1350" s="358">
        <v>0</v>
      </c>
      <c r="W1350" s="358">
        <v>0</v>
      </c>
      <c r="X1350" s="358">
        <f t="shared" si="437"/>
        <v>0</v>
      </c>
      <c r="Y1350" s="358">
        <v>0</v>
      </c>
      <c r="Z1350" s="358">
        <v>0</v>
      </c>
      <c r="AA1350" s="358">
        <v>0</v>
      </c>
      <c r="AB1350" s="358">
        <v>0</v>
      </c>
      <c r="AC1350" s="358">
        <v>0</v>
      </c>
      <c r="AD1350" s="358">
        <v>0</v>
      </c>
      <c r="AE1350" s="358">
        <v>0</v>
      </c>
      <c r="AF1350" s="358">
        <v>0</v>
      </c>
      <c r="AG1350" s="358">
        <v>0</v>
      </c>
      <c r="AH1350" s="358">
        <v>0</v>
      </c>
      <c r="AI1350" s="358">
        <v>0</v>
      </c>
      <c r="AJ1350" s="358">
        <v>0</v>
      </c>
      <c r="AK1350" s="358">
        <f t="shared" si="440"/>
        <v>0</v>
      </c>
      <c r="AL1350" s="358">
        <v>0</v>
      </c>
      <c r="AM1350" s="358">
        <v>0</v>
      </c>
      <c r="AN1350" s="358">
        <v>0</v>
      </c>
      <c r="AO1350" s="358">
        <v>0</v>
      </c>
      <c r="AP1350" s="358">
        <v>0</v>
      </c>
      <c r="AQ1350" s="358">
        <v>0</v>
      </c>
      <c r="AR1350" s="358">
        <v>0</v>
      </c>
      <c r="AS1350" s="358">
        <f t="shared" si="439"/>
        <v>0</v>
      </c>
      <c r="AT1350" s="145">
        <v>0</v>
      </c>
      <c r="AU1350" s="139">
        <f t="shared" si="438"/>
        <v>0</v>
      </c>
      <c r="AV1350" s="146">
        <f>IFERROR(VLOOKUP(J1350,Maksājumu_pieprasījumu_iesn.!G:BL,57,0),0)</f>
        <v>0</v>
      </c>
      <c r="AW1350" s="139">
        <f t="shared" si="432"/>
        <v>0</v>
      </c>
      <c r="AX1350" s="358"/>
      <c r="AY1350" s="358"/>
      <c r="AZ1350" s="358"/>
      <c r="BA1350" s="360"/>
      <c r="BB1350" s="358"/>
      <c r="BC1350" s="358"/>
      <c r="BD1350" s="358"/>
      <c r="BE1350" s="358"/>
      <c r="BF1350" s="358"/>
      <c r="BG1350" s="358"/>
      <c r="BH1350" s="360"/>
      <c r="BI1350" s="360"/>
      <c r="BJ1350" s="360"/>
      <c r="BK1350" s="360"/>
      <c r="BL1350" s="360"/>
      <c r="BM1350" s="360"/>
      <c r="BN1350" s="360"/>
    </row>
    <row r="1351" spans="1:66" s="91" customFormat="1" ht="25.5" hidden="1" customHeight="1" outlineLevel="2" x14ac:dyDescent="0.2">
      <c r="A1351" s="150" t="s">
        <v>2279</v>
      </c>
      <c r="B1351" s="355" t="s">
        <v>406</v>
      </c>
      <c r="C1351" s="355" t="s">
        <v>411</v>
      </c>
      <c r="D1351" s="356" t="s">
        <v>606</v>
      </c>
      <c r="E1351" s="114">
        <v>2</v>
      </c>
      <c r="F1351" s="114" t="s">
        <v>402</v>
      </c>
      <c r="G1351" s="114" t="s">
        <v>77</v>
      </c>
      <c r="H1351" s="114" t="s">
        <v>3</v>
      </c>
      <c r="I1351" s="114"/>
      <c r="J1351" s="114"/>
      <c r="K1351" s="356" t="s">
        <v>898</v>
      </c>
      <c r="L1351" s="356"/>
      <c r="M1351" s="356"/>
      <c r="N1351" s="356"/>
      <c r="O1351" s="357">
        <v>43616</v>
      </c>
      <c r="P1351" s="357"/>
      <c r="Q1351" s="357"/>
      <c r="R1351" s="357"/>
      <c r="S1351" s="117"/>
      <c r="T1351" s="117"/>
      <c r="U1351" s="358">
        <v>0</v>
      </c>
      <c r="V1351" s="358">
        <v>0</v>
      </c>
      <c r="W1351" s="358">
        <v>0</v>
      </c>
      <c r="X1351" s="358">
        <f t="shared" si="437"/>
        <v>0</v>
      </c>
      <c r="Y1351" s="358">
        <v>0</v>
      </c>
      <c r="Z1351" s="358">
        <v>0</v>
      </c>
      <c r="AA1351" s="358">
        <v>0</v>
      </c>
      <c r="AB1351" s="358">
        <v>0</v>
      </c>
      <c r="AC1351" s="358">
        <v>0</v>
      </c>
      <c r="AD1351" s="358">
        <v>0</v>
      </c>
      <c r="AE1351" s="358">
        <v>0</v>
      </c>
      <c r="AF1351" s="358">
        <v>0</v>
      </c>
      <c r="AG1351" s="358">
        <v>0</v>
      </c>
      <c r="AH1351" s="358">
        <v>0</v>
      </c>
      <c r="AI1351" s="358">
        <v>0</v>
      </c>
      <c r="AJ1351" s="358">
        <v>0</v>
      </c>
      <c r="AK1351" s="358">
        <f t="shared" si="440"/>
        <v>0</v>
      </c>
      <c r="AL1351" s="358">
        <v>0</v>
      </c>
      <c r="AM1351" s="358">
        <v>0</v>
      </c>
      <c r="AN1351" s="358">
        <v>0</v>
      </c>
      <c r="AO1351" s="358">
        <v>0</v>
      </c>
      <c r="AP1351" s="358">
        <v>0</v>
      </c>
      <c r="AQ1351" s="358">
        <v>0</v>
      </c>
      <c r="AR1351" s="358">
        <v>0</v>
      </c>
      <c r="AS1351" s="358">
        <f t="shared" si="439"/>
        <v>0</v>
      </c>
      <c r="AT1351" s="145">
        <v>0</v>
      </c>
      <c r="AU1351" s="139">
        <f t="shared" si="438"/>
        <v>0</v>
      </c>
      <c r="AV1351" s="146">
        <f>IFERROR(VLOOKUP(J1351,Maksājumu_pieprasījumu_iesn.!G:BL,57,0),0)</f>
        <v>0</v>
      </c>
      <c r="AW1351" s="139">
        <f t="shared" si="432"/>
        <v>0</v>
      </c>
      <c r="AX1351" s="358"/>
      <c r="AY1351" s="358"/>
      <c r="AZ1351" s="358"/>
      <c r="BA1351" s="360"/>
      <c r="BB1351" s="358"/>
      <c r="BC1351" s="358"/>
      <c r="BD1351" s="358"/>
      <c r="BE1351" s="358"/>
      <c r="BF1351" s="358"/>
      <c r="BG1351" s="358"/>
      <c r="BH1351" s="360"/>
      <c r="BI1351" s="360"/>
      <c r="BJ1351" s="360"/>
      <c r="BK1351" s="360"/>
      <c r="BL1351" s="360"/>
      <c r="BM1351" s="360"/>
      <c r="BN1351" s="360"/>
    </row>
    <row r="1352" spans="1:66" s="91" customFormat="1" ht="25.5" hidden="1" customHeight="1" outlineLevel="2" x14ac:dyDescent="0.2">
      <c r="A1352" s="150" t="s">
        <v>2279</v>
      </c>
      <c r="B1352" s="355" t="s">
        <v>406</v>
      </c>
      <c r="C1352" s="355" t="s">
        <v>411</v>
      </c>
      <c r="D1352" s="356" t="s">
        <v>606</v>
      </c>
      <c r="E1352" s="114">
        <v>2</v>
      </c>
      <c r="F1352" s="114" t="s">
        <v>402</v>
      </c>
      <c r="G1352" s="114" t="s">
        <v>77</v>
      </c>
      <c r="H1352" s="114" t="s">
        <v>3</v>
      </c>
      <c r="I1352" s="114"/>
      <c r="J1352" s="114"/>
      <c r="K1352" s="356" t="s">
        <v>1195</v>
      </c>
      <c r="L1352" s="356"/>
      <c r="M1352" s="356"/>
      <c r="N1352" s="356"/>
      <c r="O1352" s="357">
        <v>43616</v>
      </c>
      <c r="P1352" s="357"/>
      <c r="Q1352" s="357"/>
      <c r="R1352" s="357"/>
      <c r="S1352" s="117"/>
      <c r="T1352" s="117"/>
      <c r="U1352" s="358">
        <v>0</v>
      </c>
      <c r="V1352" s="358">
        <v>0</v>
      </c>
      <c r="W1352" s="358">
        <v>0</v>
      </c>
      <c r="X1352" s="358">
        <f t="shared" si="437"/>
        <v>0</v>
      </c>
      <c r="Y1352" s="358">
        <v>0</v>
      </c>
      <c r="Z1352" s="358">
        <v>0</v>
      </c>
      <c r="AA1352" s="358">
        <v>0</v>
      </c>
      <c r="AB1352" s="358">
        <v>0</v>
      </c>
      <c r="AC1352" s="358">
        <v>0</v>
      </c>
      <c r="AD1352" s="358">
        <v>0</v>
      </c>
      <c r="AE1352" s="358">
        <v>0</v>
      </c>
      <c r="AF1352" s="358">
        <v>0</v>
      </c>
      <c r="AG1352" s="358">
        <v>0</v>
      </c>
      <c r="AH1352" s="358">
        <v>0</v>
      </c>
      <c r="AI1352" s="358">
        <v>0</v>
      </c>
      <c r="AJ1352" s="358">
        <v>0</v>
      </c>
      <c r="AK1352" s="358">
        <f t="shared" si="440"/>
        <v>0</v>
      </c>
      <c r="AL1352" s="358">
        <v>0</v>
      </c>
      <c r="AM1352" s="358">
        <v>0</v>
      </c>
      <c r="AN1352" s="358">
        <v>0</v>
      </c>
      <c r="AO1352" s="358">
        <v>0</v>
      </c>
      <c r="AP1352" s="358">
        <v>0</v>
      </c>
      <c r="AQ1352" s="358">
        <v>0</v>
      </c>
      <c r="AR1352" s="358">
        <v>0</v>
      </c>
      <c r="AS1352" s="358">
        <f t="shared" si="439"/>
        <v>0</v>
      </c>
      <c r="AT1352" s="145">
        <v>0</v>
      </c>
      <c r="AU1352" s="139">
        <f t="shared" si="438"/>
        <v>0</v>
      </c>
      <c r="AV1352" s="146">
        <f>IFERROR(VLOOKUP(J1352,Maksājumu_pieprasījumu_iesn.!G:BL,57,0),0)</f>
        <v>0</v>
      </c>
      <c r="AW1352" s="139">
        <f t="shared" si="432"/>
        <v>0</v>
      </c>
      <c r="AX1352" s="358"/>
      <c r="AY1352" s="358"/>
      <c r="AZ1352" s="358"/>
      <c r="BA1352" s="360"/>
      <c r="BB1352" s="358"/>
      <c r="BC1352" s="358"/>
      <c r="BD1352" s="358"/>
      <c r="BE1352" s="358"/>
      <c r="BF1352" s="358"/>
      <c r="BG1352" s="358"/>
      <c r="BH1352" s="360"/>
      <c r="BI1352" s="360"/>
      <c r="BJ1352" s="360"/>
      <c r="BK1352" s="360"/>
      <c r="BL1352" s="360"/>
      <c r="BM1352" s="360"/>
      <c r="BN1352" s="360"/>
    </row>
    <row r="1353" spans="1:66" s="91" customFormat="1" ht="25.5" hidden="1" customHeight="1" outlineLevel="2" x14ac:dyDescent="0.2">
      <c r="A1353" s="150" t="s">
        <v>2279</v>
      </c>
      <c r="B1353" s="355" t="s">
        <v>406</v>
      </c>
      <c r="C1353" s="355" t="s">
        <v>411</v>
      </c>
      <c r="D1353" s="356" t="s">
        <v>606</v>
      </c>
      <c r="E1353" s="114">
        <v>2</v>
      </c>
      <c r="F1353" s="114" t="s">
        <v>402</v>
      </c>
      <c r="G1353" s="114" t="s">
        <v>77</v>
      </c>
      <c r="H1353" s="114" t="s">
        <v>3</v>
      </c>
      <c r="I1353" s="114"/>
      <c r="J1353" s="114"/>
      <c r="K1353" s="356" t="s">
        <v>428</v>
      </c>
      <c r="L1353" s="356"/>
      <c r="M1353" s="356"/>
      <c r="N1353" s="356"/>
      <c r="O1353" s="357">
        <v>43616</v>
      </c>
      <c r="P1353" s="357"/>
      <c r="Q1353" s="357"/>
      <c r="R1353" s="357"/>
      <c r="S1353" s="117"/>
      <c r="T1353" s="117"/>
      <c r="U1353" s="358">
        <v>0</v>
      </c>
      <c r="V1353" s="358">
        <v>0</v>
      </c>
      <c r="W1353" s="358">
        <v>0</v>
      </c>
      <c r="X1353" s="358">
        <f t="shared" si="437"/>
        <v>0</v>
      </c>
      <c r="Y1353" s="358">
        <v>0</v>
      </c>
      <c r="Z1353" s="358">
        <v>0</v>
      </c>
      <c r="AA1353" s="358">
        <v>0</v>
      </c>
      <c r="AB1353" s="358">
        <v>0</v>
      </c>
      <c r="AC1353" s="358">
        <v>0</v>
      </c>
      <c r="AD1353" s="358">
        <v>0</v>
      </c>
      <c r="AE1353" s="358">
        <v>0</v>
      </c>
      <c r="AF1353" s="358">
        <v>0</v>
      </c>
      <c r="AG1353" s="358">
        <v>0</v>
      </c>
      <c r="AH1353" s="358">
        <v>0</v>
      </c>
      <c r="AI1353" s="358">
        <v>0</v>
      </c>
      <c r="AJ1353" s="358">
        <v>0</v>
      </c>
      <c r="AK1353" s="358">
        <f t="shared" si="440"/>
        <v>0</v>
      </c>
      <c r="AL1353" s="358">
        <v>0</v>
      </c>
      <c r="AM1353" s="358">
        <v>0</v>
      </c>
      <c r="AN1353" s="358">
        <v>0</v>
      </c>
      <c r="AO1353" s="358">
        <v>0</v>
      </c>
      <c r="AP1353" s="358">
        <v>0</v>
      </c>
      <c r="AQ1353" s="358">
        <v>0</v>
      </c>
      <c r="AR1353" s="358">
        <v>0</v>
      </c>
      <c r="AS1353" s="358">
        <f t="shared" si="439"/>
        <v>0</v>
      </c>
      <c r="AT1353" s="145">
        <v>0</v>
      </c>
      <c r="AU1353" s="139">
        <f t="shared" si="438"/>
        <v>0</v>
      </c>
      <c r="AV1353" s="146">
        <f>IFERROR(VLOOKUP(J1353,Maksājumu_pieprasījumu_iesn.!G:BL,57,0),0)</f>
        <v>0</v>
      </c>
      <c r="AW1353" s="139">
        <f t="shared" si="432"/>
        <v>0</v>
      </c>
      <c r="AX1353" s="358"/>
      <c r="AY1353" s="358"/>
      <c r="AZ1353" s="358"/>
      <c r="BA1353" s="360"/>
      <c r="BB1353" s="358"/>
      <c r="BC1353" s="358"/>
      <c r="BD1353" s="358"/>
      <c r="BE1353" s="358"/>
      <c r="BF1353" s="358"/>
      <c r="BG1353" s="358"/>
      <c r="BH1353" s="360"/>
      <c r="BI1353" s="360"/>
      <c r="BJ1353" s="360"/>
      <c r="BK1353" s="360"/>
      <c r="BL1353" s="360"/>
      <c r="BM1353" s="360"/>
      <c r="BN1353" s="360"/>
    </row>
    <row r="1354" spans="1:66" s="91" customFormat="1" ht="25.5" hidden="1" customHeight="1" outlineLevel="2" x14ac:dyDescent="0.2">
      <c r="A1354" s="150" t="s">
        <v>2279</v>
      </c>
      <c r="B1354" s="355" t="s">
        <v>406</v>
      </c>
      <c r="C1354" s="355" t="s">
        <v>411</v>
      </c>
      <c r="D1354" s="356" t="s">
        <v>606</v>
      </c>
      <c r="E1354" s="114">
        <v>2</v>
      </c>
      <c r="F1354" s="114" t="s">
        <v>402</v>
      </c>
      <c r="G1354" s="114" t="s">
        <v>77</v>
      </c>
      <c r="H1354" s="114" t="s">
        <v>3</v>
      </c>
      <c r="I1354" s="114"/>
      <c r="J1354" s="114"/>
      <c r="K1354" s="356" t="s">
        <v>488</v>
      </c>
      <c r="L1354" s="356"/>
      <c r="M1354" s="356"/>
      <c r="N1354" s="356"/>
      <c r="O1354" s="357">
        <v>43616</v>
      </c>
      <c r="P1354" s="357"/>
      <c r="Q1354" s="357"/>
      <c r="R1354" s="357"/>
      <c r="S1354" s="117"/>
      <c r="T1354" s="117"/>
      <c r="U1354" s="358">
        <v>0</v>
      </c>
      <c r="V1354" s="358">
        <v>0</v>
      </c>
      <c r="W1354" s="358">
        <v>0</v>
      </c>
      <c r="X1354" s="358">
        <f t="shared" si="437"/>
        <v>0</v>
      </c>
      <c r="Y1354" s="358">
        <v>0</v>
      </c>
      <c r="Z1354" s="358">
        <v>0</v>
      </c>
      <c r="AA1354" s="358">
        <v>0</v>
      </c>
      <c r="AB1354" s="358">
        <v>0</v>
      </c>
      <c r="AC1354" s="358">
        <v>0</v>
      </c>
      <c r="AD1354" s="358">
        <v>0</v>
      </c>
      <c r="AE1354" s="358">
        <v>0</v>
      </c>
      <c r="AF1354" s="358">
        <v>0</v>
      </c>
      <c r="AG1354" s="358">
        <v>0</v>
      </c>
      <c r="AH1354" s="358">
        <v>0</v>
      </c>
      <c r="AI1354" s="358">
        <v>0</v>
      </c>
      <c r="AJ1354" s="358">
        <v>0</v>
      </c>
      <c r="AK1354" s="358">
        <f t="shared" si="440"/>
        <v>0</v>
      </c>
      <c r="AL1354" s="358">
        <v>0</v>
      </c>
      <c r="AM1354" s="358">
        <v>0</v>
      </c>
      <c r="AN1354" s="358">
        <v>0</v>
      </c>
      <c r="AO1354" s="358">
        <v>0</v>
      </c>
      <c r="AP1354" s="358">
        <v>0</v>
      </c>
      <c r="AQ1354" s="358">
        <v>0</v>
      </c>
      <c r="AR1354" s="358">
        <v>0</v>
      </c>
      <c r="AS1354" s="358">
        <f t="shared" si="439"/>
        <v>0</v>
      </c>
      <c r="AT1354" s="145">
        <v>0</v>
      </c>
      <c r="AU1354" s="139">
        <f t="shared" si="438"/>
        <v>0</v>
      </c>
      <c r="AV1354" s="146">
        <f>IFERROR(VLOOKUP(J1354,Maksājumu_pieprasījumu_iesn.!G:BL,57,0),0)</f>
        <v>0</v>
      </c>
      <c r="AW1354" s="139">
        <f t="shared" si="432"/>
        <v>0</v>
      </c>
      <c r="AX1354" s="358"/>
      <c r="AY1354" s="358"/>
      <c r="AZ1354" s="358"/>
      <c r="BA1354" s="360"/>
      <c r="BB1354" s="358"/>
      <c r="BC1354" s="358"/>
      <c r="BD1354" s="358"/>
      <c r="BE1354" s="358"/>
      <c r="BF1354" s="358"/>
      <c r="BG1354" s="358"/>
      <c r="BH1354" s="360"/>
      <c r="BI1354" s="360"/>
      <c r="BJ1354" s="360"/>
      <c r="BK1354" s="360"/>
      <c r="BL1354" s="360"/>
      <c r="BM1354" s="360"/>
      <c r="BN1354" s="360"/>
    </row>
    <row r="1355" spans="1:66" s="91" customFormat="1" ht="25.5" hidden="1" customHeight="1" outlineLevel="2" x14ac:dyDescent="0.2">
      <c r="A1355" s="150" t="s">
        <v>2279</v>
      </c>
      <c r="B1355" s="355" t="s">
        <v>406</v>
      </c>
      <c r="C1355" s="355" t="s">
        <v>411</v>
      </c>
      <c r="D1355" s="356" t="s">
        <v>606</v>
      </c>
      <c r="E1355" s="114">
        <v>2</v>
      </c>
      <c r="F1355" s="114" t="s">
        <v>402</v>
      </c>
      <c r="G1355" s="114" t="s">
        <v>77</v>
      </c>
      <c r="H1355" s="114" t="s">
        <v>3</v>
      </c>
      <c r="I1355" s="114"/>
      <c r="J1355" s="114"/>
      <c r="K1355" s="356" t="s">
        <v>1432</v>
      </c>
      <c r="L1355" s="356"/>
      <c r="M1355" s="356"/>
      <c r="N1355" s="356"/>
      <c r="O1355" s="357">
        <v>43616</v>
      </c>
      <c r="P1355" s="357"/>
      <c r="Q1355" s="357"/>
      <c r="R1355" s="357"/>
      <c r="S1355" s="117"/>
      <c r="T1355" s="117"/>
      <c r="U1355" s="358">
        <v>0</v>
      </c>
      <c r="V1355" s="358">
        <v>0</v>
      </c>
      <c r="W1355" s="358">
        <v>0</v>
      </c>
      <c r="X1355" s="358">
        <f t="shared" si="437"/>
        <v>0</v>
      </c>
      <c r="Y1355" s="358">
        <v>0</v>
      </c>
      <c r="Z1355" s="358">
        <v>0</v>
      </c>
      <c r="AA1355" s="358">
        <v>0</v>
      </c>
      <c r="AB1355" s="358">
        <v>0</v>
      </c>
      <c r="AC1355" s="358">
        <v>0</v>
      </c>
      <c r="AD1355" s="358">
        <v>0</v>
      </c>
      <c r="AE1355" s="358">
        <v>0</v>
      </c>
      <c r="AF1355" s="358">
        <v>0</v>
      </c>
      <c r="AG1355" s="358">
        <v>0</v>
      </c>
      <c r="AH1355" s="358">
        <v>0</v>
      </c>
      <c r="AI1355" s="358">
        <v>0</v>
      </c>
      <c r="AJ1355" s="358">
        <v>0</v>
      </c>
      <c r="AK1355" s="358">
        <f t="shared" si="440"/>
        <v>0</v>
      </c>
      <c r="AL1355" s="358">
        <v>0</v>
      </c>
      <c r="AM1355" s="358">
        <v>0</v>
      </c>
      <c r="AN1355" s="358">
        <v>0</v>
      </c>
      <c r="AO1355" s="358">
        <v>0</v>
      </c>
      <c r="AP1355" s="358">
        <v>0</v>
      </c>
      <c r="AQ1355" s="358">
        <v>0</v>
      </c>
      <c r="AR1355" s="358">
        <v>0</v>
      </c>
      <c r="AS1355" s="358">
        <f t="shared" si="439"/>
        <v>0</v>
      </c>
      <c r="AT1355" s="145">
        <v>0</v>
      </c>
      <c r="AU1355" s="139">
        <f t="shared" si="438"/>
        <v>0</v>
      </c>
      <c r="AV1355" s="146">
        <f>IFERROR(VLOOKUP(J1355,Maksājumu_pieprasījumu_iesn.!G:BL,57,0),0)</f>
        <v>0</v>
      </c>
      <c r="AW1355" s="139">
        <f t="shared" si="432"/>
        <v>0</v>
      </c>
      <c r="AX1355" s="358"/>
      <c r="AY1355" s="358"/>
      <c r="AZ1355" s="358"/>
      <c r="BA1355" s="360"/>
      <c r="BB1355" s="358"/>
      <c r="BC1355" s="358"/>
      <c r="BD1355" s="358"/>
      <c r="BE1355" s="358"/>
      <c r="BF1355" s="358"/>
      <c r="BG1355" s="358"/>
      <c r="BH1355" s="360"/>
      <c r="BI1355" s="360"/>
      <c r="BJ1355" s="360"/>
      <c r="BK1355" s="360"/>
      <c r="BL1355" s="360"/>
      <c r="BM1355" s="360"/>
      <c r="BN1355" s="360"/>
    </row>
    <row r="1356" spans="1:66" s="91" customFormat="1" ht="25.5" hidden="1" customHeight="1" outlineLevel="2" x14ac:dyDescent="0.2">
      <c r="A1356" s="150" t="s">
        <v>2279</v>
      </c>
      <c r="B1356" s="355" t="s">
        <v>406</v>
      </c>
      <c r="C1356" s="355" t="s">
        <v>411</v>
      </c>
      <c r="D1356" s="356" t="s">
        <v>606</v>
      </c>
      <c r="E1356" s="114">
        <v>2</v>
      </c>
      <c r="F1356" s="114" t="s">
        <v>402</v>
      </c>
      <c r="G1356" s="114" t="s">
        <v>77</v>
      </c>
      <c r="H1356" s="114" t="s">
        <v>3</v>
      </c>
      <c r="I1356" s="114"/>
      <c r="J1356" s="114"/>
      <c r="K1356" s="356" t="s">
        <v>2499</v>
      </c>
      <c r="L1356" s="356"/>
      <c r="M1356" s="356"/>
      <c r="N1356" s="356"/>
      <c r="O1356" s="357">
        <v>43616</v>
      </c>
      <c r="P1356" s="357"/>
      <c r="Q1356" s="357"/>
      <c r="R1356" s="357"/>
      <c r="S1356" s="117"/>
      <c r="T1356" s="117"/>
      <c r="U1356" s="358">
        <v>0</v>
      </c>
      <c r="V1356" s="358">
        <v>0</v>
      </c>
      <c r="W1356" s="358">
        <v>0</v>
      </c>
      <c r="X1356" s="358">
        <f t="shared" si="437"/>
        <v>0</v>
      </c>
      <c r="Y1356" s="358">
        <v>0</v>
      </c>
      <c r="Z1356" s="358">
        <v>0</v>
      </c>
      <c r="AA1356" s="358">
        <v>0</v>
      </c>
      <c r="AB1356" s="358">
        <v>0</v>
      </c>
      <c r="AC1356" s="358">
        <v>0</v>
      </c>
      <c r="AD1356" s="358">
        <v>0</v>
      </c>
      <c r="AE1356" s="358">
        <v>0</v>
      </c>
      <c r="AF1356" s="358">
        <v>0</v>
      </c>
      <c r="AG1356" s="358">
        <v>0</v>
      </c>
      <c r="AH1356" s="358">
        <v>0</v>
      </c>
      <c r="AI1356" s="358">
        <v>0</v>
      </c>
      <c r="AJ1356" s="358">
        <v>0</v>
      </c>
      <c r="AK1356" s="358">
        <f t="shared" si="440"/>
        <v>0</v>
      </c>
      <c r="AL1356" s="358">
        <v>0</v>
      </c>
      <c r="AM1356" s="358">
        <v>0</v>
      </c>
      <c r="AN1356" s="358">
        <v>0</v>
      </c>
      <c r="AO1356" s="358">
        <v>0</v>
      </c>
      <c r="AP1356" s="358">
        <v>0</v>
      </c>
      <c r="AQ1356" s="358">
        <v>0</v>
      </c>
      <c r="AR1356" s="358">
        <v>0</v>
      </c>
      <c r="AS1356" s="358">
        <f t="shared" si="439"/>
        <v>0</v>
      </c>
      <c r="AT1356" s="145">
        <v>0</v>
      </c>
      <c r="AU1356" s="139">
        <f t="shared" si="438"/>
        <v>0</v>
      </c>
      <c r="AV1356" s="146">
        <f>IFERROR(VLOOKUP(J1356,Maksājumu_pieprasījumu_iesn.!G:BL,57,0),0)</f>
        <v>0</v>
      </c>
      <c r="AW1356" s="139">
        <f t="shared" si="432"/>
        <v>0</v>
      </c>
      <c r="AX1356" s="358"/>
      <c r="AY1356" s="358"/>
      <c r="AZ1356" s="358"/>
      <c r="BA1356" s="360"/>
      <c r="BB1356" s="358"/>
      <c r="BC1356" s="358"/>
      <c r="BD1356" s="358"/>
      <c r="BE1356" s="358"/>
      <c r="BF1356" s="358"/>
      <c r="BG1356" s="358"/>
      <c r="BH1356" s="360"/>
      <c r="BI1356" s="360"/>
      <c r="BJ1356" s="360"/>
      <c r="BK1356" s="360"/>
      <c r="BL1356" s="360"/>
      <c r="BM1356" s="360"/>
      <c r="BN1356" s="360"/>
    </row>
    <row r="1357" spans="1:66" s="91" customFormat="1" ht="25.5" hidden="1" customHeight="1" outlineLevel="2" x14ac:dyDescent="0.2">
      <c r="A1357" s="150" t="s">
        <v>2279</v>
      </c>
      <c r="B1357" s="355" t="s">
        <v>406</v>
      </c>
      <c r="C1357" s="355" t="s">
        <v>411</v>
      </c>
      <c r="D1357" s="356" t="s">
        <v>606</v>
      </c>
      <c r="E1357" s="114">
        <v>2</v>
      </c>
      <c r="F1357" s="114" t="s">
        <v>402</v>
      </c>
      <c r="G1357" s="114" t="s">
        <v>77</v>
      </c>
      <c r="H1357" s="114" t="s">
        <v>3</v>
      </c>
      <c r="I1357" s="114"/>
      <c r="J1357" s="114"/>
      <c r="K1357" s="356" t="s">
        <v>2402</v>
      </c>
      <c r="L1357" s="356"/>
      <c r="M1357" s="356"/>
      <c r="N1357" s="356"/>
      <c r="O1357" s="357">
        <v>43616</v>
      </c>
      <c r="P1357" s="357"/>
      <c r="Q1357" s="357"/>
      <c r="R1357" s="357"/>
      <c r="S1357" s="117"/>
      <c r="T1357" s="117"/>
      <c r="U1357" s="358">
        <v>0</v>
      </c>
      <c r="V1357" s="358">
        <v>0</v>
      </c>
      <c r="W1357" s="358">
        <v>0</v>
      </c>
      <c r="X1357" s="358">
        <f t="shared" si="437"/>
        <v>0</v>
      </c>
      <c r="Y1357" s="358">
        <v>0</v>
      </c>
      <c r="Z1357" s="358">
        <v>0</v>
      </c>
      <c r="AA1357" s="358">
        <v>0</v>
      </c>
      <c r="AB1357" s="358">
        <v>0</v>
      </c>
      <c r="AC1357" s="358">
        <v>0</v>
      </c>
      <c r="AD1357" s="358">
        <v>0</v>
      </c>
      <c r="AE1357" s="358">
        <v>0</v>
      </c>
      <c r="AF1357" s="358">
        <v>0</v>
      </c>
      <c r="AG1357" s="358">
        <v>0</v>
      </c>
      <c r="AH1357" s="358">
        <v>0</v>
      </c>
      <c r="AI1357" s="358">
        <v>0</v>
      </c>
      <c r="AJ1357" s="358">
        <v>0</v>
      </c>
      <c r="AK1357" s="358">
        <f t="shared" si="440"/>
        <v>0</v>
      </c>
      <c r="AL1357" s="358">
        <v>0</v>
      </c>
      <c r="AM1357" s="358">
        <v>0</v>
      </c>
      <c r="AN1357" s="358">
        <v>0</v>
      </c>
      <c r="AO1357" s="358">
        <v>0</v>
      </c>
      <c r="AP1357" s="358">
        <v>0</v>
      </c>
      <c r="AQ1357" s="358">
        <v>0</v>
      </c>
      <c r="AR1357" s="358">
        <v>0</v>
      </c>
      <c r="AS1357" s="358">
        <f t="shared" si="439"/>
        <v>0</v>
      </c>
      <c r="AT1357" s="145">
        <v>0</v>
      </c>
      <c r="AU1357" s="139">
        <f t="shared" si="438"/>
        <v>0</v>
      </c>
      <c r="AV1357" s="146">
        <f>IFERROR(VLOOKUP(J1357,Maksājumu_pieprasījumu_iesn.!G:BL,57,0),0)</f>
        <v>0</v>
      </c>
      <c r="AW1357" s="139">
        <f t="shared" si="432"/>
        <v>0</v>
      </c>
      <c r="AX1357" s="358"/>
      <c r="AY1357" s="358"/>
      <c r="AZ1357" s="358"/>
      <c r="BA1357" s="360"/>
      <c r="BB1357" s="358"/>
      <c r="BC1357" s="358"/>
      <c r="BD1357" s="358"/>
      <c r="BE1357" s="358"/>
      <c r="BF1357" s="358"/>
      <c r="BG1357" s="358"/>
      <c r="BH1357" s="360"/>
      <c r="BI1357" s="360"/>
      <c r="BJ1357" s="360"/>
      <c r="BK1357" s="360"/>
      <c r="BL1357" s="360"/>
      <c r="BM1357" s="360"/>
      <c r="BN1357" s="360"/>
    </row>
    <row r="1358" spans="1:66" s="91" customFormat="1" ht="25.5" hidden="1" customHeight="1" outlineLevel="2" x14ac:dyDescent="0.2">
      <c r="A1358" s="150" t="s">
        <v>2279</v>
      </c>
      <c r="B1358" s="355" t="s">
        <v>406</v>
      </c>
      <c r="C1358" s="355" t="s">
        <v>411</v>
      </c>
      <c r="D1358" s="356" t="s">
        <v>606</v>
      </c>
      <c r="E1358" s="114">
        <v>2</v>
      </c>
      <c r="F1358" s="114" t="s">
        <v>402</v>
      </c>
      <c r="G1358" s="114" t="s">
        <v>77</v>
      </c>
      <c r="H1358" s="114" t="s">
        <v>3</v>
      </c>
      <c r="I1358" s="114"/>
      <c r="J1358" s="114"/>
      <c r="K1358" s="356" t="s">
        <v>1287</v>
      </c>
      <c r="L1358" s="356"/>
      <c r="M1358" s="356"/>
      <c r="N1358" s="356"/>
      <c r="O1358" s="357">
        <v>43616</v>
      </c>
      <c r="P1358" s="357"/>
      <c r="Q1358" s="357"/>
      <c r="R1358" s="357"/>
      <c r="S1358" s="117"/>
      <c r="T1358" s="117"/>
      <c r="U1358" s="358">
        <v>0</v>
      </c>
      <c r="V1358" s="358">
        <v>0</v>
      </c>
      <c r="W1358" s="358">
        <v>0</v>
      </c>
      <c r="X1358" s="358">
        <f t="shared" si="437"/>
        <v>0</v>
      </c>
      <c r="Y1358" s="358">
        <v>0</v>
      </c>
      <c r="Z1358" s="358">
        <v>0</v>
      </c>
      <c r="AA1358" s="358">
        <v>0</v>
      </c>
      <c r="AB1358" s="358">
        <v>0</v>
      </c>
      <c r="AC1358" s="358">
        <v>0</v>
      </c>
      <c r="AD1358" s="358">
        <v>0</v>
      </c>
      <c r="AE1358" s="358">
        <v>0</v>
      </c>
      <c r="AF1358" s="358">
        <v>0</v>
      </c>
      <c r="AG1358" s="358">
        <v>0</v>
      </c>
      <c r="AH1358" s="358">
        <v>0</v>
      </c>
      <c r="AI1358" s="358">
        <v>0</v>
      </c>
      <c r="AJ1358" s="358">
        <v>0</v>
      </c>
      <c r="AK1358" s="358">
        <f t="shared" si="440"/>
        <v>0</v>
      </c>
      <c r="AL1358" s="358">
        <v>0</v>
      </c>
      <c r="AM1358" s="358">
        <v>0</v>
      </c>
      <c r="AN1358" s="358">
        <v>0</v>
      </c>
      <c r="AO1358" s="358">
        <v>0</v>
      </c>
      <c r="AP1358" s="358">
        <v>0</v>
      </c>
      <c r="AQ1358" s="358">
        <v>0</v>
      </c>
      <c r="AR1358" s="358">
        <v>0</v>
      </c>
      <c r="AS1358" s="358">
        <f t="shared" si="439"/>
        <v>0</v>
      </c>
      <c r="AT1358" s="145">
        <v>0</v>
      </c>
      <c r="AU1358" s="139">
        <f t="shared" si="438"/>
        <v>0</v>
      </c>
      <c r="AV1358" s="146">
        <f>IFERROR(VLOOKUP(J1358,Maksājumu_pieprasījumu_iesn.!G:BL,57,0),0)</f>
        <v>0</v>
      </c>
      <c r="AW1358" s="139">
        <f t="shared" si="432"/>
        <v>0</v>
      </c>
      <c r="AX1358" s="358"/>
      <c r="AY1358" s="358"/>
      <c r="AZ1358" s="358"/>
      <c r="BA1358" s="360"/>
      <c r="BB1358" s="358"/>
      <c r="BC1358" s="358"/>
      <c r="BD1358" s="358"/>
      <c r="BE1358" s="358"/>
      <c r="BF1358" s="358"/>
      <c r="BG1358" s="358"/>
      <c r="BH1358" s="360"/>
      <c r="BI1358" s="360"/>
      <c r="BJ1358" s="360"/>
      <c r="BK1358" s="360"/>
      <c r="BL1358" s="360"/>
      <c r="BM1358" s="360"/>
      <c r="BN1358" s="360"/>
    </row>
    <row r="1359" spans="1:66" s="91" customFormat="1" ht="25.5" hidden="1" customHeight="1" outlineLevel="2" x14ac:dyDescent="0.2">
      <c r="A1359" s="150" t="s">
        <v>2279</v>
      </c>
      <c r="B1359" s="355" t="s">
        <v>406</v>
      </c>
      <c r="C1359" s="355" t="s">
        <v>411</v>
      </c>
      <c r="D1359" s="356" t="s">
        <v>606</v>
      </c>
      <c r="E1359" s="114">
        <v>2</v>
      </c>
      <c r="F1359" s="114" t="s">
        <v>402</v>
      </c>
      <c r="G1359" s="114" t="s">
        <v>77</v>
      </c>
      <c r="H1359" s="114" t="s">
        <v>3</v>
      </c>
      <c r="I1359" s="114"/>
      <c r="J1359" s="114"/>
      <c r="K1359" s="356" t="s">
        <v>668</v>
      </c>
      <c r="L1359" s="356"/>
      <c r="M1359" s="356"/>
      <c r="N1359" s="356"/>
      <c r="O1359" s="357">
        <v>43616</v>
      </c>
      <c r="P1359" s="357"/>
      <c r="Q1359" s="357"/>
      <c r="R1359" s="357"/>
      <c r="S1359" s="117"/>
      <c r="T1359" s="117"/>
      <c r="U1359" s="358">
        <v>0</v>
      </c>
      <c r="V1359" s="358">
        <v>0</v>
      </c>
      <c r="W1359" s="358">
        <v>0</v>
      </c>
      <c r="X1359" s="358">
        <f t="shared" si="437"/>
        <v>0</v>
      </c>
      <c r="Y1359" s="358">
        <v>0</v>
      </c>
      <c r="Z1359" s="358">
        <v>0</v>
      </c>
      <c r="AA1359" s="358">
        <v>0</v>
      </c>
      <c r="AB1359" s="358">
        <v>0</v>
      </c>
      <c r="AC1359" s="358">
        <v>0</v>
      </c>
      <c r="AD1359" s="358">
        <v>0</v>
      </c>
      <c r="AE1359" s="358">
        <v>0</v>
      </c>
      <c r="AF1359" s="358">
        <v>0</v>
      </c>
      <c r="AG1359" s="358">
        <v>0</v>
      </c>
      <c r="AH1359" s="358">
        <v>0</v>
      </c>
      <c r="AI1359" s="358">
        <v>0</v>
      </c>
      <c r="AJ1359" s="358">
        <v>0</v>
      </c>
      <c r="AK1359" s="358">
        <f t="shared" si="440"/>
        <v>0</v>
      </c>
      <c r="AL1359" s="358">
        <v>0</v>
      </c>
      <c r="AM1359" s="358">
        <v>0</v>
      </c>
      <c r="AN1359" s="358">
        <v>0</v>
      </c>
      <c r="AO1359" s="358">
        <v>0</v>
      </c>
      <c r="AP1359" s="358">
        <v>0</v>
      </c>
      <c r="AQ1359" s="358">
        <v>0</v>
      </c>
      <c r="AR1359" s="358">
        <v>0</v>
      </c>
      <c r="AS1359" s="358">
        <f t="shared" si="439"/>
        <v>0</v>
      </c>
      <c r="AT1359" s="145">
        <v>0</v>
      </c>
      <c r="AU1359" s="139">
        <f t="shared" si="438"/>
        <v>0</v>
      </c>
      <c r="AV1359" s="146">
        <f>IFERROR(VLOOKUP(J1359,Maksājumu_pieprasījumu_iesn.!G:BL,57,0),0)</f>
        <v>0</v>
      </c>
      <c r="AW1359" s="139">
        <f t="shared" si="432"/>
        <v>0</v>
      </c>
      <c r="AX1359" s="358"/>
      <c r="AY1359" s="358"/>
      <c r="AZ1359" s="358"/>
      <c r="BA1359" s="360"/>
      <c r="BB1359" s="358"/>
      <c r="BC1359" s="358"/>
      <c r="BD1359" s="358"/>
      <c r="BE1359" s="358"/>
      <c r="BF1359" s="358"/>
      <c r="BG1359" s="358"/>
      <c r="BH1359" s="360"/>
      <c r="BI1359" s="360"/>
      <c r="BJ1359" s="360"/>
      <c r="BK1359" s="360"/>
      <c r="BL1359" s="360"/>
      <c r="BM1359" s="360"/>
      <c r="BN1359" s="360"/>
    </row>
    <row r="1360" spans="1:66" s="91" customFormat="1" ht="25.5" hidden="1" customHeight="1" outlineLevel="2" x14ac:dyDescent="0.2">
      <c r="A1360" s="150" t="s">
        <v>2279</v>
      </c>
      <c r="B1360" s="355" t="s">
        <v>406</v>
      </c>
      <c r="C1360" s="355" t="s">
        <v>411</v>
      </c>
      <c r="D1360" s="356" t="s">
        <v>606</v>
      </c>
      <c r="E1360" s="114">
        <v>2</v>
      </c>
      <c r="F1360" s="114" t="s">
        <v>402</v>
      </c>
      <c r="G1360" s="114" t="s">
        <v>77</v>
      </c>
      <c r="H1360" s="114" t="s">
        <v>3</v>
      </c>
      <c r="I1360" s="114"/>
      <c r="J1360" s="114"/>
      <c r="K1360" s="356" t="s">
        <v>66</v>
      </c>
      <c r="L1360" s="356"/>
      <c r="M1360" s="356"/>
      <c r="N1360" s="356"/>
      <c r="O1360" s="357">
        <v>43616</v>
      </c>
      <c r="P1360" s="357"/>
      <c r="Q1360" s="357"/>
      <c r="R1360" s="357"/>
      <c r="S1360" s="117"/>
      <c r="T1360" s="117"/>
      <c r="U1360" s="358">
        <v>0</v>
      </c>
      <c r="V1360" s="358">
        <v>0</v>
      </c>
      <c r="W1360" s="358">
        <v>0</v>
      </c>
      <c r="X1360" s="358">
        <f t="shared" si="437"/>
        <v>0</v>
      </c>
      <c r="Y1360" s="358">
        <v>0</v>
      </c>
      <c r="Z1360" s="358">
        <v>0</v>
      </c>
      <c r="AA1360" s="358">
        <v>0</v>
      </c>
      <c r="AB1360" s="358">
        <v>0</v>
      </c>
      <c r="AC1360" s="358">
        <v>0</v>
      </c>
      <c r="AD1360" s="358">
        <v>0</v>
      </c>
      <c r="AE1360" s="358">
        <v>0</v>
      </c>
      <c r="AF1360" s="358">
        <v>0</v>
      </c>
      <c r="AG1360" s="358">
        <v>0</v>
      </c>
      <c r="AH1360" s="358">
        <v>0</v>
      </c>
      <c r="AI1360" s="358">
        <v>0</v>
      </c>
      <c r="AJ1360" s="358">
        <v>0</v>
      </c>
      <c r="AK1360" s="358">
        <f t="shared" si="440"/>
        <v>0</v>
      </c>
      <c r="AL1360" s="358">
        <v>0</v>
      </c>
      <c r="AM1360" s="358">
        <v>0</v>
      </c>
      <c r="AN1360" s="358">
        <v>0</v>
      </c>
      <c r="AO1360" s="358">
        <v>0</v>
      </c>
      <c r="AP1360" s="358">
        <v>0</v>
      </c>
      <c r="AQ1360" s="358">
        <v>0</v>
      </c>
      <c r="AR1360" s="358">
        <v>0</v>
      </c>
      <c r="AS1360" s="358">
        <f t="shared" si="439"/>
        <v>0</v>
      </c>
      <c r="AT1360" s="145">
        <v>0</v>
      </c>
      <c r="AU1360" s="139">
        <f t="shared" si="438"/>
        <v>0</v>
      </c>
      <c r="AV1360" s="146">
        <f>IFERROR(VLOOKUP(J1360,Maksājumu_pieprasījumu_iesn.!G:BL,57,0),0)</f>
        <v>0</v>
      </c>
      <c r="AW1360" s="139">
        <f t="shared" ref="AW1360:AW1423" si="441">AV1360-AU1360</f>
        <v>0</v>
      </c>
      <c r="AX1360" s="358"/>
      <c r="AY1360" s="358"/>
      <c r="AZ1360" s="358"/>
      <c r="BA1360" s="360"/>
      <c r="BB1360" s="358"/>
      <c r="BC1360" s="358"/>
      <c r="BD1360" s="358"/>
      <c r="BE1360" s="358"/>
      <c r="BF1360" s="358"/>
      <c r="BG1360" s="358"/>
      <c r="BH1360" s="360"/>
      <c r="BI1360" s="360"/>
      <c r="BJ1360" s="360"/>
      <c r="BK1360" s="360"/>
      <c r="BL1360" s="360"/>
      <c r="BM1360" s="360"/>
      <c r="BN1360" s="360"/>
    </row>
    <row r="1361" spans="1:66" s="91" customFormat="1" ht="25.5" hidden="1" customHeight="1" outlineLevel="2" x14ac:dyDescent="0.2">
      <c r="A1361" s="150" t="s">
        <v>2279</v>
      </c>
      <c r="B1361" s="355" t="s">
        <v>406</v>
      </c>
      <c r="C1361" s="355" t="s">
        <v>411</v>
      </c>
      <c r="D1361" s="356" t="s">
        <v>606</v>
      </c>
      <c r="E1361" s="114">
        <v>2</v>
      </c>
      <c r="F1361" s="114" t="s">
        <v>402</v>
      </c>
      <c r="G1361" s="114" t="s">
        <v>77</v>
      </c>
      <c r="H1361" s="114" t="s">
        <v>3</v>
      </c>
      <c r="I1361" s="114"/>
      <c r="J1361" s="114"/>
      <c r="K1361" s="356" t="s">
        <v>2500</v>
      </c>
      <c r="L1361" s="356"/>
      <c r="M1361" s="356"/>
      <c r="N1361" s="356"/>
      <c r="O1361" s="357">
        <v>43616</v>
      </c>
      <c r="P1361" s="357"/>
      <c r="Q1361" s="357"/>
      <c r="R1361" s="357"/>
      <c r="S1361" s="117"/>
      <c r="T1361" s="117"/>
      <c r="U1361" s="358">
        <v>0</v>
      </c>
      <c r="V1361" s="358">
        <v>0</v>
      </c>
      <c r="W1361" s="358">
        <v>0</v>
      </c>
      <c r="X1361" s="358">
        <f t="shared" si="437"/>
        <v>0</v>
      </c>
      <c r="Y1361" s="358">
        <v>0</v>
      </c>
      <c r="Z1361" s="358">
        <v>0</v>
      </c>
      <c r="AA1361" s="358">
        <v>0</v>
      </c>
      <c r="AB1361" s="358">
        <v>0</v>
      </c>
      <c r="AC1361" s="358">
        <v>0</v>
      </c>
      <c r="AD1361" s="358">
        <v>0</v>
      </c>
      <c r="AE1361" s="358">
        <v>0</v>
      </c>
      <c r="AF1361" s="358">
        <v>0</v>
      </c>
      <c r="AG1361" s="358">
        <v>0</v>
      </c>
      <c r="AH1361" s="358">
        <v>0</v>
      </c>
      <c r="AI1361" s="358">
        <v>0</v>
      </c>
      <c r="AJ1361" s="358">
        <v>0</v>
      </c>
      <c r="AK1361" s="358">
        <f t="shared" si="440"/>
        <v>0</v>
      </c>
      <c r="AL1361" s="358">
        <v>0</v>
      </c>
      <c r="AM1361" s="358">
        <v>0</v>
      </c>
      <c r="AN1361" s="358">
        <v>0</v>
      </c>
      <c r="AO1361" s="358">
        <v>0</v>
      </c>
      <c r="AP1361" s="358">
        <v>0</v>
      </c>
      <c r="AQ1361" s="358">
        <v>0</v>
      </c>
      <c r="AR1361" s="358">
        <v>0</v>
      </c>
      <c r="AS1361" s="358">
        <f t="shared" si="439"/>
        <v>0</v>
      </c>
      <c r="AT1361" s="145">
        <v>0</v>
      </c>
      <c r="AU1361" s="139">
        <f t="shared" si="438"/>
        <v>0</v>
      </c>
      <c r="AV1361" s="146">
        <f>IFERROR(VLOOKUP(J1361,Maksājumu_pieprasījumu_iesn.!G:BL,57,0),0)</f>
        <v>0</v>
      </c>
      <c r="AW1361" s="139">
        <f t="shared" si="441"/>
        <v>0</v>
      </c>
      <c r="AX1361" s="358"/>
      <c r="AY1361" s="358"/>
      <c r="AZ1361" s="358"/>
      <c r="BA1361" s="360"/>
      <c r="BB1361" s="358"/>
      <c r="BC1361" s="358"/>
      <c r="BD1361" s="358"/>
      <c r="BE1361" s="358"/>
      <c r="BF1361" s="358"/>
      <c r="BG1361" s="358"/>
      <c r="BH1361" s="360"/>
      <c r="BI1361" s="360"/>
      <c r="BJ1361" s="360"/>
      <c r="BK1361" s="360"/>
      <c r="BL1361" s="360"/>
      <c r="BM1361" s="360"/>
      <c r="BN1361" s="360"/>
    </row>
    <row r="1362" spans="1:66" s="91" customFormat="1" ht="25.5" hidden="1" customHeight="1" outlineLevel="2" x14ac:dyDescent="0.2">
      <c r="A1362" s="150" t="s">
        <v>2279</v>
      </c>
      <c r="B1362" s="355" t="s">
        <v>406</v>
      </c>
      <c r="C1362" s="355" t="s">
        <v>411</v>
      </c>
      <c r="D1362" s="356" t="s">
        <v>606</v>
      </c>
      <c r="E1362" s="114">
        <v>2</v>
      </c>
      <c r="F1362" s="114" t="s">
        <v>402</v>
      </c>
      <c r="G1362" s="114" t="s">
        <v>77</v>
      </c>
      <c r="H1362" s="114" t="s">
        <v>3</v>
      </c>
      <c r="I1362" s="114"/>
      <c r="J1362" s="114"/>
      <c r="K1362" s="356" t="s">
        <v>671</v>
      </c>
      <c r="L1362" s="356"/>
      <c r="M1362" s="356"/>
      <c r="N1362" s="356"/>
      <c r="O1362" s="357">
        <v>43616</v>
      </c>
      <c r="P1362" s="357"/>
      <c r="Q1362" s="357"/>
      <c r="R1362" s="357"/>
      <c r="S1362" s="117"/>
      <c r="T1362" s="117"/>
      <c r="U1362" s="358">
        <v>0</v>
      </c>
      <c r="V1362" s="358">
        <v>0</v>
      </c>
      <c r="W1362" s="358">
        <v>0</v>
      </c>
      <c r="X1362" s="358">
        <f t="shared" si="437"/>
        <v>0</v>
      </c>
      <c r="Y1362" s="358">
        <v>0</v>
      </c>
      <c r="Z1362" s="358">
        <v>0</v>
      </c>
      <c r="AA1362" s="358">
        <v>0</v>
      </c>
      <c r="AB1362" s="358">
        <v>0</v>
      </c>
      <c r="AC1362" s="358">
        <v>0</v>
      </c>
      <c r="AD1362" s="358">
        <v>0</v>
      </c>
      <c r="AE1362" s="358">
        <v>0</v>
      </c>
      <c r="AF1362" s="358">
        <v>0</v>
      </c>
      <c r="AG1362" s="358">
        <v>0</v>
      </c>
      <c r="AH1362" s="358">
        <v>0</v>
      </c>
      <c r="AI1362" s="358">
        <v>0</v>
      </c>
      <c r="AJ1362" s="358">
        <v>0</v>
      </c>
      <c r="AK1362" s="358">
        <f t="shared" si="440"/>
        <v>0</v>
      </c>
      <c r="AL1362" s="358">
        <v>0</v>
      </c>
      <c r="AM1362" s="358">
        <v>0</v>
      </c>
      <c r="AN1362" s="358">
        <v>0</v>
      </c>
      <c r="AO1362" s="358">
        <v>0</v>
      </c>
      <c r="AP1362" s="358">
        <v>0</v>
      </c>
      <c r="AQ1362" s="358">
        <v>0</v>
      </c>
      <c r="AR1362" s="358">
        <v>0</v>
      </c>
      <c r="AS1362" s="358">
        <f t="shared" si="439"/>
        <v>0</v>
      </c>
      <c r="AT1362" s="145">
        <v>0</v>
      </c>
      <c r="AU1362" s="139">
        <f t="shared" si="438"/>
        <v>0</v>
      </c>
      <c r="AV1362" s="146">
        <f>IFERROR(VLOOKUP(J1362,Maksājumu_pieprasījumu_iesn.!G:BL,57,0),0)</f>
        <v>0</v>
      </c>
      <c r="AW1362" s="139">
        <f t="shared" si="441"/>
        <v>0</v>
      </c>
      <c r="AX1362" s="358"/>
      <c r="AY1362" s="358"/>
      <c r="AZ1362" s="358"/>
      <c r="BA1362" s="360"/>
      <c r="BB1362" s="358"/>
      <c r="BC1362" s="358"/>
      <c r="BD1362" s="358"/>
      <c r="BE1362" s="358"/>
      <c r="BF1362" s="358"/>
      <c r="BG1362" s="358"/>
      <c r="BH1362" s="360"/>
      <c r="BI1362" s="360"/>
      <c r="BJ1362" s="360"/>
      <c r="BK1362" s="360"/>
      <c r="BL1362" s="360"/>
      <c r="BM1362" s="360"/>
      <c r="BN1362" s="360"/>
    </row>
    <row r="1363" spans="1:66" s="91" customFormat="1" ht="25.5" hidden="1" customHeight="1" outlineLevel="2" x14ac:dyDescent="0.2">
      <c r="A1363" s="150" t="s">
        <v>2279</v>
      </c>
      <c r="B1363" s="355" t="s">
        <v>406</v>
      </c>
      <c r="C1363" s="355" t="s">
        <v>411</v>
      </c>
      <c r="D1363" s="356" t="s">
        <v>606</v>
      </c>
      <c r="E1363" s="114">
        <v>2</v>
      </c>
      <c r="F1363" s="114" t="s">
        <v>402</v>
      </c>
      <c r="G1363" s="114" t="s">
        <v>77</v>
      </c>
      <c r="H1363" s="114" t="s">
        <v>3</v>
      </c>
      <c r="I1363" s="114"/>
      <c r="J1363" s="114"/>
      <c r="K1363" s="356" t="s">
        <v>711</v>
      </c>
      <c r="L1363" s="356"/>
      <c r="M1363" s="356"/>
      <c r="N1363" s="356"/>
      <c r="O1363" s="357">
        <v>43616</v>
      </c>
      <c r="P1363" s="357"/>
      <c r="Q1363" s="357"/>
      <c r="R1363" s="357"/>
      <c r="S1363" s="117"/>
      <c r="T1363" s="117"/>
      <c r="U1363" s="358">
        <v>0</v>
      </c>
      <c r="V1363" s="358">
        <v>0</v>
      </c>
      <c r="W1363" s="358">
        <v>0</v>
      </c>
      <c r="X1363" s="358">
        <f t="shared" si="437"/>
        <v>0</v>
      </c>
      <c r="Y1363" s="358">
        <v>0</v>
      </c>
      <c r="Z1363" s="358">
        <v>0</v>
      </c>
      <c r="AA1363" s="358">
        <v>0</v>
      </c>
      <c r="AB1363" s="358">
        <v>0</v>
      </c>
      <c r="AC1363" s="358">
        <v>0</v>
      </c>
      <c r="AD1363" s="358">
        <v>0</v>
      </c>
      <c r="AE1363" s="358">
        <v>0</v>
      </c>
      <c r="AF1363" s="358">
        <v>0</v>
      </c>
      <c r="AG1363" s="358">
        <v>0</v>
      </c>
      <c r="AH1363" s="358">
        <v>0</v>
      </c>
      <c r="AI1363" s="358">
        <v>0</v>
      </c>
      <c r="AJ1363" s="358">
        <v>0</v>
      </c>
      <c r="AK1363" s="358">
        <f t="shared" si="440"/>
        <v>0</v>
      </c>
      <c r="AL1363" s="358">
        <v>0</v>
      </c>
      <c r="AM1363" s="358">
        <v>0</v>
      </c>
      <c r="AN1363" s="358">
        <v>0</v>
      </c>
      <c r="AO1363" s="358">
        <v>0</v>
      </c>
      <c r="AP1363" s="358">
        <v>0</v>
      </c>
      <c r="AQ1363" s="358">
        <v>0</v>
      </c>
      <c r="AR1363" s="358">
        <v>0</v>
      </c>
      <c r="AS1363" s="358">
        <f t="shared" si="439"/>
        <v>0</v>
      </c>
      <c r="AT1363" s="145">
        <v>0</v>
      </c>
      <c r="AU1363" s="139">
        <f t="shared" si="438"/>
        <v>0</v>
      </c>
      <c r="AV1363" s="146">
        <f>IFERROR(VLOOKUP(J1363,Maksājumu_pieprasījumu_iesn.!G:BL,57,0),0)</f>
        <v>0</v>
      </c>
      <c r="AW1363" s="139">
        <f t="shared" si="441"/>
        <v>0</v>
      </c>
      <c r="AX1363" s="358"/>
      <c r="AY1363" s="358"/>
      <c r="AZ1363" s="358"/>
      <c r="BA1363" s="360"/>
      <c r="BB1363" s="358"/>
      <c r="BC1363" s="358"/>
      <c r="BD1363" s="358"/>
      <c r="BE1363" s="358"/>
      <c r="BF1363" s="358"/>
      <c r="BG1363" s="358"/>
      <c r="BH1363" s="360"/>
      <c r="BI1363" s="360"/>
      <c r="BJ1363" s="360"/>
      <c r="BK1363" s="360"/>
      <c r="BL1363" s="360"/>
      <c r="BM1363" s="360"/>
      <c r="BN1363" s="360"/>
    </row>
    <row r="1364" spans="1:66" s="91" customFormat="1" ht="25.5" hidden="1" customHeight="1" outlineLevel="2" x14ac:dyDescent="0.2">
      <c r="A1364" s="150" t="s">
        <v>2279</v>
      </c>
      <c r="B1364" s="355" t="s">
        <v>406</v>
      </c>
      <c r="C1364" s="355" t="s">
        <v>411</v>
      </c>
      <c r="D1364" s="356" t="s">
        <v>606</v>
      </c>
      <c r="E1364" s="114">
        <v>2</v>
      </c>
      <c r="F1364" s="114" t="s">
        <v>402</v>
      </c>
      <c r="G1364" s="114" t="s">
        <v>77</v>
      </c>
      <c r="H1364" s="114" t="s">
        <v>3</v>
      </c>
      <c r="I1364" s="114"/>
      <c r="J1364" s="114"/>
      <c r="K1364" s="356" t="s">
        <v>2501</v>
      </c>
      <c r="L1364" s="356"/>
      <c r="M1364" s="356"/>
      <c r="N1364" s="356"/>
      <c r="O1364" s="357">
        <v>43616</v>
      </c>
      <c r="P1364" s="357"/>
      <c r="Q1364" s="357"/>
      <c r="R1364" s="357"/>
      <c r="S1364" s="117"/>
      <c r="T1364" s="117"/>
      <c r="U1364" s="358">
        <v>0</v>
      </c>
      <c r="V1364" s="358">
        <v>0</v>
      </c>
      <c r="W1364" s="358">
        <v>0</v>
      </c>
      <c r="X1364" s="358">
        <f t="shared" si="437"/>
        <v>0</v>
      </c>
      <c r="Y1364" s="358">
        <v>0</v>
      </c>
      <c r="Z1364" s="358">
        <v>0</v>
      </c>
      <c r="AA1364" s="358">
        <v>0</v>
      </c>
      <c r="AB1364" s="358">
        <v>0</v>
      </c>
      <c r="AC1364" s="358">
        <v>0</v>
      </c>
      <c r="AD1364" s="358">
        <v>0</v>
      </c>
      <c r="AE1364" s="358">
        <v>0</v>
      </c>
      <c r="AF1364" s="358">
        <v>0</v>
      </c>
      <c r="AG1364" s="358">
        <v>0</v>
      </c>
      <c r="AH1364" s="358">
        <v>0</v>
      </c>
      <c r="AI1364" s="358">
        <v>0</v>
      </c>
      <c r="AJ1364" s="358">
        <v>0</v>
      </c>
      <c r="AK1364" s="358">
        <f t="shared" si="440"/>
        <v>0</v>
      </c>
      <c r="AL1364" s="358">
        <v>0</v>
      </c>
      <c r="AM1364" s="358">
        <v>0</v>
      </c>
      <c r="AN1364" s="358">
        <v>0</v>
      </c>
      <c r="AO1364" s="358">
        <v>0</v>
      </c>
      <c r="AP1364" s="358">
        <v>0</v>
      </c>
      <c r="AQ1364" s="358">
        <v>0</v>
      </c>
      <c r="AR1364" s="358">
        <v>0</v>
      </c>
      <c r="AS1364" s="358">
        <f t="shared" si="439"/>
        <v>0</v>
      </c>
      <c r="AT1364" s="145">
        <v>0</v>
      </c>
      <c r="AU1364" s="139">
        <f t="shared" si="438"/>
        <v>0</v>
      </c>
      <c r="AV1364" s="146">
        <f>IFERROR(VLOOKUP(J1364,Maksājumu_pieprasījumu_iesn.!G:BL,57,0),0)</f>
        <v>0</v>
      </c>
      <c r="AW1364" s="139">
        <f t="shared" si="441"/>
        <v>0</v>
      </c>
      <c r="AX1364" s="358"/>
      <c r="AY1364" s="358"/>
      <c r="AZ1364" s="358"/>
      <c r="BA1364" s="360"/>
      <c r="BB1364" s="358"/>
      <c r="BC1364" s="358"/>
      <c r="BD1364" s="358"/>
      <c r="BE1364" s="358"/>
      <c r="BF1364" s="358"/>
      <c r="BG1364" s="358"/>
      <c r="BH1364" s="360"/>
      <c r="BI1364" s="360"/>
      <c r="BJ1364" s="360"/>
      <c r="BK1364" s="360"/>
      <c r="BL1364" s="360"/>
      <c r="BM1364" s="360"/>
      <c r="BN1364" s="360"/>
    </row>
    <row r="1365" spans="1:66" s="91" customFormat="1" ht="25.5" hidden="1" customHeight="1" outlineLevel="2" x14ac:dyDescent="0.2">
      <c r="A1365" s="150" t="s">
        <v>2279</v>
      </c>
      <c r="B1365" s="355" t="s">
        <v>406</v>
      </c>
      <c r="C1365" s="355" t="s">
        <v>411</v>
      </c>
      <c r="D1365" s="356" t="s">
        <v>606</v>
      </c>
      <c r="E1365" s="114">
        <v>2</v>
      </c>
      <c r="F1365" s="114" t="s">
        <v>402</v>
      </c>
      <c r="G1365" s="114" t="s">
        <v>77</v>
      </c>
      <c r="H1365" s="114" t="s">
        <v>3</v>
      </c>
      <c r="I1365" s="114"/>
      <c r="J1365" s="114"/>
      <c r="K1365" s="356" t="s">
        <v>1291</v>
      </c>
      <c r="L1365" s="356"/>
      <c r="M1365" s="356"/>
      <c r="N1365" s="356"/>
      <c r="O1365" s="357">
        <v>43616</v>
      </c>
      <c r="P1365" s="357"/>
      <c r="Q1365" s="357"/>
      <c r="R1365" s="357"/>
      <c r="S1365" s="117"/>
      <c r="T1365" s="117"/>
      <c r="U1365" s="358">
        <v>0</v>
      </c>
      <c r="V1365" s="358">
        <v>0</v>
      </c>
      <c r="W1365" s="358">
        <v>0</v>
      </c>
      <c r="X1365" s="358">
        <f t="shared" si="437"/>
        <v>0</v>
      </c>
      <c r="Y1365" s="358">
        <v>0</v>
      </c>
      <c r="Z1365" s="358">
        <v>0</v>
      </c>
      <c r="AA1365" s="358">
        <v>0</v>
      </c>
      <c r="AB1365" s="358">
        <v>0</v>
      </c>
      <c r="AC1365" s="358">
        <v>0</v>
      </c>
      <c r="AD1365" s="358">
        <v>0</v>
      </c>
      <c r="AE1365" s="358">
        <v>0</v>
      </c>
      <c r="AF1365" s="358">
        <v>0</v>
      </c>
      <c r="AG1365" s="358">
        <v>0</v>
      </c>
      <c r="AH1365" s="358">
        <v>0</v>
      </c>
      <c r="AI1365" s="358">
        <v>0</v>
      </c>
      <c r="AJ1365" s="358">
        <v>0</v>
      </c>
      <c r="AK1365" s="358">
        <f t="shared" si="440"/>
        <v>0</v>
      </c>
      <c r="AL1365" s="358">
        <v>0</v>
      </c>
      <c r="AM1365" s="358">
        <v>0</v>
      </c>
      <c r="AN1365" s="358">
        <v>0</v>
      </c>
      <c r="AO1365" s="358">
        <v>0</v>
      </c>
      <c r="AP1365" s="358">
        <v>0</v>
      </c>
      <c r="AQ1365" s="358">
        <v>0</v>
      </c>
      <c r="AR1365" s="358">
        <v>0</v>
      </c>
      <c r="AS1365" s="358">
        <f t="shared" si="439"/>
        <v>0</v>
      </c>
      <c r="AT1365" s="145">
        <v>0</v>
      </c>
      <c r="AU1365" s="139">
        <f t="shared" si="438"/>
        <v>0</v>
      </c>
      <c r="AV1365" s="146">
        <f>IFERROR(VLOOKUP(J1365,Maksājumu_pieprasījumu_iesn.!G:BL,57,0),0)</f>
        <v>0</v>
      </c>
      <c r="AW1365" s="139">
        <f t="shared" si="441"/>
        <v>0</v>
      </c>
      <c r="AX1365" s="358"/>
      <c r="AY1365" s="358"/>
      <c r="AZ1365" s="358"/>
      <c r="BA1365" s="360"/>
      <c r="BB1365" s="358"/>
      <c r="BC1365" s="358"/>
      <c r="BD1365" s="358"/>
      <c r="BE1365" s="358"/>
      <c r="BF1365" s="358"/>
      <c r="BG1365" s="358"/>
      <c r="BH1365" s="360"/>
      <c r="BI1365" s="360"/>
      <c r="BJ1365" s="360"/>
      <c r="BK1365" s="360"/>
      <c r="BL1365" s="360"/>
      <c r="BM1365" s="360"/>
      <c r="BN1365" s="360"/>
    </row>
    <row r="1366" spans="1:66" s="91" customFormat="1" ht="25.5" hidden="1" customHeight="1" outlineLevel="2" x14ac:dyDescent="0.2">
      <c r="A1366" s="150" t="s">
        <v>2279</v>
      </c>
      <c r="B1366" s="355" t="s">
        <v>406</v>
      </c>
      <c r="C1366" s="355" t="s">
        <v>411</v>
      </c>
      <c r="D1366" s="356" t="s">
        <v>606</v>
      </c>
      <c r="E1366" s="114">
        <v>2</v>
      </c>
      <c r="F1366" s="114" t="s">
        <v>402</v>
      </c>
      <c r="G1366" s="114" t="s">
        <v>77</v>
      </c>
      <c r="H1366" s="114" t="s">
        <v>3</v>
      </c>
      <c r="I1366" s="114"/>
      <c r="J1366" s="114"/>
      <c r="K1366" s="356" t="s">
        <v>1293</v>
      </c>
      <c r="L1366" s="356"/>
      <c r="M1366" s="356"/>
      <c r="N1366" s="356"/>
      <c r="O1366" s="357">
        <v>43616</v>
      </c>
      <c r="P1366" s="357"/>
      <c r="Q1366" s="357"/>
      <c r="R1366" s="357"/>
      <c r="S1366" s="117"/>
      <c r="T1366" s="117"/>
      <c r="U1366" s="358">
        <v>0</v>
      </c>
      <c r="V1366" s="358">
        <v>0</v>
      </c>
      <c r="W1366" s="358">
        <v>0</v>
      </c>
      <c r="X1366" s="358">
        <f t="shared" si="437"/>
        <v>0</v>
      </c>
      <c r="Y1366" s="358">
        <v>0</v>
      </c>
      <c r="Z1366" s="358">
        <v>0</v>
      </c>
      <c r="AA1366" s="358">
        <v>0</v>
      </c>
      <c r="AB1366" s="358">
        <v>0</v>
      </c>
      <c r="AC1366" s="358">
        <v>0</v>
      </c>
      <c r="AD1366" s="358">
        <v>0</v>
      </c>
      <c r="AE1366" s="358">
        <v>0</v>
      </c>
      <c r="AF1366" s="358">
        <v>0</v>
      </c>
      <c r="AG1366" s="358">
        <v>0</v>
      </c>
      <c r="AH1366" s="358">
        <v>0</v>
      </c>
      <c r="AI1366" s="358">
        <v>0</v>
      </c>
      <c r="AJ1366" s="358">
        <v>0</v>
      </c>
      <c r="AK1366" s="358">
        <f t="shared" si="440"/>
        <v>0</v>
      </c>
      <c r="AL1366" s="358">
        <v>0</v>
      </c>
      <c r="AM1366" s="358">
        <v>0</v>
      </c>
      <c r="AN1366" s="358">
        <v>0</v>
      </c>
      <c r="AO1366" s="358">
        <v>0</v>
      </c>
      <c r="AP1366" s="358">
        <v>0</v>
      </c>
      <c r="AQ1366" s="358">
        <v>0</v>
      </c>
      <c r="AR1366" s="358">
        <v>0</v>
      </c>
      <c r="AS1366" s="358">
        <f t="shared" si="439"/>
        <v>0</v>
      </c>
      <c r="AT1366" s="145">
        <v>0</v>
      </c>
      <c r="AU1366" s="139">
        <f t="shared" si="438"/>
        <v>0</v>
      </c>
      <c r="AV1366" s="146">
        <f>IFERROR(VLOOKUP(J1366,Maksājumu_pieprasījumu_iesn.!G:BL,57,0),0)</f>
        <v>0</v>
      </c>
      <c r="AW1366" s="139">
        <f t="shared" si="441"/>
        <v>0</v>
      </c>
      <c r="AX1366" s="358"/>
      <c r="AY1366" s="358"/>
      <c r="AZ1366" s="358"/>
      <c r="BA1366" s="360"/>
      <c r="BB1366" s="358"/>
      <c r="BC1366" s="358"/>
      <c r="BD1366" s="358"/>
      <c r="BE1366" s="358"/>
      <c r="BF1366" s="358"/>
      <c r="BG1366" s="358"/>
      <c r="BH1366" s="360"/>
      <c r="BI1366" s="360"/>
      <c r="BJ1366" s="360"/>
      <c r="BK1366" s="360"/>
      <c r="BL1366" s="360"/>
      <c r="BM1366" s="360"/>
      <c r="BN1366" s="360"/>
    </row>
    <row r="1367" spans="1:66" s="91" customFormat="1" ht="25.5" hidden="1" customHeight="1" outlineLevel="2" x14ac:dyDescent="0.2">
      <c r="A1367" s="150" t="s">
        <v>2279</v>
      </c>
      <c r="B1367" s="355" t="s">
        <v>406</v>
      </c>
      <c r="C1367" s="355" t="s">
        <v>411</v>
      </c>
      <c r="D1367" s="356" t="s">
        <v>606</v>
      </c>
      <c r="E1367" s="114">
        <v>2</v>
      </c>
      <c r="F1367" s="114" t="s">
        <v>402</v>
      </c>
      <c r="G1367" s="114" t="s">
        <v>77</v>
      </c>
      <c r="H1367" s="114" t="s">
        <v>3</v>
      </c>
      <c r="I1367" s="114"/>
      <c r="J1367" s="114"/>
      <c r="K1367" s="356" t="s">
        <v>499</v>
      </c>
      <c r="L1367" s="356"/>
      <c r="M1367" s="356"/>
      <c r="N1367" s="356"/>
      <c r="O1367" s="357">
        <v>43616</v>
      </c>
      <c r="P1367" s="357"/>
      <c r="Q1367" s="357"/>
      <c r="R1367" s="357"/>
      <c r="S1367" s="117"/>
      <c r="T1367" s="117"/>
      <c r="U1367" s="358">
        <v>0</v>
      </c>
      <c r="V1367" s="358">
        <v>0</v>
      </c>
      <c r="W1367" s="358">
        <v>0</v>
      </c>
      <c r="X1367" s="358">
        <f t="shared" si="437"/>
        <v>0</v>
      </c>
      <c r="Y1367" s="358">
        <v>0</v>
      </c>
      <c r="Z1367" s="358">
        <v>0</v>
      </c>
      <c r="AA1367" s="358">
        <v>0</v>
      </c>
      <c r="AB1367" s="358">
        <v>0</v>
      </c>
      <c r="AC1367" s="358">
        <v>0</v>
      </c>
      <c r="AD1367" s="358">
        <v>0</v>
      </c>
      <c r="AE1367" s="358">
        <v>0</v>
      </c>
      <c r="AF1367" s="358">
        <v>0</v>
      </c>
      <c r="AG1367" s="358">
        <v>0</v>
      </c>
      <c r="AH1367" s="358">
        <v>0</v>
      </c>
      <c r="AI1367" s="358">
        <v>0</v>
      </c>
      <c r="AJ1367" s="358">
        <v>0</v>
      </c>
      <c r="AK1367" s="358">
        <f t="shared" si="440"/>
        <v>0</v>
      </c>
      <c r="AL1367" s="358">
        <v>0</v>
      </c>
      <c r="AM1367" s="358">
        <v>0</v>
      </c>
      <c r="AN1367" s="358">
        <v>0</v>
      </c>
      <c r="AO1367" s="358">
        <v>0</v>
      </c>
      <c r="AP1367" s="358">
        <v>0</v>
      </c>
      <c r="AQ1367" s="358">
        <v>0</v>
      </c>
      <c r="AR1367" s="358">
        <v>0</v>
      </c>
      <c r="AS1367" s="358">
        <f t="shared" si="439"/>
        <v>0</v>
      </c>
      <c r="AT1367" s="145">
        <v>0</v>
      </c>
      <c r="AU1367" s="139">
        <f t="shared" si="438"/>
        <v>0</v>
      </c>
      <c r="AV1367" s="146">
        <f>IFERROR(VLOOKUP(J1367,Maksājumu_pieprasījumu_iesn.!G:BL,57,0),0)</f>
        <v>0</v>
      </c>
      <c r="AW1367" s="139">
        <f t="shared" si="441"/>
        <v>0</v>
      </c>
      <c r="AX1367" s="358"/>
      <c r="AY1367" s="358"/>
      <c r="AZ1367" s="358"/>
      <c r="BA1367" s="360"/>
      <c r="BB1367" s="358"/>
      <c r="BC1367" s="358"/>
      <c r="BD1367" s="358"/>
      <c r="BE1367" s="358"/>
      <c r="BF1367" s="358"/>
      <c r="BG1367" s="358"/>
      <c r="BH1367" s="360"/>
      <c r="BI1367" s="360"/>
      <c r="BJ1367" s="360"/>
      <c r="BK1367" s="360"/>
      <c r="BL1367" s="360"/>
      <c r="BM1367" s="360"/>
      <c r="BN1367" s="360"/>
    </row>
    <row r="1368" spans="1:66" s="91" customFormat="1" ht="25.5" hidden="1" customHeight="1" outlineLevel="2" x14ac:dyDescent="0.2">
      <c r="A1368" s="150" t="s">
        <v>2279</v>
      </c>
      <c r="B1368" s="355" t="s">
        <v>406</v>
      </c>
      <c r="C1368" s="355" t="s">
        <v>411</v>
      </c>
      <c r="D1368" s="356" t="s">
        <v>606</v>
      </c>
      <c r="E1368" s="114">
        <v>2</v>
      </c>
      <c r="F1368" s="114" t="s">
        <v>402</v>
      </c>
      <c r="G1368" s="114" t="s">
        <v>77</v>
      </c>
      <c r="H1368" s="114" t="s">
        <v>3</v>
      </c>
      <c r="I1368" s="114"/>
      <c r="J1368" s="114"/>
      <c r="K1368" s="356" t="s">
        <v>665</v>
      </c>
      <c r="L1368" s="356"/>
      <c r="M1368" s="356"/>
      <c r="N1368" s="356"/>
      <c r="O1368" s="357">
        <v>43616</v>
      </c>
      <c r="P1368" s="357"/>
      <c r="Q1368" s="357"/>
      <c r="R1368" s="357"/>
      <c r="S1368" s="117"/>
      <c r="T1368" s="117"/>
      <c r="U1368" s="358">
        <v>0</v>
      </c>
      <c r="V1368" s="358">
        <v>0</v>
      </c>
      <c r="W1368" s="358">
        <v>0</v>
      </c>
      <c r="X1368" s="358">
        <f t="shared" si="437"/>
        <v>0</v>
      </c>
      <c r="Y1368" s="358">
        <v>0</v>
      </c>
      <c r="Z1368" s="358">
        <v>0</v>
      </c>
      <c r="AA1368" s="358">
        <v>0</v>
      </c>
      <c r="AB1368" s="358">
        <v>0</v>
      </c>
      <c r="AC1368" s="358">
        <v>0</v>
      </c>
      <c r="AD1368" s="358">
        <v>0</v>
      </c>
      <c r="AE1368" s="358">
        <v>0</v>
      </c>
      <c r="AF1368" s="358">
        <v>0</v>
      </c>
      <c r="AG1368" s="358">
        <v>0</v>
      </c>
      <c r="AH1368" s="358">
        <v>0</v>
      </c>
      <c r="AI1368" s="358">
        <v>0</v>
      </c>
      <c r="AJ1368" s="358">
        <v>0</v>
      </c>
      <c r="AK1368" s="358">
        <f t="shared" si="440"/>
        <v>0</v>
      </c>
      <c r="AL1368" s="358">
        <v>0</v>
      </c>
      <c r="AM1368" s="358">
        <v>0</v>
      </c>
      <c r="AN1368" s="358">
        <v>0</v>
      </c>
      <c r="AO1368" s="358">
        <v>0</v>
      </c>
      <c r="AP1368" s="358">
        <v>0</v>
      </c>
      <c r="AQ1368" s="358">
        <v>0</v>
      </c>
      <c r="AR1368" s="358">
        <v>0</v>
      </c>
      <c r="AS1368" s="358">
        <f t="shared" si="439"/>
        <v>0</v>
      </c>
      <c r="AT1368" s="145">
        <v>0</v>
      </c>
      <c r="AU1368" s="139">
        <f t="shared" si="438"/>
        <v>0</v>
      </c>
      <c r="AV1368" s="146">
        <f>IFERROR(VLOOKUP(J1368,Maksājumu_pieprasījumu_iesn.!G:BL,57,0),0)</f>
        <v>0</v>
      </c>
      <c r="AW1368" s="139">
        <f t="shared" si="441"/>
        <v>0</v>
      </c>
      <c r="AX1368" s="358"/>
      <c r="AY1368" s="358"/>
      <c r="AZ1368" s="358"/>
      <c r="BA1368" s="360"/>
      <c r="BB1368" s="358"/>
      <c r="BC1368" s="358"/>
      <c r="BD1368" s="358"/>
      <c r="BE1368" s="358"/>
      <c r="BF1368" s="358"/>
      <c r="BG1368" s="358"/>
      <c r="BH1368" s="360"/>
      <c r="BI1368" s="360"/>
      <c r="BJ1368" s="360"/>
      <c r="BK1368" s="360"/>
      <c r="BL1368" s="360"/>
      <c r="BM1368" s="360"/>
      <c r="BN1368" s="360"/>
    </row>
    <row r="1369" spans="1:66" s="91" customFormat="1" ht="25.5" hidden="1" customHeight="1" outlineLevel="2" x14ac:dyDescent="0.2">
      <c r="A1369" s="150" t="s">
        <v>2279</v>
      </c>
      <c r="B1369" s="355" t="s">
        <v>406</v>
      </c>
      <c r="C1369" s="355" t="s">
        <v>411</v>
      </c>
      <c r="D1369" s="356" t="s">
        <v>606</v>
      </c>
      <c r="E1369" s="114">
        <v>2</v>
      </c>
      <c r="F1369" s="114" t="s">
        <v>402</v>
      </c>
      <c r="G1369" s="114" t="s">
        <v>77</v>
      </c>
      <c r="H1369" s="114" t="s">
        <v>3</v>
      </c>
      <c r="I1369" s="114"/>
      <c r="J1369" s="114"/>
      <c r="K1369" s="356" t="s">
        <v>1226</v>
      </c>
      <c r="L1369" s="356"/>
      <c r="M1369" s="356"/>
      <c r="N1369" s="356"/>
      <c r="O1369" s="357">
        <v>43616</v>
      </c>
      <c r="P1369" s="357"/>
      <c r="Q1369" s="357"/>
      <c r="R1369" s="357"/>
      <c r="S1369" s="117"/>
      <c r="T1369" s="117"/>
      <c r="U1369" s="358">
        <v>0</v>
      </c>
      <c r="V1369" s="358">
        <v>0</v>
      </c>
      <c r="W1369" s="358">
        <v>0</v>
      </c>
      <c r="X1369" s="358">
        <f t="shared" si="437"/>
        <v>0</v>
      </c>
      <c r="Y1369" s="358">
        <v>0</v>
      </c>
      <c r="Z1369" s="358">
        <v>0</v>
      </c>
      <c r="AA1369" s="358">
        <v>0</v>
      </c>
      <c r="AB1369" s="358">
        <v>0</v>
      </c>
      <c r="AC1369" s="358">
        <v>0</v>
      </c>
      <c r="AD1369" s="358">
        <v>0</v>
      </c>
      <c r="AE1369" s="358">
        <v>0</v>
      </c>
      <c r="AF1369" s="358">
        <v>0</v>
      </c>
      <c r="AG1369" s="358">
        <v>0</v>
      </c>
      <c r="AH1369" s="358">
        <v>0</v>
      </c>
      <c r="AI1369" s="358">
        <v>0</v>
      </c>
      <c r="AJ1369" s="358">
        <v>0</v>
      </c>
      <c r="AK1369" s="358">
        <f t="shared" si="440"/>
        <v>0</v>
      </c>
      <c r="AL1369" s="358">
        <v>0</v>
      </c>
      <c r="AM1369" s="358">
        <v>0</v>
      </c>
      <c r="AN1369" s="358">
        <v>0</v>
      </c>
      <c r="AO1369" s="358">
        <v>0</v>
      </c>
      <c r="AP1369" s="358">
        <v>0</v>
      </c>
      <c r="AQ1369" s="358">
        <v>0</v>
      </c>
      <c r="AR1369" s="358">
        <v>0</v>
      </c>
      <c r="AS1369" s="358">
        <f t="shared" si="439"/>
        <v>0</v>
      </c>
      <c r="AT1369" s="145">
        <v>0</v>
      </c>
      <c r="AU1369" s="139">
        <f t="shared" si="438"/>
        <v>0</v>
      </c>
      <c r="AV1369" s="146">
        <f>IFERROR(VLOOKUP(J1369,Maksājumu_pieprasījumu_iesn.!G:BL,57,0),0)</f>
        <v>0</v>
      </c>
      <c r="AW1369" s="139">
        <f t="shared" si="441"/>
        <v>0</v>
      </c>
      <c r="AX1369" s="358"/>
      <c r="AY1369" s="358"/>
      <c r="AZ1369" s="358"/>
      <c r="BA1369" s="360"/>
      <c r="BB1369" s="358"/>
      <c r="BC1369" s="358"/>
      <c r="BD1369" s="358"/>
      <c r="BE1369" s="358"/>
      <c r="BF1369" s="358"/>
      <c r="BG1369" s="358"/>
      <c r="BH1369" s="360"/>
      <c r="BI1369" s="360"/>
      <c r="BJ1369" s="360"/>
      <c r="BK1369" s="360"/>
      <c r="BL1369" s="360"/>
      <c r="BM1369" s="360"/>
      <c r="BN1369" s="360"/>
    </row>
    <row r="1370" spans="1:66" s="91" customFormat="1" ht="25.5" hidden="1" customHeight="1" outlineLevel="2" x14ac:dyDescent="0.2">
      <c r="A1370" s="150" t="s">
        <v>2279</v>
      </c>
      <c r="B1370" s="355" t="s">
        <v>406</v>
      </c>
      <c r="C1370" s="355" t="s">
        <v>411</v>
      </c>
      <c r="D1370" s="356" t="s">
        <v>606</v>
      </c>
      <c r="E1370" s="114">
        <v>2</v>
      </c>
      <c r="F1370" s="114" t="s">
        <v>402</v>
      </c>
      <c r="G1370" s="114" t="s">
        <v>77</v>
      </c>
      <c r="H1370" s="114" t="s">
        <v>3</v>
      </c>
      <c r="I1370" s="114"/>
      <c r="J1370" s="114"/>
      <c r="K1370" s="356" t="s">
        <v>2502</v>
      </c>
      <c r="L1370" s="356"/>
      <c r="M1370" s="356"/>
      <c r="N1370" s="356"/>
      <c r="O1370" s="357">
        <v>43616</v>
      </c>
      <c r="P1370" s="357"/>
      <c r="Q1370" s="357"/>
      <c r="R1370" s="357"/>
      <c r="S1370" s="117"/>
      <c r="T1370" s="117"/>
      <c r="U1370" s="358">
        <v>0</v>
      </c>
      <c r="V1370" s="358">
        <v>0</v>
      </c>
      <c r="W1370" s="358">
        <v>0</v>
      </c>
      <c r="X1370" s="358">
        <f t="shared" si="437"/>
        <v>0</v>
      </c>
      <c r="Y1370" s="358">
        <v>0</v>
      </c>
      <c r="Z1370" s="358">
        <v>0</v>
      </c>
      <c r="AA1370" s="358">
        <v>0</v>
      </c>
      <c r="AB1370" s="358">
        <v>0</v>
      </c>
      <c r="AC1370" s="358">
        <v>0</v>
      </c>
      <c r="AD1370" s="358">
        <v>0</v>
      </c>
      <c r="AE1370" s="358">
        <v>0</v>
      </c>
      <c r="AF1370" s="358">
        <v>0</v>
      </c>
      <c r="AG1370" s="358">
        <v>0</v>
      </c>
      <c r="AH1370" s="358">
        <v>0</v>
      </c>
      <c r="AI1370" s="358">
        <v>0</v>
      </c>
      <c r="AJ1370" s="358">
        <v>0</v>
      </c>
      <c r="AK1370" s="358">
        <f t="shared" si="440"/>
        <v>0</v>
      </c>
      <c r="AL1370" s="358">
        <v>0</v>
      </c>
      <c r="AM1370" s="358">
        <v>0</v>
      </c>
      <c r="AN1370" s="358">
        <v>0</v>
      </c>
      <c r="AO1370" s="358">
        <v>0</v>
      </c>
      <c r="AP1370" s="358">
        <v>0</v>
      </c>
      <c r="AQ1370" s="358">
        <v>0</v>
      </c>
      <c r="AR1370" s="358">
        <v>0</v>
      </c>
      <c r="AS1370" s="358">
        <f t="shared" si="439"/>
        <v>0</v>
      </c>
      <c r="AT1370" s="145">
        <v>0</v>
      </c>
      <c r="AU1370" s="139">
        <f t="shared" si="438"/>
        <v>0</v>
      </c>
      <c r="AV1370" s="146">
        <f>IFERROR(VLOOKUP(J1370,Maksājumu_pieprasījumu_iesn.!G:BL,57,0),0)</f>
        <v>0</v>
      </c>
      <c r="AW1370" s="139">
        <f t="shared" si="441"/>
        <v>0</v>
      </c>
      <c r="AX1370" s="358"/>
      <c r="AY1370" s="358"/>
      <c r="AZ1370" s="358"/>
      <c r="BA1370" s="360"/>
      <c r="BB1370" s="358"/>
      <c r="BC1370" s="358"/>
      <c r="BD1370" s="358"/>
      <c r="BE1370" s="358"/>
      <c r="BF1370" s="358"/>
      <c r="BG1370" s="358"/>
      <c r="BH1370" s="360"/>
      <c r="BI1370" s="360"/>
      <c r="BJ1370" s="360"/>
      <c r="BK1370" s="360"/>
      <c r="BL1370" s="360"/>
      <c r="BM1370" s="360"/>
      <c r="BN1370" s="360"/>
    </row>
    <row r="1371" spans="1:66" s="91" customFormat="1" ht="25.5" hidden="1" customHeight="1" outlineLevel="2" x14ac:dyDescent="0.2">
      <c r="A1371" s="150" t="s">
        <v>2279</v>
      </c>
      <c r="B1371" s="355" t="s">
        <v>406</v>
      </c>
      <c r="C1371" s="355" t="s">
        <v>411</v>
      </c>
      <c r="D1371" s="356" t="s">
        <v>606</v>
      </c>
      <c r="E1371" s="114">
        <v>2</v>
      </c>
      <c r="F1371" s="114" t="s">
        <v>402</v>
      </c>
      <c r="G1371" s="114" t="s">
        <v>77</v>
      </c>
      <c r="H1371" s="114" t="s">
        <v>3</v>
      </c>
      <c r="I1371" s="114"/>
      <c r="J1371" s="114"/>
      <c r="K1371" s="356" t="s">
        <v>143</v>
      </c>
      <c r="L1371" s="356"/>
      <c r="M1371" s="356"/>
      <c r="N1371" s="356"/>
      <c r="O1371" s="357">
        <v>43616</v>
      </c>
      <c r="P1371" s="357"/>
      <c r="Q1371" s="357"/>
      <c r="R1371" s="357"/>
      <c r="S1371" s="117"/>
      <c r="T1371" s="117"/>
      <c r="U1371" s="358">
        <v>0</v>
      </c>
      <c r="V1371" s="358">
        <v>0</v>
      </c>
      <c r="W1371" s="358">
        <v>0</v>
      </c>
      <c r="X1371" s="358">
        <f t="shared" si="437"/>
        <v>0</v>
      </c>
      <c r="Y1371" s="358">
        <v>0</v>
      </c>
      <c r="Z1371" s="358">
        <v>0</v>
      </c>
      <c r="AA1371" s="358">
        <v>0</v>
      </c>
      <c r="AB1371" s="358">
        <v>0</v>
      </c>
      <c r="AC1371" s="358">
        <v>0</v>
      </c>
      <c r="AD1371" s="358">
        <v>0</v>
      </c>
      <c r="AE1371" s="358">
        <v>0</v>
      </c>
      <c r="AF1371" s="358">
        <v>0</v>
      </c>
      <c r="AG1371" s="358">
        <v>0</v>
      </c>
      <c r="AH1371" s="358">
        <v>0</v>
      </c>
      <c r="AI1371" s="358">
        <v>0</v>
      </c>
      <c r="AJ1371" s="358">
        <v>0</v>
      </c>
      <c r="AK1371" s="358">
        <f t="shared" si="440"/>
        <v>0</v>
      </c>
      <c r="AL1371" s="358">
        <v>0</v>
      </c>
      <c r="AM1371" s="358">
        <v>0</v>
      </c>
      <c r="AN1371" s="358">
        <v>0</v>
      </c>
      <c r="AO1371" s="358">
        <v>0</v>
      </c>
      <c r="AP1371" s="358">
        <v>0</v>
      </c>
      <c r="AQ1371" s="358">
        <v>0</v>
      </c>
      <c r="AR1371" s="358">
        <v>0</v>
      </c>
      <c r="AS1371" s="358">
        <f t="shared" si="439"/>
        <v>0</v>
      </c>
      <c r="AT1371" s="145">
        <v>0</v>
      </c>
      <c r="AU1371" s="139">
        <f t="shared" si="438"/>
        <v>0</v>
      </c>
      <c r="AV1371" s="146">
        <f>IFERROR(VLOOKUP(J1371,Maksājumu_pieprasījumu_iesn.!G:BL,57,0),0)</f>
        <v>0</v>
      </c>
      <c r="AW1371" s="139">
        <f t="shared" si="441"/>
        <v>0</v>
      </c>
      <c r="AX1371" s="358"/>
      <c r="AY1371" s="358"/>
      <c r="AZ1371" s="358"/>
      <c r="BA1371" s="360"/>
      <c r="BB1371" s="358"/>
      <c r="BC1371" s="358"/>
      <c r="BD1371" s="358"/>
      <c r="BE1371" s="358"/>
      <c r="BF1371" s="358"/>
      <c r="BG1371" s="358"/>
      <c r="BH1371" s="360"/>
      <c r="BI1371" s="360"/>
      <c r="BJ1371" s="360"/>
      <c r="BK1371" s="360"/>
      <c r="BL1371" s="360"/>
      <c r="BM1371" s="360"/>
      <c r="BN1371" s="360"/>
    </row>
    <row r="1372" spans="1:66" s="91" customFormat="1" ht="25.5" hidden="1" customHeight="1" outlineLevel="2" x14ac:dyDescent="0.2">
      <c r="A1372" s="150" t="s">
        <v>2279</v>
      </c>
      <c r="B1372" s="355" t="s">
        <v>406</v>
      </c>
      <c r="C1372" s="355" t="s">
        <v>411</v>
      </c>
      <c r="D1372" s="356" t="s">
        <v>606</v>
      </c>
      <c r="E1372" s="114">
        <v>2</v>
      </c>
      <c r="F1372" s="114" t="s">
        <v>402</v>
      </c>
      <c r="G1372" s="114" t="s">
        <v>77</v>
      </c>
      <c r="H1372" s="114" t="s">
        <v>3</v>
      </c>
      <c r="I1372" s="114"/>
      <c r="J1372" s="114"/>
      <c r="K1372" s="356" t="s">
        <v>2503</v>
      </c>
      <c r="L1372" s="356"/>
      <c r="M1372" s="356"/>
      <c r="N1372" s="356"/>
      <c r="O1372" s="357">
        <v>43616</v>
      </c>
      <c r="P1372" s="357"/>
      <c r="Q1372" s="357"/>
      <c r="R1372" s="357"/>
      <c r="S1372" s="117"/>
      <c r="T1372" s="117"/>
      <c r="U1372" s="358">
        <v>0</v>
      </c>
      <c r="V1372" s="358">
        <v>0</v>
      </c>
      <c r="W1372" s="358">
        <v>0</v>
      </c>
      <c r="X1372" s="358">
        <f t="shared" si="437"/>
        <v>0</v>
      </c>
      <c r="Y1372" s="358">
        <v>0</v>
      </c>
      <c r="Z1372" s="358">
        <v>0</v>
      </c>
      <c r="AA1372" s="358">
        <v>0</v>
      </c>
      <c r="AB1372" s="358">
        <v>0</v>
      </c>
      <c r="AC1372" s="358">
        <v>0</v>
      </c>
      <c r="AD1372" s="358">
        <v>0</v>
      </c>
      <c r="AE1372" s="358">
        <v>0</v>
      </c>
      <c r="AF1372" s="358">
        <v>0</v>
      </c>
      <c r="AG1372" s="358">
        <v>0</v>
      </c>
      <c r="AH1372" s="358">
        <v>0</v>
      </c>
      <c r="AI1372" s="358">
        <v>0</v>
      </c>
      <c r="AJ1372" s="358">
        <v>0</v>
      </c>
      <c r="AK1372" s="358">
        <f t="shared" si="440"/>
        <v>0</v>
      </c>
      <c r="AL1372" s="358">
        <v>0</v>
      </c>
      <c r="AM1372" s="358">
        <v>0</v>
      </c>
      <c r="AN1372" s="358">
        <v>0</v>
      </c>
      <c r="AO1372" s="358">
        <v>0</v>
      </c>
      <c r="AP1372" s="358">
        <v>0</v>
      </c>
      <c r="AQ1372" s="358">
        <v>0</v>
      </c>
      <c r="AR1372" s="358">
        <v>0</v>
      </c>
      <c r="AS1372" s="358">
        <f t="shared" si="439"/>
        <v>0</v>
      </c>
      <c r="AT1372" s="145">
        <v>0</v>
      </c>
      <c r="AU1372" s="139">
        <f t="shared" si="438"/>
        <v>0</v>
      </c>
      <c r="AV1372" s="146">
        <f>IFERROR(VLOOKUP(J1372,Maksājumu_pieprasījumu_iesn.!G:BL,57,0),0)</f>
        <v>0</v>
      </c>
      <c r="AW1372" s="139">
        <f t="shared" si="441"/>
        <v>0</v>
      </c>
      <c r="AX1372" s="358"/>
      <c r="AY1372" s="358"/>
      <c r="AZ1372" s="358"/>
      <c r="BA1372" s="360"/>
      <c r="BB1372" s="358"/>
      <c r="BC1372" s="358"/>
      <c r="BD1372" s="358"/>
      <c r="BE1372" s="358"/>
      <c r="BF1372" s="358"/>
      <c r="BG1372" s="358"/>
      <c r="BH1372" s="360"/>
      <c r="BI1372" s="360"/>
      <c r="BJ1372" s="360"/>
      <c r="BK1372" s="360"/>
      <c r="BL1372" s="360"/>
      <c r="BM1372" s="360"/>
      <c r="BN1372" s="360"/>
    </row>
    <row r="1373" spans="1:66" s="91" customFormat="1" ht="25.5" hidden="1" customHeight="1" outlineLevel="2" x14ac:dyDescent="0.2">
      <c r="A1373" s="150" t="s">
        <v>2279</v>
      </c>
      <c r="B1373" s="355" t="s">
        <v>406</v>
      </c>
      <c r="C1373" s="355" t="s">
        <v>411</v>
      </c>
      <c r="D1373" s="356" t="s">
        <v>606</v>
      </c>
      <c r="E1373" s="114">
        <v>2</v>
      </c>
      <c r="F1373" s="114" t="s">
        <v>402</v>
      </c>
      <c r="G1373" s="114" t="s">
        <v>77</v>
      </c>
      <c r="H1373" s="114" t="s">
        <v>3</v>
      </c>
      <c r="I1373" s="114"/>
      <c r="J1373" s="114"/>
      <c r="K1373" s="356" t="s">
        <v>2424</v>
      </c>
      <c r="L1373" s="356"/>
      <c r="M1373" s="356"/>
      <c r="N1373" s="356"/>
      <c r="O1373" s="357">
        <v>43616</v>
      </c>
      <c r="P1373" s="357"/>
      <c r="Q1373" s="357"/>
      <c r="R1373" s="357"/>
      <c r="S1373" s="117"/>
      <c r="T1373" s="117"/>
      <c r="U1373" s="358">
        <v>0</v>
      </c>
      <c r="V1373" s="358">
        <v>0</v>
      </c>
      <c r="W1373" s="358">
        <v>0</v>
      </c>
      <c r="X1373" s="358">
        <f t="shared" si="437"/>
        <v>0</v>
      </c>
      <c r="Y1373" s="358">
        <v>0</v>
      </c>
      <c r="Z1373" s="358">
        <v>0</v>
      </c>
      <c r="AA1373" s="358">
        <v>0</v>
      </c>
      <c r="AB1373" s="358">
        <v>0</v>
      </c>
      <c r="AC1373" s="358">
        <v>0</v>
      </c>
      <c r="AD1373" s="358">
        <v>0</v>
      </c>
      <c r="AE1373" s="358">
        <v>0</v>
      </c>
      <c r="AF1373" s="358">
        <v>0</v>
      </c>
      <c r="AG1373" s="358">
        <v>0</v>
      </c>
      <c r="AH1373" s="358">
        <v>0</v>
      </c>
      <c r="AI1373" s="358">
        <v>0</v>
      </c>
      <c r="AJ1373" s="358">
        <v>0</v>
      </c>
      <c r="AK1373" s="358">
        <f t="shared" si="440"/>
        <v>0</v>
      </c>
      <c r="AL1373" s="358">
        <v>0</v>
      </c>
      <c r="AM1373" s="358">
        <v>0</v>
      </c>
      <c r="AN1373" s="358">
        <v>0</v>
      </c>
      <c r="AO1373" s="358">
        <v>0</v>
      </c>
      <c r="AP1373" s="358">
        <v>0</v>
      </c>
      <c r="AQ1373" s="358">
        <v>0</v>
      </c>
      <c r="AR1373" s="358">
        <v>0</v>
      </c>
      <c r="AS1373" s="358">
        <f t="shared" si="439"/>
        <v>0</v>
      </c>
      <c r="AT1373" s="145">
        <v>0</v>
      </c>
      <c r="AU1373" s="139">
        <f t="shared" si="438"/>
        <v>0</v>
      </c>
      <c r="AV1373" s="146">
        <f>IFERROR(VLOOKUP(J1373,Maksājumu_pieprasījumu_iesn.!G:BL,57,0),0)</f>
        <v>0</v>
      </c>
      <c r="AW1373" s="139">
        <f t="shared" si="441"/>
        <v>0</v>
      </c>
      <c r="AX1373" s="358"/>
      <c r="AY1373" s="358"/>
      <c r="AZ1373" s="358"/>
      <c r="BA1373" s="360"/>
      <c r="BB1373" s="358"/>
      <c r="BC1373" s="358"/>
      <c r="BD1373" s="358"/>
      <c r="BE1373" s="358"/>
      <c r="BF1373" s="358"/>
      <c r="BG1373" s="358"/>
      <c r="BH1373" s="360"/>
      <c r="BI1373" s="360"/>
      <c r="BJ1373" s="360"/>
      <c r="BK1373" s="360"/>
      <c r="BL1373" s="360"/>
      <c r="BM1373" s="360"/>
      <c r="BN1373" s="360"/>
    </row>
    <row r="1374" spans="1:66" s="91" customFormat="1" ht="25.5" hidden="1" customHeight="1" outlineLevel="2" x14ac:dyDescent="0.2">
      <c r="A1374" s="150" t="s">
        <v>2279</v>
      </c>
      <c r="B1374" s="355" t="s">
        <v>406</v>
      </c>
      <c r="C1374" s="355" t="s">
        <v>411</v>
      </c>
      <c r="D1374" s="356" t="s">
        <v>606</v>
      </c>
      <c r="E1374" s="114">
        <v>2</v>
      </c>
      <c r="F1374" s="114" t="s">
        <v>402</v>
      </c>
      <c r="G1374" s="114" t="s">
        <v>77</v>
      </c>
      <c r="H1374" s="114" t="s">
        <v>3</v>
      </c>
      <c r="I1374" s="114"/>
      <c r="J1374" s="114"/>
      <c r="K1374" s="356" t="s">
        <v>674</v>
      </c>
      <c r="L1374" s="356"/>
      <c r="M1374" s="356"/>
      <c r="N1374" s="356"/>
      <c r="O1374" s="357">
        <v>43616</v>
      </c>
      <c r="P1374" s="357"/>
      <c r="Q1374" s="357"/>
      <c r="R1374" s="357"/>
      <c r="S1374" s="117"/>
      <c r="T1374" s="117"/>
      <c r="U1374" s="358">
        <v>0</v>
      </c>
      <c r="V1374" s="358">
        <v>0</v>
      </c>
      <c r="W1374" s="358">
        <v>0</v>
      </c>
      <c r="X1374" s="358">
        <f t="shared" si="437"/>
        <v>0</v>
      </c>
      <c r="Y1374" s="358">
        <v>0</v>
      </c>
      <c r="Z1374" s="358">
        <v>0</v>
      </c>
      <c r="AA1374" s="358">
        <v>0</v>
      </c>
      <c r="AB1374" s="358">
        <v>0</v>
      </c>
      <c r="AC1374" s="358">
        <v>0</v>
      </c>
      <c r="AD1374" s="358">
        <v>0</v>
      </c>
      <c r="AE1374" s="358">
        <v>0</v>
      </c>
      <c r="AF1374" s="358">
        <v>0</v>
      </c>
      <c r="AG1374" s="358">
        <v>0</v>
      </c>
      <c r="AH1374" s="358">
        <v>0</v>
      </c>
      <c r="AI1374" s="358">
        <v>0</v>
      </c>
      <c r="AJ1374" s="358">
        <v>0</v>
      </c>
      <c r="AK1374" s="358">
        <f t="shared" si="440"/>
        <v>0</v>
      </c>
      <c r="AL1374" s="358">
        <v>0</v>
      </c>
      <c r="AM1374" s="358">
        <v>0</v>
      </c>
      <c r="AN1374" s="358">
        <v>0</v>
      </c>
      <c r="AO1374" s="358">
        <v>0</v>
      </c>
      <c r="AP1374" s="358">
        <v>0</v>
      </c>
      <c r="AQ1374" s="358">
        <v>0</v>
      </c>
      <c r="AR1374" s="358">
        <v>0</v>
      </c>
      <c r="AS1374" s="358">
        <f t="shared" si="439"/>
        <v>0</v>
      </c>
      <c r="AT1374" s="145">
        <v>0</v>
      </c>
      <c r="AU1374" s="139">
        <f t="shared" si="438"/>
        <v>0</v>
      </c>
      <c r="AV1374" s="146">
        <f>IFERROR(VLOOKUP(J1374,Maksājumu_pieprasījumu_iesn.!G:BL,57,0),0)</f>
        <v>0</v>
      </c>
      <c r="AW1374" s="139">
        <f t="shared" si="441"/>
        <v>0</v>
      </c>
      <c r="AX1374" s="358"/>
      <c r="AY1374" s="358"/>
      <c r="AZ1374" s="358"/>
      <c r="BA1374" s="360"/>
      <c r="BB1374" s="358"/>
      <c r="BC1374" s="358"/>
      <c r="BD1374" s="358"/>
      <c r="BE1374" s="358"/>
      <c r="BF1374" s="358"/>
      <c r="BG1374" s="358"/>
      <c r="BH1374" s="360"/>
      <c r="BI1374" s="360"/>
      <c r="BJ1374" s="360"/>
      <c r="BK1374" s="360"/>
      <c r="BL1374" s="360"/>
      <c r="BM1374" s="360"/>
      <c r="BN1374" s="360"/>
    </row>
    <row r="1375" spans="1:66" s="91" customFormat="1" ht="25.5" hidden="1" customHeight="1" outlineLevel="2" x14ac:dyDescent="0.2">
      <c r="A1375" s="150" t="s">
        <v>2279</v>
      </c>
      <c r="B1375" s="355" t="s">
        <v>406</v>
      </c>
      <c r="C1375" s="355" t="s">
        <v>411</v>
      </c>
      <c r="D1375" s="356" t="s">
        <v>606</v>
      </c>
      <c r="E1375" s="114">
        <v>2</v>
      </c>
      <c r="F1375" s="114" t="s">
        <v>402</v>
      </c>
      <c r="G1375" s="114" t="s">
        <v>77</v>
      </c>
      <c r="H1375" s="114" t="s">
        <v>3</v>
      </c>
      <c r="I1375" s="114"/>
      <c r="J1375" s="114"/>
      <c r="K1375" s="356" t="s">
        <v>900</v>
      </c>
      <c r="L1375" s="356"/>
      <c r="M1375" s="356"/>
      <c r="N1375" s="356"/>
      <c r="O1375" s="357">
        <v>43616</v>
      </c>
      <c r="P1375" s="357"/>
      <c r="Q1375" s="357"/>
      <c r="R1375" s="357"/>
      <c r="S1375" s="117"/>
      <c r="T1375" s="117"/>
      <c r="U1375" s="358">
        <v>0</v>
      </c>
      <c r="V1375" s="358">
        <v>0</v>
      </c>
      <c r="W1375" s="358">
        <v>0</v>
      </c>
      <c r="X1375" s="358">
        <f t="shared" si="437"/>
        <v>0</v>
      </c>
      <c r="Y1375" s="358">
        <v>0</v>
      </c>
      <c r="Z1375" s="358">
        <v>0</v>
      </c>
      <c r="AA1375" s="358">
        <v>0</v>
      </c>
      <c r="AB1375" s="358">
        <v>0</v>
      </c>
      <c r="AC1375" s="358">
        <v>0</v>
      </c>
      <c r="AD1375" s="358">
        <v>0</v>
      </c>
      <c r="AE1375" s="358">
        <v>0</v>
      </c>
      <c r="AF1375" s="358">
        <v>0</v>
      </c>
      <c r="AG1375" s="358">
        <v>0</v>
      </c>
      <c r="AH1375" s="358">
        <v>0</v>
      </c>
      <c r="AI1375" s="358">
        <v>0</v>
      </c>
      <c r="AJ1375" s="358">
        <v>0</v>
      </c>
      <c r="AK1375" s="358">
        <f t="shared" si="440"/>
        <v>0</v>
      </c>
      <c r="AL1375" s="358">
        <v>0</v>
      </c>
      <c r="AM1375" s="358">
        <v>0</v>
      </c>
      <c r="AN1375" s="358">
        <v>0</v>
      </c>
      <c r="AO1375" s="358">
        <v>0</v>
      </c>
      <c r="AP1375" s="358">
        <v>0</v>
      </c>
      <c r="AQ1375" s="358">
        <v>0</v>
      </c>
      <c r="AR1375" s="358">
        <v>0</v>
      </c>
      <c r="AS1375" s="358">
        <f t="shared" si="439"/>
        <v>0</v>
      </c>
      <c r="AT1375" s="145">
        <v>0</v>
      </c>
      <c r="AU1375" s="139">
        <f t="shared" si="438"/>
        <v>0</v>
      </c>
      <c r="AV1375" s="146">
        <f>IFERROR(VLOOKUP(J1375,Maksājumu_pieprasījumu_iesn.!G:BL,57,0),0)</f>
        <v>0</v>
      </c>
      <c r="AW1375" s="139">
        <f t="shared" si="441"/>
        <v>0</v>
      </c>
      <c r="AX1375" s="358"/>
      <c r="AY1375" s="358"/>
      <c r="AZ1375" s="358"/>
      <c r="BA1375" s="360"/>
      <c r="BB1375" s="358"/>
      <c r="BC1375" s="358"/>
      <c r="BD1375" s="358"/>
      <c r="BE1375" s="358"/>
      <c r="BF1375" s="358"/>
      <c r="BG1375" s="358"/>
      <c r="BH1375" s="360"/>
      <c r="BI1375" s="360"/>
      <c r="BJ1375" s="360"/>
      <c r="BK1375" s="360"/>
      <c r="BL1375" s="360"/>
      <c r="BM1375" s="360"/>
      <c r="BN1375" s="360"/>
    </row>
    <row r="1376" spans="1:66" s="91" customFormat="1" ht="25.5" hidden="1" customHeight="1" outlineLevel="2" x14ac:dyDescent="0.2">
      <c r="A1376" s="150" t="s">
        <v>2279</v>
      </c>
      <c r="B1376" s="355" t="s">
        <v>406</v>
      </c>
      <c r="C1376" s="355" t="s">
        <v>411</v>
      </c>
      <c r="D1376" s="356" t="s">
        <v>606</v>
      </c>
      <c r="E1376" s="114">
        <v>2</v>
      </c>
      <c r="F1376" s="114" t="s">
        <v>402</v>
      </c>
      <c r="G1376" s="114" t="s">
        <v>77</v>
      </c>
      <c r="H1376" s="114" t="s">
        <v>3</v>
      </c>
      <c r="I1376" s="114"/>
      <c r="J1376" s="114"/>
      <c r="K1376" s="356" t="s">
        <v>1550</v>
      </c>
      <c r="L1376" s="356"/>
      <c r="M1376" s="356"/>
      <c r="N1376" s="356"/>
      <c r="O1376" s="357">
        <v>43616</v>
      </c>
      <c r="P1376" s="357"/>
      <c r="Q1376" s="357"/>
      <c r="R1376" s="357"/>
      <c r="S1376" s="117"/>
      <c r="T1376" s="117"/>
      <c r="U1376" s="358">
        <v>0</v>
      </c>
      <c r="V1376" s="358">
        <v>0</v>
      </c>
      <c r="W1376" s="358">
        <v>0</v>
      </c>
      <c r="X1376" s="358">
        <f t="shared" si="437"/>
        <v>0</v>
      </c>
      <c r="Y1376" s="358">
        <v>0</v>
      </c>
      <c r="Z1376" s="358">
        <v>0</v>
      </c>
      <c r="AA1376" s="358">
        <v>0</v>
      </c>
      <c r="AB1376" s="358">
        <v>0</v>
      </c>
      <c r="AC1376" s="358">
        <v>0</v>
      </c>
      <c r="AD1376" s="358">
        <v>0</v>
      </c>
      <c r="AE1376" s="358">
        <v>0</v>
      </c>
      <c r="AF1376" s="358">
        <v>0</v>
      </c>
      <c r="AG1376" s="358">
        <v>0</v>
      </c>
      <c r="AH1376" s="358">
        <v>0</v>
      </c>
      <c r="AI1376" s="358">
        <v>0</v>
      </c>
      <c r="AJ1376" s="358">
        <v>0</v>
      </c>
      <c r="AK1376" s="358">
        <f t="shared" si="440"/>
        <v>0</v>
      </c>
      <c r="AL1376" s="358">
        <v>0</v>
      </c>
      <c r="AM1376" s="358">
        <v>0</v>
      </c>
      <c r="AN1376" s="358">
        <v>0</v>
      </c>
      <c r="AO1376" s="358">
        <v>0</v>
      </c>
      <c r="AP1376" s="358">
        <v>0</v>
      </c>
      <c r="AQ1376" s="358">
        <v>0</v>
      </c>
      <c r="AR1376" s="358">
        <v>0</v>
      </c>
      <c r="AS1376" s="358">
        <f t="shared" si="439"/>
        <v>0</v>
      </c>
      <c r="AT1376" s="145">
        <v>0</v>
      </c>
      <c r="AU1376" s="139">
        <f t="shared" si="438"/>
        <v>0</v>
      </c>
      <c r="AV1376" s="146">
        <f>IFERROR(VLOOKUP(J1376,Maksājumu_pieprasījumu_iesn.!G:BL,57,0),0)</f>
        <v>0</v>
      </c>
      <c r="AW1376" s="139">
        <f t="shared" si="441"/>
        <v>0</v>
      </c>
      <c r="AX1376" s="358"/>
      <c r="AY1376" s="358"/>
      <c r="AZ1376" s="358"/>
      <c r="BA1376" s="360"/>
      <c r="BB1376" s="358"/>
      <c r="BC1376" s="358"/>
      <c r="BD1376" s="358"/>
      <c r="BE1376" s="358"/>
      <c r="BF1376" s="358"/>
      <c r="BG1376" s="358"/>
      <c r="BH1376" s="360"/>
      <c r="BI1376" s="360"/>
      <c r="BJ1376" s="360"/>
      <c r="BK1376" s="360"/>
      <c r="BL1376" s="360"/>
      <c r="BM1376" s="360"/>
      <c r="BN1376" s="360"/>
    </row>
    <row r="1377" spans="1:66" s="91" customFormat="1" ht="25.5" hidden="1" customHeight="1" outlineLevel="2" x14ac:dyDescent="0.2">
      <c r="A1377" s="150" t="s">
        <v>2279</v>
      </c>
      <c r="B1377" s="355" t="s">
        <v>406</v>
      </c>
      <c r="C1377" s="355" t="s">
        <v>411</v>
      </c>
      <c r="D1377" s="356" t="s">
        <v>606</v>
      </c>
      <c r="E1377" s="114">
        <v>2</v>
      </c>
      <c r="F1377" s="114" t="s">
        <v>402</v>
      </c>
      <c r="G1377" s="114" t="s">
        <v>77</v>
      </c>
      <c r="H1377" s="114" t="s">
        <v>3</v>
      </c>
      <c r="I1377" s="114"/>
      <c r="J1377" s="114"/>
      <c r="K1377" s="356" t="s">
        <v>446</v>
      </c>
      <c r="L1377" s="356"/>
      <c r="M1377" s="356"/>
      <c r="N1377" s="356"/>
      <c r="O1377" s="357">
        <v>43616</v>
      </c>
      <c r="P1377" s="357"/>
      <c r="Q1377" s="357"/>
      <c r="R1377" s="357"/>
      <c r="S1377" s="117"/>
      <c r="T1377" s="117"/>
      <c r="U1377" s="358">
        <v>0</v>
      </c>
      <c r="V1377" s="358">
        <v>0</v>
      </c>
      <c r="W1377" s="358">
        <v>0</v>
      </c>
      <c r="X1377" s="358">
        <f t="shared" si="437"/>
        <v>0</v>
      </c>
      <c r="Y1377" s="358">
        <v>0</v>
      </c>
      <c r="Z1377" s="358">
        <v>0</v>
      </c>
      <c r="AA1377" s="358">
        <v>0</v>
      </c>
      <c r="AB1377" s="358">
        <v>0</v>
      </c>
      <c r="AC1377" s="358">
        <v>0</v>
      </c>
      <c r="AD1377" s="358">
        <v>0</v>
      </c>
      <c r="AE1377" s="358">
        <v>0</v>
      </c>
      <c r="AF1377" s="358">
        <v>0</v>
      </c>
      <c r="AG1377" s="358">
        <v>0</v>
      </c>
      <c r="AH1377" s="358">
        <v>0</v>
      </c>
      <c r="AI1377" s="358">
        <v>0</v>
      </c>
      <c r="AJ1377" s="358">
        <v>0</v>
      </c>
      <c r="AK1377" s="358">
        <f t="shared" si="440"/>
        <v>0</v>
      </c>
      <c r="AL1377" s="358">
        <v>0</v>
      </c>
      <c r="AM1377" s="358">
        <v>0</v>
      </c>
      <c r="AN1377" s="358">
        <v>0</v>
      </c>
      <c r="AO1377" s="358">
        <v>0</v>
      </c>
      <c r="AP1377" s="358">
        <v>0</v>
      </c>
      <c r="AQ1377" s="358">
        <v>0</v>
      </c>
      <c r="AR1377" s="358">
        <v>0</v>
      </c>
      <c r="AS1377" s="358">
        <f t="shared" ref="AS1377:AS1408" si="442">U1377+V1377+W1377+AK1377+AL1377+AM1377+AN1377+AO1377+AP1377+AQ1377+AR1377</f>
        <v>0</v>
      </c>
      <c r="AT1377" s="145">
        <v>0</v>
      </c>
      <c r="AU1377" s="139">
        <f t="shared" si="438"/>
        <v>0</v>
      </c>
      <c r="AV1377" s="146">
        <f>IFERROR(VLOOKUP(J1377,Maksājumu_pieprasījumu_iesn.!G:BL,57,0),0)</f>
        <v>0</v>
      </c>
      <c r="AW1377" s="139">
        <f t="shared" si="441"/>
        <v>0</v>
      </c>
      <c r="AX1377" s="358"/>
      <c r="AY1377" s="358"/>
      <c r="AZ1377" s="358"/>
      <c r="BA1377" s="360"/>
      <c r="BB1377" s="358"/>
      <c r="BC1377" s="358"/>
      <c r="BD1377" s="358"/>
      <c r="BE1377" s="358"/>
      <c r="BF1377" s="358"/>
      <c r="BG1377" s="358"/>
      <c r="BH1377" s="360"/>
      <c r="BI1377" s="360"/>
      <c r="BJ1377" s="360"/>
      <c r="BK1377" s="360"/>
      <c r="BL1377" s="360"/>
      <c r="BM1377" s="360"/>
      <c r="BN1377" s="360"/>
    </row>
    <row r="1378" spans="1:66" s="91" customFormat="1" ht="25.5" hidden="1" customHeight="1" outlineLevel="2" x14ac:dyDescent="0.2">
      <c r="A1378" s="150" t="s">
        <v>2279</v>
      </c>
      <c r="B1378" s="355" t="s">
        <v>406</v>
      </c>
      <c r="C1378" s="355" t="s">
        <v>411</v>
      </c>
      <c r="D1378" s="356" t="s">
        <v>606</v>
      </c>
      <c r="E1378" s="114">
        <v>2</v>
      </c>
      <c r="F1378" s="114" t="s">
        <v>402</v>
      </c>
      <c r="G1378" s="114" t="s">
        <v>77</v>
      </c>
      <c r="H1378" s="114" t="s">
        <v>3</v>
      </c>
      <c r="I1378" s="114"/>
      <c r="J1378" s="114"/>
      <c r="K1378" s="356" t="s">
        <v>2332</v>
      </c>
      <c r="L1378" s="356"/>
      <c r="M1378" s="356"/>
      <c r="N1378" s="356"/>
      <c r="O1378" s="357">
        <v>43616</v>
      </c>
      <c r="P1378" s="357"/>
      <c r="Q1378" s="357"/>
      <c r="R1378" s="357"/>
      <c r="S1378" s="117"/>
      <c r="T1378" s="117"/>
      <c r="U1378" s="358">
        <v>0</v>
      </c>
      <c r="V1378" s="358">
        <v>0</v>
      </c>
      <c r="W1378" s="358">
        <v>0</v>
      </c>
      <c r="X1378" s="358">
        <f t="shared" ref="X1378:X1425" si="443">W1378+V1378+U1378</f>
        <v>0</v>
      </c>
      <c r="Y1378" s="358">
        <v>0</v>
      </c>
      <c r="Z1378" s="358">
        <v>0</v>
      </c>
      <c r="AA1378" s="358">
        <v>0</v>
      </c>
      <c r="AB1378" s="358">
        <v>0</v>
      </c>
      <c r="AC1378" s="358">
        <v>0</v>
      </c>
      <c r="AD1378" s="358">
        <v>0</v>
      </c>
      <c r="AE1378" s="358">
        <v>0</v>
      </c>
      <c r="AF1378" s="358">
        <v>0</v>
      </c>
      <c r="AG1378" s="358">
        <v>0</v>
      </c>
      <c r="AH1378" s="358">
        <v>0</v>
      </c>
      <c r="AI1378" s="358">
        <v>0</v>
      </c>
      <c r="AJ1378" s="358">
        <v>0</v>
      </c>
      <c r="AK1378" s="358">
        <f t="shared" si="440"/>
        <v>0</v>
      </c>
      <c r="AL1378" s="358">
        <v>0</v>
      </c>
      <c r="AM1378" s="358">
        <v>0</v>
      </c>
      <c r="AN1378" s="358">
        <v>0</v>
      </c>
      <c r="AO1378" s="358">
        <v>0</v>
      </c>
      <c r="AP1378" s="358">
        <v>0</v>
      </c>
      <c r="AQ1378" s="358">
        <v>0</v>
      </c>
      <c r="AR1378" s="358">
        <v>0</v>
      </c>
      <c r="AS1378" s="358">
        <f t="shared" si="442"/>
        <v>0</v>
      </c>
      <c r="AT1378" s="145">
        <v>0</v>
      </c>
      <c r="AU1378" s="139">
        <f t="shared" si="438"/>
        <v>0</v>
      </c>
      <c r="AV1378" s="146">
        <f>IFERROR(VLOOKUP(J1378,Maksājumu_pieprasījumu_iesn.!G:BL,57,0),0)</f>
        <v>0</v>
      </c>
      <c r="AW1378" s="139">
        <f t="shared" si="441"/>
        <v>0</v>
      </c>
      <c r="AX1378" s="358"/>
      <c r="AY1378" s="358"/>
      <c r="AZ1378" s="358"/>
      <c r="BA1378" s="360"/>
      <c r="BB1378" s="358"/>
      <c r="BC1378" s="358"/>
      <c r="BD1378" s="358"/>
      <c r="BE1378" s="358"/>
      <c r="BF1378" s="358"/>
      <c r="BG1378" s="358"/>
      <c r="BH1378" s="360"/>
      <c r="BI1378" s="360"/>
      <c r="BJ1378" s="360"/>
      <c r="BK1378" s="360"/>
      <c r="BL1378" s="360"/>
      <c r="BM1378" s="360"/>
      <c r="BN1378" s="360"/>
    </row>
    <row r="1379" spans="1:66" s="91" customFormat="1" ht="25.5" hidden="1" customHeight="1" outlineLevel="2" x14ac:dyDescent="0.2">
      <c r="A1379" s="150" t="s">
        <v>2279</v>
      </c>
      <c r="B1379" s="355" t="s">
        <v>406</v>
      </c>
      <c r="C1379" s="355" t="s">
        <v>411</v>
      </c>
      <c r="D1379" s="356" t="s">
        <v>606</v>
      </c>
      <c r="E1379" s="114">
        <v>2</v>
      </c>
      <c r="F1379" s="114" t="s">
        <v>402</v>
      </c>
      <c r="G1379" s="114" t="s">
        <v>77</v>
      </c>
      <c r="H1379" s="114" t="s">
        <v>3</v>
      </c>
      <c r="I1379" s="114"/>
      <c r="J1379" s="114"/>
      <c r="K1379" s="356" t="s">
        <v>2504</v>
      </c>
      <c r="L1379" s="356"/>
      <c r="M1379" s="356"/>
      <c r="N1379" s="356"/>
      <c r="O1379" s="357">
        <v>43616</v>
      </c>
      <c r="P1379" s="357"/>
      <c r="Q1379" s="357"/>
      <c r="R1379" s="357"/>
      <c r="S1379" s="117"/>
      <c r="T1379" s="117"/>
      <c r="U1379" s="358">
        <v>0</v>
      </c>
      <c r="V1379" s="358">
        <v>0</v>
      </c>
      <c r="W1379" s="358">
        <v>0</v>
      </c>
      <c r="X1379" s="358">
        <f t="shared" si="443"/>
        <v>0</v>
      </c>
      <c r="Y1379" s="358">
        <v>0</v>
      </c>
      <c r="Z1379" s="358">
        <v>0</v>
      </c>
      <c r="AA1379" s="358">
        <v>0</v>
      </c>
      <c r="AB1379" s="358">
        <v>0</v>
      </c>
      <c r="AC1379" s="358">
        <v>0</v>
      </c>
      <c r="AD1379" s="358">
        <v>0</v>
      </c>
      <c r="AE1379" s="358">
        <v>0</v>
      </c>
      <c r="AF1379" s="358">
        <v>0</v>
      </c>
      <c r="AG1379" s="358">
        <v>0</v>
      </c>
      <c r="AH1379" s="358">
        <v>0</v>
      </c>
      <c r="AI1379" s="358">
        <v>0</v>
      </c>
      <c r="AJ1379" s="358">
        <v>0</v>
      </c>
      <c r="AK1379" s="358">
        <f t="shared" si="440"/>
        <v>0</v>
      </c>
      <c r="AL1379" s="358">
        <v>0</v>
      </c>
      <c r="AM1379" s="358">
        <v>0</v>
      </c>
      <c r="AN1379" s="358">
        <v>0</v>
      </c>
      <c r="AO1379" s="358">
        <v>0</v>
      </c>
      <c r="AP1379" s="358">
        <v>0</v>
      </c>
      <c r="AQ1379" s="358">
        <v>0</v>
      </c>
      <c r="AR1379" s="358">
        <v>0</v>
      </c>
      <c r="AS1379" s="358">
        <f t="shared" si="442"/>
        <v>0</v>
      </c>
      <c r="AT1379" s="145">
        <v>0</v>
      </c>
      <c r="AU1379" s="139">
        <f t="shared" si="438"/>
        <v>0</v>
      </c>
      <c r="AV1379" s="146">
        <f>IFERROR(VLOOKUP(J1379,Maksājumu_pieprasījumu_iesn.!G:BL,57,0),0)</f>
        <v>0</v>
      </c>
      <c r="AW1379" s="139">
        <f t="shared" si="441"/>
        <v>0</v>
      </c>
      <c r="AX1379" s="358"/>
      <c r="AY1379" s="358"/>
      <c r="AZ1379" s="358"/>
      <c r="BA1379" s="360"/>
      <c r="BB1379" s="358"/>
      <c r="BC1379" s="358"/>
      <c r="BD1379" s="358"/>
      <c r="BE1379" s="358"/>
      <c r="BF1379" s="358"/>
      <c r="BG1379" s="358"/>
      <c r="BH1379" s="360"/>
      <c r="BI1379" s="360"/>
      <c r="BJ1379" s="360"/>
      <c r="BK1379" s="360"/>
      <c r="BL1379" s="360"/>
      <c r="BM1379" s="360"/>
      <c r="BN1379" s="360"/>
    </row>
    <row r="1380" spans="1:66" s="91" customFormat="1" ht="25.5" hidden="1" customHeight="1" outlineLevel="2" x14ac:dyDescent="0.2">
      <c r="A1380" s="150" t="s">
        <v>2279</v>
      </c>
      <c r="B1380" s="355" t="s">
        <v>406</v>
      </c>
      <c r="C1380" s="355" t="s">
        <v>411</v>
      </c>
      <c r="D1380" s="356" t="s">
        <v>606</v>
      </c>
      <c r="E1380" s="114">
        <v>2</v>
      </c>
      <c r="F1380" s="114" t="s">
        <v>402</v>
      </c>
      <c r="G1380" s="114" t="s">
        <v>77</v>
      </c>
      <c r="H1380" s="114" t="s">
        <v>3</v>
      </c>
      <c r="I1380" s="114"/>
      <c r="J1380" s="114"/>
      <c r="K1380" s="356" t="s">
        <v>69</v>
      </c>
      <c r="L1380" s="356"/>
      <c r="M1380" s="356"/>
      <c r="N1380" s="356"/>
      <c r="O1380" s="357">
        <v>43616</v>
      </c>
      <c r="P1380" s="357"/>
      <c r="Q1380" s="357"/>
      <c r="R1380" s="357"/>
      <c r="S1380" s="117"/>
      <c r="T1380" s="117"/>
      <c r="U1380" s="358">
        <v>0</v>
      </c>
      <c r="V1380" s="358">
        <v>0</v>
      </c>
      <c r="W1380" s="358">
        <v>0</v>
      </c>
      <c r="X1380" s="358">
        <f t="shared" si="443"/>
        <v>0</v>
      </c>
      <c r="Y1380" s="358">
        <v>0</v>
      </c>
      <c r="Z1380" s="358">
        <v>0</v>
      </c>
      <c r="AA1380" s="358">
        <v>0</v>
      </c>
      <c r="AB1380" s="358">
        <v>0</v>
      </c>
      <c r="AC1380" s="358">
        <v>0</v>
      </c>
      <c r="AD1380" s="358">
        <v>0</v>
      </c>
      <c r="AE1380" s="358">
        <v>0</v>
      </c>
      <c r="AF1380" s="358">
        <v>0</v>
      </c>
      <c r="AG1380" s="358">
        <v>0</v>
      </c>
      <c r="AH1380" s="358">
        <v>0</v>
      </c>
      <c r="AI1380" s="358">
        <v>0</v>
      </c>
      <c r="AJ1380" s="358">
        <v>0</v>
      </c>
      <c r="AK1380" s="358">
        <f t="shared" si="440"/>
        <v>0</v>
      </c>
      <c r="AL1380" s="358">
        <v>0</v>
      </c>
      <c r="AM1380" s="358">
        <v>0</v>
      </c>
      <c r="AN1380" s="358">
        <v>0</v>
      </c>
      <c r="AO1380" s="358">
        <v>0</v>
      </c>
      <c r="AP1380" s="358">
        <v>0</v>
      </c>
      <c r="AQ1380" s="358">
        <v>0</v>
      </c>
      <c r="AR1380" s="358">
        <v>0</v>
      </c>
      <c r="AS1380" s="358">
        <f t="shared" si="442"/>
        <v>0</v>
      </c>
      <c r="AT1380" s="145">
        <v>0</v>
      </c>
      <c r="AU1380" s="139">
        <f t="shared" si="438"/>
        <v>0</v>
      </c>
      <c r="AV1380" s="146">
        <f>IFERROR(VLOOKUP(J1380,Maksājumu_pieprasījumu_iesn.!G:BL,57,0),0)</f>
        <v>0</v>
      </c>
      <c r="AW1380" s="139">
        <f t="shared" si="441"/>
        <v>0</v>
      </c>
      <c r="AX1380" s="358"/>
      <c r="AY1380" s="358"/>
      <c r="AZ1380" s="358"/>
      <c r="BA1380" s="360"/>
      <c r="BB1380" s="358"/>
      <c r="BC1380" s="358"/>
      <c r="BD1380" s="358"/>
      <c r="BE1380" s="358"/>
      <c r="BF1380" s="358"/>
      <c r="BG1380" s="358"/>
      <c r="BH1380" s="360"/>
      <c r="BI1380" s="360"/>
      <c r="BJ1380" s="360"/>
      <c r="BK1380" s="360"/>
      <c r="BL1380" s="360"/>
      <c r="BM1380" s="360"/>
      <c r="BN1380" s="360"/>
    </row>
    <row r="1381" spans="1:66" s="91" customFormat="1" ht="25.5" hidden="1" customHeight="1" outlineLevel="2" x14ac:dyDescent="0.2">
      <c r="A1381" s="150" t="s">
        <v>2279</v>
      </c>
      <c r="B1381" s="355" t="s">
        <v>406</v>
      </c>
      <c r="C1381" s="355" t="s">
        <v>411</v>
      </c>
      <c r="D1381" s="356" t="s">
        <v>606</v>
      </c>
      <c r="E1381" s="114">
        <v>2</v>
      </c>
      <c r="F1381" s="114" t="s">
        <v>402</v>
      </c>
      <c r="G1381" s="114" t="s">
        <v>77</v>
      </c>
      <c r="H1381" s="114" t="s">
        <v>3</v>
      </c>
      <c r="I1381" s="114"/>
      <c r="J1381" s="114"/>
      <c r="K1381" s="356" t="s">
        <v>1300</v>
      </c>
      <c r="L1381" s="356"/>
      <c r="M1381" s="356"/>
      <c r="N1381" s="356"/>
      <c r="O1381" s="357">
        <v>43616</v>
      </c>
      <c r="P1381" s="357"/>
      <c r="Q1381" s="357"/>
      <c r="R1381" s="357"/>
      <c r="S1381" s="117"/>
      <c r="T1381" s="117"/>
      <c r="U1381" s="358">
        <v>0</v>
      </c>
      <c r="V1381" s="358">
        <v>0</v>
      </c>
      <c r="W1381" s="358">
        <v>0</v>
      </c>
      <c r="X1381" s="358">
        <f t="shared" si="443"/>
        <v>0</v>
      </c>
      <c r="Y1381" s="358">
        <v>0</v>
      </c>
      <c r="Z1381" s="358">
        <v>0</v>
      </c>
      <c r="AA1381" s="358">
        <v>0</v>
      </c>
      <c r="AB1381" s="358">
        <v>0</v>
      </c>
      <c r="AC1381" s="358">
        <v>0</v>
      </c>
      <c r="AD1381" s="358">
        <v>0</v>
      </c>
      <c r="AE1381" s="358">
        <v>0</v>
      </c>
      <c r="AF1381" s="358">
        <v>0</v>
      </c>
      <c r="AG1381" s="358">
        <v>0</v>
      </c>
      <c r="AH1381" s="358">
        <v>0</v>
      </c>
      <c r="AI1381" s="358">
        <v>0</v>
      </c>
      <c r="AJ1381" s="358">
        <v>0</v>
      </c>
      <c r="AK1381" s="358">
        <f t="shared" si="440"/>
        <v>0</v>
      </c>
      <c r="AL1381" s="358">
        <v>0</v>
      </c>
      <c r="AM1381" s="358">
        <v>0</v>
      </c>
      <c r="AN1381" s="358">
        <v>0</v>
      </c>
      <c r="AO1381" s="358">
        <v>0</v>
      </c>
      <c r="AP1381" s="358">
        <v>0</v>
      </c>
      <c r="AQ1381" s="358">
        <v>0</v>
      </c>
      <c r="AR1381" s="358">
        <v>0</v>
      </c>
      <c r="AS1381" s="358">
        <f t="shared" si="442"/>
        <v>0</v>
      </c>
      <c r="AT1381" s="145">
        <v>0</v>
      </c>
      <c r="AU1381" s="139">
        <f t="shared" si="438"/>
        <v>0</v>
      </c>
      <c r="AV1381" s="146">
        <f>IFERROR(VLOOKUP(J1381,Maksājumu_pieprasījumu_iesn.!G:BL,57,0),0)</f>
        <v>0</v>
      </c>
      <c r="AW1381" s="139">
        <f t="shared" si="441"/>
        <v>0</v>
      </c>
      <c r="AX1381" s="358"/>
      <c r="AY1381" s="358"/>
      <c r="AZ1381" s="358"/>
      <c r="BA1381" s="360"/>
      <c r="BB1381" s="358"/>
      <c r="BC1381" s="358"/>
      <c r="BD1381" s="358"/>
      <c r="BE1381" s="358"/>
      <c r="BF1381" s="358"/>
      <c r="BG1381" s="358"/>
      <c r="BH1381" s="360"/>
      <c r="BI1381" s="360"/>
      <c r="BJ1381" s="360"/>
      <c r="BK1381" s="360"/>
      <c r="BL1381" s="360"/>
      <c r="BM1381" s="360"/>
      <c r="BN1381" s="360"/>
    </row>
    <row r="1382" spans="1:66" s="91" customFormat="1" ht="25.5" hidden="1" customHeight="1" outlineLevel="2" x14ac:dyDescent="0.2">
      <c r="A1382" s="150" t="s">
        <v>2279</v>
      </c>
      <c r="B1382" s="355" t="s">
        <v>406</v>
      </c>
      <c r="C1382" s="355" t="s">
        <v>411</v>
      </c>
      <c r="D1382" s="356" t="s">
        <v>606</v>
      </c>
      <c r="E1382" s="114">
        <v>2</v>
      </c>
      <c r="F1382" s="114" t="s">
        <v>402</v>
      </c>
      <c r="G1382" s="114" t="s">
        <v>77</v>
      </c>
      <c r="H1382" s="114" t="s">
        <v>3</v>
      </c>
      <c r="I1382" s="114"/>
      <c r="J1382" s="114"/>
      <c r="K1382" s="356" t="s">
        <v>1304</v>
      </c>
      <c r="L1382" s="356"/>
      <c r="M1382" s="356"/>
      <c r="N1382" s="356"/>
      <c r="O1382" s="357">
        <v>43616</v>
      </c>
      <c r="P1382" s="357"/>
      <c r="Q1382" s="357"/>
      <c r="R1382" s="357"/>
      <c r="S1382" s="117"/>
      <c r="T1382" s="117"/>
      <c r="U1382" s="358">
        <v>0</v>
      </c>
      <c r="V1382" s="358">
        <v>0</v>
      </c>
      <c r="W1382" s="358">
        <v>0</v>
      </c>
      <c r="X1382" s="358">
        <f t="shared" si="443"/>
        <v>0</v>
      </c>
      <c r="Y1382" s="358">
        <v>0</v>
      </c>
      <c r="Z1382" s="358">
        <v>0</v>
      </c>
      <c r="AA1382" s="358">
        <v>0</v>
      </c>
      <c r="AB1382" s="358">
        <v>0</v>
      </c>
      <c r="AC1382" s="358">
        <v>0</v>
      </c>
      <c r="AD1382" s="358">
        <v>0</v>
      </c>
      <c r="AE1382" s="358">
        <v>0</v>
      </c>
      <c r="AF1382" s="358">
        <v>0</v>
      </c>
      <c r="AG1382" s="358">
        <v>0</v>
      </c>
      <c r="AH1382" s="358">
        <v>0</v>
      </c>
      <c r="AI1382" s="358">
        <v>0</v>
      </c>
      <c r="AJ1382" s="358">
        <v>0</v>
      </c>
      <c r="AK1382" s="358">
        <f t="shared" si="440"/>
        <v>0</v>
      </c>
      <c r="AL1382" s="358">
        <v>0</v>
      </c>
      <c r="AM1382" s="358">
        <v>0</v>
      </c>
      <c r="AN1382" s="358">
        <v>0</v>
      </c>
      <c r="AO1382" s="358">
        <v>0</v>
      </c>
      <c r="AP1382" s="358">
        <v>0</v>
      </c>
      <c r="AQ1382" s="358">
        <v>0</v>
      </c>
      <c r="AR1382" s="358">
        <v>0</v>
      </c>
      <c r="AS1382" s="358">
        <f t="shared" si="442"/>
        <v>0</v>
      </c>
      <c r="AT1382" s="145">
        <v>0</v>
      </c>
      <c r="AU1382" s="139">
        <f t="shared" si="438"/>
        <v>0</v>
      </c>
      <c r="AV1382" s="146">
        <f>IFERROR(VLOOKUP(J1382,Maksājumu_pieprasījumu_iesn.!G:BL,57,0),0)</f>
        <v>0</v>
      </c>
      <c r="AW1382" s="139">
        <f t="shared" si="441"/>
        <v>0</v>
      </c>
      <c r="AX1382" s="358"/>
      <c r="AY1382" s="358"/>
      <c r="AZ1382" s="358"/>
      <c r="BA1382" s="360"/>
      <c r="BB1382" s="358"/>
      <c r="BC1382" s="358"/>
      <c r="BD1382" s="358"/>
      <c r="BE1382" s="358"/>
      <c r="BF1382" s="358"/>
      <c r="BG1382" s="358"/>
      <c r="BH1382" s="360"/>
      <c r="BI1382" s="360"/>
      <c r="BJ1382" s="360"/>
      <c r="BK1382" s="360"/>
      <c r="BL1382" s="360"/>
      <c r="BM1382" s="360"/>
      <c r="BN1382" s="360"/>
    </row>
    <row r="1383" spans="1:66" s="91" customFormat="1" ht="25.5" hidden="1" customHeight="1" outlineLevel="2" x14ac:dyDescent="0.2">
      <c r="A1383" s="150" t="s">
        <v>2279</v>
      </c>
      <c r="B1383" s="355" t="s">
        <v>406</v>
      </c>
      <c r="C1383" s="355" t="s">
        <v>411</v>
      </c>
      <c r="D1383" s="356" t="s">
        <v>606</v>
      </c>
      <c r="E1383" s="114">
        <v>2</v>
      </c>
      <c r="F1383" s="114" t="s">
        <v>402</v>
      </c>
      <c r="G1383" s="114" t="s">
        <v>77</v>
      </c>
      <c r="H1383" s="114" t="s">
        <v>3</v>
      </c>
      <c r="I1383" s="114"/>
      <c r="J1383" s="114"/>
      <c r="K1383" s="356" t="s">
        <v>2505</v>
      </c>
      <c r="L1383" s="356"/>
      <c r="M1383" s="356"/>
      <c r="N1383" s="356"/>
      <c r="O1383" s="357">
        <v>43616</v>
      </c>
      <c r="P1383" s="357"/>
      <c r="Q1383" s="357"/>
      <c r="R1383" s="357"/>
      <c r="S1383" s="117"/>
      <c r="T1383" s="117"/>
      <c r="U1383" s="358">
        <v>0</v>
      </c>
      <c r="V1383" s="358">
        <v>0</v>
      </c>
      <c r="W1383" s="358">
        <v>0</v>
      </c>
      <c r="X1383" s="358">
        <f t="shared" si="443"/>
        <v>0</v>
      </c>
      <c r="Y1383" s="358">
        <v>0</v>
      </c>
      <c r="Z1383" s="358">
        <v>0</v>
      </c>
      <c r="AA1383" s="358">
        <v>0</v>
      </c>
      <c r="AB1383" s="358">
        <v>0</v>
      </c>
      <c r="AC1383" s="358">
        <v>0</v>
      </c>
      <c r="AD1383" s="358">
        <v>0</v>
      </c>
      <c r="AE1383" s="358">
        <v>0</v>
      </c>
      <c r="AF1383" s="358">
        <v>0</v>
      </c>
      <c r="AG1383" s="358">
        <v>0</v>
      </c>
      <c r="AH1383" s="358">
        <v>0</v>
      </c>
      <c r="AI1383" s="358">
        <v>0</v>
      </c>
      <c r="AJ1383" s="358">
        <v>0</v>
      </c>
      <c r="AK1383" s="358">
        <f t="shared" si="440"/>
        <v>0</v>
      </c>
      <c r="AL1383" s="358">
        <v>0</v>
      </c>
      <c r="AM1383" s="358">
        <v>0</v>
      </c>
      <c r="AN1383" s="358">
        <v>0</v>
      </c>
      <c r="AO1383" s="358">
        <v>0</v>
      </c>
      <c r="AP1383" s="358">
        <v>0</v>
      </c>
      <c r="AQ1383" s="358">
        <v>0</v>
      </c>
      <c r="AR1383" s="358">
        <v>0</v>
      </c>
      <c r="AS1383" s="358">
        <f t="shared" si="442"/>
        <v>0</v>
      </c>
      <c r="AT1383" s="145">
        <v>0</v>
      </c>
      <c r="AU1383" s="139">
        <f t="shared" si="438"/>
        <v>0</v>
      </c>
      <c r="AV1383" s="146">
        <f>IFERROR(VLOOKUP(J1383,Maksājumu_pieprasījumu_iesn.!G:BL,57,0),0)</f>
        <v>0</v>
      </c>
      <c r="AW1383" s="139">
        <f t="shared" si="441"/>
        <v>0</v>
      </c>
      <c r="AX1383" s="358"/>
      <c r="AY1383" s="358"/>
      <c r="AZ1383" s="358"/>
      <c r="BA1383" s="360"/>
      <c r="BB1383" s="358"/>
      <c r="BC1383" s="358"/>
      <c r="BD1383" s="358"/>
      <c r="BE1383" s="358"/>
      <c r="BF1383" s="358"/>
      <c r="BG1383" s="358"/>
      <c r="BH1383" s="360"/>
      <c r="BI1383" s="360"/>
      <c r="BJ1383" s="360"/>
      <c r="BK1383" s="360"/>
      <c r="BL1383" s="360"/>
      <c r="BM1383" s="360"/>
      <c r="BN1383" s="360"/>
    </row>
    <row r="1384" spans="1:66" s="91" customFormat="1" ht="25.5" hidden="1" customHeight="1" outlineLevel="2" x14ac:dyDescent="0.2">
      <c r="A1384" s="150" t="s">
        <v>2279</v>
      </c>
      <c r="B1384" s="355" t="s">
        <v>406</v>
      </c>
      <c r="C1384" s="355" t="s">
        <v>411</v>
      </c>
      <c r="D1384" s="356" t="s">
        <v>606</v>
      </c>
      <c r="E1384" s="114">
        <v>2</v>
      </c>
      <c r="F1384" s="114" t="s">
        <v>402</v>
      </c>
      <c r="G1384" s="114" t="s">
        <v>77</v>
      </c>
      <c r="H1384" s="114" t="s">
        <v>3</v>
      </c>
      <c r="I1384" s="114"/>
      <c r="J1384" s="114"/>
      <c r="K1384" s="356" t="s">
        <v>1311</v>
      </c>
      <c r="L1384" s="356"/>
      <c r="M1384" s="356"/>
      <c r="N1384" s="356"/>
      <c r="O1384" s="357">
        <v>43616</v>
      </c>
      <c r="P1384" s="357"/>
      <c r="Q1384" s="357"/>
      <c r="R1384" s="357"/>
      <c r="S1384" s="117"/>
      <c r="T1384" s="117"/>
      <c r="U1384" s="358">
        <v>0</v>
      </c>
      <c r="V1384" s="358">
        <v>0</v>
      </c>
      <c r="W1384" s="358">
        <v>0</v>
      </c>
      <c r="X1384" s="358">
        <f t="shared" si="443"/>
        <v>0</v>
      </c>
      <c r="Y1384" s="358">
        <v>0</v>
      </c>
      <c r="Z1384" s="358">
        <v>0</v>
      </c>
      <c r="AA1384" s="358">
        <v>0</v>
      </c>
      <c r="AB1384" s="358">
        <v>0</v>
      </c>
      <c r="AC1384" s="358">
        <v>0</v>
      </c>
      <c r="AD1384" s="358">
        <v>0</v>
      </c>
      <c r="AE1384" s="358">
        <v>0</v>
      </c>
      <c r="AF1384" s="358">
        <v>0</v>
      </c>
      <c r="AG1384" s="358">
        <v>0</v>
      </c>
      <c r="AH1384" s="358">
        <v>0</v>
      </c>
      <c r="AI1384" s="358">
        <v>0</v>
      </c>
      <c r="AJ1384" s="358">
        <v>0</v>
      </c>
      <c r="AK1384" s="358">
        <f t="shared" si="440"/>
        <v>0</v>
      </c>
      <c r="AL1384" s="358">
        <v>0</v>
      </c>
      <c r="AM1384" s="358">
        <v>0</v>
      </c>
      <c r="AN1384" s="358">
        <v>0</v>
      </c>
      <c r="AO1384" s="358">
        <v>0</v>
      </c>
      <c r="AP1384" s="358">
        <v>0</v>
      </c>
      <c r="AQ1384" s="358">
        <v>0</v>
      </c>
      <c r="AR1384" s="358">
        <v>0</v>
      </c>
      <c r="AS1384" s="358">
        <f t="shared" si="442"/>
        <v>0</v>
      </c>
      <c r="AT1384" s="145">
        <v>0</v>
      </c>
      <c r="AU1384" s="139">
        <f t="shared" si="438"/>
        <v>0</v>
      </c>
      <c r="AV1384" s="146">
        <f>IFERROR(VLOOKUP(J1384,Maksājumu_pieprasījumu_iesn.!G:BL,57,0),0)</f>
        <v>0</v>
      </c>
      <c r="AW1384" s="139">
        <f t="shared" si="441"/>
        <v>0</v>
      </c>
      <c r="AX1384" s="358"/>
      <c r="AY1384" s="358"/>
      <c r="AZ1384" s="358"/>
      <c r="BA1384" s="360"/>
      <c r="BB1384" s="358"/>
      <c r="BC1384" s="358"/>
      <c r="BD1384" s="358"/>
      <c r="BE1384" s="358"/>
      <c r="BF1384" s="358"/>
      <c r="BG1384" s="358"/>
      <c r="BH1384" s="360"/>
      <c r="BI1384" s="360"/>
      <c r="BJ1384" s="360"/>
      <c r="BK1384" s="360"/>
      <c r="BL1384" s="360"/>
      <c r="BM1384" s="360"/>
      <c r="BN1384" s="360"/>
    </row>
    <row r="1385" spans="1:66" s="91" customFormat="1" ht="25.5" hidden="1" customHeight="1" outlineLevel="2" x14ac:dyDescent="0.2">
      <c r="A1385" s="150" t="s">
        <v>2279</v>
      </c>
      <c r="B1385" s="355" t="s">
        <v>406</v>
      </c>
      <c r="C1385" s="355" t="s">
        <v>411</v>
      </c>
      <c r="D1385" s="356" t="s">
        <v>606</v>
      </c>
      <c r="E1385" s="114">
        <v>2</v>
      </c>
      <c r="F1385" s="114" t="s">
        <v>402</v>
      </c>
      <c r="G1385" s="114" t="s">
        <v>77</v>
      </c>
      <c r="H1385" s="114" t="s">
        <v>3</v>
      </c>
      <c r="I1385" s="114"/>
      <c r="J1385" s="114"/>
      <c r="K1385" s="356" t="s">
        <v>1315</v>
      </c>
      <c r="L1385" s="356"/>
      <c r="M1385" s="356"/>
      <c r="N1385" s="356"/>
      <c r="O1385" s="357">
        <v>43616</v>
      </c>
      <c r="P1385" s="357"/>
      <c r="Q1385" s="357"/>
      <c r="R1385" s="357"/>
      <c r="S1385" s="117"/>
      <c r="T1385" s="117"/>
      <c r="U1385" s="358">
        <v>0</v>
      </c>
      <c r="V1385" s="358">
        <v>0</v>
      </c>
      <c r="W1385" s="358">
        <v>0</v>
      </c>
      <c r="X1385" s="358">
        <f t="shared" si="443"/>
        <v>0</v>
      </c>
      <c r="Y1385" s="358">
        <v>0</v>
      </c>
      <c r="Z1385" s="358">
        <v>0</v>
      </c>
      <c r="AA1385" s="358">
        <v>0</v>
      </c>
      <c r="AB1385" s="358">
        <v>0</v>
      </c>
      <c r="AC1385" s="358">
        <v>0</v>
      </c>
      <c r="AD1385" s="358">
        <v>0</v>
      </c>
      <c r="AE1385" s="358">
        <v>0</v>
      </c>
      <c r="AF1385" s="358">
        <v>0</v>
      </c>
      <c r="AG1385" s="358">
        <v>0</v>
      </c>
      <c r="AH1385" s="358">
        <v>0</v>
      </c>
      <c r="AI1385" s="358">
        <v>0</v>
      </c>
      <c r="AJ1385" s="358">
        <v>0</v>
      </c>
      <c r="AK1385" s="358">
        <f t="shared" si="440"/>
        <v>0</v>
      </c>
      <c r="AL1385" s="358">
        <v>0</v>
      </c>
      <c r="AM1385" s="358">
        <v>0</v>
      </c>
      <c r="AN1385" s="358">
        <v>0</v>
      </c>
      <c r="AO1385" s="358">
        <v>0</v>
      </c>
      <c r="AP1385" s="358">
        <v>0</v>
      </c>
      <c r="AQ1385" s="358">
        <v>0</v>
      </c>
      <c r="AR1385" s="358">
        <v>0</v>
      </c>
      <c r="AS1385" s="358">
        <f t="shared" si="442"/>
        <v>0</v>
      </c>
      <c r="AT1385" s="145">
        <v>0</v>
      </c>
      <c r="AU1385" s="139">
        <f t="shared" si="438"/>
        <v>0</v>
      </c>
      <c r="AV1385" s="146">
        <f>IFERROR(VLOOKUP(J1385,Maksājumu_pieprasījumu_iesn.!G:BL,57,0),0)</f>
        <v>0</v>
      </c>
      <c r="AW1385" s="139">
        <f t="shared" si="441"/>
        <v>0</v>
      </c>
      <c r="AX1385" s="358"/>
      <c r="AY1385" s="358"/>
      <c r="AZ1385" s="358"/>
      <c r="BA1385" s="360"/>
      <c r="BB1385" s="358"/>
      <c r="BC1385" s="358"/>
      <c r="BD1385" s="358"/>
      <c r="BE1385" s="358"/>
      <c r="BF1385" s="358"/>
      <c r="BG1385" s="358"/>
      <c r="BH1385" s="360"/>
      <c r="BI1385" s="360"/>
      <c r="BJ1385" s="360"/>
      <c r="BK1385" s="360"/>
      <c r="BL1385" s="360"/>
      <c r="BM1385" s="360"/>
      <c r="BN1385" s="360"/>
    </row>
    <row r="1386" spans="1:66" s="91" customFormat="1" ht="25.5" hidden="1" customHeight="1" outlineLevel="2" x14ac:dyDescent="0.2">
      <c r="A1386" s="150" t="s">
        <v>2279</v>
      </c>
      <c r="B1386" s="355" t="s">
        <v>406</v>
      </c>
      <c r="C1386" s="355" t="s">
        <v>411</v>
      </c>
      <c r="D1386" s="356" t="s">
        <v>606</v>
      </c>
      <c r="E1386" s="114">
        <v>2</v>
      </c>
      <c r="F1386" s="114" t="s">
        <v>402</v>
      </c>
      <c r="G1386" s="114" t="s">
        <v>77</v>
      </c>
      <c r="H1386" s="114" t="s">
        <v>3</v>
      </c>
      <c r="I1386" s="114"/>
      <c r="J1386" s="114"/>
      <c r="K1386" s="356" t="s">
        <v>1234</v>
      </c>
      <c r="L1386" s="356"/>
      <c r="M1386" s="356"/>
      <c r="N1386" s="356"/>
      <c r="O1386" s="357">
        <v>43616</v>
      </c>
      <c r="P1386" s="357"/>
      <c r="Q1386" s="357"/>
      <c r="R1386" s="357"/>
      <c r="S1386" s="117"/>
      <c r="T1386" s="117"/>
      <c r="U1386" s="358">
        <v>0</v>
      </c>
      <c r="V1386" s="358">
        <v>0</v>
      </c>
      <c r="W1386" s="358">
        <v>0</v>
      </c>
      <c r="X1386" s="358">
        <f t="shared" si="443"/>
        <v>0</v>
      </c>
      <c r="Y1386" s="358">
        <v>0</v>
      </c>
      <c r="Z1386" s="358">
        <v>0</v>
      </c>
      <c r="AA1386" s="358">
        <v>0</v>
      </c>
      <c r="AB1386" s="358">
        <v>0</v>
      </c>
      <c r="AC1386" s="358">
        <v>0</v>
      </c>
      <c r="AD1386" s="358">
        <v>0</v>
      </c>
      <c r="AE1386" s="358">
        <v>0</v>
      </c>
      <c r="AF1386" s="358">
        <v>0</v>
      </c>
      <c r="AG1386" s="358">
        <v>0</v>
      </c>
      <c r="AH1386" s="358">
        <v>0</v>
      </c>
      <c r="AI1386" s="358">
        <v>0</v>
      </c>
      <c r="AJ1386" s="358">
        <v>0</v>
      </c>
      <c r="AK1386" s="358">
        <f t="shared" si="440"/>
        <v>0</v>
      </c>
      <c r="AL1386" s="358">
        <v>0</v>
      </c>
      <c r="AM1386" s="358">
        <v>0</v>
      </c>
      <c r="AN1386" s="358">
        <v>0</v>
      </c>
      <c r="AO1386" s="358">
        <v>0</v>
      </c>
      <c r="AP1386" s="358">
        <v>0</v>
      </c>
      <c r="AQ1386" s="358">
        <v>0</v>
      </c>
      <c r="AR1386" s="358">
        <v>0</v>
      </c>
      <c r="AS1386" s="358">
        <f t="shared" si="442"/>
        <v>0</v>
      </c>
      <c r="AT1386" s="145">
        <v>0</v>
      </c>
      <c r="AU1386" s="139">
        <f t="shared" si="438"/>
        <v>0</v>
      </c>
      <c r="AV1386" s="146">
        <f>IFERROR(VLOOKUP(J1386,Maksājumu_pieprasījumu_iesn.!G:BL,57,0),0)</f>
        <v>0</v>
      </c>
      <c r="AW1386" s="139">
        <f t="shared" si="441"/>
        <v>0</v>
      </c>
      <c r="AX1386" s="358"/>
      <c r="AY1386" s="358"/>
      <c r="AZ1386" s="358"/>
      <c r="BA1386" s="360"/>
      <c r="BB1386" s="358"/>
      <c r="BC1386" s="358"/>
      <c r="BD1386" s="358"/>
      <c r="BE1386" s="358"/>
      <c r="BF1386" s="358"/>
      <c r="BG1386" s="358"/>
      <c r="BH1386" s="360"/>
      <c r="BI1386" s="360"/>
      <c r="BJ1386" s="360"/>
      <c r="BK1386" s="360"/>
      <c r="BL1386" s="360"/>
      <c r="BM1386" s="360"/>
      <c r="BN1386" s="360"/>
    </row>
    <row r="1387" spans="1:66" s="91" customFormat="1" ht="25.5" hidden="1" customHeight="1" outlineLevel="2" x14ac:dyDescent="0.2">
      <c r="A1387" s="150" t="s">
        <v>2279</v>
      </c>
      <c r="B1387" s="355" t="s">
        <v>406</v>
      </c>
      <c r="C1387" s="355" t="s">
        <v>411</v>
      </c>
      <c r="D1387" s="356" t="s">
        <v>606</v>
      </c>
      <c r="E1387" s="114">
        <v>2</v>
      </c>
      <c r="F1387" s="114" t="s">
        <v>402</v>
      </c>
      <c r="G1387" s="114" t="s">
        <v>77</v>
      </c>
      <c r="H1387" s="114" t="s">
        <v>3</v>
      </c>
      <c r="I1387" s="114"/>
      <c r="J1387" s="114"/>
      <c r="K1387" s="356" t="s">
        <v>938</v>
      </c>
      <c r="L1387" s="356"/>
      <c r="M1387" s="356"/>
      <c r="N1387" s="356"/>
      <c r="O1387" s="357">
        <v>43616</v>
      </c>
      <c r="P1387" s="357"/>
      <c r="Q1387" s="357"/>
      <c r="R1387" s="357"/>
      <c r="S1387" s="117"/>
      <c r="T1387" s="117"/>
      <c r="U1387" s="358">
        <v>0</v>
      </c>
      <c r="V1387" s="358">
        <v>0</v>
      </c>
      <c r="W1387" s="358">
        <v>0</v>
      </c>
      <c r="X1387" s="358">
        <f t="shared" si="443"/>
        <v>0</v>
      </c>
      <c r="Y1387" s="358">
        <v>0</v>
      </c>
      <c r="Z1387" s="358">
        <v>0</v>
      </c>
      <c r="AA1387" s="358">
        <v>0</v>
      </c>
      <c r="AB1387" s="358">
        <v>0</v>
      </c>
      <c r="AC1387" s="358">
        <v>0</v>
      </c>
      <c r="AD1387" s="358">
        <v>0</v>
      </c>
      <c r="AE1387" s="358">
        <v>0</v>
      </c>
      <c r="AF1387" s="358">
        <v>0</v>
      </c>
      <c r="AG1387" s="358">
        <v>0</v>
      </c>
      <c r="AH1387" s="358">
        <v>0</v>
      </c>
      <c r="AI1387" s="358">
        <v>0</v>
      </c>
      <c r="AJ1387" s="358">
        <v>0</v>
      </c>
      <c r="AK1387" s="358">
        <f t="shared" si="440"/>
        <v>0</v>
      </c>
      <c r="AL1387" s="358">
        <v>0</v>
      </c>
      <c r="AM1387" s="358">
        <v>0</v>
      </c>
      <c r="AN1387" s="358">
        <v>0</v>
      </c>
      <c r="AO1387" s="358">
        <v>0</v>
      </c>
      <c r="AP1387" s="358">
        <v>0</v>
      </c>
      <c r="AQ1387" s="358">
        <v>0</v>
      </c>
      <c r="AR1387" s="358">
        <v>0</v>
      </c>
      <c r="AS1387" s="358">
        <f t="shared" si="442"/>
        <v>0</v>
      </c>
      <c r="AT1387" s="145">
        <v>0</v>
      </c>
      <c r="AU1387" s="139">
        <f t="shared" si="438"/>
        <v>0</v>
      </c>
      <c r="AV1387" s="146">
        <f>IFERROR(VLOOKUP(J1387,Maksājumu_pieprasījumu_iesn.!G:BL,57,0),0)</f>
        <v>0</v>
      </c>
      <c r="AW1387" s="139">
        <f t="shared" si="441"/>
        <v>0</v>
      </c>
      <c r="AX1387" s="358"/>
      <c r="AY1387" s="358"/>
      <c r="AZ1387" s="358"/>
      <c r="BA1387" s="360"/>
      <c r="BB1387" s="358"/>
      <c r="BC1387" s="358"/>
      <c r="BD1387" s="358"/>
      <c r="BE1387" s="358"/>
      <c r="BF1387" s="358"/>
      <c r="BG1387" s="358"/>
      <c r="BH1387" s="360"/>
      <c r="BI1387" s="360"/>
      <c r="BJ1387" s="360"/>
      <c r="BK1387" s="360"/>
      <c r="BL1387" s="360"/>
      <c r="BM1387" s="360"/>
      <c r="BN1387" s="360"/>
    </row>
    <row r="1388" spans="1:66" s="91" customFormat="1" ht="25.5" hidden="1" customHeight="1" outlineLevel="2" x14ac:dyDescent="0.2">
      <c r="A1388" s="150" t="s">
        <v>2279</v>
      </c>
      <c r="B1388" s="355" t="s">
        <v>406</v>
      </c>
      <c r="C1388" s="355" t="s">
        <v>411</v>
      </c>
      <c r="D1388" s="356" t="s">
        <v>606</v>
      </c>
      <c r="E1388" s="114">
        <v>2</v>
      </c>
      <c r="F1388" s="114" t="s">
        <v>402</v>
      </c>
      <c r="G1388" s="114" t="s">
        <v>77</v>
      </c>
      <c r="H1388" s="114" t="s">
        <v>3</v>
      </c>
      <c r="I1388" s="114"/>
      <c r="J1388" s="114"/>
      <c r="K1388" s="356" t="s">
        <v>2506</v>
      </c>
      <c r="L1388" s="356"/>
      <c r="M1388" s="356"/>
      <c r="N1388" s="356"/>
      <c r="O1388" s="357">
        <v>43616</v>
      </c>
      <c r="P1388" s="357"/>
      <c r="Q1388" s="357"/>
      <c r="R1388" s="357"/>
      <c r="S1388" s="117"/>
      <c r="T1388" s="117"/>
      <c r="U1388" s="358">
        <v>0</v>
      </c>
      <c r="V1388" s="358">
        <v>0</v>
      </c>
      <c r="W1388" s="358">
        <v>0</v>
      </c>
      <c r="X1388" s="358">
        <f t="shared" si="443"/>
        <v>0</v>
      </c>
      <c r="Y1388" s="358">
        <v>0</v>
      </c>
      <c r="Z1388" s="358">
        <v>0</v>
      </c>
      <c r="AA1388" s="358">
        <v>0</v>
      </c>
      <c r="AB1388" s="358">
        <v>0</v>
      </c>
      <c r="AC1388" s="358">
        <v>0</v>
      </c>
      <c r="AD1388" s="358">
        <v>0</v>
      </c>
      <c r="AE1388" s="358">
        <v>0</v>
      </c>
      <c r="AF1388" s="358">
        <v>0</v>
      </c>
      <c r="AG1388" s="358">
        <v>0</v>
      </c>
      <c r="AH1388" s="358">
        <v>0</v>
      </c>
      <c r="AI1388" s="358">
        <v>0</v>
      </c>
      <c r="AJ1388" s="358">
        <v>0</v>
      </c>
      <c r="AK1388" s="358">
        <f t="shared" si="440"/>
        <v>0</v>
      </c>
      <c r="AL1388" s="358">
        <v>0</v>
      </c>
      <c r="AM1388" s="358">
        <v>0</v>
      </c>
      <c r="AN1388" s="358">
        <v>0</v>
      </c>
      <c r="AO1388" s="358">
        <v>0</v>
      </c>
      <c r="AP1388" s="358">
        <v>0</v>
      </c>
      <c r="AQ1388" s="358">
        <v>0</v>
      </c>
      <c r="AR1388" s="358">
        <v>0</v>
      </c>
      <c r="AS1388" s="358">
        <f t="shared" si="442"/>
        <v>0</v>
      </c>
      <c r="AT1388" s="145">
        <v>0</v>
      </c>
      <c r="AU1388" s="139">
        <f t="shared" si="438"/>
        <v>0</v>
      </c>
      <c r="AV1388" s="146">
        <f>IFERROR(VLOOKUP(J1388,Maksājumu_pieprasījumu_iesn.!G:BL,57,0),0)</f>
        <v>0</v>
      </c>
      <c r="AW1388" s="139">
        <f t="shared" si="441"/>
        <v>0</v>
      </c>
      <c r="AX1388" s="358"/>
      <c r="AY1388" s="358"/>
      <c r="AZ1388" s="358"/>
      <c r="BA1388" s="360"/>
      <c r="BB1388" s="358"/>
      <c r="BC1388" s="358"/>
      <c r="BD1388" s="358"/>
      <c r="BE1388" s="358"/>
      <c r="BF1388" s="358"/>
      <c r="BG1388" s="358"/>
      <c r="BH1388" s="360"/>
      <c r="BI1388" s="360"/>
      <c r="BJ1388" s="360"/>
      <c r="BK1388" s="360"/>
      <c r="BL1388" s="360"/>
      <c r="BM1388" s="360"/>
      <c r="BN1388" s="360"/>
    </row>
    <row r="1389" spans="1:66" s="91" customFormat="1" ht="25.5" hidden="1" customHeight="1" outlineLevel="2" x14ac:dyDescent="0.2">
      <c r="A1389" s="150" t="s">
        <v>2279</v>
      </c>
      <c r="B1389" s="355" t="s">
        <v>406</v>
      </c>
      <c r="C1389" s="355" t="s">
        <v>411</v>
      </c>
      <c r="D1389" s="356" t="s">
        <v>606</v>
      </c>
      <c r="E1389" s="114">
        <v>2</v>
      </c>
      <c r="F1389" s="114" t="s">
        <v>402</v>
      </c>
      <c r="G1389" s="114" t="s">
        <v>77</v>
      </c>
      <c r="H1389" s="114" t="s">
        <v>3</v>
      </c>
      <c r="I1389" s="114"/>
      <c r="J1389" s="114"/>
      <c r="K1389" s="356" t="s">
        <v>2507</v>
      </c>
      <c r="L1389" s="356"/>
      <c r="M1389" s="356"/>
      <c r="N1389" s="356"/>
      <c r="O1389" s="357">
        <v>43616</v>
      </c>
      <c r="P1389" s="357"/>
      <c r="Q1389" s="357"/>
      <c r="R1389" s="357"/>
      <c r="S1389" s="117"/>
      <c r="T1389" s="117"/>
      <c r="U1389" s="358">
        <v>0</v>
      </c>
      <c r="V1389" s="358">
        <v>0</v>
      </c>
      <c r="W1389" s="358">
        <v>0</v>
      </c>
      <c r="X1389" s="358">
        <f t="shared" si="443"/>
        <v>0</v>
      </c>
      <c r="Y1389" s="358">
        <v>0</v>
      </c>
      <c r="Z1389" s="358">
        <v>0</v>
      </c>
      <c r="AA1389" s="358">
        <v>0</v>
      </c>
      <c r="AB1389" s="358">
        <v>0</v>
      </c>
      <c r="AC1389" s="358">
        <v>0</v>
      </c>
      <c r="AD1389" s="358">
        <v>0</v>
      </c>
      <c r="AE1389" s="358">
        <v>0</v>
      </c>
      <c r="AF1389" s="358">
        <v>0</v>
      </c>
      <c r="AG1389" s="358">
        <v>0</v>
      </c>
      <c r="AH1389" s="358">
        <v>0</v>
      </c>
      <c r="AI1389" s="358">
        <v>0</v>
      </c>
      <c r="AJ1389" s="358">
        <v>0</v>
      </c>
      <c r="AK1389" s="358">
        <f t="shared" si="440"/>
        <v>0</v>
      </c>
      <c r="AL1389" s="358">
        <v>0</v>
      </c>
      <c r="AM1389" s="358">
        <v>0</v>
      </c>
      <c r="AN1389" s="358">
        <v>0</v>
      </c>
      <c r="AO1389" s="358">
        <v>0</v>
      </c>
      <c r="AP1389" s="358">
        <v>0</v>
      </c>
      <c r="AQ1389" s="358">
        <v>0</v>
      </c>
      <c r="AR1389" s="358">
        <v>0</v>
      </c>
      <c r="AS1389" s="358">
        <f t="shared" si="442"/>
        <v>0</v>
      </c>
      <c r="AT1389" s="145">
        <v>0</v>
      </c>
      <c r="AU1389" s="139">
        <f t="shared" si="438"/>
        <v>0</v>
      </c>
      <c r="AV1389" s="146">
        <f>IFERROR(VLOOKUP(J1389,Maksājumu_pieprasījumu_iesn.!G:BL,57,0),0)</f>
        <v>0</v>
      </c>
      <c r="AW1389" s="139">
        <f t="shared" si="441"/>
        <v>0</v>
      </c>
      <c r="AX1389" s="358"/>
      <c r="AY1389" s="358"/>
      <c r="AZ1389" s="358"/>
      <c r="BA1389" s="360"/>
      <c r="BB1389" s="358"/>
      <c r="BC1389" s="358"/>
      <c r="BD1389" s="358"/>
      <c r="BE1389" s="358"/>
      <c r="BF1389" s="358"/>
      <c r="BG1389" s="358"/>
      <c r="BH1389" s="360"/>
      <c r="BI1389" s="360"/>
      <c r="BJ1389" s="360"/>
      <c r="BK1389" s="360"/>
      <c r="BL1389" s="360"/>
      <c r="BM1389" s="360"/>
      <c r="BN1389" s="360"/>
    </row>
    <row r="1390" spans="1:66" s="91" customFormat="1" ht="25.5" hidden="1" customHeight="1" outlineLevel="2" x14ac:dyDescent="0.2">
      <c r="A1390" s="150" t="s">
        <v>2279</v>
      </c>
      <c r="B1390" s="355" t="s">
        <v>406</v>
      </c>
      <c r="C1390" s="355" t="s">
        <v>411</v>
      </c>
      <c r="D1390" s="356" t="s">
        <v>606</v>
      </c>
      <c r="E1390" s="114">
        <v>2</v>
      </c>
      <c r="F1390" s="114" t="s">
        <v>402</v>
      </c>
      <c r="G1390" s="114" t="s">
        <v>77</v>
      </c>
      <c r="H1390" s="114" t="s">
        <v>3</v>
      </c>
      <c r="I1390" s="114"/>
      <c r="J1390" s="114"/>
      <c r="K1390" s="356" t="s">
        <v>1212</v>
      </c>
      <c r="L1390" s="356"/>
      <c r="M1390" s="356"/>
      <c r="N1390" s="356"/>
      <c r="O1390" s="357">
        <v>43616</v>
      </c>
      <c r="P1390" s="357"/>
      <c r="Q1390" s="357"/>
      <c r="R1390" s="357"/>
      <c r="S1390" s="117"/>
      <c r="T1390" s="117"/>
      <c r="U1390" s="358">
        <v>0</v>
      </c>
      <c r="V1390" s="358">
        <v>0</v>
      </c>
      <c r="W1390" s="358">
        <v>0</v>
      </c>
      <c r="X1390" s="358">
        <f t="shared" si="443"/>
        <v>0</v>
      </c>
      <c r="Y1390" s="358">
        <v>0</v>
      </c>
      <c r="Z1390" s="358">
        <v>0</v>
      </c>
      <c r="AA1390" s="358">
        <v>0</v>
      </c>
      <c r="AB1390" s="358">
        <v>0</v>
      </c>
      <c r="AC1390" s="358">
        <v>0</v>
      </c>
      <c r="AD1390" s="358">
        <v>0</v>
      </c>
      <c r="AE1390" s="358">
        <v>0</v>
      </c>
      <c r="AF1390" s="358">
        <v>0</v>
      </c>
      <c r="AG1390" s="358">
        <v>0</v>
      </c>
      <c r="AH1390" s="358">
        <v>0</v>
      </c>
      <c r="AI1390" s="358">
        <v>0</v>
      </c>
      <c r="AJ1390" s="358">
        <v>0</v>
      </c>
      <c r="AK1390" s="358">
        <f t="shared" si="440"/>
        <v>0</v>
      </c>
      <c r="AL1390" s="358">
        <v>0</v>
      </c>
      <c r="AM1390" s="358">
        <v>0</v>
      </c>
      <c r="AN1390" s="358">
        <v>0</v>
      </c>
      <c r="AO1390" s="358">
        <v>0</v>
      </c>
      <c r="AP1390" s="358">
        <v>0</v>
      </c>
      <c r="AQ1390" s="358">
        <v>0</v>
      </c>
      <c r="AR1390" s="358">
        <v>0</v>
      </c>
      <c r="AS1390" s="358">
        <f t="shared" si="442"/>
        <v>0</v>
      </c>
      <c r="AT1390" s="145">
        <v>0</v>
      </c>
      <c r="AU1390" s="139">
        <f t="shared" si="438"/>
        <v>0</v>
      </c>
      <c r="AV1390" s="146">
        <f>IFERROR(VLOOKUP(J1390,Maksājumu_pieprasījumu_iesn.!G:BL,57,0),0)</f>
        <v>0</v>
      </c>
      <c r="AW1390" s="139">
        <f t="shared" si="441"/>
        <v>0</v>
      </c>
      <c r="AX1390" s="358"/>
      <c r="AY1390" s="358"/>
      <c r="AZ1390" s="358"/>
      <c r="BA1390" s="360"/>
      <c r="BB1390" s="358"/>
      <c r="BC1390" s="358"/>
      <c r="BD1390" s="358"/>
      <c r="BE1390" s="358"/>
      <c r="BF1390" s="358"/>
      <c r="BG1390" s="358"/>
      <c r="BH1390" s="360"/>
      <c r="BI1390" s="360"/>
      <c r="BJ1390" s="360"/>
      <c r="BK1390" s="360"/>
      <c r="BL1390" s="360"/>
      <c r="BM1390" s="360"/>
      <c r="BN1390" s="360"/>
    </row>
    <row r="1391" spans="1:66" s="91" customFormat="1" ht="25.5" hidden="1" customHeight="1" outlineLevel="2" x14ac:dyDescent="0.2">
      <c r="A1391" s="150" t="s">
        <v>2279</v>
      </c>
      <c r="B1391" s="355" t="s">
        <v>406</v>
      </c>
      <c r="C1391" s="355" t="s">
        <v>411</v>
      </c>
      <c r="D1391" s="356" t="s">
        <v>606</v>
      </c>
      <c r="E1391" s="114">
        <v>2</v>
      </c>
      <c r="F1391" s="114" t="s">
        <v>402</v>
      </c>
      <c r="G1391" s="114" t="s">
        <v>77</v>
      </c>
      <c r="H1391" s="114" t="s">
        <v>3</v>
      </c>
      <c r="I1391" s="114"/>
      <c r="J1391" s="114"/>
      <c r="K1391" s="356" t="s">
        <v>822</v>
      </c>
      <c r="L1391" s="356"/>
      <c r="M1391" s="356"/>
      <c r="N1391" s="356"/>
      <c r="O1391" s="357">
        <v>43616</v>
      </c>
      <c r="P1391" s="357"/>
      <c r="Q1391" s="357"/>
      <c r="R1391" s="357"/>
      <c r="S1391" s="117"/>
      <c r="T1391" s="117"/>
      <c r="U1391" s="358">
        <v>0</v>
      </c>
      <c r="V1391" s="358">
        <v>0</v>
      </c>
      <c r="W1391" s="358">
        <v>0</v>
      </c>
      <c r="X1391" s="358">
        <f t="shared" si="443"/>
        <v>0</v>
      </c>
      <c r="Y1391" s="358">
        <v>0</v>
      </c>
      <c r="Z1391" s="358">
        <v>0</v>
      </c>
      <c r="AA1391" s="358">
        <v>0</v>
      </c>
      <c r="AB1391" s="358">
        <v>0</v>
      </c>
      <c r="AC1391" s="358">
        <v>0</v>
      </c>
      <c r="AD1391" s="358">
        <v>0</v>
      </c>
      <c r="AE1391" s="358">
        <v>0</v>
      </c>
      <c r="AF1391" s="358">
        <v>0</v>
      </c>
      <c r="AG1391" s="358">
        <v>0</v>
      </c>
      <c r="AH1391" s="358">
        <v>0</v>
      </c>
      <c r="AI1391" s="358">
        <v>0</v>
      </c>
      <c r="AJ1391" s="358">
        <v>0</v>
      </c>
      <c r="AK1391" s="358">
        <f t="shared" si="440"/>
        <v>0</v>
      </c>
      <c r="AL1391" s="358">
        <v>0</v>
      </c>
      <c r="AM1391" s="358">
        <v>0</v>
      </c>
      <c r="AN1391" s="358">
        <v>0</v>
      </c>
      <c r="AO1391" s="358">
        <v>0</v>
      </c>
      <c r="AP1391" s="358">
        <v>0</v>
      </c>
      <c r="AQ1391" s="358">
        <v>0</v>
      </c>
      <c r="AR1391" s="358">
        <v>0</v>
      </c>
      <c r="AS1391" s="358">
        <f t="shared" si="442"/>
        <v>0</v>
      </c>
      <c r="AT1391" s="145">
        <v>0</v>
      </c>
      <c r="AU1391" s="139">
        <f t="shared" si="438"/>
        <v>0</v>
      </c>
      <c r="AV1391" s="146">
        <f>IFERROR(VLOOKUP(J1391,Maksājumu_pieprasījumu_iesn.!G:BL,57,0),0)</f>
        <v>0</v>
      </c>
      <c r="AW1391" s="139">
        <f t="shared" si="441"/>
        <v>0</v>
      </c>
      <c r="AX1391" s="358"/>
      <c r="AY1391" s="358"/>
      <c r="AZ1391" s="358"/>
      <c r="BA1391" s="360"/>
      <c r="BB1391" s="358"/>
      <c r="BC1391" s="358"/>
      <c r="BD1391" s="358"/>
      <c r="BE1391" s="358"/>
      <c r="BF1391" s="358"/>
      <c r="BG1391" s="358"/>
      <c r="BH1391" s="360"/>
      <c r="BI1391" s="360"/>
      <c r="BJ1391" s="360"/>
      <c r="BK1391" s="360"/>
      <c r="BL1391" s="360"/>
      <c r="BM1391" s="360"/>
      <c r="BN1391" s="360"/>
    </row>
    <row r="1392" spans="1:66" s="91" customFormat="1" ht="25.5" hidden="1" customHeight="1" outlineLevel="2" x14ac:dyDescent="0.2">
      <c r="A1392" s="150" t="s">
        <v>2279</v>
      </c>
      <c r="B1392" s="355" t="s">
        <v>406</v>
      </c>
      <c r="C1392" s="355" t="s">
        <v>411</v>
      </c>
      <c r="D1392" s="356" t="s">
        <v>606</v>
      </c>
      <c r="E1392" s="114">
        <v>2</v>
      </c>
      <c r="F1392" s="114" t="s">
        <v>402</v>
      </c>
      <c r="G1392" s="114" t="s">
        <v>77</v>
      </c>
      <c r="H1392" s="114" t="s">
        <v>3</v>
      </c>
      <c r="I1392" s="114"/>
      <c r="J1392" s="114"/>
      <c r="K1392" s="356" t="s">
        <v>1319</v>
      </c>
      <c r="L1392" s="356"/>
      <c r="M1392" s="356"/>
      <c r="N1392" s="356"/>
      <c r="O1392" s="357">
        <v>43616</v>
      </c>
      <c r="P1392" s="357"/>
      <c r="Q1392" s="357"/>
      <c r="R1392" s="357"/>
      <c r="S1392" s="117"/>
      <c r="T1392" s="117"/>
      <c r="U1392" s="358">
        <v>0</v>
      </c>
      <c r="V1392" s="358">
        <v>0</v>
      </c>
      <c r="W1392" s="358">
        <v>0</v>
      </c>
      <c r="X1392" s="358">
        <f t="shared" si="443"/>
        <v>0</v>
      </c>
      <c r="Y1392" s="358">
        <v>0</v>
      </c>
      <c r="Z1392" s="358">
        <v>0</v>
      </c>
      <c r="AA1392" s="358">
        <v>0</v>
      </c>
      <c r="AB1392" s="358">
        <v>0</v>
      </c>
      <c r="AC1392" s="358">
        <v>0</v>
      </c>
      <c r="AD1392" s="358">
        <v>0</v>
      </c>
      <c r="AE1392" s="358">
        <v>0</v>
      </c>
      <c r="AF1392" s="358">
        <v>0</v>
      </c>
      <c r="AG1392" s="358">
        <v>0</v>
      </c>
      <c r="AH1392" s="358">
        <v>0</v>
      </c>
      <c r="AI1392" s="358">
        <v>0</v>
      </c>
      <c r="AJ1392" s="358">
        <v>0</v>
      </c>
      <c r="AK1392" s="358">
        <f t="shared" si="440"/>
        <v>0</v>
      </c>
      <c r="AL1392" s="358">
        <v>0</v>
      </c>
      <c r="AM1392" s="358">
        <v>0</v>
      </c>
      <c r="AN1392" s="358">
        <v>0</v>
      </c>
      <c r="AO1392" s="358">
        <v>0</v>
      </c>
      <c r="AP1392" s="358">
        <v>0</v>
      </c>
      <c r="AQ1392" s="358">
        <v>0</v>
      </c>
      <c r="AR1392" s="358">
        <v>0</v>
      </c>
      <c r="AS1392" s="358">
        <f t="shared" si="442"/>
        <v>0</v>
      </c>
      <c r="AT1392" s="145">
        <v>0</v>
      </c>
      <c r="AU1392" s="139">
        <f t="shared" si="438"/>
        <v>0</v>
      </c>
      <c r="AV1392" s="146">
        <f>IFERROR(VLOOKUP(J1392,Maksājumu_pieprasījumu_iesn.!G:BL,57,0),0)</f>
        <v>0</v>
      </c>
      <c r="AW1392" s="139">
        <f t="shared" si="441"/>
        <v>0</v>
      </c>
      <c r="AX1392" s="358"/>
      <c r="AY1392" s="358"/>
      <c r="AZ1392" s="358"/>
      <c r="BA1392" s="360"/>
      <c r="BB1392" s="358"/>
      <c r="BC1392" s="358"/>
      <c r="BD1392" s="358"/>
      <c r="BE1392" s="358"/>
      <c r="BF1392" s="358"/>
      <c r="BG1392" s="358"/>
      <c r="BH1392" s="360"/>
      <c r="BI1392" s="360"/>
      <c r="BJ1392" s="360"/>
      <c r="BK1392" s="360"/>
      <c r="BL1392" s="360"/>
      <c r="BM1392" s="360"/>
      <c r="BN1392" s="360"/>
    </row>
    <row r="1393" spans="1:66" s="91" customFormat="1" ht="25.5" hidden="1" customHeight="1" outlineLevel="2" x14ac:dyDescent="0.2">
      <c r="A1393" s="150" t="s">
        <v>2279</v>
      </c>
      <c r="B1393" s="355" t="s">
        <v>406</v>
      </c>
      <c r="C1393" s="355" t="s">
        <v>411</v>
      </c>
      <c r="D1393" s="356" t="s">
        <v>606</v>
      </c>
      <c r="E1393" s="114">
        <v>2</v>
      </c>
      <c r="F1393" s="114" t="s">
        <v>402</v>
      </c>
      <c r="G1393" s="114" t="s">
        <v>77</v>
      </c>
      <c r="H1393" s="114" t="s">
        <v>3</v>
      </c>
      <c r="I1393" s="114"/>
      <c r="J1393" s="114"/>
      <c r="K1393" s="356" t="s">
        <v>148</v>
      </c>
      <c r="L1393" s="356"/>
      <c r="M1393" s="356"/>
      <c r="N1393" s="356"/>
      <c r="O1393" s="357">
        <v>43616</v>
      </c>
      <c r="P1393" s="357"/>
      <c r="Q1393" s="357"/>
      <c r="R1393" s="357"/>
      <c r="S1393" s="117"/>
      <c r="T1393" s="117"/>
      <c r="U1393" s="358">
        <v>0</v>
      </c>
      <c r="V1393" s="358">
        <v>0</v>
      </c>
      <c r="W1393" s="358">
        <v>0</v>
      </c>
      <c r="X1393" s="358">
        <f t="shared" si="443"/>
        <v>0</v>
      </c>
      <c r="Y1393" s="358">
        <v>0</v>
      </c>
      <c r="Z1393" s="358">
        <v>0</v>
      </c>
      <c r="AA1393" s="358">
        <v>0</v>
      </c>
      <c r="AB1393" s="358">
        <v>0</v>
      </c>
      <c r="AC1393" s="358">
        <v>0</v>
      </c>
      <c r="AD1393" s="358">
        <v>0</v>
      </c>
      <c r="AE1393" s="358">
        <v>0</v>
      </c>
      <c r="AF1393" s="358">
        <v>0</v>
      </c>
      <c r="AG1393" s="358">
        <v>0</v>
      </c>
      <c r="AH1393" s="358">
        <v>0</v>
      </c>
      <c r="AI1393" s="358">
        <v>0</v>
      </c>
      <c r="AJ1393" s="358">
        <v>0</v>
      </c>
      <c r="AK1393" s="358">
        <f t="shared" si="440"/>
        <v>0</v>
      </c>
      <c r="AL1393" s="358">
        <v>0</v>
      </c>
      <c r="AM1393" s="358">
        <v>0</v>
      </c>
      <c r="AN1393" s="358">
        <v>0</v>
      </c>
      <c r="AO1393" s="358">
        <v>0</v>
      </c>
      <c r="AP1393" s="358">
        <v>0</v>
      </c>
      <c r="AQ1393" s="358">
        <v>0</v>
      </c>
      <c r="AR1393" s="358">
        <v>0</v>
      </c>
      <c r="AS1393" s="358">
        <f t="shared" si="442"/>
        <v>0</v>
      </c>
      <c r="AT1393" s="145">
        <v>0</v>
      </c>
      <c r="AU1393" s="139">
        <f t="shared" si="438"/>
        <v>0</v>
      </c>
      <c r="AV1393" s="146">
        <f>IFERROR(VLOOKUP(J1393,Maksājumu_pieprasījumu_iesn.!G:BL,57,0),0)</f>
        <v>0</v>
      </c>
      <c r="AW1393" s="139">
        <f t="shared" si="441"/>
        <v>0</v>
      </c>
      <c r="AX1393" s="358"/>
      <c r="AY1393" s="358"/>
      <c r="AZ1393" s="358"/>
      <c r="BA1393" s="360"/>
      <c r="BB1393" s="358"/>
      <c r="BC1393" s="358"/>
      <c r="BD1393" s="358"/>
      <c r="BE1393" s="358"/>
      <c r="BF1393" s="358"/>
      <c r="BG1393" s="358"/>
      <c r="BH1393" s="360"/>
      <c r="BI1393" s="360"/>
      <c r="BJ1393" s="360"/>
      <c r="BK1393" s="360"/>
      <c r="BL1393" s="360"/>
      <c r="BM1393" s="360"/>
      <c r="BN1393" s="360"/>
    </row>
    <row r="1394" spans="1:66" s="91" customFormat="1" ht="25.5" hidden="1" customHeight="1" outlineLevel="2" x14ac:dyDescent="0.2">
      <c r="A1394" s="150" t="s">
        <v>2279</v>
      </c>
      <c r="B1394" s="355" t="s">
        <v>406</v>
      </c>
      <c r="C1394" s="355" t="s">
        <v>411</v>
      </c>
      <c r="D1394" s="356" t="s">
        <v>606</v>
      </c>
      <c r="E1394" s="114">
        <v>2</v>
      </c>
      <c r="F1394" s="114" t="s">
        <v>402</v>
      </c>
      <c r="G1394" s="114" t="s">
        <v>77</v>
      </c>
      <c r="H1394" s="114" t="s">
        <v>3</v>
      </c>
      <c r="I1394" s="114"/>
      <c r="J1394" s="114"/>
      <c r="K1394" s="356" t="s">
        <v>2508</v>
      </c>
      <c r="L1394" s="356"/>
      <c r="M1394" s="356"/>
      <c r="N1394" s="356"/>
      <c r="O1394" s="357">
        <v>43616</v>
      </c>
      <c r="P1394" s="357"/>
      <c r="Q1394" s="357"/>
      <c r="R1394" s="357"/>
      <c r="S1394" s="117"/>
      <c r="T1394" s="117"/>
      <c r="U1394" s="358">
        <v>0</v>
      </c>
      <c r="V1394" s="358">
        <v>0</v>
      </c>
      <c r="W1394" s="358">
        <v>0</v>
      </c>
      <c r="X1394" s="358">
        <f t="shared" si="443"/>
        <v>0</v>
      </c>
      <c r="Y1394" s="358">
        <v>0</v>
      </c>
      <c r="Z1394" s="358">
        <v>0</v>
      </c>
      <c r="AA1394" s="358">
        <v>0</v>
      </c>
      <c r="AB1394" s="358">
        <v>0</v>
      </c>
      <c r="AC1394" s="358">
        <v>0</v>
      </c>
      <c r="AD1394" s="358">
        <v>0</v>
      </c>
      <c r="AE1394" s="358">
        <v>0</v>
      </c>
      <c r="AF1394" s="358">
        <v>0</v>
      </c>
      <c r="AG1394" s="358">
        <v>0</v>
      </c>
      <c r="AH1394" s="358">
        <v>0</v>
      </c>
      <c r="AI1394" s="358">
        <v>0</v>
      </c>
      <c r="AJ1394" s="358">
        <v>0</v>
      </c>
      <c r="AK1394" s="358">
        <f t="shared" si="440"/>
        <v>0</v>
      </c>
      <c r="AL1394" s="358">
        <v>0</v>
      </c>
      <c r="AM1394" s="358">
        <v>0</v>
      </c>
      <c r="AN1394" s="358">
        <v>0</v>
      </c>
      <c r="AO1394" s="358">
        <v>0</v>
      </c>
      <c r="AP1394" s="358">
        <v>0</v>
      </c>
      <c r="AQ1394" s="358">
        <v>0</v>
      </c>
      <c r="AR1394" s="358">
        <v>0</v>
      </c>
      <c r="AS1394" s="358">
        <f t="shared" si="442"/>
        <v>0</v>
      </c>
      <c r="AT1394" s="145">
        <v>0</v>
      </c>
      <c r="AU1394" s="139">
        <f t="shared" si="438"/>
        <v>0</v>
      </c>
      <c r="AV1394" s="146">
        <f>IFERROR(VLOOKUP(J1394,Maksājumu_pieprasījumu_iesn.!G:BL,57,0),0)</f>
        <v>0</v>
      </c>
      <c r="AW1394" s="139">
        <f t="shared" si="441"/>
        <v>0</v>
      </c>
      <c r="AX1394" s="358"/>
      <c r="AY1394" s="358"/>
      <c r="AZ1394" s="358"/>
      <c r="BA1394" s="360"/>
      <c r="BB1394" s="358"/>
      <c r="BC1394" s="358"/>
      <c r="BD1394" s="358"/>
      <c r="BE1394" s="358"/>
      <c r="BF1394" s="358"/>
      <c r="BG1394" s="358"/>
      <c r="BH1394" s="360"/>
      <c r="BI1394" s="360"/>
      <c r="BJ1394" s="360"/>
      <c r="BK1394" s="360"/>
      <c r="BL1394" s="360"/>
      <c r="BM1394" s="360"/>
      <c r="BN1394" s="360"/>
    </row>
    <row r="1395" spans="1:66" s="91" customFormat="1" ht="25.5" hidden="1" customHeight="1" outlineLevel="2" x14ac:dyDescent="0.2">
      <c r="A1395" s="150" t="s">
        <v>2279</v>
      </c>
      <c r="B1395" s="355" t="s">
        <v>406</v>
      </c>
      <c r="C1395" s="355" t="s">
        <v>411</v>
      </c>
      <c r="D1395" s="356" t="s">
        <v>606</v>
      </c>
      <c r="E1395" s="114">
        <v>2</v>
      </c>
      <c r="F1395" s="114" t="s">
        <v>402</v>
      </c>
      <c r="G1395" s="114" t="s">
        <v>77</v>
      </c>
      <c r="H1395" s="114" t="s">
        <v>3</v>
      </c>
      <c r="I1395" s="114"/>
      <c r="J1395" s="114"/>
      <c r="K1395" s="356" t="s">
        <v>882</v>
      </c>
      <c r="L1395" s="356"/>
      <c r="M1395" s="356"/>
      <c r="N1395" s="356"/>
      <c r="O1395" s="357">
        <v>43616</v>
      </c>
      <c r="P1395" s="357"/>
      <c r="Q1395" s="357"/>
      <c r="R1395" s="357"/>
      <c r="S1395" s="117"/>
      <c r="T1395" s="117"/>
      <c r="U1395" s="358">
        <v>0</v>
      </c>
      <c r="V1395" s="358">
        <v>0</v>
      </c>
      <c r="W1395" s="358">
        <v>0</v>
      </c>
      <c r="X1395" s="358">
        <f t="shared" si="443"/>
        <v>0</v>
      </c>
      <c r="Y1395" s="358">
        <v>0</v>
      </c>
      <c r="Z1395" s="358">
        <v>0</v>
      </c>
      <c r="AA1395" s="358">
        <v>0</v>
      </c>
      <c r="AB1395" s="358">
        <v>0</v>
      </c>
      <c r="AC1395" s="358">
        <v>0</v>
      </c>
      <c r="AD1395" s="358">
        <v>0</v>
      </c>
      <c r="AE1395" s="358">
        <v>0</v>
      </c>
      <c r="AF1395" s="358">
        <v>0</v>
      </c>
      <c r="AG1395" s="358">
        <v>0</v>
      </c>
      <c r="AH1395" s="358">
        <v>0</v>
      </c>
      <c r="AI1395" s="358">
        <v>0</v>
      </c>
      <c r="AJ1395" s="358">
        <v>0</v>
      </c>
      <c r="AK1395" s="358">
        <f t="shared" si="440"/>
        <v>0</v>
      </c>
      <c r="AL1395" s="358">
        <v>0</v>
      </c>
      <c r="AM1395" s="358">
        <v>0</v>
      </c>
      <c r="AN1395" s="358">
        <v>0</v>
      </c>
      <c r="AO1395" s="358">
        <v>0</v>
      </c>
      <c r="AP1395" s="358">
        <v>0</v>
      </c>
      <c r="AQ1395" s="358">
        <v>0</v>
      </c>
      <c r="AR1395" s="358">
        <v>0</v>
      </c>
      <c r="AS1395" s="358">
        <f t="shared" si="442"/>
        <v>0</v>
      </c>
      <c r="AT1395" s="145">
        <v>0</v>
      </c>
      <c r="AU1395" s="139">
        <f t="shared" si="438"/>
        <v>0</v>
      </c>
      <c r="AV1395" s="146">
        <f>IFERROR(VLOOKUP(J1395,Maksājumu_pieprasījumu_iesn.!G:BL,57,0),0)</f>
        <v>0</v>
      </c>
      <c r="AW1395" s="139">
        <f t="shared" si="441"/>
        <v>0</v>
      </c>
      <c r="AX1395" s="358"/>
      <c r="AY1395" s="358"/>
      <c r="AZ1395" s="358"/>
      <c r="BA1395" s="360"/>
      <c r="BB1395" s="358"/>
      <c r="BC1395" s="358"/>
      <c r="BD1395" s="358"/>
      <c r="BE1395" s="358"/>
      <c r="BF1395" s="358"/>
      <c r="BG1395" s="358"/>
      <c r="BH1395" s="360"/>
      <c r="BI1395" s="360"/>
      <c r="BJ1395" s="360"/>
      <c r="BK1395" s="360"/>
      <c r="BL1395" s="360"/>
      <c r="BM1395" s="360"/>
      <c r="BN1395" s="360"/>
    </row>
    <row r="1396" spans="1:66" s="91" customFormat="1" ht="25.5" hidden="1" customHeight="1" outlineLevel="2" x14ac:dyDescent="0.2">
      <c r="A1396" s="150" t="s">
        <v>2279</v>
      </c>
      <c r="B1396" s="355" t="s">
        <v>406</v>
      </c>
      <c r="C1396" s="355" t="s">
        <v>411</v>
      </c>
      <c r="D1396" s="356" t="s">
        <v>606</v>
      </c>
      <c r="E1396" s="114">
        <v>2</v>
      </c>
      <c r="F1396" s="114" t="s">
        <v>402</v>
      </c>
      <c r="G1396" s="114" t="s">
        <v>77</v>
      </c>
      <c r="H1396" s="114" t="s">
        <v>3</v>
      </c>
      <c r="I1396" s="114"/>
      <c r="J1396" s="114"/>
      <c r="K1396" s="356" t="s">
        <v>1564</v>
      </c>
      <c r="L1396" s="356"/>
      <c r="M1396" s="356"/>
      <c r="N1396" s="356"/>
      <c r="O1396" s="357">
        <v>43616</v>
      </c>
      <c r="P1396" s="357"/>
      <c r="Q1396" s="357"/>
      <c r="R1396" s="357"/>
      <c r="S1396" s="117"/>
      <c r="T1396" s="117"/>
      <c r="U1396" s="358">
        <v>0</v>
      </c>
      <c r="V1396" s="358">
        <v>0</v>
      </c>
      <c r="W1396" s="358">
        <v>0</v>
      </c>
      <c r="X1396" s="358">
        <f t="shared" si="443"/>
        <v>0</v>
      </c>
      <c r="Y1396" s="358">
        <v>0</v>
      </c>
      <c r="Z1396" s="358">
        <v>0</v>
      </c>
      <c r="AA1396" s="358">
        <v>0</v>
      </c>
      <c r="AB1396" s="358">
        <v>0</v>
      </c>
      <c r="AC1396" s="358">
        <v>0</v>
      </c>
      <c r="AD1396" s="358">
        <v>0</v>
      </c>
      <c r="AE1396" s="358">
        <v>0</v>
      </c>
      <c r="AF1396" s="358">
        <v>0</v>
      </c>
      <c r="AG1396" s="358">
        <v>0</v>
      </c>
      <c r="AH1396" s="358">
        <v>0</v>
      </c>
      <c r="AI1396" s="358">
        <v>0</v>
      </c>
      <c r="AJ1396" s="358">
        <v>0</v>
      </c>
      <c r="AK1396" s="358">
        <f t="shared" si="440"/>
        <v>0</v>
      </c>
      <c r="AL1396" s="358">
        <v>0</v>
      </c>
      <c r="AM1396" s="358">
        <v>0</v>
      </c>
      <c r="AN1396" s="358">
        <v>0</v>
      </c>
      <c r="AO1396" s="358">
        <v>0</v>
      </c>
      <c r="AP1396" s="358">
        <v>0</v>
      </c>
      <c r="AQ1396" s="358">
        <v>0</v>
      </c>
      <c r="AR1396" s="358">
        <v>0</v>
      </c>
      <c r="AS1396" s="358">
        <f t="shared" si="442"/>
        <v>0</v>
      </c>
      <c r="AT1396" s="145">
        <v>0</v>
      </c>
      <c r="AU1396" s="139">
        <f t="shared" si="438"/>
        <v>0</v>
      </c>
      <c r="AV1396" s="146">
        <f>IFERROR(VLOOKUP(J1396,Maksājumu_pieprasījumu_iesn.!G:BL,57,0),0)</f>
        <v>0</v>
      </c>
      <c r="AW1396" s="139">
        <f t="shared" si="441"/>
        <v>0</v>
      </c>
      <c r="AX1396" s="358"/>
      <c r="AY1396" s="358"/>
      <c r="AZ1396" s="358"/>
      <c r="BA1396" s="360"/>
      <c r="BB1396" s="358"/>
      <c r="BC1396" s="358"/>
      <c r="BD1396" s="358"/>
      <c r="BE1396" s="358"/>
      <c r="BF1396" s="358"/>
      <c r="BG1396" s="358"/>
      <c r="BH1396" s="360"/>
      <c r="BI1396" s="360"/>
      <c r="BJ1396" s="360"/>
      <c r="BK1396" s="360"/>
      <c r="BL1396" s="360"/>
      <c r="BM1396" s="360"/>
      <c r="BN1396" s="360"/>
    </row>
    <row r="1397" spans="1:66" s="91" customFormat="1" ht="25.5" hidden="1" customHeight="1" outlineLevel="2" x14ac:dyDescent="0.2">
      <c r="A1397" s="150" t="s">
        <v>2279</v>
      </c>
      <c r="B1397" s="355" t="s">
        <v>406</v>
      </c>
      <c r="C1397" s="355" t="s">
        <v>411</v>
      </c>
      <c r="D1397" s="356" t="s">
        <v>606</v>
      </c>
      <c r="E1397" s="114">
        <v>2</v>
      </c>
      <c r="F1397" s="114" t="s">
        <v>402</v>
      </c>
      <c r="G1397" s="114" t="s">
        <v>77</v>
      </c>
      <c r="H1397" s="114" t="s">
        <v>3</v>
      </c>
      <c r="I1397" s="114"/>
      <c r="J1397" s="114"/>
      <c r="K1397" s="356" t="s">
        <v>2509</v>
      </c>
      <c r="L1397" s="356"/>
      <c r="M1397" s="356"/>
      <c r="N1397" s="356"/>
      <c r="O1397" s="357">
        <v>43616</v>
      </c>
      <c r="P1397" s="357"/>
      <c r="Q1397" s="357"/>
      <c r="R1397" s="357"/>
      <c r="S1397" s="117"/>
      <c r="T1397" s="117"/>
      <c r="U1397" s="358">
        <v>0</v>
      </c>
      <c r="V1397" s="358">
        <v>0</v>
      </c>
      <c r="W1397" s="358">
        <v>0</v>
      </c>
      <c r="X1397" s="358">
        <f t="shared" si="443"/>
        <v>0</v>
      </c>
      <c r="Y1397" s="358">
        <v>0</v>
      </c>
      <c r="Z1397" s="358">
        <v>0</v>
      </c>
      <c r="AA1397" s="358">
        <v>0</v>
      </c>
      <c r="AB1397" s="358">
        <v>0</v>
      </c>
      <c r="AC1397" s="358">
        <v>0</v>
      </c>
      <c r="AD1397" s="358">
        <v>0</v>
      </c>
      <c r="AE1397" s="358">
        <v>0</v>
      </c>
      <c r="AF1397" s="358">
        <v>0</v>
      </c>
      <c r="AG1397" s="358">
        <v>0</v>
      </c>
      <c r="AH1397" s="358">
        <v>0</v>
      </c>
      <c r="AI1397" s="358">
        <v>0</v>
      </c>
      <c r="AJ1397" s="358">
        <v>0</v>
      </c>
      <c r="AK1397" s="358">
        <f t="shared" si="440"/>
        <v>0</v>
      </c>
      <c r="AL1397" s="358">
        <v>0</v>
      </c>
      <c r="AM1397" s="358">
        <v>0</v>
      </c>
      <c r="AN1397" s="358">
        <v>0</v>
      </c>
      <c r="AO1397" s="358">
        <v>0</v>
      </c>
      <c r="AP1397" s="358">
        <v>0</v>
      </c>
      <c r="AQ1397" s="358">
        <v>0</v>
      </c>
      <c r="AR1397" s="358">
        <v>0</v>
      </c>
      <c r="AS1397" s="358">
        <f t="shared" si="442"/>
        <v>0</v>
      </c>
      <c r="AT1397" s="145">
        <v>0</v>
      </c>
      <c r="AU1397" s="139">
        <f t="shared" si="438"/>
        <v>0</v>
      </c>
      <c r="AV1397" s="146">
        <f>IFERROR(VLOOKUP(J1397,Maksājumu_pieprasījumu_iesn.!G:BL,57,0),0)</f>
        <v>0</v>
      </c>
      <c r="AW1397" s="139">
        <f t="shared" si="441"/>
        <v>0</v>
      </c>
      <c r="AX1397" s="358"/>
      <c r="AY1397" s="358"/>
      <c r="AZ1397" s="358"/>
      <c r="BA1397" s="360"/>
      <c r="BB1397" s="358"/>
      <c r="BC1397" s="358"/>
      <c r="BD1397" s="358"/>
      <c r="BE1397" s="358"/>
      <c r="BF1397" s="358"/>
      <c r="BG1397" s="358"/>
      <c r="BH1397" s="360"/>
      <c r="BI1397" s="360"/>
      <c r="BJ1397" s="360"/>
      <c r="BK1397" s="360"/>
      <c r="BL1397" s="360"/>
      <c r="BM1397" s="360"/>
      <c r="BN1397" s="360"/>
    </row>
    <row r="1398" spans="1:66" s="91" customFormat="1" ht="25.5" hidden="1" customHeight="1" outlineLevel="2" x14ac:dyDescent="0.2">
      <c r="A1398" s="150" t="s">
        <v>2279</v>
      </c>
      <c r="B1398" s="355" t="s">
        <v>406</v>
      </c>
      <c r="C1398" s="355" t="s">
        <v>411</v>
      </c>
      <c r="D1398" s="356" t="s">
        <v>606</v>
      </c>
      <c r="E1398" s="114">
        <v>2</v>
      </c>
      <c r="F1398" s="114" t="s">
        <v>402</v>
      </c>
      <c r="G1398" s="114" t="s">
        <v>77</v>
      </c>
      <c r="H1398" s="114" t="s">
        <v>3</v>
      </c>
      <c r="I1398" s="114"/>
      <c r="J1398" s="114"/>
      <c r="K1398" s="356" t="s">
        <v>1566</v>
      </c>
      <c r="L1398" s="356"/>
      <c r="M1398" s="356"/>
      <c r="N1398" s="356"/>
      <c r="O1398" s="357">
        <v>43616</v>
      </c>
      <c r="P1398" s="357"/>
      <c r="Q1398" s="357"/>
      <c r="R1398" s="357"/>
      <c r="S1398" s="117"/>
      <c r="T1398" s="117"/>
      <c r="U1398" s="358">
        <v>0</v>
      </c>
      <c r="V1398" s="358">
        <v>0</v>
      </c>
      <c r="W1398" s="358">
        <v>0</v>
      </c>
      <c r="X1398" s="358">
        <f t="shared" si="443"/>
        <v>0</v>
      </c>
      <c r="Y1398" s="358">
        <v>0</v>
      </c>
      <c r="Z1398" s="358">
        <v>0</v>
      </c>
      <c r="AA1398" s="358">
        <v>0</v>
      </c>
      <c r="AB1398" s="358">
        <v>0</v>
      </c>
      <c r="AC1398" s="358">
        <v>0</v>
      </c>
      <c r="AD1398" s="358">
        <v>0</v>
      </c>
      <c r="AE1398" s="358">
        <v>0</v>
      </c>
      <c r="AF1398" s="358">
        <v>0</v>
      </c>
      <c r="AG1398" s="358">
        <v>0</v>
      </c>
      <c r="AH1398" s="358">
        <v>0</v>
      </c>
      <c r="AI1398" s="358">
        <v>0</v>
      </c>
      <c r="AJ1398" s="358">
        <v>0</v>
      </c>
      <c r="AK1398" s="358">
        <f t="shared" si="440"/>
        <v>0</v>
      </c>
      <c r="AL1398" s="358">
        <v>0</v>
      </c>
      <c r="AM1398" s="358">
        <v>0</v>
      </c>
      <c r="AN1398" s="358">
        <v>0</v>
      </c>
      <c r="AO1398" s="358">
        <v>0</v>
      </c>
      <c r="AP1398" s="358">
        <v>0</v>
      </c>
      <c r="AQ1398" s="358">
        <v>0</v>
      </c>
      <c r="AR1398" s="358">
        <v>0</v>
      </c>
      <c r="AS1398" s="358">
        <f t="shared" si="442"/>
        <v>0</v>
      </c>
      <c r="AT1398" s="145">
        <v>0</v>
      </c>
      <c r="AU1398" s="139">
        <f t="shared" si="438"/>
        <v>0</v>
      </c>
      <c r="AV1398" s="146">
        <f>IFERROR(VLOOKUP(J1398,Maksājumu_pieprasījumu_iesn.!G:BL,57,0),0)</f>
        <v>0</v>
      </c>
      <c r="AW1398" s="139">
        <f t="shared" si="441"/>
        <v>0</v>
      </c>
      <c r="AX1398" s="358"/>
      <c r="AY1398" s="358"/>
      <c r="AZ1398" s="358"/>
      <c r="BA1398" s="360"/>
      <c r="BB1398" s="358"/>
      <c r="BC1398" s="358"/>
      <c r="BD1398" s="358"/>
      <c r="BE1398" s="358"/>
      <c r="BF1398" s="358"/>
      <c r="BG1398" s="358"/>
      <c r="BH1398" s="360"/>
      <c r="BI1398" s="360"/>
      <c r="BJ1398" s="360"/>
      <c r="BK1398" s="360"/>
      <c r="BL1398" s="360"/>
      <c r="BM1398" s="360"/>
      <c r="BN1398" s="360"/>
    </row>
    <row r="1399" spans="1:66" s="91" customFormat="1" ht="25.5" hidden="1" customHeight="1" outlineLevel="2" x14ac:dyDescent="0.2">
      <c r="A1399" s="150" t="s">
        <v>2279</v>
      </c>
      <c r="B1399" s="355" t="s">
        <v>406</v>
      </c>
      <c r="C1399" s="355" t="s">
        <v>411</v>
      </c>
      <c r="D1399" s="356" t="s">
        <v>606</v>
      </c>
      <c r="E1399" s="114">
        <v>2</v>
      </c>
      <c r="F1399" s="114" t="s">
        <v>402</v>
      </c>
      <c r="G1399" s="114" t="s">
        <v>77</v>
      </c>
      <c r="H1399" s="114" t="s">
        <v>3</v>
      </c>
      <c r="I1399" s="114"/>
      <c r="J1399" s="114"/>
      <c r="K1399" s="356" t="s">
        <v>2366</v>
      </c>
      <c r="L1399" s="356"/>
      <c r="M1399" s="356"/>
      <c r="N1399" s="356"/>
      <c r="O1399" s="357">
        <v>43616</v>
      </c>
      <c r="P1399" s="357"/>
      <c r="Q1399" s="357"/>
      <c r="R1399" s="357"/>
      <c r="S1399" s="117"/>
      <c r="T1399" s="117"/>
      <c r="U1399" s="358">
        <v>0</v>
      </c>
      <c r="V1399" s="358">
        <v>0</v>
      </c>
      <c r="W1399" s="358">
        <v>0</v>
      </c>
      <c r="X1399" s="358">
        <f t="shared" si="443"/>
        <v>0</v>
      </c>
      <c r="Y1399" s="358">
        <v>0</v>
      </c>
      <c r="Z1399" s="358">
        <v>0</v>
      </c>
      <c r="AA1399" s="358">
        <v>0</v>
      </c>
      <c r="AB1399" s="358">
        <v>0</v>
      </c>
      <c r="AC1399" s="358">
        <v>0</v>
      </c>
      <c r="AD1399" s="358">
        <v>0</v>
      </c>
      <c r="AE1399" s="358">
        <v>0</v>
      </c>
      <c r="AF1399" s="358">
        <v>0</v>
      </c>
      <c r="AG1399" s="358">
        <v>0</v>
      </c>
      <c r="AH1399" s="358">
        <v>0</v>
      </c>
      <c r="AI1399" s="358">
        <v>0</v>
      </c>
      <c r="AJ1399" s="358">
        <v>0</v>
      </c>
      <c r="AK1399" s="358">
        <f t="shared" si="440"/>
        <v>0</v>
      </c>
      <c r="AL1399" s="358">
        <v>0</v>
      </c>
      <c r="AM1399" s="358">
        <v>0</v>
      </c>
      <c r="AN1399" s="358">
        <v>0</v>
      </c>
      <c r="AO1399" s="358">
        <v>0</v>
      </c>
      <c r="AP1399" s="358">
        <v>0</v>
      </c>
      <c r="AQ1399" s="358">
        <v>0</v>
      </c>
      <c r="AR1399" s="358">
        <v>0</v>
      </c>
      <c r="AS1399" s="358">
        <f t="shared" si="442"/>
        <v>0</v>
      </c>
      <c r="AT1399" s="145">
        <v>0</v>
      </c>
      <c r="AU1399" s="139">
        <f t="shared" si="438"/>
        <v>0</v>
      </c>
      <c r="AV1399" s="146">
        <f>IFERROR(VLOOKUP(J1399,Maksājumu_pieprasījumu_iesn.!G:BL,57,0),0)</f>
        <v>0</v>
      </c>
      <c r="AW1399" s="139">
        <f t="shared" si="441"/>
        <v>0</v>
      </c>
      <c r="AX1399" s="358"/>
      <c r="AY1399" s="358"/>
      <c r="AZ1399" s="358"/>
      <c r="BA1399" s="360"/>
      <c r="BB1399" s="358"/>
      <c r="BC1399" s="358"/>
      <c r="BD1399" s="358"/>
      <c r="BE1399" s="358"/>
      <c r="BF1399" s="358"/>
      <c r="BG1399" s="358"/>
      <c r="BH1399" s="360"/>
      <c r="BI1399" s="360"/>
      <c r="BJ1399" s="360"/>
      <c r="BK1399" s="360"/>
      <c r="BL1399" s="360"/>
      <c r="BM1399" s="360"/>
      <c r="BN1399" s="360"/>
    </row>
    <row r="1400" spans="1:66" s="91" customFormat="1" ht="25.5" hidden="1" customHeight="1" outlineLevel="2" x14ac:dyDescent="0.2">
      <c r="A1400" s="150" t="s">
        <v>2279</v>
      </c>
      <c r="B1400" s="355" t="s">
        <v>406</v>
      </c>
      <c r="C1400" s="355" t="s">
        <v>411</v>
      </c>
      <c r="D1400" s="356" t="s">
        <v>606</v>
      </c>
      <c r="E1400" s="114">
        <v>2</v>
      </c>
      <c r="F1400" s="114" t="s">
        <v>402</v>
      </c>
      <c r="G1400" s="114" t="s">
        <v>77</v>
      </c>
      <c r="H1400" s="114" t="s">
        <v>3</v>
      </c>
      <c r="I1400" s="114"/>
      <c r="J1400" s="114"/>
      <c r="K1400" s="356" t="s">
        <v>2322</v>
      </c>
      <c r="L1400" s="356"/>
      <c r="M1400" s="356"/>
      <c r="N1400" s="356"/>
      <c r="O1400" s="357">
        <v>43616</v>
      </c>
      <c r="P1400" s="357"/>
      <c r="Q1400" s="357"/>
      <c r="R1400" s="357"/>
      <c r="S1400" s="117"/>
      <c r="T1400" s="117"/>
      <c r="U1400" s="358">
        <v>0</v>
      </c>
      <c r="V1400" s="358">
        <v>0</v>
      </c>
      <c r="W1400" s="358">
        <v>0</v>
      </c>
      <c r="X1400" s="358">
        <f t="shared" si="443"/>
        <v>0</v>
      </c>
      <c r="Y1400" s="358">
        <v>0</v>
      </c>
      <c r="Z1400" s="358">
        <v>0</v>
      </c>
      <c r="AA1400" s="358">
        <v>0</v>
      </c>
      <c r="AB1400" s="358">
        <v>0</v>
      </c>
      <c r="AC1400" s="358">
        <v>0</v>
      </c>
      <c r="AD1400" s="358">
        <v>0</v>
      </c>
      <c r="AE1400" s="358">
        <v>0</v>
      </c>
      <c r="AF1400" s="358">
        <v>0</v>
      </c>
      <c r="AG1400" s="358">
        <v>0</v>
      </c>
      <c r="AH1400" s="358">
        <v>0</v>
      </c>
      <c r="AI1400" s="358">
        <v>0</v>
      </c>
      <c r="AJ1400" s="358">
        <v>0</v>
      </c>
      <c r="AK1400" s="358">
        <f t="shared" si="440"/>
        <v>0</v>
      </c>
      <c r="AL1400" s="358">
        <v>0</v>
      </c>
      <c r="AM1400" s="358">
        <v>0</v>
      </c>
      <c r="AN1400" s="358">
        <v>0</v>
      </c>
      <c r="AO1400" s="358">
        <v>0</v>
      </c>
      <c r="AP1400" s="358">
        <v>0</v>
      </c>
      <c r="AQ1400" s="358">
        <v>0</v>
      </c>
      <c r="AR1400" s="358">
        <v>0</v>
      </c>
      <c r="AS1400" s="358">
        <f t="shared" si="442"/>
        <v>0</v>
      </c>
      <c r="AT1400" s="145">
        <v>0</v>
      </c>
      <c r="AU1400" s="139">
        <f t="shared" si="438"/>
        <v>0</v>
      </c>
      <c r="AV1400" s="146">
        <f>IFERROR(VLOOKUP(J1400,Maksājumu_pieprasījumu_iesn.!G:BL,57,0),0)</f>
        <v>0</v>
      </c>
      <c r="AW1400" s="139">
        <f t="shared" si="441"/>
        <v>0</v>
      </c>
      <c r="AX1400" s="358"/>
      <c r="AY1400" s="358"/>
      <c r="AZ1400" s="358"/>
      <c r="BA1400" s="360"/>
      <c r="BB1400" s="358"/>
      <c r="BC1400" s="358"/>
      <c r="BD1400" s="358"/>
      <c r="BE1400" s="358"/>
      <c r="BF1400" s="358"/>
      <c r="BG1400" s="358"/>
      <c r="BH1400" s="360"/>
      <c r="BI1400" s="360"/>
      <c r="BJ1400" s="360"/>
      <c r="BK1400" s="360"/>
      <c r="BL1400" s="360"/>
      <c r="BM1400" s="360"/>
      <c r="BN1400" s="360"/>
    </row>
    <row r="1401" spans="1:66" s="91" customFormat="1" ht="25.5" hidden="1" customHeight="1" outlineLevel="2" x14ac:dyDescent="0.2">
      <c r="A1401" s="150" t="s">
        <v>2279</v>
      </c>
      <c r="B1401" s="355" t="s">
        <v>406</v>
      </c>
      <c r="C1401" s="355" t="s">
        <v>411</v>
      </c>
      <c r="D1401" s="356" t="s">
        <v>606</v>
      </c>
      <c r="E1401" s="114">
        <v>2</v>
      </c>
      <c r="F1401" s="114" t="s">
        <v>402</v>
      </c>
      <c r="G1401" s="114" t="s">
        <v>77</v>
      </c>
      <c r="H1401" s="114" t="s">
        <v>3</v>
      </c>
      <c r="I1401" s="114"/>
      <c r="J1401" s="114"/>
      <c r="K1401" s="356" t="s">
        <v>724</v>
      </c>
      <c r="L1401" s="356"/>
      <c r="M1401" s="356"/>
      <c r="N1401" s="356"/>
      <c r="O1401" s="357">
        <v>43616</v>
      </c>
      <c r="P1401" s="357"/>
      <c r="Q1401" s="357"/>
      <c r="R1401" s="357"/>
      <c r="S1401" s="117"/>
      <c r="T1401" s="117"/>
      <c r="U1401" s="358">
        <v>0</v>
      </c>
      <c r="V1401" s="358">
        <v>0</v>
      </c>
      <c r="W1401" s="358">
        <v>0</v>
      </c>
      <c r="X1401" s="358">
        <f t="shared" si="443"/>
        <v>0</v>
      </c>
      <c r="Y1401" s="358">
        <v>0</v>
      </c>
      <c r="Z1401" s="358">
        <v>0</v>
      </c>
      <c r="AA1401" s="358">
        <v>0</v>
      </c>
      <c r="AB1401" s="358">
        <v>0</v>
      </c>
      <c r="AC1401" s="358">
        <v>0</v>
      </c>
      <c r="AD1401" s="358">
        <v>0</v>
      </c>
      <c r="AE1401" s="358">
        <v>0</v>
      </c>
      <c r="AF1401" s="358">
        <v>0</v>
      </c>
      <c r="AG1401" s="358">
        <v>0</v>
      </c>
      <c r="AH1401" s="358">
        <v>0</v>
      </c>
      <c r="AI1401" s="358">
        <v>0</v>
      </c>
      <c r="AJ1401" s="358">
        <v>0</v>
      </c>
      <c r="AK1401" s="358">
        <f t="shared" si="440"/>
        <v>0</v>
      </c>
      <c r="AL1401" s="358">
        <v>0</v>
      </c>
      <c r="AM1401" s="358">
        <v>0</v>
      </c>
      <c r="AN1401" s="358">
        <v>0</v>
      </c>
      <c r="AO1401" s="358">
        <v>0</v>
      </c>
      <c r="AP1401" s="358">
        <v>0</v>
      </c>
      <c r="AQ1401" s="358">
        <v>0</v>
      </c>
      <c r="AR1401" s="358">
        <v>0</v>
      </c>
      <c r="AS1401" s="358">
        <f t="shared" si="442"/>
        <v>0</v>
      </c>
      <c r="AT1401" s="145">
        <v>0</v>
      </c>
      <c r="AU1401" s="139">
        <f t="shared" si="438"/>
        <v>0</v>
      </c>
      <c r="AV1401" s="146">
        <f>IFERROR(VLOOKUP(J1401,Maksājumu_pieprasījumu_iesn.!G:BL,57,0),0)</f>
        <v>0</v>
      </c>
      <c r="AW1401" s="139">
        <f t="shared" si="441"/>
        <v>0</v>
      </c>
      <c r="AX1401" s="358"/>
      <c r="AY1401" s="358"/>
      <c r="AZ1401" s="358"/>
      <c r="BA1401" s="360"/>
      <c r="BB1401" s="358"/>
      <c r="BC1401" s="358"/>
      <c r="BD1401" s="358"/>
      <c r="BE1401" s="358"/>
      <c r="BF1401" s="358"/>
      <c r="BG1401" s="358"/>
      <c r="BH1401" s="360"/>
      <c r="BI1401" s="360"/>
      <c r="BJ1401" s="360"/>
      <c r="BK1401" s="360"/>
      <c r="BL1401" s="360"/>
      <c r="BM1401" s="360"/>
      <c r="BN1401" s="360"/>
    </row>
    <row r="1402" spans="1:66" s="91" customFormat="1" ht="25.5" hidden="1" customHeight="1" outlineLevel="2" x14ac:dyDescent="0.2">
      <c r="A1402" s="150" t="s">
        <v>2279</v>
      </c>
      <c r="B1402" s="355" t="s">
        <v>406</v>
      </c>
      <c r="C1402" s="355" t="s">
        <v>411</v>
      </c>
      <c r="D1402" s="356" t="s">
        <v>606</v>
      </c>
      <c r="E1402" s="114">
        <v>2</v>
      </c>
      <c r="F1402" s="114" t="s">
        <v>402</v>
      </c>
      <c r="G1402" s="114" t="s">
        <v>77</v>
      </c>
      <c r="H1402" s="114" t="s">
        <v>3</v>
      </c>
      <c r="I1402" s="114"/>
      <c r="J1402" s="114"/>
      <c r="K1402" s="356" t="s">
        <v>2355</v>
      </c>
      <c r="L1402" s="356"/>
      <c r="M1402" s="356"/>
      <c r="N1402" s="356"/>
      <c r="O1402" s="357">
        <v>43616</v>
      </c>
      <c r="P1402" s="357"/>
      <c r="Q1402" s="357"/>
      <c r="R1402" s="357"/>
      <c r="S1402" s="117"/>
      <c r="T1402" s="117"/>
      <c r="U1402" s="358">
        <v>0</v>
      </c>
      <c r="V1402" s="358">
        <v>0</v>
      </c>
      <c r="W1402" s="358">
        <v>0</v>
      </c>
      <c r="X1402" s="358">
        <f t="shared" si="443"/>
        <v>0</v>
      </c>
      <c r="Y1402" s="358">
        <v>0</v>
      </c>
      <c r="Z1402" s="358">
        <v>0</v>
      </c>
      <c r="AA1402" s="358">
        <v>0</v>
      </c>
      <c r="AB1402" s="358">
        <v>0</v>
      </c>
      <c r="AC1402" s="358">
        <v>0</v>
      </c>
      <c r="AD1402" s="358">
        <v>0</v>
      </c>
      <c r="AE1402" s="358">
        <v>0</v>
      </c>
      <c r="AF1402" s="358">
        <v>0</v>
      </c>
      <c r="AG1402" s="358">
        <v>0</v>
      </c>
      <c r="AH1402" s="358">
        <v>0</v>
      </c>
      <c r="AI1402" s="358">
        <v>0</v>
      </c>
      <c r="AJ1402" s="358">
        <v>0</v>
      </c>
      <c r="AK1402" s="358">
        <f t="shared" si="440"/>
        <v>0</v>
      </c>
      <c r="AL1402" s="358">
        <v>0</v>
      </c>
      <c r="AM1402" s="358">
        <v>0</v>
      </c>
      <c r="AN1402" s="358">
        <v>0</v>
      </c>
      <c r="AO1402" s="358">
        <v>0</v>
      </c>
      <c r="AP1402" s="358">
        <v>0</v>
      </c>
      <c r="AQ1402" s="358">
        <v>0</v>
      </c>
      <c r="AR1402" s="358">
        <v>0</v>
      </c>
      <c r="AS1402" s="358">
        <f t="shared" si="442"/>
        <v>0</v>
      </c>
      <c r="AT1402" s="145">
        <v>0</v>
      </c>
      <c r="AU1402" s="139">
        <f t="shared" si="438"/>
        <v>0</v>
      </c>
      <c r="AV1402" s="146">
        <f>IFERROR(VLOOKUP(J1402,Maksājumu_pieprasījumu_iesn.!G:BL,57,0),0)</f>
        <v>0</v>
      </c>
      <c r="AW1402" s="139">
        <f t="shared" si="441"/>
        <v>0</v>
      </c>
      <c r="AX1402" s="358"/>
      <c r="AY1402" s="358"/>
      <c r="AZ1402" s="358"/>
      <c r="BA1402" s="360"/>
      <c r="BB1402" s="358"/>
      <c r="BC1402" s="358"/>
      <c r="BD1402" s="358"/>
      <c r="BE1402" s="358"/>
      <c r="BF1402" s="358"/>
      <c r="BG1402" s="358"/>
      <c r="BH1402" s="360"/>
      <c r="BI1402" s="360"/>
      <c r="BJ1402" s="360"/>
      <c r="BK1402" s="360"/>
      <c r="BL1402" s="360"/>
      <c r="BM1402" s="360"/>
      <c r="BN1402" s="360"/>
    </row>
    <row r="1403" spans="1:66" s="91" customFormat="1" ht="25.5" hidden="1" customHeight="1" outlineLevel="2" x14ac:dyDescent="0.2">
      <c r="A1403" s="150" t="s">
        <v>2279</v>
      </c>
      <c r="B1403" s="355" t="s">
        <v>406</v>
      </c>
      <c r="C1403" s="355" t="s">
        <v>411</v>
      </c>
      <c r="D1403" s="356" t="s">
        <v>606</v>
      </c>
      <c r="E1403" s="114">
        <v>2</v>
      </c>
      <c r="F1403" s="114" t="s">
        <v>402</v>
      </c>
      <c r="G1403" s="114" t="s">
        <v>77</v>
      </c>
      <c r="H1403" s="114" t="s">
        <v>3</v>
      </c>
      <c r="I1403" s="114"/>
      <c r="J1403" s="114"/>
      <c r="K1403" s="356" t="s">
        <v>1325</v>
      </c>
      <c r="L1403" s="356"/>
      <c r="M1403" s="356"/>
      <c r="N1403" s="356"/>
      <c r="O1403" s="357">
        <v>43616</v>
      </c>
      <c r="P1403" s="357"/>
      <c r="Q1403" s="357"/>
      <c r="R1403" s="357"/>
      <c r="S1403" s="117"/>
      <c r="T1403" s="117"/>
      <c r="U1403" s="358">
        <v>0</v>
      </c>
      <c r="V1403" s="358">
        <v>0</v>
      </c>
      <c r="W1403" s="358">
        <v>0</v>
      </c>
      <c r="X1403" s="358">
        <f t="shared" si="443"/>
        <v>0</v>
      </c>
      <c r="Y1403" s="358">
        <v>0</v>
      </c>
      <c r="Z1403" s="358">
        <v>0</v>
      </c>
      <c r="AA1403" s="358">
        <v>0</v>
      </c>
      <c r="AB1403" s="358">
        <v>0</v>
      </c>
      <c r="AC1403" s="358">
        <v>0</v>
      </c>
      <c r="AD1403" s="358">
        <v>0</v>
      </c>
      <c r="AE1403" s="358">
        <v>0</v>
      </c>
      <c r="AF1403" s="358">
        <v>0</v>
      </c>
      <c r="AG1403" s="358">
        <v>0</v>
      </c>
      <c r="AH1403" s="358">
        <v>0</v>
      </c>
      <c r="AI1403" s="358">
        <v>0</v>
      </c>
      <c r="AJ1403" s="358">
        <v>0</v>
      </c>
      <c r="AK1403" s="358">
        <f t="shared" si="440"/>
        <v>0</v>
      </c>
      <c r="AL1403" s="358">
        <v>0</v>
      </c>
      <c r="AM1403" s="358">
        <v>0</v>
      </c>
      <c r="AN1403" s="358">
        <v>0</v>
      </c>
      <c r="AO1403" s="358">
        <v>0</v>
      </c>
      <c r="AP1403" s="358">
        <v>0</v>
      </c>
      <c r="AQ1403" s="358">
        <v>0</v>
      </c>
      <c r="AR1403" s="358">
        <v>0</v>
      </c>
      <c r="AS1403" s="358">
        <f t="shared" si="442"/>
        <v>0</v>
      </c>
      <c r="AT1403" s="145">
        <v>0</v>
      </c>
      <c r="AU1403" s="139">
        <f t="shared" si="438"/>
        <v>0</v>
      </c>
      <c r="AV1403" s="146">
        <f>IFERROR(VLOOKUP(J1403,Maksājumu_pieprasījumu_iesn.!G:BL,57,0),0)</f>
        <v>0</v>
      </c>
      <c r="AW1403" s="139">
        <f t="shared" si="441"/>
        <v>0</v>
      </c>
      <c r="AX1403" s="358"/>
      <c r="AY1403" s="358"/>
      <c r="AZ1403" s="358"/>
      <c r="BA1403" s="360"/>
      <c r="BB1403" s="358"/>
      <c r="BC1403" s="358"/>
      <c r="BD1403" s="358"/>
      <c r="BE1403" s="358"/>
      <c r="BF1403" s="358"/>
      <c r="BG1403" s="358"/>
      <c r="BH1403" s="360"/>
      <c r="BI1403" s="360"/>
      <c r="BJ1403" s="360"/>
      <c r="BK1403" s="360"/>
      <c r="BL1403" s="360"/>
      <c r="BM1403" s="360"/>
      <c r="BN1403" s="360"/>
    </row>
    <row r="1404" spans="1:66" s="91" customFormat="1" ht="25.5" hidden="1" customHeight="1" outlineLevel="2" x14ac:dyDescent="0.2">
      <c r="A1404" s="150" t="s">
        <v>2279</v>
      </c>
      <c r="B1404" s="355" t="s">
        <v>406</v>
      </c>
      <c r="C1404" s="355" t="s">
        <v>411</v>
      </c>
      <c r="D1404" s="356" t="s">
        <v>606</v>
      </c>
      <c r="E1404" s="114">
        <v>2</v>
      </c>
      <c r="F1404" s="114" t="s">
        <v>402</v>
      </c>
      <c r="G1404" s="114" t="s">
        <v>77</v>
      </c>
      <c r="H1404" s="114" t="s">
        <v>3</v>
      </c>
      <c r="I1404" s="114"/>
      <c r="J1404" s="114"/>
      <c r="K1404" s="356" t="s">
        <v>1328</v>
      </c>
      <c r="L1404" s="356"/>
      <c r="M1404" s="356"/>
      <c r="N1404" s="356"/>
      <c r="O1404" s="357">
        <v>43616</v>
      </c>
      <c r="P1404" s="357"/>
      <c r="Q1404" s="357"/>
      <c r="R1404" s="357"/>
      <c r="S1404" s="117"/>
      <c r="T1404" s="117"/>
      <c r="U1404" s="358">
        <v>0</v>
      </c>
      <c r="V1404" s="358">
        <v>0</v>
      </c>
      <c r="W1404" s="358">
        <v>0</v>
      </c>
      <c r="X1404" s="358">
        <f t="shared" si="443"/>
        <v>0</v>
      </c>
      <c r="Y1404" s="358">
        <v>0</v>
      </c>
      <c r="Z1404" s="358">
        <v>0</v>
      </c>
      <c r="AA1404" s="358">
        <v>0</v>
      </c>
      <c r="AB1404" s="358">
        <v>0</v>
      </c>
      <c r="AC1404" s="358">
        <v>0</v>
      </c>
      <c r="AD1404" s="358">
        <v>0</v>
      </c>
      <c r="AE1404" s="358">
        <v>0</v>
      </c>
      <c r="AF1404" s="358">
        <v>0</v>
      </c>
      <c r="AG1404" s="358">
        <v>0</v>
      </c>
      <c r="AH1404" s="358">
        <v>0</v>
      </c>
      <c r="AI1404" s="358">
        <v>0</v>
      </c>
      <c r="AJ1404" s="358">
        <v>0</v>
      </c>
      <c r="AK1404" s="358">
        <f t="shared" si="440"/>
        <v>0</v>
      </c>
      <c r="AL1404" s="358">
        <v>0</v>
      </c>
      <c r="AM1404" s="358">
        <v>0</v>
      </c>
      <c r="AN1404" s="358">
        <v>0</v>
      </c>
      <c r="AO1404" s="358">
        <v>0</v>
      </c>
      <c r="AP1404" s="358">
        <v>0</v>
      </c>
      <c r="AQ1404" s="358">
        <v>0</v>
      </c>
      <c r="AR1404" s="358">
        <v>0</v>
      </c>
      <c r="AS1404" s="358">
        <f t="shared" si="442"/>
        <v>0</v>
      </c>
      <c r="AT1404" s="145">
        <v>0</v>
      </c>
      <c r="AU1404" s="139">
        <f t="shared" si="438"/>
        <v>0</v>
      </c>
      <c r="AV1404" s="146">
        <f>IFERROR(VLOOKUP(J1404,Maksājumu_pieprasījumu_iesn.!G:BL,57,0),0)</f>
        <v>0</v>
      </c>
      <c r="AW1404" s="139">
        <f t="shared" si="441"/>
        <v>0</v>
      </c>
      <c r="AX1404" s="358"/>
      <c r="AY1404" s="358"/>
      <c r="AZ1404" s="358"/>
      <c r="BA1404" s="360"/>
      <c r="BB1404" s="358"/>
      <c r="BC1404" s="358"/>
      <c r="BD1404" s="358"/>
      <c r="BE1404" s="358"/>
      <c r="BF1404" s="358"/>
      <c r="BG1404" s="358"/>
      <c r="BH1404" s="360"/>
      <c r="BI1404" s="360"/>
      <c r="BJ1404" s="360"/>
      <c r="BK1404" s="360"/>
      <c r="BL1404" s="360"/>
      <c r="BM1404" s="360"/>
      <c r="BN1404" s="360"/>
    </row>
    <row r="1405" spans="1:66" s="91" customFormat="1" ht="25.5" hidden="1" customHeight="1" outlineLevel="2" x14ac:dyDescent="0.2">
      <c r="A1405" s="150" t="s">
        <v>2279</v>
      </c>
      <c r="B1405" s="355" t="s">
        <v>406</v>
      </c>
      <c r="C1405" s="355" t="s">
        <v>411</v>
      </c>
      <c r="D1405" s="356" t="s">
        <v>606</v>
      </c>
      <c r="E1405" s="114">
        <v>2</v>
      </c>
      <c r="F1405" s="114" t="s">
        <v>402</v>
      </c>
      <c r="G1405" s="114" t="s">
        <v>77</v>
      </c>
      <c r="H1405" s="114" t="s">
        <v>3</v>
      </c>
      <c r="I1405" s="114"/>
      <c r="J1405" s="114"/>
      <c r="K1405" s="356" t="s">
        <v>2510</v>
      </c>
      <c r="L1405" s="356"/>
      <c r="M1405" s="356"/>
      <c r="N1405" s="356"/>
      <c r="O1405" s="357">
        <v>43616</v>
      </c>
      <c r="P1405" s="357"/>
      <c r="Q1405" s="357"/>
      <c r="R1405" s="357"/>
      <c r="S1405" s="117"/>
      <c r="T1405" s="117"/>
      <c r="U1405" s="358">
        <v>0</v>
      </c>
      <c r="V1405" s="358">
        <v>0</v>
      </c>
      <c r="W1405" s="358">
        <v>0</v>
      </c>
      <c r="X1405" s="358">
        <f t="shared" si="443"/>
        <v>0</v>
      </c>
      <c r="Y1405" s="358">
        <v>0</v>
      </c>
      <c r="Z1405" s="358">
        <v>0</v>
      </c>
      <c r="AA1405" s="358">
        <v>0</v>
      </c>
      <c r="AB1405" s="358">
        <v>0</v>
      </c>
      <c r="AC1405" s="358">
        <v>0</v>
      </c>
      <c r="AD1405" s="358">
        <v>0</v>
      </c>
      <c r="AE1405" s="358">
        <v>0</v>
      </c>
      <c r="AF1405" s="358">
        <v>0</v>
      </c>
      <c r="AG1405" s="358">
        <v>0</v>
      </c>
      <c r="AH1405" s="358">
        <v>0</v>
      </c>
      <c r="AI1405" s="358">
        <v>0</v>
      </c>
      <c r="AJ1405" s="358">
        <v>0</v>
      </c>
      <c r="AK1405" s="358">
        <f t="shared" si="440"/>
        <v>0</v>
      </c>
      <c r="AL1405" s="358">
        <v>0</v>
      </c>
      <c r="AM1405" s="358">
        <v>0</v>
      </c>
      <c r="AN1405" s="358">
        <v>0</v>
      </c>
      <c r="AO1405" s="358">
        <v>0</v>
      </c>
      <c r="AP1405" s="358">
        <v>0</v>
      </c>
      <c r="AQ1405" s="358">
        <v>0</v>
      </c>
      <c r="AR1405" s="358">
        <v>0</v>
      </c>
      <c r="AS1405" s="358">
        <f t="shared" si="442"/>
        <v>0</v>
      </c>
      <c r="AT1405" s="145">
        <v>0</v>
      </c>
      <c r="AU1405" s="139">
        <f t="shared" si="438"/>
        <v>0</v>
      </c>
      <c r="AV1405" s="146">
        <f>IFERROR(VLOOKUP(J1405,Maksājumu_pieprasījumu_iesn.!G:BL,57,0),0)</f>
        <v>0</v>
      </c>
      <c r="AW1405" s="139">
        <f t="shared" si="441"/>
        <v>0</v>
      </c>
      <c r="AX1405" s="358"/>
      <c r="AY1405" s="358"/>
      <c r="AZ1405" s="358"/>
      <c r="BA1405" s="360"/>
      <c r="BB1405" s="358"/>
      <c r="BC1405" s="358"/>
      <c r="BD1405" s="358"/>
      <c r="BE1405" s="358"/>
      <c r="BF1405" s="358"/>
      <c r="BG1405" s="358"/>
      <c r="BH1405" s="360"/>
      <c r="BI1405" s="360"/>
      <c r="BJ1405" s="360"/>
      <c r="BK1405" s="360"/>
      <c r="BL1405" s="360"/>
      <c r="BM1405" s="360"/>
      <c r="BN1405" s="360"/>
    </row>
    <row r="1406" spans="1:66" s="91" customFormat="1" ht="25.5" hidden="1" customHeight="1" outlineLevel="2" x14ac:dyDescent="0.2">
      <c r="A1406" s="150" t="s">
        <v>2279</v>
      </c>
      <c r="B1406" s="355" t="s">
        <v>406</v>
      </c>
      <c r="C1406" s="355" t="s">
        <v>411</v>
      </c>
      <c r="D1406" s="356" t="s">
        <v>606</v>
      </c>
      <c r="E1406" s="114">
        <v>2</v>
      </c>
      <c r="F1406" s="114" t="s">
        <v>402</v>
      </c>
      <c r="G1406" s="114" t="s">
        <v>77</v>
      </c>
      <c r="H1406" s="114" t="s">
        <v>3</v>
      </c>
      <c r="I1406" s="114"/>
      <c r="J1406" s="114"/>
      <c r="K1406" s="356" t="s">
        <v>896</v>
      </c>
      <c r="L1406" s="356"/>
      <c r="M1406" s="356"/>
      <c r="N1406" s="356"/>
      <c r="O1406" s="357">
        <v>43616</v>
      </c>
      <c r="P1406" s="357"/>
      <c r="Q1406" s="357"/>
      <c r="R1406" s="357"/>
      <c r="S1406" s="117"/>
      <c r="T1406" s="117"/>
      <c r="U1406" s="358">
        <v>0</v>
      </c>
      <c r="V1406" s="358">
        <v>0</v>
      </c>
      <c r="W1406" s="358">
        <v>0</v>
      </c>
      <c r="X1406" s="358">
        <f t="shared" si="443"/>
        <v>0</v>
      </c>
      <c r="Y1406" s="358">
        <v>0</v>
      </c>
      <c r="Z1406" s="358">
        <v>0</v>
      </c>
      <c r="AA1406" s="358">
        <v>0</v>
      </c>
      <c r="AB1406" s="358">
        <v>0</v>
      </c>
      <c r="AC1406" s="358">
        <v>0</v>
      </c>
      <c r="AD1406" s="358">
        <v>0</v>
      </c>
      <c r="AE1406" s="358">
        <v>0</v>
      </c>
      <c r="AF1406" s="358">
        <v>0</v>
      </c>
      <c r="AG1406" s="358">
        <v>0</v>
      </c>
      <c r="AH1406" s="358">
        <v>0</v>
      </c>
      <c r="AI1406" s="358">
        <v>0</v>
      </c>
      <c r="AJ1406" s="358">
        <v>0</v>
      </c>
      <c r="AK1406" s="358">
        <f t="shared" si="440"/>
        <v>0</v>
      </c>
      <c r="AL1406" s="358">
        <v>0</v>
      </c>
      <c r="AM1406" s="358">
        <v>0</v>
      </c>
      <c r="AN1406" s="358">
        <v>0</v>
      </c>
      <c r="AO1406" s="358">
        <v>0</v>
      </c>
      <c r="AP1406" s="358">
        <v>0</v>
      </c>
      <c r="AQ1406" s="358">
        <v>0</v>
      </c>
      <c r="AR1406" s="358">
        <v>0</v>
      </c>
      <c r="AS1406" s="358">
        <f t="shared" si="442"/>
        <v>0</v>
      </c>
      <c r="AT1406" s="145">
        <v>0</v>
      </c>
      <c r="AU1406" s="139">
        <f t="shared" si="438"/>
        <v>0</v>
      </c>
      <c r="AV1406" s="146">
        <f>IFERROR(VLOOKUP(J1406,Maksājumu_pieprasījumu_iesn.!G:BL,57,0),0)</f>
        <v>0</v>
      </c>
      <c r="AW1406" s="139">
        <f t="shared" si="441"/>
        <v>0</v>
      </c>
      <c r="AX1406" s="358"/>
      <c r="AY1406" s="358"/>
      <c r="AZ1406" s="358"/>
      <c r="BA1406" s="360"/>
      <c r="BB1406" s="358"/>
      <c r="BC1406" s="358"/>
      <c r="BD1406" s="358"/>
      <c r="BE1406" s="358"/>
      <c r="BF1406" s="358"/>
      <c r="BG1406" s="358"/>
      <c r="BH1406" s="360"/>
      <c r="BI1406" s="360"/>
      <c r="BJ1406" s="360"/>
      <c r="BK1406" s="360"/>
      <c r="BL1406" s="360"/>
      <c r="BM1406" s="360"/>
      <c r="BN1406" s="360"/>
    </row>
    <row r="1407" spans="1:66" s="91" customFormat="1" ht="25.5" hidden="1" customHeight="1" outlineLevel="2" x14ac:dyDescent="0.2">
      <c r="A1407" s="150" t="s">
        <v>2279</v>
      </c>
      <c r="B1407" s="355" t="s">
        <v>406</v>
      </c>
      <c r="C1407" s="355" t="s">
        <v>411</v>
      </c>
      <c r="D1407" s="356" t="s">
        <v>606</v>
      </c>
      <c r="E1407" s="114">
        <v>2</v>
      </c>
      <c r="F1407" s="114" t="s">
        <v>402</v>
      </c>
      <c r="G1407" s="114" t="s">
        <v>77</v>
      </c>
      <c r="H1407" s="114" t="s">
        <v>3</v>
      </c>
      <c r="I1407" s="114"/>
      <c r="J1407" s="114"/>
      <c r="K1407" s="356" t="s">
        <v>2511</v>
      </c>
      <c r="L1407" s="356"/>
      <c r="M1407" s="356"/>
      <c r="N1407" s="356"/>
      <c r="O1407" s="357">
        <v>43616</v>
      </c>
      <c r="P1407" s="357"/>
      <c r="Q1407" s="357"/>
      <c r="R1407" s="357"/>
      <c r="S1407" s="117"/>
      <c r="T1407" s="117"/>
      <c r="U1407" s="358">
        <v>0</v>
      </c>
      <c r="V1407" s="358">
        <v>0</v>
      </c>
      <c r="W1407" s="358">
        <v>0</v>
      </c>
      <c r="X1407" s="358">
        <f t="shared" si="443"/>
        <v>0</v>
      </c>
      <c r="Y1407" s="358">
        <v>0</v>
      </c>
      <c r="Z1407" s="358">
        <v>0</v>
      </c>
      <c r="AA1407" s="358">
        <v>0</v>
      </c>
      <c r="AB1407" s="358">
        <v>0</v>
      </c>
      <c r="AC1407" s="358">
        <v>0</v>
      </c>
      <c r="AD1407" s="358">
        <v>0</v>
      </c>
      <c r="AE1407" s="358">
        <v>0</v>
      </c>
      <c r="AF1407" s="358">
        <v>0</v>
      </c>
      <c r="AG1407" s="358">
        <v>0</v>
      </c>
      <c r="AH1407" s="358">
        <v>0</v>
      </c>
      <c r="AI1407" s="358">
        <v>0</v>
      </c>
      <c r="AJ1407" s="358">
        <v>0</v>
      </c>
      <c r="AK1407" s="358">
        <f t="shared" si="440"/>
        <v>0</v>
      </c>
      <c r="AL1407" s="358">
        <v>0</v>
      </c>
      <c r="AM1407" s="358">
        <v>0</v>
      </c>
      <c r="AN1407" s="358">
        <v>0</v>
      </c>
      <c r="AO1407" s="358">
        <v>0</v>
      </c>
      <c r="AP1407" s="358">
        <v>0</v>
      </c>
      <c r="AQ1407" s="358">
        <v>0</v>
      </c>
      <c r="AR1407" s="358">
        <v>0</v>
      </c>
      <c r="AS1407" s="358">
        <f t="shared" si="442"/>
        <v>0</v>
      </c>
      <c r="AT1407" s="145">
        <v>0</v>
      </c>
      <c r="AU1407" s="139">
        <f t="shared" ref="AU1407:AU1470" si="444">AS1407-AT1407</f>
        <v>0</v>
      </c>
      <c r="AV1407" s="146">
        <f>IFERROR(VLOOKUP(J1407,Maksājumu_pieprasījumu_iesn.!G:BL,57,0),0)</f>
        <v>0</v>
      </c>
      <c r="AW1407" s="139">
        <f t="shared" si="441"/>
        <v>0</v>
      </c>
      <c r="AX1407" s="358"/>
      <c r="AY1407" s="358"/>
      <c r="AZ1407" s="358"/>
      <c r="BA1407" s="360"/>
      <c r="BB1407" s="358"/>
      <c r="BC1407" s="358"/>
      <c r="BD1407" s="358"/>
      <c r="BE1407" s="358"/>
      <c r="BF1407" s="358"/>
      <c r="BG1407" s="358"/>
      <c r="BH1407" s="360"/>
      <c r="BI1407" s="360"/>
      <c r="BJ1407" s="360"/>
      <c r="BK1407" s="360"/>
      <c r="BL1407" s="360"/>
      <c r="BM1407" s="360"/>
      <c r="BN1407" s="360"/>
    </row>
    <row r="1408" spans="1:66" s="91" customFormat="1" ht="25.5" hidden="1" customHeight="1" outlineLevel="2" x14ac:dyDescent="0.2">
      <c r="A1408" s="150" t="s">
        <v>2279</v>
      </c>
      <c r="B1408" s="355" t="s">
        <v>406</v>
      </c>
      <c r="C1408" s="355" t="s">
        <v>411</v>
      </c>
      <c r="D1408" s="356" t="s">
        <v>606</v>
      </c>
      <c r="E1408" s="114">
        <v>2</v>
      </c>
      <c r="F1408" s="114" t="s">
        <v>402</v>
      </c>
      <c r="G1408" s="114" t="s">
        <v>77</v>
      </c>
      <c r="H1408" s="114" t="s">
        <v>3</v>
      </c>
      <c r="I1408" s="114"/>
      <c r="J1408" s="114"/>
      <c r="K1408" s="356" t="s">
        <v>2339</v>
      </c>
      <c r="L1408" s="356"/>
      <c r="M1408" s="356"/>
      <c r="N1408" s="356"/>
      <c r="O1408" s="357">
        <v>43616</v>
      </c>
      <c r="P1408" s="357"/>
      <c r="Q1408" s="357"/>
      <c r="R1408" s="357"/>
      <c r="S1408" s="117"/>
      <c r="T1408" s="117"/>
      <c r="U1408" s="358">
        <v>0</v>
      </c>
      <c r="V1408" s="358">
        <v>0</v>
      </c>
      <c r="W1408" s="358">
        <v>0</v>
      </c>
      <c r="X1408" s="358">
        <f t="shared" si="443"/>
        <v>0</v>
      </c>
      <c r="Y1408" s="358">
        <v>0</v>
      </c>
      <c r="Z1408" s="358">
        <v>0</v>
      </c>
      <c r="AA1408" s="358">
        <v>0</v>
      </c>
      <c r="AB1408" s="358">
        <v>0</v>
      </c>
      <c r="AC1408" s="358">
        <v>0</v>
      </c>
      <c r="AD1408" s="358">
        <v>0</v>
      </c>
      <c r="AE1408" s="358">
        <v>0</v>
      </c>
      <c r="AF1408" s="358">
        <v>0</v>
      </c>
      <c r="AG1408" s="358">
        <v>0</v>
      </c>
      <c r="AH1408" s="358">
        <v>0</v>
      </c>
      <c r="AI1408" s="358">
        <v>0</v>
      </c>
      <c r="AJ1408" s="358">
        <v>0</v>
      </c>
      <c r="AK1408" s="358">
        <f t="shared" si="440"/>
        <v>0</v>
      </c>
      <c r="AL1408" s="358">
        <v>0</v>
      </c>
      <c r="AM1408" s="358">
        <v>0</v>
      </c>
      <c r="AN1408" s="358">
        <v>0</v>
      </c>
      <c r="AO1408" s="358">
        <v>0</v>
      </c>
      <c r="AP1408" s="358">
        <v>0</v>
      </c>
      <c r="AQ1408" s="358">
        <v>0</v>
      </c>
      <c r="AR1408" s="358">
        <v>0</v>
      </c>
      <c r="AS1408" s="358">
        <f t="shared" si="442"/>
        <v>0</v>
      </c>
      <c r="AT1408" s="145">
        <v>0</v>
      </c>
      <c r="AU1408" s="139">
        <f t="shared" si="444"/>
        <v>0</v>
      </c>
      <c r="AV1408" s="146">
        <f>IFERROR(VLOOKUP(J1408,Maksājumu_pieprasījumu_iesn.!G:BL,57,0),0)</f>
        <v>0</v>
      </c>
      <c r="AW1408" s="139">
        <f t="shared" si="441"/>
        <v>0</v>
      </c>
      <c r="AX1408" s="358"/>
      <c r="AY1408" s="358"/>
      <c r="AZ1408" s="358"/>
      <c r="BA1408" s="360"/>
      <c r="BB1408" s="358"/>
      <c r="BC1408" s="358"/>
      <c r="BD1408" s="358"/>
      <c r="BE1408" s="358"/>
      <c r="BF1408" s="358"/>
      <c r="BG1408" s="358"/>
      <c r="BH1408" s="360"/>
      <c r="BI1408" s="360"/>
      <c r="BJ1408" s="360"/>
      <c r="BK1408" s="360"/>
      <c r="BL1408" s="360"/>
      <c r="BM1408" s="360"/>
      <c r="BN1408" s="360"/>
    </row>
    <row r="1409" spans="1:66" s="91" customFormat="1" ht="25.5" hidden="1" customHeight="1" outlineLevel="2" x14ac:dyDescent="0.2">
      <c r="A1409" s="150" t="s">
        <v>2279</v>
      </c>
      <c r="B1409" s="355" t="s">
        <v>406</v>
      </c>
      <c r="C1409" s="355" t="s">
        <v>411</v>
      </c>
      <c r="D1409" s="356" t="s">
        <v>606</v>
      </c>
      <c r="E1409" s="114">
        <v>2</v>
      </c>
      <c r="F1409" s="114" t="s">
        <v>402</v>
      </c>
      <c r="G1409" s="114" t="s">
        <v>77</v>
      </c>
      <c r="H1409" s="114" t="s">
        <v>3</v>
      </c>
      <c r="I1409" s="114"/>
      <c r="J1409" s="114"/>
      <c r="K1409" s="356" t="s">
        <v>897</v>
      </c>
      <c r="L1409" s="356"/>
      <c r="M1409" s="356"/>
      <c r="N1409" s="356"/>
      <c r="O1409" s="357">
        <v>43616</v>
      </c>
      <c r="P1409" s="357"/>
      <c r="Q1409" s="357"/>
      <c r="R1409" s="357"/>
      <c r="S1409" s="117"/>
      <c r="T1409" s="117"/>
      <c r="U1409" s="358">
        <v>0</v>
      </c>
      <c r="V1409" s="358">
        <v>0</v>
      </c>
      <c r="W1409" s="358">
        <v>0</v>
      </c>
      <c r="X1409" s="358">
        <f t="shared" si="443"/>
        <v>0</v>
      </c>
      <c r="Y1409" s="358">
        <v>0</v>
      </c>
      <c r="Z1409" s="358">
        <v>0</v>
      </c>
      <c r="AA1409" s="358">
        <v>0</v>
      </c>
      <c r="AB1409" s="358">
        <v>0</v>
      </c>
      <c r="AC1409" s="358">
        <v>0</v>
      </c>
      <c r="AD1409" s="358">
        <v>0</v>
      </c>
      <c r="AE1409" s="358">
        <v>0</v>
      </c>
      <c r="AF1409" s="358">
        <v>0</v>
      </c>
      <c r="AG1409" s="358">
        <v>0</v>
      </c>
      <c r="AH1409" s="358">
        <v>0</v>
      </c>
      <c r="AI1409" s="358">
        <v>0</v>
      </c>
      <c r="AJ1409" s="358">
        <v>0</v>
      </c>
      <c r="AK1409" s="358">
        <f t="shared" si="440"/>
        <v>0</v>
      </c>
      <c r="AL1409" s="358">
        <v>0</v>
      </c>
      <c r="AM1409" s="358">
        <v>0</v>
      </c>
      <c r="AN1409" s="358">
        <v>0</v>
      </c>
      <c r="AO1409" s="358">
        <v>0</v>
      </c>
      <c r="AP1409" s="358">
        <v>0</v>
      </c>
      <c r="AQ1409" s="358">
        <v>0</v>
      </c>
      <c r="AR1409" s="358">
        <v>0</v>
      </c>
      <c r="AS1409" s="358">
        <f t="shared" ref="AS1409:AS1426" si="445">U1409+V1409+W1409+AK1409+AL1409+AM1409+AN1409+AO1409+AP1409+AQ1409+AR1409</f>
        <v>0</v>
      </c>
      <c r="AT1409" s="145">
        <v>0</v>
      </c>
      <c r="AU1409" s="139">
        <f t="shared" si="444"/>
        <v>0</v>
      </c>
      <c r="AV1409" s="146">
        <f>IFERROR(VLOOKUP(J1409,Maksājumu_pieprasījumu_iesn.!G:BL,57,0),0)</f>
        <v>0</v>
      </c>
      <c r="AW1409" s="139">
        <f t="shared" si="441"/>
        <v>0</v>
      </c>
      <c r="AX1409" s="358"/>
      <c r="AY1409" s="358"/>
      <c r="AZ1409" s="358"/>
      <c r="BA1409" s="360"/>
      <c r="BB1409" s="358"/>
      <c r="BC1409" s="358"/>
      <c r="BD1409" s="358"/>
      <c r="BE1409" s="358"/>
      <c r="BF1409" s="358"/>
      <c r="BG1409" s="358"/>
      <c r="BH1409" s="360"/>
      <c r="BI1409" s="360"/>
      <c r="BJ1409" s="360"/>
      <c r="BK1409" s="360"/>
      <c r="BL1409" s="360"/>
      <c r="BM1409" s="360"/>
      <c r="BN1409" s="360"/>
    </row>
    <row r="1410" spans="1:66" s="91" customFormat="1" ht="25.5" hidden="1" customHeight="1" outlineLevel="2" x14ac:dyDescent="0.2">
      <c r="A1410" s="150" t="s">
        <v>2279</v>
      </c>
      <c r="B1410" s="355" t="s">
        <v>406</v>
      </c>
      <c r="C1410" s="355" t="s">
        <v>411</v>
      </c>
      <c r="D1410" s="356" t="s">
        <v>606</v>
      </c>
      <c r="E1410" s="114">
        <v>2</v>
      </c>
      <c r="F1410" s="114" t="s">
        <v>402</v>
      </c>
      <c r="G1410" s="114" t="s">
        <v>77</v>
      </c>
      <c r="H1410" s="114" t="s">
        <v>3</v>
      </c>
      <c r="I1410" s="114"/>
      <c r="J1410" s="114"/>
      <c r="K1410" s="356" t="s">
        <v>1330</v>
      </c>
      <c r="L1410" s="356"/>
      <c r="M1410" s="356"/>
      <c r="N1410" s="356"/>
      <c r="O1410" s="357">
        <v>43616</v>
      </c>
      <c r="P1410" s="357"/>
      <c r="Q1410" s="357"/>
      <c r="R1410" s="357"/>
      <c r="S1410" s="117"/>
      <c r="T1410" s="117"/>
      <c r="U1410" s="358">
        <v>0</v>
      </c>
      <c r="V1410" s="358">
        <v>0</v>
      </c>
      <c r="W1410" s="358">
        <v>0</v>
      </c>
      <c r="X1410" s="358">
        <f t="shared" si="443"/>
        <v>0</v>
      </c>
      <c r="Y1410" s="358">
        <v>0</v>
      </c>
      <c r="Z1410" s="358">
        <v>0</v>
      </c>
      <c r="AA1410" s="358">
        <v>0</v>
      </c>
      <c r="AB1410" s="358">
        <v>0</v>
      </c>
      <c r="AC1410" s="358">
        <v>0</v>
      </c>
      <c r="AD1410" s="358">
        <v>0</v>
      </c>
      <c r="AE1410" s="358">
        <v>0</v>
      </c>
      <c r="AF1410" s="358">
        <v>0</v>
      </c>
      <c r="AG1410" s="358">
        <v>0</v>
      </c>
      <c r="AH1410" s="358">
        <v>0</v>
      </c>
      <c r="AI1410" s="358">
        <v>0</v>
      </c>
      <c r="AJ1410" s="358">
        <v>0</v>
      </c>
      <c r="AK1410" s="358">
        <f t="shared" si="440"/>
        <v>0</v>
      </c>
      <c r="AL1410" s="358">
        <v>0</v>
      </c>
      <c r="AM1410" s="358">
        <v>0</v>
      </c>
      <c r="AN1410" s="358">
        <v>0</v>
      </c>
      <c r="AO1410" s="358">
        <v>0</v>
      </c>
      <c r="AP1410" s="358">
        <v>0</v>
      </c>
      <c r="AQ1410" s="358">
        <v>0</v>
      </c>
      <c r="AR1410" s="358">
        <v>0</v>
      </c>
      <c r="AS1410" s="358">
        <f t="shared" si="445"/>
        <v>0</v>
      </c>
      <c r="AT1410" s="145">
        <v>0</v>
      </c>
      <c r="AU1410" s="139">
        <f t="shared" si="444"/>
        <v>0</v>
      </c>
      <c r="AV1410" s="146">
        <f>IFERROR(VLOOKUP(J1410,Maksājumu_pieprasījumu_iesn.!G:BL,57,0),0)</f>
        <v>0</v>
      </c>
      <c r="AW1410" s="139">
        <f t="shared" si="441"/>
        <v>0</v>
      </c>
      <c r="AX1410" s="358"/>
      <c r="AY1410" s="358"/>
      <c r="AZ1410" s="358"/>
      <c r="BA1410" s="360"/>
      <c r="BB1410" s="358"/>
      <c r="BC1410" s="358"/>
      <c r="BD1410" s="358"/>
      <c r="BE1410" s="358"/>
      <c r="BF1410" s="358"/>
      <c r="BG1410" s="358"/>
      <c r="BH1410" s="360"/>
      <c r="BI1410" s="360"/>
      <c r="BJ1410" s="360"/>
      <c r="BK1410" s="360"/>
      <c r="BL1410" s="360"/>
      <c r="BM1410" s="360"/>
      <c r="BN1410" s="360"/>
    </row>
    <row r="1411" spans="1:66" s="91" customFormat="1" ht="25.5" hidden="1" customHeight="1" outlineLevel="2" x14ac:dyDescent="0.2">
      <c r="A1411" s="150" t="s">
        <v>2279</v>
      </c>
      <c r="B1411" s="355" t="s">
        <v>406</v>
      </c>
      <c r="C1411" s="355" t="s">
        <v>411</v>
      </c>
      <c r="D1411" s="356" t="s">
        <v>606</v>
      </c>
      <c r="E1411" s="114">
        <v>2</v>
      </c>
      <c r="F1411" s="114" t="s">
        <v>402</v>
      </c>
      <c r="G1411" s="114" t="s">
        <v>77</v>
      </c>
      <c r="H1411" s="114" t="s">
        <v>3</v>
      </c>
      <c r="I1411" s="114"/>
      <c r="J1411" s="114"/>
      <c r="K1411" s="356" t="s">
        <v>2512</v>
      </c>
      <c r="L1411" s="356"/>
      <c r="M1411" s="356"/>
      <c r="N1411" s="356"/>
      <c r="O1411" s="357">
        <v>43616</v>
      </c>
      <c r="P1411" s="357"/>
      <c r="Q1411" s="357"/>
      <c r="R1411" s="357"/>
      <c r="S1411" s="117"/>
      <c r="T1411" s="117"/>
      <c r="U1411" s="358">
        <v>0</v>
      </c>
      <c r="V1411" s="358">
        <v>0</v>
      </c>
      <c r="W1411" s="358">
        <v>0</v>
      </c>
      <c r="X1411" s="358">
        <f t="shared" si="443"/>
        <v>0</v>
      </c>
      <c r="Y1411" s="358">
        <v>0</v>
      </c>
      <c r="Z1411" s="358">
        <v>0</v>
      </c>
      <c r="AA1411" s="358">
        <v>0</v>
      </c>
      <c r="AB1411" s="358">
        <v>0</v>
      </c>
      <c r="AC1411" s="358">
        <v>0</v>
      </c>
      <c r="AD1411" s="358">
        <v>0</v>
      </c>
      <c r="AE1411" s="358">
        <v>0</v>
      </c>
      <c r="AF1411" s="358">
        <v>0</v>
      </c>
      <c r="AG1411" s="358">
        <v>0</v>
      </c>
      <c r="AH1411" s="358">
        <v>0</v>
      </c>
      <c r="AI1411" s="358">
        <v>0</v>
      </c>
      <c r="AJ1411" s="358">
        <v>0</v>
      </c>
      <c r="AK1411" s="358">
        <f t="shared" si="440"/>
        <v>0</v>
      </c>
      <c r="AL1411" s="358">
        <v>0</v>
      </c>
      <c r="AM1411" s="358">
        <v>0</v>
      </c>
      <c r="AN1411" s="358">
        <v>0</v>
      </c>
      <c r="AO1411" s="358">
        <v>0</v>
      </c>
      <c r="AP1411" s="358">
        <v>0</v>
      </c>
      <c r="AQ1411" s="358">
        <v>0</v>
      </c>
      <c r="AR1411" s="358">
        <v>0</v>
      </c>
      <c r="AS1411" s="358">
        <f t="shared" si="445"/>
        <v>0</v>
      </c>
      <c r="AT1411" s="145">
        <v>0</v>
      </c>
      <c r="AU1411" s="139">
        <f t="shared" si="444"/>
        <v>0</v>
      </c>
      <c r="AV1411" s="146">
        <f>IFERROR(VLOOKUP(J1411,Maksājumu_pieprasījumu_iesn.!G:BL,57,0),0)</f>
        <v>0</v>
      </c>
      <c r="AW1411" s="139">
        <f t="shared" si="441"/>
        <v>0</v>
      </c>
      <c r="AX1411" s="358"/>
      <c r="AY1411" s="358"/>
      <c r="AZ1411" s="358"/>
      <c r="BA1411" s="360"/>
      <c r="BB1411" s="358"/>
      <c r="BC1411" s="358"/>
      <c r="BD1411" s="358"/>
      <c r="BE1411" s="358"/>
      <c r="BF1411" s="358"/>
      <c r="BG1411" s="358"/>
      <c r="BH1411" s="360"/>
      <c r="BI1411" s="360"/>
      <c r="BJ1411" s="360"/>
      <c r="BK1411" s="360"/>
      <c r="BL1411" s="360"/>
      <c r="BM1411" s="360"/>
      <c r="BN1411" s="360"/>
    </row>
    <row r="1412" spans="1:66" s="91" customFormat="1" ht="25.5" hidden="1" customHeight="1" outlineLevel="2" x14ac:dyDescent="0.2">
      <c r="A1412" s="150" t="s">
        <v>2279</v>
      </c>
      <c r="B1412" s="355" t="s">
        <v>406</v>
      </c>
      <c r="C1412" s="355" t="s">
        <v>411</v>
      </c>
      <c r="D1412" s="356" t="s">
        <v>606</v>
      </c>
      <c r="E1412" s="114">
        <v>2</v>
      </c>
      <c r="F1412" s="114" t="s">
        <v>402</v>
      </c>
      <c r="G1412" s="114" t="s">
        <v>77</v>
      </c>
      <c r="H1412" s="114" t="s">
        <v>3</v>
      </c>
      <c r="I1412" s="114"/>
      <c r="J1412" s="114"/>
      <c r="K1412" s="356" t="s">
        <v>856</v>
      </c>
      <c r="L1412" s="356"/>
      <c r="M1412" s="356"/>
      <c r="N1412" s="356"/>
      <c r="O1412" s="357">
        <v>43616</v>
      </c>
      <c r="P1412" s="357"/>
      <c r="Q1412" s="357"/>
      <c r="R1412" s="357"/>
      <c r="S1412" s="117"/>
      <c r="T1412" s="117"/>
      <c r="U1412" s="358">
        <v>0</v>
      </c>
      <c r="V1412" s="358">
        <v>0</v>
      </c>
      <c r="W1412" s="358">
        <v>0</v>
      </c>
      <c r="X1412" s="358">
        <f t="shared" si="443"/>
        <v>0</v>
      </c>
      <c r="Y1412" s="358">
        <v>0</v>
      </c>
      <c r="Z1412" s="358">
        <v>0</v>
      </c>
      <c r="AA1412" s="358">
        <v>0</v>
      </c>
      <c r="AB1412" s="358">
        <v>0</v>
      </c>
      <c r="AC1412" s="358">
        <v>0</v>
      </c>
      <c r="AD1412" s="358">
        <v>0</v>
      </c>
      <c r="AE1412" s="358">
        <v>0</v>
      </c>
      <c r="AF1412" s="358">
        <v>0</v>
      </c>
      <c r="AG1412" s="358">
        <v>0</v>
      </c>
      <c r="AH1412" s="358">
        <v>0</v>
      </c>
      <c r="AI1412" s="358">
        <v>0</v>
      </c>
      <c r="AJ1412" s="358">
        <v>0</v>
      </c>
      <c r="AK1412" s="358">
        <f t="shared" si="440"/>
        <v>0</v>
      </c>
      <c r="AL1412" s="358">
        <v>0</v>
      </c>
      <c r="AM1412" s="358">
        <v>0</v>
      </c>
      <c r="AN1412" s="358">
        <v>0</v>
      </c>
      <c r="AO1412" s="358">
        <v>0</v>
      </c>
      <c r="AP1412" s="358">
        <v>0</v>
      </c>
      <c r="AQ1412" s="358">
        <v>0</v>
      </c>
      <c r="AR1412" s="358">
        <v>0</v>
      </c>
      <c r="AS1412" s="358">
        <f t="shared" si="445"/>
        <v>0</v>
      </c>
      <c r="AT1412" s="145">
        <v>0</v>
      </c>
      <c r="AU1412" s="139">
        <f t="shared" si="444"/>
        <v>0</v>
      </c>
      <c r="AV1412" s="146">
        <f>IFERROR(VLOOKUP(J1412,Maksājumu_pieprasījumu_iesn.!G:BL,57,0),0)</f>
        <v>0</v>
      </c>
      <c r="AW1412" s="139">
        <f t="shared" si="441"/>
        <v>0</v>
      </c>
      <c r="AX1412" s="358"/>
      <c r="AY1412" s="358"/>
      <c r="AZ1412" s="358"/>
      <c r="BA1412" s="360"/>
      <c r="BB1412" s="358"/>
      <c r="BC1412" s="358"/>
      <c r="BD1412" s="358"/>
      <c r="BE1412" s="358"/>
      <c r="BF1412" s="358"/>
      <c r="BG1412" s="358"/>
      <c r="BH1412" s="360"/>
      <c r="BI1412" s="360"/>
      <c r="BJ1412" s="360"/>
      <c r="BK1412" s="360"/>
      <c r="BL1412" s="360"/>
      <c r="BM1412" s="360"/>
      <c r="BN1412" s="360"/>
    </row>
    <row r="1413" spans="1:66" s="91" customFormat="1" ht="25.5" hidden="1" customHeight="1" outlineLevel="2" x14ac:dyDescent="0.2">
      <c r="A1413" s="150" t="s">
        <v>2279</v>
      </c>
      <c r="B1413" s="355" t="s">
        <v>406</v>
      </c>
      <c r="C1413" s="355" t="s">
        <v>411</v>
      </c>
      <c r="D1413" s="356" t="s">
        <v>606</v>
      </c>
      <c r="E1413" s="114">
        <v>2</v>
      </c>
      <c r="F1413" s="114" t="s">
        <v>402</v>
      </c>
      <c r="G1413" s="114" t="s">
        <v>77</v>
      </c>
      <c r="H1413" s="114" t="s">
        <v>3</v>
      </c>
      <c r="I1413" s="114"/>
      <c r="J1413" s="114"/>
      <c r="K1413" s="356" t="s">
        <v>1332</v>
      </c>
      <c r="L1413" s="356"/>
      <c r="M1413" s="356"/>
      <c r="N1413" s="356"/>
      <c r="O1413" s="357">
        <v>43616</v>
      </c>
      <c r="P1413" s="357"/>
      <c r="Q1413" s="357"/>
      <c r="R1413" s="357"/>
      <c r="S1413" s="117"/>
      <c r="T1413" s="117"/>
      <c r="U1413" s="358">
        <v>0</v>
      </c>
      <c r="V1413" s="358">
        <v>0</v>
      </c>
      <c r="W1413" s="358">
        <v>0</v>
      </c>
      <c r="X1413" s="358">
        <f t="shared" si="443"/>
        <v>0</v>
      </c>
      <c r="Y1413" s="358">
        <v>0</v>
      </c>
      <c r="Z1413" s="358">
        <v>0</v>
      </c>
      <c r="AA1413" s="358">
        <v>0</v>
      </c>
      <c r="AB1413" s="358">
        <v>0</v>
      </c>
      <c r="AC1413" s="358">
        <v>0</v>
      </c>
      <c r="AD1413" s="358">
        <v>0</v>
      </c>
      <c r="AE1413" s="358">
        <v>0</v>
      </c>
      <c r="AF1413" s="358">
        <v>0</v>
      </c>
      <c r="AG1413" s="358">
        <v>0</v>
      </c>
      <c r="AH1413" s="358">
        <v>0</v>
      </c>
      <c r="AI1413" s="358">
        <v>0</v>
      </c>
      <c r="AJ1413" s="358">
        <v>0</v>
      </c>
      <c r="AK1413" s="358">
        <f t="shared" ref="AK1413:AK1426" si="446">SUM(Y1413:AJ1413)</f>
        <v>0</v>
      </c>
      <c r="AL1413" s="358">
        <v>0</v>
      </c>
      <c r="AM1413" s="358">
        <v>0</v>
      </c>
      <c r="AN1413" s="358">
        <v>0</v>
      </c>
      <c r="AO1413" s="358">
        <v>0</v>
      </c>
      <c r="AP1413" s="358">
        <v>0</v>
      </c>
      <c r="AQ1413" s="358">
        <v>0</v>
      </c>
      <c r="AR1413" s="358">
        <v>0</v>
      </c>
      <c r="AS1413" s="358">
        <f t="shared" si="445"/>
        <v>0</v>
      </c>
      <c r="AT1413" s="145">
        <v>0</v>
      </c>
      <c r="AU1413" s="139">
        <f t="shared" si="444"/>
        <v>0</v>
      </c>
      <c r="AV1413" s="146">
        <f>IFERROR(VLOOKUP(J1413,Maksājumu_pieprasījumu_iesn.!G:BL,57,0),0)</f>
        <v>0</v>
      </c>
      <c r="AW1413" s="139">
        <f t="shared" si="441"/>
        <v>0</v>
      </c>
      <c r="AX1413" s="358"/>
      <c r="AY1413" s="358"/>
      <c r="AZ1413" s="358"/>
      <c r="BA1413" s="360"/>
      <c r="BB1413" s="358"/>
      <c r="BC1413" s="358"/>
      <c r="BD1413" s="358"/>
      <c r="BE1413" s="358"/>
      <c r="BF1413" s="358"/>
      <c r="BG1413" s="358"/>
      <c r="BH1413" s="360"/>
      <c r="BI1413" s="360"/>
      <c r="BJ1413" s="360"/>
      <c r="BK1413" s="360"/>
      <c r="BL1413" s="360"/>
      <c r="BM1413" s="360"/>
      <c r="BN1413" s="360"/>
    </row>
    <row r="1414" spans="1:66" s="91" customFormat="1" ht="25.5" hidden="1" customHeight="1" outlineLevel="2" x14ac:dyDescent="0.2">
      <c r="A1414" s="150" t="s">
        <v>2279</v>
      </c>
      <c r="B1414" s="355" t="s">
        <v>406</v>
      </c>
      <c r="C1414" s="355" t="s">
        <v>411</v>
      </c>
      <c r="D1414" s="356" t="s">
        <v>606</v>
      </c>
      <c r="E1414" s="114">
        <v>2</v>
      </c>
      <c r="F1414" s="114" t="s">
        <v>402</v>
      </c>
      <c r="G1414" s="114" t="s">
        <v>77</v>
      </c>
      <c r="H1414" s="114" t="s">
        <v>3</v>
      </c>
      <c r="I1414" s="114"/>
      <c r="J1414" s="114"/>
      <c r="K1414" s="356" t="s">
        <v>810</v>
      </c>
      <c r="L1414" s="356"/>
      <c r="M1414" s="356"/>
      <c r="N1414" s="356"/>
      <c r="O1414" s="357">
        <v>43616</v>
      </c>
      <c r="P1414" s="357"/>
      <c r="Q1414" s="357"/>
      <c r="R1414" s="357"/>
      <c r="S1414" s="117"/>
      <c r="T1414" s="117"/>
      <c r="U1414" s="358">
        <v>0</v>
      </c>
      <c r="V1414" s="358">
        <v>0</v>
      </c>
      <c r="W1414" s="358">
        <v>0</v>
      </c>
      <c r="X1414" s="358">
        <f t="shared" si="443"/>
        <v>0</v>
      </c>
      <c r="Y1414" s="358">
        <v>0</v>
      </c>
      <c r="Z1414" s="358">
        <v>0</v>
      </c>
      <c r="AA1414" s="358">
        <v>0</v>
      </c>
      <c r="AB1414" s="358">
        <v>0</v>
      </c>
      <c r="AC1414" s="358">
        <v>0</v>
      </c>
      <c r="AD1414" s="358">
        <v>0</v>
      </c>
      <c r="AE1414" s="358">
        <v>0</v>
      </c>
      <c r="AF1414" s="358">
        <v>0</v>
      </c>
      <c r="AG1414" s="358">
        <v>0</v>
      </c>
      <c r="AH1414" s="358">
        <v>0</v>
      </c>
      <c r="AI1414" s="358">
        <v>0</v>
      </c>
      <c r="AJ1414" s="358">
        <v>0</v>
      </c>
      <c r="AK1414" s="358">
        <f t="shared" si="446"/>
        <v>0</v>
      </c>
      <c r="AL1414" s="358">
        <v>0</v>
      </c>
      <c r="AM1414" s="358">
        <v>0</v>
      </c>
      <c r="AN1414" s="358">
        <v>0</v>
      </c>
      <c r="AO1414" s="358">
        <v>0</v>
      </c>
      <c r="AP1414" s="358">
        <v>0</v>
      </c>
      <c r="AQ1414" s="358">
        <v>0</v>
      </c>
      <c r="AR1414" s="358">
        <v>0</v>
      </c>
      <c r="AS1414" s="358">
        <f t="shared" si="445"/>
        <v>0</v>
      </c>
      <c r="AT1414" s="145">
        <v>0</v>
      </c>
      <c r="AU1414" s="139">
        <f t="shared" si="444"/>
        <v>0</v>
      </c>
      <c r="AV1414" s="146">
        <f>IFERROR(VLOOKUP(J1414,Maksājumu_pieprasījumu_iesn.!G:BL,57,0),0)</f>
        <v>0</v>
      </c>
      <c r="AW1414" s="139">
        <f t="shared" si="441"/>
        <v>0</v>
      </c>
      <c r="AX1414" s="358"/>
      <c r="AY1414" s="358"/>
      <c r="AZ1414" s="358"/>
      <c r="BA1414" s="360"/>
      <c r="BB1414" s="358"/>
      <c r="BC1414" s="358"/>
      <c r="BD1414" s="358"/>
      <c r="BE1414" s="358"/>
      <c r="BF1414" s="358"/>
      <c r="BG1414" s="358"/>
      <c r="BH1414" s="360"/>
      <c r="BI1414" s="360"/>
      <c r="BJ1414" s="360"/>
      <c r="BK1414" s="360"/>
      <c r="BL1414" s="360"/>
      <c r="BM1414" s="360"/>
      <c r="BN1414" s="360"/>
    </row>
    <row r="1415" spans="1:66" s="91" customFormat="1" ht="25.5" hidden="1" customHeight="1" outlineLevel="2" x14ac:dyDescent="0.2">
      <c r="A1415" s="150" t="s">
        <v>2279</v>
      </c>
      <c r="B1415" s="355" t="s">
        <v>406</v>
      </c>
      <c r="C1415" s="355" t="s">
        <v>411</v>
      </c>
      <c r="D1415" s="356" t="s">
        <v>606</v>
      </c>
      <c r="E1415" s="114">
        <v>2</v>
      </c>
      <c r="F1415" s="114" t="s">
        <v>402</v>
      </c>
      <c r="G1415" s="114" t="s">
        <v>77</v>
      </c>
      <c r="H1415" s="114" t="s">
        <v>3</v>
      </c>
      <c r="I1415" s="114"/>
      <c r="J1415" s="114"/>
      <c r="K1415" s="356" t="s">
        <v>72</v>
      </c>
      <c r="L1415" s="356"/>
      <c r="M1415" s="356"/>
      <c r="N1415" s="356"/>
      <c r="O1415" s="357">
        <v>43616</v>
      </c>
      <c r="P1415" s="357"/>
      <c r="Q1415" s="357"/>
      <c r="R1415" s="357"/>
      <c r="S1415" s="117"/>
      <c r="T1415" s="117"/>
      <c r="U1415" s="358">
        <v>0</v>
      </c>
      <c r="V1415" s="358">
        <v>0</v>
      </c>
      <c r="W1415" s="358">
        <v>0</v>
      </c>
      <c r="X1415" s="358">
        <f t="shared" si="443"/>
        <v>0</v>
      </c>
      <c r="Y1415" s="358">
        <v>0</v>
      </c>
      <c r="Z1415" s="358">
        <v>0</v>
      </c>
      <c r="AA1415" s="358">
        <v>0</v>
      </c>
      <c r="AB1415" s="358">
        <v>0</v>
      </c>
      <c r="AC1415" s="358">
        <v>0</v>
      </c>
      <c r="AD1415" s="358">
        <v>0</v>
      </c>
      <c r="AE1415" s="358">
        <v>0</v>
      </c>
      <c r="AF1415" s="358">
        <v>0</v>
      </c>
      <c r="AG1415" s="358">
        <v>0</v>
      </c>
      <c r="AH1415" s="358">
        <v>0</v>
      </c>
      <c r="AI1415" s="358">
        <v>0</v>
      </c>
      <c r="AJ1415" s="358">
        <v>0</v>
      </c>
      <c r="AK1415" s="358">
        <f t="shared" si="446"/>
        <v>0</v>
      </c>
      <c r="AL1415" s="358">
        <v>0</v>
      </c>
      <c r="AM1415" s="358">
        <v>0</v>
      </c>
      <c r="AN1415" s="358">
        <v>0</v>
      </c>
      <c r="AO1415" s="358">
        <v>0</v>
      </c>
      <c r="AP1415" s="358">
        <v>0</v>
      </c>
      <c r="AQ1415" s="358">
        <v>0</v>
      </c>
      <c r="AR1415" s="358">
        <v>0</v>
      </c>
      <c r="AS1415" s="358">
        <f t="shared" si="445"/>
        <v>0</v>
      </c>
      <c r="AT1415" s="145">
        <v>0</v>
      </c>
      <c r="AU1415" s="139">
        <f t="shared" si="444"/>
        <v>0</v>
      </c>
      <c r="AV1415" s="146">
        <f>IFERROR(VLOOKUP(J1415,Maksājumu_pieprasījumu_iesn.!G:BL,57,0),0)</f>
        <v>0</v>
      </c>
      <c r="AW1415" s="139">
        <f t="shared" si="441"/>
        <v>0</v>
      </c>
      <c r="AX1415" s="358"/>
      <c r="AY1415" s="358"/>
      <c r="AZ1415" s="358"/>
      <c r="BA1415" s="360"/>
      <c r="BB1415" s="358"/>
      <c r="BC1415" s="358"/>
      <c r="BD1415" s="358"/>
      <c r="BE1415" s="358"/>
      <c r="BF1415" s="358"/>
      <c r="BG1415" s="358"/>
      <c r="BH1415" s="360"/>
      <c r="BI1415" s="360"/>
      <c r="BJ1415" s="360"/>
      <c r="BK1415" s="360"/>
      <c r="BL1415" s="360"/>
      <c r="BM1415" s="360"/>
      <c r="BN1415" s="360"/>
    </row>
    <row r="1416" spans="1:66" s="91" customFormat="1" ht="25.5" hidden="1" customHeight="1" outlineLevel="2" x14ac:dyDescent="0.2">
      <c r="A1416" s="150" t="s">
        <v>2279</v>
      </c>
      <c r="B1416" s="355" t="s">
        <v>406</v>
      </c>
      <c r="C1416" s="355" t="s">
        <v>411</v>
      </c>
      <c r="D1416" s="356" t="s">
        <v>606</v>
      </c>
      <c r="E1416" s="114">
        <v>2</v>
      </c>
      <c r="F1416" s="114" t="s">
        <v>402</v>
      </c>
      <c r="G1416" s="114" t="s">
        <v>77</v>
      </c>
      <c r="H1416" s="114" t="s">
        <v>3</v>
      </c>
      <c r="I1416" s="114"/>
      <c r="J1416" s="114"/>
      <c r="K1416" s="356" t="s">
        <v>2513</v>
      </c>
      <c r="L1416" s="356"/>
      <c r="M1416" s="356"/>
      <c r="N1416" s="356"/>
      <c r="O1416" s="357">
        <v>43616</v>
      </c>
      <c r="P1416" s="357"/>
      <c r="Q1416" s="357"/>
      <c r="R1416" s="357"/>
      <c r="S1416" s="117"/>
      <c r="T1416" s="117"/>
      <c r="U1416" s="358">
        <v>0</v>
      </c>
      <c r="V1416" s="358">
        <v>0</v>
      </c>
      <c r="W1416" s="358">
        <v>0</v>
      </c>
      <c r="X1416" s="358">
        <f t="shared" si="443"/>
        <v>0</v>
      </c>
      <c r="Y1416" s="358">
        <v>0</v>
      </c>
      <c r="Z1416" s="358">
        <v>0</v>
      </c>
      <c r="AA1416" s="358">
        <v>0</v>
      </c>
      <c r="AB1416" s="358">
        <v>0</v>
      </c>
      <c r="AC1416" s="358">
        <v>0</v>
      </c>
      <c r="AD1416" s="358">
        <v>0</v>
      </c>
      <c r="AE1416" s="358">
        <v>0</v>
      </c>
      <c r="AF1416" s="358">
        <v>0</v>
      </c>
      <c r="AG1416" s="358">
        <v>0</v>
      </c>
      <c r="AH1416" s="358">
        <v>0</v>
      </c>
      <c r="AI1416" s="358">
        <v>0</v>
      </c>
      <c r="AJ1416" s="358">
        <v>0</v>
      </c>
      <c r="AK1416" s="358">
        <f t="shared" si="446"/>
        <v>0</v>
      </c>
      <c r="AL1416" s="358">
        <v>0</v>
      </c>
      <c r="AM1416" s="358">
        <v>0</v>
      </c>
      <c r="AN1416" s="358">
        <v>0</v>
      </c>
      <c r="AO1416" s="358">
        <v>0</v>
      </c>
      <c r="AP1416" s="358">
        <v>0</v>
      </c>
      <c r="AQ1416" s="358">
        <v>0</v>
      </c>
      <c r="AR1416" s="358">
        <v>0</v>
      </c>
      <c r="AS1416" s="358">
        <f t="shared" si="445"/>
        <v>0</v>
      </c>
      <c r="AT1416" s="145">
        <v>0</v>
      </c>
      <c r="AU1416" s="139">
        <f t="shared" si="444"/>
        <v>0</v>
      </c>
      <c r="AV1416" s="146">
        <f>IFERROR(VLOOKUP(J1416,Maksājumu_pieprasījumu_iesn.!G:BL,57,0),0)</f>
        <v>0</v>
      </c>
      <c r="AW1416" s="139">
        <f t="shared" si="441"/>
        <v>0</v>
      </c>
      <c r="AX1416" s="358"/>
      <c r="AY1416" s="358"/>
      <c r="AZ1416" s="358"/>
      <c r="BA1416" s="360"/>
      <c r="BB1416" s="358"/>
      <c r="BC1416" s="358"/>
      <c r="BD1416" s="358"/>
      <c r="BE1416" s="358"/>
      <c r="BF1416" s="358"/>
      <c r="BG1416" s="358"/>
      <c r="BH1416" s="360"/>
      <c r="BI1416" s="360"/>
      <c r="BJ1416" s="360"/>
      <c r="BK1416" s="360"/>
      <c r="BL1416" s="360"/>
      <c r="BM1416" s="360"/>
      <c r="BN1416" s="360"/>
    </row>
    <row r="1417" spans="1:66" s="91" customFormat="1" ht="25.5" hidden="1" customHeight="1" outlineLevel="2" x14ac:dyDescent="0.2">
      <c r="A1417" s="150" t="s">
        <v>2279</v>
      </c>
      <c r="B1417" s="355" t="s">
        <v>406</v>
      </c>
      <c r="C1417" s="355" t="s">
        <v>411</v>
      </c>
      <c r="D1417" s="356" t="s">
        <v>606</v>
      </c>
      <c r="E1417" s="114">
        <v>2</v>
      </c>
      <c r="F1417" s="114" t="s">
        <v>402</v>
      </c>
      <c r="G1417" s="114" t="s">
        <v>77</v>
      </c>
      <c r="H1417" s="114" t="s">
        <v>3</v>
      </c>
      <c r="I1417" s="114"/>
      <c r="J1417" s="114"/>
      <c r="K1417" s="356" t="s">
        <v>683</v>
      </c>
      <c r="L1417" s="356"/>
      <c r="M1417" s="356"/>
      <c r="N1417" s="356"/>
      <c r="O1417" s="357">
        <v>43616</v>
      </c>
      <c r="P1417" s="357"/>
      <c r="Q1417" s="357"/>
      <c r="R1417" s="357"/>
      <c r="S1417" s="117"/>
      <c r="T1417" s="117"/>
      <c r="U1417" s="358">
        <v>0</v>
      </c>
      <c r="V1417" s="358">
        <v>0</v>
      </c>
      <c r="W1417" s="358">
        <v>0</v>
      </c>
      <c r="X1417" s="358">
        <f t="shared" si="443"/>
        <v>0</v>
      </c>
      <c r="Y1417" s="358">
        <v>0</v>
      </c>
      <c r="Z1417" s="358">
        <v>0</v>
      </c>
      <c r="AA1417" s="358">
        <v>0</v>
      </c>
      <c r="AB1417" s="358">
        <v>0</v>
      </c>
      <c r="AC1417" s="358">
        <v>0</v>
      </c>
      <c r="AD1417" s="358">
        <v>0</v>
      </c>
      <c r="AE1417" s="358">
        <v>0</v>
      </c>
      <c r="AF1417" s="358">
        <v>0</v>
      </c>
      <c r="AG1417" s="358">
        <v>0</v>
      </c>
      <c r="AH1417" s="358">
        <v>0</v>
      </c>
      <c r="AI1417" s="358">
        <v>0</v>
      </c>
      <c r="AJ1417" s="358">
        <v>0</v>
      </c>
      <c r="AK1417" s="358">
        <f t="shared" si="446"/>
        <v>0</v>
      </c>
      <c r="AL1417" s="358">
        <v>0</v>
      </c>
      <c r="AM1417" s="358">
        <v>0</v>
      </c>
      <c r="AN1417" s="358">
        <v>0</v>
      </c>
      <c r="AO1417" s="358">
        <v>0</v>
      </c>
      <c r="AP1417" s="358">
        <v>0</v>
      </c>
      <c r="AQ1417" s="358">
        <v>0</v>
      </c>
      <c r="AR1417" s="358">
        <v>0</v>
      </c>
      <c r="AS1417" s="358">
        <f t="shared" si="445"/>
        <v>0</v>
      </c>
      <c r="AT1417" s="145">
        <v>0</v>
      </c>
      <c r="AU1417" s="139">
        <f t="shared" si="444"/>
        <v>0</v>
      </c>
      <c r="AV1417" s="146">
        <f>IFERROR(VLOOKUP(J1417,Maksājumu_pieprasījumu_iesn.!G:BL,57,0),0)</f>
        <v>0</v>
      </c>
      <c r="AW1417" s="139">
        <f t="shared" si="441"/>
        <v>0</v>
      </c>
      <c r="AX1417" s="358"/>
      <c r="AY1417" s="358"/>
      <c r="AZ1417" s="358"/>
      <c r="BA1417" s="360"/>
      <c r="BB1417" s="358"/>
      <c r="BC1417" s="358"/>
      <c r="BD1417" s="358"/>
      <c r="BE1417" s="358"/>
      <c r="BF1417" s="358"/>
      <c r="BG1417" s="358"/>
      <c r="BH1417" s="360"/>
      <c r="BI1417" s="360"/>
      <c r="BJ1417" s="360"/>
      <c r="BK1417" s="360"/>
      <c r="BL1417" s="360"/>
      <c r="BM1417" s="360"/>
      <c r="BN1417" s="360"/>
    </row>
    <row r="1418" spans="1:66" s="91" customFormat="1" ht="25.5" hidden="1" customHeight="1" outlineLevel="2" x14ac:dyDescent="0.2">
      <c r="A1418" s="150" t="s">
        <v>2279</v>
      </c>
      <c r="B1418" s="355" t="s">
        <v>406</v>
      </c>
      <c r="C1418" s="355" t="s">
        <v>411</v>
      </c>
      <c r="D1418" s="356" t="s">
        <v>606</v>
      </c>
      <c r="E1418" s="114">
        <v>2</v>
      </c>
      <c r="F1418" s="114" t="s">
        <v>402</v>
      </c>
      <c r="G1418" s="114" t="s">
        <v>77</v>
      </c>
      <c r="H1418" s="114" t="s">
        <v>3</v>
      </c>
      <c r="I1418" s="114"/>
      <c r="J1418" s="114"/>
      <c r="K1418" s="356" t="s">
        <v>2391</v>
      </c>
      <c r="L1418" s="356"/>
      <c r="M1418" s="356"/>
      <c r="N1418" s="356"/>
      <c r="O1418" s="357">
        <v>43616</v>
      </c>
      <c r="P1418" s="357"/>
      <c r="Q1418" s="357"/>
      <c r="R1418" s="357"/>
      <c r="S1418" s="117"/>
      <c r="T1418" s="117"/>
      <c r="U1418" s="358">
        <v>0</v>
      </c>
      <c r="V1418" s="358">
        <v>0</v>
      </c>
      <c r="W1418" s="358">
        <v>0</v>
      </c>
      <c r="X1418" s="358">
        <f t="shared" si="443"/>
        <v>0</v>
      </c>
      <c r="Y1418" s="358">
        <v>0</v>
      </c>
      <c r="Z1418" s="358">
        <v>0</v>
      </c>
      <c r="AA1418" s="358">
        <v>0</v>
      </c>
      <c r="AB1418" s="358">
        <v>0</v>
      </c>
      <c r="AC1418" s="358">
        <v>0</v>
      </c>
      <c r="AD1418" s="358">
        <v>0</v>
      </c>
      <c r="AE1418" s="358">
        <v>0</v>
      </c>
      <c r="AF1418" s="358">
        <v>0</v>
      </c>
      <c r="AG1418" s="358">
        <v>0</v>
      </c>
      <c r="AH1418" s="358">
        <v>0</v>
      </c>
      <c r="AI1418" s="358">
        <v>0</v>
      </c>
      <c r="AJ1418" s="358">
        <v>0</v>
      </c>
      <c r="AK1418" s="358">
        <f t="shared" si="446"/>
        <v>0</v>
      </c>
      <c r="AL1418" s="358">
        <v>0</v>
      </c>
      <c r="AM1418" s="358">
        <v>0</v>
      </c>
      <c r="AN1418" s="358">
        <v>0</v>
      </c>
      <c r="AO1418" s="358">
        <v>0</v>
      </c>
      <c r="AP1418" s="358">
        <v>0</v>
      </c>
      <c r="AQ1418" s="358">
        <v>0</v>
      </c>
      <c r="AR1418" s="358">
        <v>0</v>
      </c>
      <c r="AS1418" s="358">
        <f t="shared" si="445"/>
        <v>0</v>
      </c>
      <c r="AT1418" s="145">
        <v>0</v>
      </c>
      <c r="AU1418" s="139">
        <f t="shared" si="444"/>
        <v>0</v>
      </c>
      <c r="AV1418" s="146">
        <f>IFERROR(VLOOKUP(J1418,Maksājumu_pieprasījumu_iesn.!G:BL,57,0),0)</f>
        <v>0</v>
      </c>
      <c r="AW1418" s="139">
        <f t="shared" si="441"/>
        <v>0</v>
      </c>
      <c r="AX1418" s="358"/>
      <c r="AY1418" s="358"/>
      <c r="AZ1418" s="358"/>
      <c r="BA1418" s="360"/>
      <c r="BB1418" s="358"/>
      <c r="BC1418" s="358"/>
      <c r="BD1418" s="358"/>
      <c r="BE1418" s="358"/>
      <c r="BF1418" s="358"/>
      <c r="BG1418" s="358"/>
      <c r="BH1418" s="360"/>
      <c r="BI1418" s="360"/>
      <c r="BJ1418" s="360"/>
      <c r="BK1418" s="360"/>
      <c r="BL1418" s="360"/>
      <c r="BM1418" s="360"/>
      <c r="BN1418" s="360"/>
    </row>
    <row r="1419" spans="1:66" s="91" customFormat="1" ht="25.5" hidden="1" customHeight="1" outlineLevel="2" x14ac:dyDescent="0.2">
      <c r="A1419" s="150" t="s">
        <v>2279</v>
      </c>
      <c r="B1419" s="355" t="s">
        <v>406</v>
      </c>
      <c r="C1419" s="355" t="s">
        <v>411</v>
      </c>
      <c r="D1419" s="356" t="s">
        <v>606</v>
      </c>
      <c r="E1419" s="114">
        <v>2</v>
      </c>
      <c r="F1419" s="114" t="s">
        <v>402</v>
      </c>
      <c r="G1419" s="114" t="s">
        <v>77</v>
      </c>
      <c r="H1419" s="114" t="s">
        <v>3</v>
      </c>
      <c r="I1419" s="114"/>
      <c r="J1419" s="114"/>
      <c r="K1419" s="356" t="s">
        <v>838</v>
      </c>
      <c r="L1419" s="356"/>
      <c r="M1419" s="356"/>
      <c r="N1419" s="356"/>
      <c r="O1419" s="357">
        <v>43616</v>
      </c>
      <c r="P1419" s="357"/>
      <c r="Q1419" s="357"/>
      <c r="R1419" s="357"/>
      <c r="S1419" s="117"/>
      <c r="T1419" s="117"/>
      <c r="U1419" s="358">
        <v>0</v>
      </c>
      <c r="V1419" s="358">
        <v>0</v>
      </c>
      <c r="W1419" s="358">
        <v>0</v>
      </c>
      <c r="X1419" s="358">
        <f t="shared" si="443"/>
        <v>0</v>
      </c>
      <c r="Y1419" s="358">
        <v>0</v>
      </c>
      <c r="Z1419" s="358">
        <v>0</v>
      </c>
      <c r="AA1419" s="358">
        <v>0</v>
      </c>
      <c r="AB1419" s="358">
        <v>0</v>
      </c>
      <c r="AC1419" s="358">
        <v>0</v>
      </c>
      <c r="AD1419" s="358">
        <v>0</v>
      </c>
      <c r="AE1419" s="358">
        <v>0</v>
      </c>
      <c r="AF1419" s="358">
        <v>0</v>
      </c>
      <c r="AG1419" s="358">
        <v>0</v>
      </c>
      <c r="AH1419" s="358">
        <v>0</v>
      </c>
      <c r="AI1419" s="358">
        <v>0</v>
      </c>
      <c r="AJ1419" s="358">
        <v>0</v>
      </c>
      <c r="AK1419" s="358">
        <f t="shared" si="446"/>
        <v>0</v>
      </c>
      <c r="AL1419" s="358">
        <v>0</v>
      </c>
      <c r="AM1419" s="358">
        <v>0</v>
      </c>
      <c r="AN1419" s="358">
        <v>0</v>
      </c>
      <c r="AO1419" s="358">
        <v>0</v>
      </c>
      <c r="AP1419" s="358">
        <v>0</v>
      </c>
      <c r="AQ1419" s="358">
        <v>0</v>
      </c>
      <c r="AR1419" s="358">
        <v>0</v>
      </c>
      <c r="AS1419" s="358">
        <f t="shared" si="445"/>
        <v>0</v>
      </c>
      <c r="AT1419" s="145">
        <v>0</v>
      </c>
      <c r="AU1419" s="139">
        <f t="shared" si="444"/>
        <v>0</v>
      </c>
      <c r="AV1419" s="146">
        <f>IFERROR(VLOOKUP(J1419,Maksājumu_pieprasījumu_iesn.!G:BL,57,0),0)</f>
        <v>0</v>
      </c>
      <c r="AW1419" s="139">
        <f t="shared" si="441"/>
        <v>0</v>
      </c>
      <c r="AX1419" s="358"/>
      <c r="AY1419" s="358"/>
      <c r="AZ1419" s="358"/>
      <c r="BA1419" s="360"/>
      <c r="BB1419" s="358"/>
      <c r="BC1419" s="358"/>
      <c r="BD1419" s="358"/>
      <c r="BE1419" s="358"/>
      <c r="BF1419" s="358"/>
      <c r="BG1419" s="358"/>
      <c r="BH1419" s="360"/>
      <c r="BI1419" s="360"/>
      <c r="BJ1419" s="360"/>
      <c r="BK1419" s="360"/>
      <c r="BL1419" s="360"/>
      <c r="BM1419" s="360"/>
      <c r="BN1419" s="360"/>
    </row>
    <row r="1420" spans="1:66" s="91" customFormat="1" ht="25.5" hidden="1" customHeight="1" outlineLevel="2" x14ac:dyDescent="0.2">
      <c r="A1420" s="150" t="s">
        <v>2279</v>
      </c>
      <c r="B1420" s="355" t="s">
        <v>406</v>
      </c>
      <c r="C1420" s="355" t="s">
        <v>411</v>
      </c>
      <c r="D1420" s="356" t="s">
        <v>606</v>
      </c>
      <c r="E1420" s="114">
        <v>2</v>
      </c>
      <c r="F1420" s="114" t="s">
        <v>402</v>
      </c>
      <c r="G1420" s="114" t="s">
        <v>77</v>
      </c>
      <c r="H1420" s="114" t="s">
        <v>3</v>
      </c>
      <c r="I1420" s="114"/>
      <c r="J1420" s="114"/>
      <c r="K1420" s="356" t="s">
        <v>2514</v>
      </c>
      <c r="L1420" s="356"/>
      <c r="M1420" s="356"/>
      <c r="N1420" s="356"/>
      <c r="O1420" s="357">
        <v>43616</v>
      </c>
      <c r="P1420" s="357"/>
      <c r="Q1420" s="357"/>
      <c r="R1420" s="357"/>
      <c r="S1420" s="117"/>
      <c r="T1420" s="117"/>
      <c r="U1420" s="358">
        <v>0</v>
      </c>
      <c r="V1420" s="358">
        <v>0</v>
      </c>
      <c r="W1420" s="358">
        <v>0</v>
      </c>
      <c r="X1420" s="358">
        <f t="shared" si="443"/>
        <v>0</v>
      </c>
      <c r="Y1420" s="358">
        <v>0</v>
      </c>
      <c r="Z1420" s="358">
        <v>0</v>
      </c>
      <c r="AA1420" s="358">
        <v>0</v>
      </c>
      <c r="AB1420" s="358">
        <v>0</v>
      </c>
      <c r="AC1420" s="358">
        <v>0</v>
      </c>
      <c r="AD1420" s="358">
        <v>0</v>
      </c>
      <c r="AE1420" s="358">
        <v>0</v>
      </c>
      <c r="AF1420" s="358">
        <v>0</v>
      </c>
      <c r="AG1420" s="358">
        <v>0</v>
      </c>
      <c r="AH1420" s="358">
        <v>0</v>
      </c>
      <c r="AI1420" s="358">
        <v>0</v>
      </c>
      <c r="AJ1420" s="358">
        <v>0</v>
      </c>
      <c r="AK1420" s="358">
        <f t="shared" si="446"/>
        <v>0</v>
      </c>
      <c r="AL1420" s="358">
        <v>0</v>
      </c>
      <c r="AM1420" s="358">
        <v>0</v>
      </c>
      <c r="AN1420" s="358">
        <v>0</v>
      </c>
      <c r="AO1420" s="358">
        <v>0</v>
      </c>
      <c r="AP1420" s="358">
        <v>0</v>
      </c>
      <c r="AQ1420" s="358">
        <v>0</v>
      </c>
      <c r="AR1420" s="358">
        <v>0</v>
      </c>
      <c r="AS1420" s="358">
        <f t="shared" si="445"/>
        <v>0</v>
      </c>
      <c r="AT1420" s="145">
        <v>0</v>
      </c>
      <c r="AU1420" s="139">
        <f t="shared" si="444"/>
        <v>0</v>
      </c>
      <c r="AV1420" s="146">
        <f>IFERROR(VLOOKUP(J1420,Maksājumu_pieprasījumu_iesn.!G:BL,57,0),0)</f>
        <v>0</v>
      </c>
      <c r="AW1420" s="139">
        <f t="shared" si="441"/>
        <v>0</v>
      </c>
      <c r="AX1420" s="358"/>
      <c r="AY1420" s="358"/>
      <c r="AZ1420" s="358"/>
      <c r="BA1420" s="360"/>
      <c r="BB1420" s="358"/>
      <c r="BC1420" s="358"/>
      <c r="BD1420" s="358"/>
      <c r="BE1420" s="358"/>
      <c r="BF1420" s="358"/>
      <c r="BG1420" s="358"/>
      <c r="BH1420" s="360"/>
      <c r="BI1420" s="360"/>
      <c r="BJ1420" s="360"/>
      <c r="BK1420" s="360"/>
      <c r="BL1420" s="360"/>
      <c r="BM1420" s="360"/>
      <c r="BN1420" s="360"/>
    </row>
    <row r="1421" spans="1:66" s="91" customFormat="1" ht="25.5" hidden="1" customHeight="1" outlineLevel="2" x14ac:dyDescent="0.2">
      <c r="A1421" s="150" t="s">
        <v>2279</v>
      </c>
      <c r="B1421" s="355" t="s">
        <v>406</v>
      </c>
      <c r="C1421" s="355" t="s">
        <v>411</v>
      </c>
      <c r="D1421" s="356" t="s">
        <v>606</v>
      </c>
      <c r="E1421" s="114">
        <v>2</v>
      </c>
      <c r="F1421" s="114" t="s">
        <v>402</v>
      </c>
      <c r="G1421" s="114" t="s">
        <v>77</v>
      </c>
      <c r="H1421" s="114" t="s">
        <v>3</v>
      </c>
      <c r="I1421" s="114"/>
      <c r="J1421" s="114"/>
      <c r="K1421" s="356" t="s">
        <v>1617</v>
      </c>
      <c r="L1421" s="356"/>
      <c r="M1421" s="356"/>
      <c r="N1421" s="356"/>
      <c r="O1421" s="357">
        <v>43616</v>
      </c>
      <c r="P1421" s="357"/>
      <c r="Q1421" s="357"/>
      <c r="R1421" s="357"/>
      <c r="S1421" s="117"/>
      <c r="T1421" s="117"/>
      <c r="U1421" s="358">
        <v>0</v>
      </c>
      <c r="V1421" s="358">
        <v>0</v>
      </c>
      <c r="W1421" s="358">
        <v>0</v>
      </c>
      <c r="X1421" s="358">
        <f t="shared" si="443"/>
        <v>0</v>
      </c>
      <c r="Y1421" s="358">
        <v>0</v>
      </c>
      <c r="Z1421" s="358">
        <v>0</v>
      </c>
      <c r="AA1421" s="358">
        <v>0</v>
      </c>
      <c r="AB1421" s="358">
        <v>0</v>
      </c>
      <c r="AC1421" s="358">
        <v>0</v>
      </c>
      <c r="AD1421" s="358">
        <v>0</v>
      </c>
      <c r="AE1421" s="358">
        <v>0</v>
      </c>
      <c r="AF1421" s="358">
        <v>0</v>
      </c>
      <c r="AG1421" s="358">
        <v>0</v>
      </c>
      <c r="AH1421" s="358">
        <v>0</v>
      </c>
      <c r="AI1421" s="358">
        <v>0</v>
      </c>
      <c r="AJ1421" s="358">
        <v>0</v>
      </c>
      <c r="AK1421" s="358">
        <f t="shared" si="446"/>
        <v>0</v>
      </c>
      <c r="AL1421" s="358">
        <v>0</v>
      </c>
      <c r="AM1421" s="358">
        <v>0</v>
      </c>
      <c r="AN1421" s="358">
        <v>0</v>
      </c>
      <c r="AO1421" s="358">
        <v>0</v>
      </c>
      <c r="AP1421" s="358">
        <v>0</v>
      </c>
      <c r="AQ1421" s="358">
        <v>0</v>
      </c>
      <c r="AR1421" s="358">
        <v>0</v>
      </c>
      <c r="AS1421" s="358">
        <f t="shared" si="445"/>
        <v>0</v>
      </c>
      <c r="AT1421" s="145">
        <v>0</v>
      </c>
      <c r="AU1421" s="139">
        <f t="shared" si="444"/>
        <v>0</v>
      </c>
      <c r="AV1421" s="146">
        <f>IFERROR(VLOOKUP(J1421,Maksājumu_pieprasījumu_iesn.!G:BL,57,0),0)</f>
        <v>0</v>
      </c>
      <c r="AW1421" s="139">
        <f t="shared" si="441"/>
        <v>0</v>
      </c>
      <c r="AX1421" s="358"/>
      <c r="AY1421" s="358"/>
      <c r="AZ1421" s="358"/>
      <c r="BA1421" s="360"/>
      <c r="BB1421" s="358"/>
      <c r="BC1421" s="358"/>
      <c r="BD1421" s="358"/>
      <c r="BE1421" s="358"/>
      <c r="BF1421" s="358"/>
      <c r="BG1421" s="358"/>
      <c r="BH1421" s="360"/>
      <c r="BI1421" s="360"/>
      <c r="BJ1421" s="360"/>
      <c r="BK1421" s="360"/>
      <c r="BL1421" s="360"/>
      <c r="BM1421" s="360"/>
      <c r="BN1421" s="360"/>
    </row>
    <row r="1422" spans="1:66" s="91" customFormat="1" ht="25.5" hidden="1" customHeight="1" outlineLevel="2" x14ac:dyDescent="0.2">
      <c r="A1422" s="150" t="s">
        <v>2279</v>
      </c>
      <c r="B1422" s="355" t="s">
        <v>406</v>
      </c>
      <c r="C1422" s="355" t="s">
        <v>411</v>
      </c>
      <c r="D1422" s="356" t="s">
        <v>606</v>
      </c>
      <c r="E1422" s="114">
        <v>2</v>
      </c>
      <c r="F1422" s="114" t="s">
        <v>402</v>
      </c>
      <c r="G1422" s="114" t="s">
        <v>77</v>
      </c>
      <c r="H1422" s="114" t="s">
        <v>3</v>
      </c>
      <c r="I1422" s="114"/>
      <c r="J1422" s="114"/>
      <c r="K1422" s="356" t="s">
        <v>1337</v>
      </c>
      <c r="L1422" s="356"/>
      <c r="M1422" s="356"/>
      <c r="N1422" s="356"/>
      <c r="O1422" s="357">
        <v>43616</v>
      </c>
      <c r="P1422" s="357"/>
      <c r="Q1422" s="357"/>
      <c r="R1422" s="357"/>
      <c r="S1422" s="117"/>
      <c r="T1422" s="117"/>
      <c r="U1422" s="358">
        <v>0</v>
      </c>
      <c r="V1422" s="358">
        <v>0</v>
      </c>
      <c r="W1422" s="358">
        <v>0</v>
      </c>
      <c r="X1422" s="358">
        <f t="shared" si="443"/>
        <v>0</v>
      </c>
      <c r="Y1422" s="358">
        <v>0</v>
      </c>
      <c r="Z1422" s="358">
        <v>0</v>
      </c>
      <c r="AA1422" s="358">
        <v>0</v>
      </c>
      <c r="AB1422" s="358">
        <v>0</v>
      </c>
      <c r="AC1422" s="358">
        <v>0</v>
      </c>
      <c r="AD1422" s="358">
        <v>0</v>
      </c>
      <c r="AE1422" s="358">
        <v>0</v>
      </c>
      <c r="AF1422" s="358">
        <v>0</v>
      </c>
      <c r="AG1422" s="358">
        <v>0</v>
      </c>
      <c r="AH1422" s="358">
        <v>0</v>
      </c>
      <c r="AI1422" s="358">
        <v>0</v>
      </c>
      <c r="AJ1422" s="358">
        <v>0</v>
      </c>
      <c r="AK1422" s="358">
        <f t="shared" si="446"/>
        <v>0</v>
      </c>
      <c r="AL1422" s="358">
        <v>0</v>
      </c>
      <c r="AM1422" s="358">
        <v>0</v>
      </c>
      <c r="AN1422" s="358">
        <v>0</v>
      </c>
      <c r="AO1422" s="358">
        <v>0</v>
      </c>
      <c r="AP1422" s="358">
        <v>0</v>
      </c>
      <c r="AQ1422" s="358">
        <v>0</v>
      </c>
      <c r="AR1422" s="358">
        <v>0</v>
      </c>
      <c r="AS1422" s="358">
        <f t="shared" si="445"/>
        <v>0</v>
      </c>
      <c r="AT1422" s="145">
        <v>0</v>
      </c>
      <c r="AU1422" s="139">
        <f t="shared" si="444"/>
        <v>0</v>
      </c>
      <c r="AV1422" s="146">
        <f>IFERROR(VLOOKUP(J1422,Maksājumu_pieprasījumu_iesn.!G:BL,57,0),0)</f>
        <v>0</v>
      </c>
      <c r="AW1422" s="139">
        <f t="shared" si="441"/>
        <v>0</v>
      </c>
      <c r="AX1422" s="358"/>
      <c r="AY1422" s="358"/>
      <c r="AZ1422" s="358"/>
      <c r="BA1422" s="360"/>
      <c r="BB1422" s="358"/>
      <c r="BC1422" s="358"/>
      <c r="BD1422" s="358"/>
      <c r="BE1422" s="358"/>
      <c r="BF1422" s="358"/>
      <c r="BG1422" s="358"/>
      <c r="BH1422" s="360"/>
      <c r="BI1422" s="360"/>
      <c r="BJ1422" s="360"/>
      <c r="BK1422" s="360"/>
      <c r="BL1422" s="360"/>
      <c r="BM1422" s="360"/>
      <c r="BN1422" s="360"/>
    </row>
    <row r="1423" spans="1:66" s="91" customFormat="1" ht="25.5" hidden="1" customHeight="1" outlineLevel="2" x14ac:dyDescent="0.2">
      <c r="A1423" s="150" t="s">
        <v>2279</v>
      </c>
      <c r="B1423" s="355" t="s">
        <v>406</v>
      </c>
      <c r="C1423" s="355" t="s">
        <v>411</v>
      </c>
      <c r="D1423" s="356" t="s">
        <v>606</v>
      </c>
      <c r="E1423" s="114">
        <v>2</v>
      </c>
      <c r="F1423" s="114" t="s">
        <v>402</v>
      </c>
      <c r="G1423" s="114" t="s">
        <v>77</v>
      </c>
      <c r="H1423" s="114" t="s">
        <v>3</v>
      </c>
      <c r="I1423" s="114"/>
      <c r="J1423" s="114"/>
      <c r="K1423" s="356" t="s">
        <v>765</v>
      </c>
      <c r="L1423" s="356"/>
      <c r="M1423" s="356"/>
      <c r="N1423" s="356"/>
      <c r="O1423" s="357">
        <v>43616</v>
      </c>
      <c r="P1423" s="357"/>
      <c r="Q1423" s="357"/>
      <c r="R1423" s="357"/>
      <c r="S1423" s="117"/>
      <c r="T1423" s="117"/>
      <c r="U1423" s="358">
        <v>0</v>
      </c>
      <c r="V1423" s="358">
        <v>0</v>
      </c>
      <c r="W1423" s="358">
        <v>0</v>
      </c>
      <c r="X1423" s="358">
        <f t="shared" si="443"/>
        <v>0</v>
      </c>
      <c r="Y1423" s="358">
        <v>0</v>
      </c>
      <c r="Z1423" s="358">
        <v>0</v>
      </c>
      <c r="AA1423" s="358">
        <v>0</v>
      </c>
      <c r="AB1423" s="358">
        <v>0</v>
      </c>
      <c r="AC1423" s="358">
        <v>0</v>
      </c>
      <c r="AD1423" s="358">
        <v>0</v>
      </c>
      <c r="AE1423" s="358">
        <v>0</v>
      </c>
      <c r="AF1423" s="358">
        <v>0</v>
      </c>
      <c r="AG1423" s="358">
        <v>0</v>
      </c>
      <c r="AH1423" s="358">
        <v>0</v>
      </c>
      <c r="AI1423" s="358">
        <v>0</v>
      </c>
      <c r="AJ1423" s="358">
        <v>0</v>
      </c>
      <c r="AK1423" s="358">
        <f t="shared" si="446"/>
        <v>0</v>
      </c>
      <c r="AL1423" s="358">
        <v>0</v>
      </c>
      <c r="AM1423" s="358">
        <v>0</v>
      </c>
      <c r="AN1423" s="358">
        <v>0</v>
      </c>
      <c r="AO1423" s="358">
        <v>0</v>
      </c>
      <c r="AP1423" s="358">
        <v>0</v>
      </c>
      <c r="AQ1423" s="358">
        <v>0</v>
      </c>
      <c r="AR1423" s="358">
        <v>0</v>
      </c>
      <c r="AS1423" s="358">
        <f t="shared" si="445"/>
        <v>0</v>
      </c>
      <c r="AT1423" s="145">
        <v>0</v>
      </c>
      <c r="AU1423" s="139">
        <f t="shared" si="444"/>
        <v>0</v>
      </c>
      <c r="AV1423" s="146">
        <f>IFERROR(VLOOKUP(J1423,Maksājumu_pieprasījumu_iesn.!G:BL,57,0),0)</f>
        <v>0</v>
      </c>
      <c r="AW1423" s="139">
        <f t="shared" si="441"/>
        <v>0</v>
      </c>
      <c r="AX1423" s="358"/>
      <c r="AY1423" s="358"/>
      <c r="AZ1423" s="358"/>
      <c r="BA1423" s="360"/>
      <c r="BB1423" s="358"/>
      <c r="BC1423" s="358"/>
      <c r="BD1423" s="358"/>
      <c r="BE1423" s="358"/>
      <c r="BF1423" s="358"/>
      <c r="BG1423" s="358"/>
      <c r="BH1423" s="360"/>
      <c r="BI1423" s="360"/>
      <c r="BJ1423" s="360"/>
      <c r="BK1423" s="360"/>
      <c r="BL1423" s="360"/>
      <c r="BM1423" s="360"/>
      <c r="BN1423" s="360"/>
    </row>
    <row r="1424" spans="1:66" s="91" customFormat="1" ht="25.5" hidden="1" customHeight="1" outlineLevel="2" x14ac:dyDescent="0.2">
      <c r="A1424" s="150" t="s">
        <v>2279</v>
      </c>
      <c r="B1424" s="355" t="s">
        <v>406</v>
      </c>
      <c r="C1424" s="355" t="s">
        <v>411</v>
      </c>
      <c r="D1424" s="356" t="s">
        <v>606</v>
      </c>
      <c r="E1424" s="114">
        <v>2</v>
      </c>
      <c r="F1424" s="114" t="s">
        <v>402</v>
      </c>
      <c r="G1424" s="114" t="s">
        <v>77</v>
      </c>
      <c r="H1424" s="114" t="s">
        <v>3</v>
      </c>
      <c r="I1424" s="114"/>
      <c r="J1424" s="114"/>
      <c r="K1424" s="356" t="s">
        <v>2515</v>
      </c>
      <c r="L1424" s="356"/>
      <c r="M1424" s="356"/>
      <c r="N1424" s="356"/>
      <c r="O1424" s="357">
        <v>43616</v>
      </c>
      <c r="P1424" s="357"/>
      <c r="Q1424" s="357"/>
      <c r="R1424" s="357"/>
      <c r="S1424" s="117"/>
      <c r="T1424" s="117"/>
      <c r="U1424" s="358">
        <v>0</v>
      </c>
      <c r="V1424" s="358">
        <v>0</v>
      </c>
      <c r="W1424" s="358">
        <v>0</v>
      </c>
      <c r="X1424" s="358">
        <f t="shared" si="443"/>
        <v>0</v>
      </c>
      <c r="Y1424" s="358">
        <v>0</v>
      </c>
      <c r="Z1424" s="358">
        <v>0</v>
      </c>
      <c r="AA1424" s="358">
        <v>0</v>
      </c>
      <c r="AB1424" s="358">
        <v>0</v>
      </c>
      <c r="AC1424" s="358">
        <v>0</v>
      </c>
      <c r="AD1424" s="358">
        <v>0</v>
      </c>
      <c r="AE1424" s="358">
        <v>0</v>
      </c>
      <c r="AF1424" s="358">
        <v>0</v>
      </c>
      <c r="AG1424" s="358">
        <v>0</v>
      </c>
      <c r="AH1424" s="358">
        <v>0</v>
      </c>
      <c r="AI1424" s="358">
        <v>0</v>
      </c>
      <c r="AJ1424" s="358">
        <v>0</v>
      </c>
      <c r="AK1424" s="358">
        <f t="shared" si="446"/>
        <v>0</v>
      </c>
      <c r="AL1424" s="358">
        <v>0</v>
      </c>
      <c r="AM1424" s="358">
        <v>0</v>
      </c>
      <c r="AN1424" s="358">
        <v>0</v>
      </c>
      <c r="AO1424" s="358">
        <v>0</v>
      </c>
      <c r="AP1424" s="358">
        <v>0</v>
      </c>
      <c r="AQ1424" s="358">
        <v>0</v>
      </c>
      <c r="AR1424" s="358">
        <v>0</v>
      </c>
      <c r="AS1424" s="358">
        <f t="shared" si="445"/>
        <v>0</v>
      </c>
      <c r="AT1424" s="145">
        <v>0</v>
      </c>
      <c r="AU1424" s="139">
        <f t="shared" si="444"/>
        <v>0</v>
      </c>
      <c r="AV1424" s="146">
        <f>IFERROR(VLOOKUP(J1424,Maksājumu_pieprasījumu_iesn.!G:BL,57,0),0)</f>
        <v>0</v>
      </c>
      <c r="AW1424" s="139">
        <f t="shared" ref="AW1424:AW1487" si="447">AV1424-AU1424</f>
        <v>0</v>
      </c>
      <c r="AX1424" s="358"/>
      <c r="AY1424" s="358"/>
      <c r="AZ1424" s="358"/>
      <c r="BA1424" s="360"/>
      <c r="BB1424" s="358"/>
      <c r="BC1424" s="358"/>
      <c r="BD1424" s="358"/>
      <c r="BE1424" s="358"/>
      <c r="BF1424" s="358"/>
      <c r="BG1424" s="358"/>
      <c r="BH1424" s="360"/>
      <c r="BI1424" s="360"/>
      <c r="BJ1424" s="360"/>
      <c r="BK1424" s="360"/>
      <c r="BL1424" s="360"/>
      <c r="BM1424" s="360"/>
      <c r="BN1424" s="360"/>
    </row>
    <row r="1425" spans="1:66" s="91" customFormat="1" ht="25.5" hidden="1" customHeight="1" outlineLevel="2" x14ac:dyDescent="0.2">
      <c r="A1425" s="150" t="s">
        <v>2279</v>
      </c>
      <c r="B1425" s="355" t="s">
        <v>406</v>
      </c>
      <c r="C1425" s="355" t="s">
        <v>411</v>
      </c>
      <c r="D1425" s="356" t="s">
        <v>606</v>
      </c>
      <c r="E1425" s="114">
        <v>2</v>
      </c>
      <c r="F1425" s="114" t="s">
        <v>402</v>
      </c>
      <c r="G1425" s="114" t="s">
        <v>77</v>
      </c>
      <c r="H1425" s="114" t="s">
        <v>3</v>
      </c>
      <c r="I1425" s="114"/>
      <c r="J1425" s="114"/>
      <c r="K1425" s="356" t="s">
        <v>2444</v>
      </c>
      <c r="L1425" s="356"/>
      <c r="M1425" s="356"/>
      <c r="N1425" s="356"/>
      <c r="O1425" s="357">
        <v>43616</v>
      </c>
      <c r="P1425" s="357"/>
      <c r="Q1425" s="357"/>
      <c r="R1425" s="357"/>
      <c r="S1425" s="117"/>
      <c r="T1425" s="117"/>
      <c r="U1425" s="358">
        <v>0</v>
      </c>
      <c r="V1425" s="358">
        <v>0</v>
      </c>
      <c r="W1425" s="358">
        <v>0</v>
      </c>
      <c r="X1425" s="358">
        <f t="shared" si="443"/>
        <v>0</v>
      </c>
      <c r="Y1425" s="358">
        <v>0</v>
      </c>
      <c r="Z1425" s="358">
        <v>0</v>
      </c>
      <c r="AA1425" s="358">
        <v>0</v>
      </c>
      <c r="AB1425" s="358">
        <v>0</v>
      </c>
      <c r="AC1425" s="358">
        <v>0</v>
      </c>
      <c r="AD1425" s="358">
        <v>0</v>
      </c>
      <c r="AE1425" s="358">
        <v>0</v>
      </c>
      <c r="AF1425" s="358">
        <v>0</v>
      </c>
      <c r="AG1425" s="358">
        <v>0</v>
      </c>
      <c r="AH1425" s="358">
        <v>0</v>
      </c>
      <c r="AI1425" s="358">
        <v>0</v>
      </c>
      <c r="AJ1425" s="358">
        <v>0</v>
      </c>
      <c r="AK1425" s="358">
        <f t="shared" si="446"/>
        <v>0</v>
      </c>
      <c r="AL1425" s="358">
        <v>0</v>
      </c>
      <c r="AM1425" s="358">
        <v>0</v>
      </c>
      <c r="AN1425" s="358">
        <v>0</v>
      </c>
      <c r="AO1425" s="358">
        <v>0</v>
      </c>
      <c r="AP1425" s="358">
        <v>0</v>
      </c>
      <c r="AQ1425" s="358">
        <v>0</v>
      </c>
      <c r="AR1425" s="358">
        <v>0</v>
      </c>
      <c r="AS1425" s="358">
        <f t="shared" si="445"/>
        <v>0</v>
      </c>
      <c r="AT1425" s="145">
        <v>0</v>
      </c>
      <c r="AU1425" s="139">
        <f t="shared" si="444"/>
        <v>0</v>
      </c>
      <c r="AV1425" s="146">
        <f>IFERROR(VLOOKUP(J1425,Maksājumu_pieprasījumu_iesn.!G:BL,57,0),0)</f>
        <v>0</v>
      </c>
      <c r="AW1425" s="139">
        <f t="shared" si="447"/>
        <v>0</v>
      </c>
      <c r="AX1425" s="358"/>
      <c r="AY1425" s="358"/>
      <c r="AZ1425" s="358"/>
      <c r="BA1425" s="360"/>
      <c r="BB1425" s="358"/>
      <c r="BC1425" s="358"/>
      <c r="BD1425" s="358"/>
      <c r="BE1425" s="358"/>
      <c r="BF1425" s="358"/>
      <c r="BG1425" s="358"/>
      <c r="BH1425" s="360"/>
      <c r="BI1425" s="360"/>
      <c r="BJ1425" s="360"/>
      <c r="BK1425" s="360"/>
      <c r="BL1425" s="360"/>
      <c r="BM1425" s="360"/>
      <c r="BN1425" s="360"/>
    </row>
    <row r="1426" spans="1:66" s="91" customFormat="1" ht="25.5" hidden="1" customHeight="1" outlineLevel="2" x14ac:dyDescent="0.2">
      <c r="A1426" s="150" t="s">
        <v>2279</v>
      </c>
      <c r="B1426" s="355" t="s">
        <v>406</v>
      </c>
      <c r="C1426" s="355" t="s">
        <v>411</v>
      </c>
      <c r="D1426" s="356" t="s">
        <v>606</v>
      </c>
      <c r="E1426" s="114">
        <v>2</v>
      </c>
      <c r="F1426" s="114" t="s">
        <v>402</v>
      </c>
      <c r="G1426" s="114" t="s">
        <v>77</v>
      </c>
      <c r="H1426" s="114" t="s">
        <v>3</v>
      </c>
      <c r="I1426" s="114"/>
      <c r="J1426" s="114"/>
      <c r="K1426" s="356" t="s">
        <v>885</v>
      </c>
      <c r="L1426" s="356"/>
      <c r="M1426" s="356"/>
      <c r="N1426" s="356"/>
      <c r="O1426" s="357">
        <v>43616</v>
      </c>
      <c r="P1426" s="357"/>
      <c r="Q1426" s="357"/>
      <c r="R1426" s="357"/>
      <c r="S1426" s="117"/>
      <c r="T1426" s="117"/>
      <c r="U1426" s="358">
        <v>0</v>
      </c>
      <c r="V1426" s="358">
        <v>0</v>
      </c>
      <c r="W1426" s="358">
        <v>0</v>
      </c>
      <c r="X1426" s="358">
        <f>W1426+V1426+U1426</f>
        <v>0</v>
      </c>
      <c r="Y1426" s="358">
        <v>0</v>
      </c>
      <c r="Z1426" s="358">
        <v>0</v>
      </c>
      <c r="AA1426" s="358">
        <v>0</v>
      </c>
      <c r="AB1426" s="358">
        <v>0</v>
      </c>
      <c r="AC1426" s="358">
        <v>0</v>
      </c>
      <c r="AD1426" s="358">
        <v>0</v>
      </c>
      <c r="AE1426" s="358">
        <v>0</v>
      </c>
      <c r="AF1426" s="358">
        <v>0</v>
      </c>
      <c r="AG1426" s="358">
        <v>0</v>
      </c>
      <c r="AH1426" s="358">
        <v>0</v>
      </c>
      <c r="AI1426" s="358">
        <v>0</v>
      </c>
      <c r="AJ1426" s="358">
        <v>0</v>
      </c>
      <c r="AK1426" s="358">
        <f t="shared" si="446"/>
        <v>0</v>
      </c>
      <c r="AL1426" s="358">
        <v>0</v>
      </c>
      <c r="AM1426" s="358">
        <v>0</v>
      </c>
      <c r="AN1426" s="358">
        <v>0</v>
      </c>
      <c r="AO1426" s="358">
        <v>0</v>
      </c>
      <c r="AP1426" s="358">
        <v>0</v>
      </c>
      <c r="AQ1426" s="358">
        <v>0</v>
      </c>
      <c r="AR1426" s="358">
        <v>0</v>
      </c>
      <c r="AS1426" s="358">
        <f t="shared" si="445"/>
        <v>0</v>
      </c>
      <c r="AT1426" s="145">
        <v>0</v>
      </c>
      <c r="AU1426" s="139">
        <f t="shared" si="444"/>
        <v>0</v>
      </c>
      <c r="AV1426" s="146">
        <f>IFERROR(VLOOKUP(J1426,Maksājumu_pieprasījumu_iesn.!G:BL,57,0),0)</f>
        <v>0</v>
      </c>
      <c r="AW1426" s="139">
        <f t="shared" si="447"/>
        <v>0</v>
      </c>
      <c r="AX1426" s="358"/>
      <c r="AY1426" s="358"/>
      <c r="AZ1426" s="358"/>
      <c r="BA1426" s="360"/>
      <c r="BB1426" s="358"/>
      <c r="BC1426" s="358"/>
      <c r="BD1426" s="358"/>
      <c r="BE1426" s="358"/>
      <c r="BF1426" s="358"/>
      <c r="BG1426" s="358"/>
      <c r="BH1426" s="360"/>
      <c r="BI1426" s="360"/>
      <c r="BJ1426" s="360"/>
      <c r="BK1426" s="360"/>
      <c r="BL1426" s="360"/>
      <c r="BM1426" s="360"/>
      <c r="BN1426" s="360"/>
    </row>
    <row r="1427" spans="1:66" s="91" customFormat="1" ht="25.5" hidden="1" x14ac:dyDescent="0.2">
      <c r="A1427" s="127" t="s">
        <v>2279</v>
      </c>
      <c r="B1427" s="127" t="s">
        <v>2516</v>
      </c>
      <c r="C1427" s="127" t="s">
        <v>1023</v>
      </c>
      <c r="D1427" s="128" t="s">
        <v>2517</v>
      </c>
      <c r="E1427" s="127"/>
      <c r="F1427" s="127"/>
      <c r="G1427" s="127" t="s">
        <v>77</v>
      </c>
      <c r="H1427" s="127"/>
      <c r="I1427" s="127"/>
      <c r="J1427" s="127"/>
      <c r="K1427" s="128"/>
      <c r="L1427" s="128"/>
      <c r="M1427" s="128"/>
      <c r="N1427" s="128"/>
      <c r="O1427" s="163"/>
      <c r="P1427" s="163"/>
      <c r="Q1427" s="163"/>
      <c r="R1427" s="163"/>
      <c r="S1427" s="164">
        <f>S1428</f>
        <v>8466087</v>
      </c>
      <c r="T1427" s="164">
        <f>T1428</f>
        <v>0</v>
      </c>
      <c r="U1427" s="164">
        <f>U1428</f>
        <v>0</v>
      </c>
      <c r="V1427" s="164">
        <f>V1428</f>
        <v>0</v>
      </c>
      <c r="W1427" s="164">
        <f>W1428</f>
        <v>0</v>
      </c>
      <c r="X1427" s="129">
        <f>U1427+V1427+W1427</f>
        <v>0</v>
      </c>
      <c r="Y1427" s="164">
        <f t="shared" ref="Y1427:AT1427" si="448">Y1428</f>
        <v>0</v>
      </c>
      <c r="Z1427" s="164">
        <f t="shared" si="448"/>
        <v>0</v>
      </c>
      <c r="AA1427" s="164">
        <f t="shared" si="448"/>
        <v>0</v>
      </c>
      <c r="AB1427" s="164">
        <f t="shared" si="448"/>
        <v>0</v>
      </c>
      <c r="AC1427" s="164">
        <f t="shared" si="448"/>
        <v>0</v>
      </c>
      <c r="AD1427" s="164">
        <f t="shared" si="448"/>
        <v>0</v>
      </c>
      <c r="AE1427" s="164">
        <f t="shared" si="448"/>
        <v>0</v>
      </c>
      <c r="AF1427" s="164">
        <f t="shared" si="448"/>
        <v>0</v>
      </c>
      <c r="AG1427" s="164">
        <f t="shared" si="448"/>
        <v>0</v>
      </c>
      <c r="AH1427" s="164">
        <f t="shared" si="448"/>
        <v>0</v>
      </c>
      <c r="AI1427" s="164">
        <f t="shared" si="448"/>
        <v>0</v>
      </c>
      <c r="AJ1427" s="164">
        <f t="shared" si="448"/>
        <v>0</v>
      </c>
      <c r="AK1427" s="164">
        <f t="shared" si="448"/>
        <v>0</v>
      </c>
      <c r="AL1427" s="164">
        <f t="shared" si="448"/>
        <v>2414808.5384615385</v>
      </c>
      <c r="AM1427" s="164">
        <f t="shared" si="448"/>
        <v>1104145.3254437868</v>
      </c>
      <c r="AN1427" s="164">
        <f t="shared" si="448"/>
        <v>1508037.1324533457</v>
      </c>
      <c r="AO1427" s="164">
        <f t="shared" si="448"/>
        <v>1290556.9286789678</v>
      </c>
      <c r="AP1427" s="164">
        <f t="shared" si="448"/>
        <v>2148539.0749623599</v>
      </c>
      <c r="AQ1427" s="164">
        <f t="shared" si="448"/>
        <v>0</v>
      </c>
      <c r="AR1427" s="164">
        <f t="shared" si="448"/>
        <v>0</v>
      </c>
      <c r="AS1427" s="164">
        <f t="shared" si="448"/>
        <v>8466087</v>
      </c>
      <c r="AT1427" s="164">
        <f t="shared" si="448"/>
        <v>0</v>
      </c>
      <c r="AU1427" s="183">
        <f t="shared" si="444"/>
        <v>8466087</v>
      </c>
      <c r="AV1427" s="146">
        <f>IFERROR(VLOOKUP(J1427,Maksājumu_pieprasījumu_iesn.!G:BL,57,0),0)</f>
        <v>0</v>
      </c>
      <c r="AW1427" s="139">
        <f t="shared" si="447"/>
        <v>-8466087</v>
      </c>
      <c r="AX1427" s="164">
        <f>AX1428</f>
        <v>0</v>
      </c>
      <c r="AY1427" s="164"/>
      <c r="AZ1427" s="164"/>
      <c r="BA1427" s="164"/>
      <c r="BB1427" s="164">
        <f>BB1428</f>
        <v>0</v>
      </c>
      <c r="BC1427" s="164">
        <f>BC1428</f>
        <v>1207404.2692307692</v>
      </c>
      <c r="BD1427" s="164">
        <f>BC1427*0.94</f>
        <v>1134960.0130769231</v>
      </c>
      <c r="BE1427" s="129">
        <f>BD1427/0.85</f>
        <v>1335247.0742081448</v>
      </c>
      <c r="BF1427" s="164">
        <f>BF1428</f>
        <v>0</v>
      </c>
      <c r="BG1427" s="164">
        <f>BG1428</f>
        <v>0</v>
      </c>
      <c r="BH1427" s="129">
        <f>BH1428</f>
        <v>0</v>
      </c>
      <c r="BI1427" s="129">
        <f>BI1428</f>
        <v>589687</v>
      </c>
      <c r="BJ1427" s="129">
        <f>AK1427*0.94</f>
        <v>0</v>
      </c>
      <c r="BK1427" s="129">
        <f>BJ1427-BI1427</f>
        <v>-589687</v>
      </c>
      <c r="BL1427" s="129">
        <f>BL1428</f>
        <v>1186329.3392409701</v>
      </c>
      <c r="BM1427" s="129">
        <f>AL1427*0.94</f>
        <v>2269920.0261538462</v>
      </c>
      <c r="BN1427" s="129">
        <f>BM1427-BL1427</f>
        <v>1083590.6869128761</v>
      </c>
    </row>
    <row r="1428" spans="1:66" s="91" customFormat="1" ht="25.5" hidden="1" customHeight="1" x14ac:dyDescent="0.2">
      <c r="A1428" s="131" t="s">
        <v>2279</v>
      </c>
      <c r="B1428" s="132" t="s">
        <v>2516</v>
      </c>
      <c r="C1428" s="132" t="s">
        <v>2518</v>
      </c>
      <c r="D1428" s="133" t="s">
        <v>2517</v>
      </c>
      <c r="E1428" s="22" t="s">
        <v>3</v>
      </c>
      <c r="F1428" s="22" t="s">
        <v>402</v>
      </c>
      <c r="G1428" s="22" t="s">
        <v>77</v>
      </c>
      <c r="H1428" s="22" t="s">
        <v>3</v>
      </c>
      <c r="I1428" s="22" t="s">
        <v>1022</v>
      </c>
      <c r="J1428" s="134" t="s">
        <v>1026</v>
      </c>
      <c r="K1428" s="133"/>
      <c r="L1428" s="133"/>
      <c r="M1428" s="133"/>
      <c r="N1428" s="133"/>
      <c r="O1428" s="135"/>
      <c r="P1428" s="135"/>
      <c r="Q1428" s="135"/>
      <c r="R1428" s="135"/>
      <c r="S1428" s="136">
        <v>8466087</v>
      </c>
      <c r="T1428" s="136">
        <v>0</v>
      </c>
      <c r="U1428" s="137">
        <f>SUM(U1429)</f>
        <v>0</v>
      </c>
      <c r="V1428" s="137">
        <f>SUM(V1429)</f>
        <v>0</v>
      </c>
      <c r="W1428" s="137">
        <f>SUM(W1429)</f>
        <v>0</v>
      </c>
      <c r="X1428" s="138">
        <f>U1428+V1428+W1428</f>
        <v>0</v>
      </c>
      <c r="Y1428" s="137">
        <f t="shared" ref="Y1428:AR1428" si="449">SUM(Y1429)</f>
        <v>0</v>
      </c>
      <c r="Z1428" s="137">
        <f t="shared" si="449"/>
        <v>0</v>
      </c>
      <c r="AA1428" s="137">
        <f t="shared" si="449"/>
        <v>0</v>
      </c>
      <c r="AB1428" s="137">
        <f t="shared" si="449"/>
        <v>0</v>
      </c>
      <c r="AC1428" s="137">
        <f t="shared" si="449"/>
        <v>0</v>
      </c>
      <c r="AD1428" s="137">
        <f t="shared" si="449"/>
        <v>0</v>
      </c>
      <c r="AE1428" s="137">
        <f t="shared" si="449"/>
        <v>0</v>
      </c>
      <c r="AF1428" s="137">
        <f t="shared" si="449"/>
        <v>0</v>
      </c>
      <c r="AG1428" s="137">
        <f t="shared" si="449"/>
        <v>0</v>
      </c>
      <c r="AH1428" s="137">
        <f t="shared" si="449"/>
        <v>0</v>
      </c>
      <c r="AI1428" s="137">
        <f t="shared" si="449"/>
        <v>0</v>
      </c>
      <c r="AJ1428" s="137">
        <f t="shared" si="449"/>
        <v>0</v>
      </c>
      <c r="AK1428" s="137">
        <f t="shared" si="449"/>
        <v>0</v>
      </c>
      <c r="AL1428" s="137">
        <f t="shared" si="449"/>
        <v>2414808.5384615385</v>
      </c>
      <c r="AM1428" s="137">
        <f t="shared" si="449"/>
        <v>1104145.3254437868</v>
      </c>
      <c r="AN1428" s="137">
        <f t="shared" si="449"/>
        <v>1508037.1324533457</v>
      </c>
      <c r="AO1428" s="137">
        <f t="shared" si="449"/>
        <v>1290556.9286789678</v>
      </c>
      <c r="AP1428" s="137">
        <f t="shared" si="449"/>
        <v>2148539.0749623599</v>
      </c>
      <c r="AQ1428" s="137">
        <f t="shared" si="449"/>
        <v>0</v>
      </c>
      <c r="AR1428" s="137">
        <f t="shared" si="449"/>
        <v>0</v>
      </c>
      <c r="AS1428" s="137">
        <f>U1428+V1428+W1428+AK1428+AL1428+AM1428+AN1428+AO1428+AP1428+AQ1428+AR1428</f>
        <v>8466087</v>
      </c>
      <c r="AT1428" s="137">
        <f>AT1429</f>
        <v>0</v>
      </c>
      <c r="AU1428" s="139">
        <f t="shared" si="444"/>
        <v>8466087</v>
      </c>
      <c r="AV1428" s="146">
        <f>IFERROR(VLOOKUP(J1428,Maksājumu_pieprasījumu_iesn.!G:BL,57,0),0)</f>
        <v>0</v>
      </c>
      <c r="AW1428" s="139">
        <f t="shared" si="447"/>
        <v>-8466087</v>
      </c>
      <c r="AX1428" s="140">
        <f>S1428-T1428-AU1428</f>
        <v>0</v>
      </c>
      <c r="AY1428" s="137"/>
      <c r="AZ1428" s="137"/>
      <c r="BA1428" s="138"/>
      <c r="BB1428" s="140"/>
      <c r="BC1428" s="140">
        <f>X1428+AK1428+AL1428/2</f>
        <v>1207404.2692307692</v>
      </c>
      <c r="BD1428" s="140"/>
      <c r="BE1428" s="140">
        <f>BC1428/0.85</f>
        <v>1420475.6108597287</v>
      </c>
      <c r="BF1428" s="137"/>
      <c r="BG1428" s="137"/>
      <c r="BH1428" s="138">
        <v>0</v>
      </c>
      <c r="BI1428" s="138">
        <v>589687</v>
      </c>
      <c r="BJ1428" s="138"/>
      <c r="BK1428" s="138"/>
      <c r="BL1428" s="138">
        <v>1186329.3392409701</v>
      </c>
      <c r="BM1428" s="138"/>
      <c r="BN1428" s="138"/>
    </row>
    <row r="1429" spans="1:66" s="91" customFormat="1" ht="25.5" hidden="1" customHeight="1" x14ac:dyDescent="0.2">
      <c r="A1429" s="150" t="s">
        <v>2279</v>
      </c>
      <c r="B1429" s="18" t="s">
        <v>2516</v>
      </c>
      <c r="C1429" s="18" t="s">
        <v>2518</v>
      </c>
      <c r="D1429" s="19" t="s">
        <v>2517</v>
      </c>
      <c r="E1429" s="55" t="s">
        <v>3</v>
      </c>
      <c r="F1429" s="55" t="s">
        <v>402</v>
      </c>
      <c r="G1429" s="55" t="s">
        <v>77</v>
      </c>
      <c r="H1429" s="55" t="s">
        <v>3</v>
      </c>
      <c r="I1429" s="55"/>
      <c r="J1429" s="55"/>
      <c r="K1429" s="19" t="s">
        <v>409</v>
      </c>
      <c r="L1429" s="19"/>
      <c r="M1429" s="19"/>
      <c r="N1429" s="19"/>
      <c r="O1429" s="151">
        <v>42926</v>
      </c>
      <c r="P1429" s="151"/>
      <c r="Q1429" s="151"/>
      <c r="R1429" s="151"/>
      <c r="S1429" s="152"/>
      <c r="T1429" s="152"/>
      <c r="U1429" s="145">
        <v>0</v>
      </c>
      <c r="V1429" s="145">
        <v>0</v>
      </c>
      <c r="W1429" s="145">
        <v>0</v>
      </c>
      <c r="X1429" s="145">
        <f>W1429+V1429+U1429</f>
        <v>0</v>
      </c>
      <c r="Y1429" s="145">
        <v>0</v>
      </c>
      <c r="Z1429" s="145">
        <v>0</v>
      </c>
      <c r="AA1429" s="145">
        <v>0</v>
      </c>
      <c r="AB1429" s="145">
        <v>0</v>
      </c>
      <c r="AC1429" s="145">
        <v>0</v>
      </c>
      <c r="AD1429" s="145">
        <v>0</v>
      </c>
      <c r="AE1429" s="145">
        <v>0</v>
      </c>
      <c r="AF1429" s="145">
        <v>0</v>
      </c>
      <c r="AG1429" s="145">
        <v>0</v>
      </c>
      <c r="AH1429" s="145">
        <v>0</v>
      </c>
      <c r="AI1429" s="145">
        <v>0</v>
      </c>
      <c r="AJ1429" s="145">
        <v>0</v>
      </c>
      <c r="AK1429" s="145">
        <f>SUM(Y1429:AJ1429)</f>
        <v>0</v>
      </c>
      <c r="AL1429" s="145">
        <v>2414808.5384615385</v>
      </c>
      <c r="AM1429" s="145">
        <v>1104145.3254437868</v>
      </c>
      <c r="AN1429" s="145">
        <v>1508037.1324533457</v>
      </c>
      <c r="AO1429" s="145">
        <v>1290556.9286789678</v>
      </c>
      <c r="AP1429" s="145">
        <v>2148539.0749623599</v>
      </c>
      <c r="AQ1429" s="145">
        <v>0</v>
      </c>
      <c r="AR1429" s="145">
        <v>0</v>
      </c>
      <c r="AS1429" s="145">
        <f>U1429+V1429+W1429+AK1429+AL1429+AM1429+AN1429+AO1429+AP1429+AQ1429+AR1429</f>
        <v>8466087</v>
      </c>
      <c r="AT1429" s="145">
        <v>0</v>
      </c>
      <c r="AU1429" s="139">
        <f t="shared" si="444"/>
        <v>8466087</v>
      </c>
      <c r="AV1429" s="146">
        <f>IFERROR(VLOOKUP(J1429,Maksājumu_pieprasījumu_iesn.!G:BL,57,0),0)</f>
        <v>0</v>
      </c>
      <c r="AW1429" s="139">
        <f t="shared" si="447"/>
        <v>-8466087</v>
      </c>
      <c r="AX1429" s="153"/>
      <c r="AY1429" s="153"/>
      <c r="AZ1429" s="153"/>
      <c r="BA1429" s="138"/>
      <c r="BB1429" s="145"/>
      <c r="BC1429" s="145"/>
      <c r="BD1429" s="145"/>
      <c r="BE1429" s="145"/>
      <c r="BF1429" s="145"/>
      <c r="BG1429" s="145"/>
      <c r="BH1429" s="138"/>
      <c r="BI1429" s="138"/>
      <c r="BJ1429" s="138"/>
      <c r="BK1429" s="138"/>
      <c r="BL1429" s="138"/>
      <c r="BM1429" s="138"/>
      <c r="BN1429" s="138"/>
    </row>
    <row r="1430" spans="1:66" s="91" customFormat="1" hidden="1" x14ac:dyDescent="0.2">
      <c r="A1430" s="127" t="s">
        <v>2279</v>
      </c>
      <c r="B1430" s="127" t="s">
        <v>2519</v>
      </c>
      <c r="C1430" s="127" t="s">
        <v>1023</v>
      </c>
      <c r="D1430" s="128" t="s">
        <v>2520</v>
      </c>
      <c r="E1430" s="127"/>
      <c r="F1430" s="127"/>
      <c r="G1430" s="127" t="s">
        <v>77</v>
      </c>
      <c r="H1430" s="127"/>
      <c r="I1430" s="127"/>
      <c r="J1430" s="127"/>
      <c r="K1430" s="128"/>
      <c r="L1430" s="128"/>
      <c r="M1430" s="128"/>
      <c r="N1430" s="128"/>
      <c r="O1430" s="163"/>
      <c r="P1430" s="163"/>
      <c r="Q1430" s="163"/>
      <c r="R1430" s="163"/>
      <c r="S1430" s="164">
        <f>S1431</f>
        <v>19351057</v>
      </c>
      <c r="T1430" s="164">
        <f>T1431</f>
        <v>0</v>
      </c>
      <c r="U1430" s="164">
        <f>U1431</f>
        <v>0</v>
      </c>
      <c r="V1430" s="164">
        <f>V1431</f>
        <v>0</v>
      </c>
      <c r="W1430" s="164">
        <f>W1431</f>
        <v>0</v>
      </c>
      <c r="X1430" s="129">
        <f>U1430+V1430+W1430</f>
        <v>0</v>
      </c>
      <c r="Y1430" s="164">
        <f t="shared" ref="Y1430:AT1430" si="450">Y1431</f>
        <v>0</v>
      </c>
      <c r="Z1430" s="164">
        <f t="shared" si="450"/>
        <v>0</v>
      </c>
      <c r="AA1430" s="164">
        <f t="shared" si="450"/>
        <v>0</v>
      </c>
      <c r="AB1430" s="164">
        <f t="shared" si="450"/>
        <v>0</v>
      </c>
      <c r="AC1430" s="164">
        <f t="shared" si="450"/>
        <v>0</v>
      </c>
      <c r="AD1430" s="164">
        <f t="shared" si="450"/>
        <v>0</v>
      </c>
      <c r="AE1430" s="164">
        <f t="shared" si="450"/>
        <v>0</v>
      </c>
      <c r="AF1430" s="164">
        <f t="shared" si="450"/>
        <v>0</v>
      </c>
      <c r="AG1430" s="164">
        <f t="shared" si="450"/>
        <v>0</v>
      </c>
      <c r="AH1430" s="164">
        <f t="shared" si="450"/>
        <v>0</v>
      </c>
      <c r="AI1430" s="164">
        <f t="shared" si="450"/>
        <v>0</v>
      </c>
      <c r="AJ1430" s="164">
        <f t="shared" si="450"/>
        <v>567976</v>
      </c>
      <c r="AK1430" s="164">
        <f t="shared" si="450"/>
        <v>567976</v>
      </c>
      <c r="AL1430" s="164">
        <f t="shared" si="450"/>
        <v>4036519</v>
      </c>
      <c r="AM1430" s="164">
        <f t="shared" si="450"/>
        <v>3365506</v>
      </c>
      <c r="AN1430" s="164">
        <f t="shared" si="450"/>
        <v>3495915</v>
      </c>
      <c r="AO1430" s="164">
        <f t="shared" si="450"/>
        <v>3413164</v>
      </c>
      <c r="AP1430" s="164">
        <f t="shared" si="450"/>
        <v>4471975</v>
      </c>
      <c r="AQ1430" s="164">
        <f t="shared" si="450"/>
        <v>0</v>
      </c>
      <c r="AR1430" s="164">
        <f t="shared" si="450"/>
        <v>0</v>
      </c>
      <c r="AS1430" s="164">
        <f t="shared" si="450"/>
        <v>19351055</v>
      </c>
      <c r="AT1430" s="164">
        <f t="shared" si="450"/>
        <v>0</v>
      </c>
      <c r="AU1430" s="183">
        <f t="shared" si="444"/>
        <v>19351055</v>
      </c>
      <c r="AV1430" s="146">
        <f>IFERROR(VLOOKUP(J1430,Maksājumu_pieprasījumu_iesn.!G:BL,57,0),0)</f>
        <v>0</v>
      </c>
      <c r="AW1430" s="139">
        <f t="shared" si="447"/>
        <v>-19351055</v>
      </c>
      <c r="AX1430" s="164">
        <f>AX1431</f>
        <v>2</v>
      </c>
      <c r="AY1430" s="164"/>
      <c r="AZ1430" s="164"/>
      <c r="BA1430" s="164"/>
      <c r="BB1430" s="164">
        <f>BB1431</f>
        <v>0</v>
      </c>
      <c r="BC1430" s="164">
        <f>BC1431</f>
        <v>2586235.5</v>
      </c>
      <c r="BD1430" s="164">
        <f>BC1430*0.94</f>
        <v>2431061.3699999996</v>
      </c>
      <c r="BE1430" s="129">
        <f>BD1430/0.85</f>
        <v>2860072.1999999997</v>
      </c>
      <c r="BF1430" s="164">
        <f>BF1431</f>
        <v>0</v>
      </c>
      <c r="BG1430" s="164">
        <f>BG1431</f>
        <v>0</v>
      </c>
      <c r="BH1430" s="129">
        <f>BH1431</f>
        <v>0</v>
      </c>
      <c r="BI1430" s="129">
        <f>BI1431</f>
        <v>1751964</v>
      </c>
      <c r="BJ1430" s="129">
        <f>AK1430*0.94</f>
        <v>533897.43999999994</v>
      </c>
      <c r="BK1430" s="129">
        <f>BJ1430-BI1430</f>
        <v>-1218066.56</v>
      </c>
      <c r="BL1430" s="129">
        <f>BL1431</f>
        <v>2852531.3540254901</v>
      </c>
      <c r="BM1430" s="129">
        <f>AL1430*0.94</f>
        <v>3794327.86</v>
      </c>
      <c r="BN1430" s="129">
        <f>BM1430-BL1430</f>
        <v>941796.50597450975</v>
      </c>
    </row>
    <row r="1431" spans="1:66" s="91" customFormat="1" ht="12.75" hidden="1" customHeight="1" x14ac:dyDescent="0.2">
      <c r="A1431" s="131" t="s">
        <v>2279</v>
      </c>
      <c r="B1431" s="132" t="s">
        <v>2519</v>
      </c>
      <c r="C1431" s="132" t="s">
        <v>2521</v>
      </c>
      <c r="D1431" s="133" t="s">
        <v>2520</v>
      </c>
      <c r="E1431" s="22" t="s">
        <v>3</v>
      </c>
      <c r="F1431" s="22" t="s">
        <v>402</v>
      </c>
      <c r="G1431" s="22" t="s">
        <v>77</v>
      </c>
      <c r="H1431" s="22" t="s">
        <v>3</v>
      </c>
      <c r="I1431" s="22" t="s">
        <v>1022</v>
      </c>
      <c r="J1431" s="134" t="s">
        <v>1026</v>
      </c>
      <c r="K1431" s="133"/>
      <c r="L1431" s="133"/>
      <c r="M1431" s="133"/>
      <c r="N1431" s="133"/>
      <c r="O1431" s="135"/>
      <c r="P1431" s="135"/>
      <c r="Q1431" s="135"/>
      <c r="R1431" s="135"/>
      <c r="S1431" s="136">
        <v>19351057</v>
      </c>
      <c r="T1431" s="136">
        <v>0</v>
      </c>
      <c r="U1431" s="137">
        <f>SUM(U1432)</f>
        <v>0</v>
      </c>
      <c r="V1431" s="137">
        <f>SUM(V1432)</f>
        <v>0</v>
      </c>
      <c r="W1431" s="137">
        <f>SUM(W1432)</f>
        <v>0</v>
      </c>
      <c r="X1431" s="138">
        <f>U1431+V1431+W1431</f>
        <v>0</v>
      </c>
      <c r="Y1431" s="137">
        <f t="shared" ref="Y1431:AR1431" si="451">SUM(Y1432)</f>
        <v>0</v>
      </c>
      <c r="Z1431" s="137">
        <f t="shared" si="451"/>
        <v>0</v>
      </c>
      <c r="AA1431" s="137">
        <f t="shared" si="451"/>
        <v>0</v>
      </c>
      <c r="AB1431" s="137">
        <f t="shared" si="451"/>
        <v>0</v>
      </c>
      <c r="AC1431" s="137">
        <f t="shared" si="451"/>
        <v>0</v>
      </c>
      <c r="AD1431" s="137">
        <f t="shared" si="451"/>
        <v>0</v>
      </c>
      <c r="AE1431" s="137">
        <f t="shared" si="451"/>
        <v>0</v>
      </c>
      <c r="AF1431" s="137">
        <f t="shared" si="451"/>
        <v>0</v>
      </c>
      <c r="AG1431" s="137">
        <f t="shared" si="451"/>
        <v>0</v>
      </c>
      <c r="AH1431" s="137">
        <f t="shared" si="451"/>
        <v>0</v>
      </c>
      <c r="AI1431" s="137">
        <f t="shared" si="451"/>
        <v>0</v>
      </c>
      <c r="AJ1431" s="137">
        <f t="shared" si="451"/>
        <v>567976</v>
      </c>
      <c r="AK1431" s="137">
        <f t="shared" si="451"/>
        <v>567976</v>
      </c>
      <c r="AL1431" s="137">
        <f t="shared" si="451"/>
        <v>4036519</v>
      </c>
      <c r="AM1431" s="137">
        <f t="shared" si="451"/>
        <v>3365506</v>
      </c>
      <c r="AN1431" s="137">
        <f t="shared" si="451"/>
        <v>3495915</v>
      </c>
      <c r="AO1431" s="137">
        <f t="shared" si="451"/>
        <v>3413164</v>
      </c>
      <c r="AP1431" s="137">
        <f t="shared" si="451"/>
        <v>4471975</v>
      </c>
      <c r="AQ1431" s="137">
        <f t="shared" si="451"/>
        <v>0</v>
      </c>
      <c r="AR1431" s="137">
        <f t="shared" si="451"/>
        <v>0</v>
      </c>
      <c r="AS1431" s="137">
        <f>U1431+V1431+W1431+AK1431+AL1431+AM1431+AN1431+AO1431+AP1431+AQ1431+AR1431</f>
        <v>19351055</v>
      </c>
      <c r="AT1431" s="137">
        <f>AT1432</f>
        <v>0</v>
      </c>
      <c r="AU1431" s="139">
        <f t="shared" si="444"/>
        <v>19351055</v>
      </c>
      <c r="AV1431" s="146">
        <f>IFERROR(VLOOKUP(J1431,Maksājumu_pieprasījumu_iesn.!G:BL,57,0),0)</f>
        <v>0</v>
      </c>
      <c r="AW1431" s="139">
        <f t="shared" si="447"/>
        <v>-19351055</v>
      </c>
      <c r="AX1431" s="140">
        <f>S1431-T1431-AU1431</f>
        <v>2</v>
      </c>
      <c r="AY1431" s="137"/>
      <c r="AZ1431" s="137"/>
      <c r="BA1431" s="138"/>
      <c r="BB1431" s="140"/>
      <c r="BC1431" s="140">
        <f>X1431+AK1431+AL1431/2</f>
        <v>2586235.5</v>
      </c>
      <c r="BD1431" s="140"/>
      <c r="BE1431" s="140">
        <f>BC1431/0.85</f>
        <v>3042630</v>
      </c>
      <c r="BF1431" s="137"/>
      <c r="BG1431" s="137"/>
      <c r="BH1431" s="138">
        <v>0</v>
      </c>
      <c r="BI1431" s="138">
        <v>1751964</v>
      </c>
      <c r="BJ1431" s="138"/>
      <c r="BK1431" s="138"/>
      <c r="BL1431" s="138">
        <v>2852531.3540254901</v>
      </c>
      <c r="BM1431" s="138"/>
      <c r="BN1431" s="138"/>
    </row>
    <row r="1432" spans="1:66" s="91" customFormat="1" ht="12.75" hidden="1" customHeight="1" x14ac:dyDescent="0.2">
      <c r="A1432" s="150" t="s">
        <v>2279</v>
      </c>
      <c r="B1432" s="18" t="s">
        <v>2519</v>
      </c>
      <c r="C1432" s="18" t="s">
        <v>2521</v>
      </c>
      <c r="D1432" s="19" t="s">
        <v>2520</v>
      </c>
      <c r="E1432" s="55" t="s">
        <v>3</v>
      </c>
      <c r="F1432" s="55" t="s">
        <v>402</v>
      </c>
      <c r="G1432" s="55" t="s">
        <v>77</v>
      </c>
      <c r="H1432" s="55" t="s">
        <v>3</v>
      </c>
      <c r="I1432" s="55"/>
      <c r="J1432" s="55"/>
      <c r="K1432" s="19" t="s">
        <v>409</v>
      </c>
      <c r="L1432" s="19"/>
      <c r="M1432" s="19"/>
      <c r="N1432" s="344" t="s">
        <v>2522</v>
      </c>
      <c r="O1432" s="151">
        <v>42896</v>
      </c>
      <c r="P1432" s="151"/>
      <c r="Q1432" s="151"/>
      <c r="R1432" s="151"/>
      <c r="S1432" s="152"/>
      <c r="T1432" s="152"/>
      <c r="U1432" s="145">
        <v>0</v>
      </c>
      <c r="V1432" s="145">
        <v>0</v>
      </c>
      <c r="W1432" s="145">
        <v>0</v>
      </c>
      <c r="X1432" s="145">
        <v>0</v>
      </c>
      <c r="Y1432" s="145">
        <v>0</v>
      </c>
      <c r="Z1432" s="145">
        <v>0</v>
      </c>
      <c r="AA1432" s="145">
        <v>0</v>
      </c>
      <c r="AB1432" s="145">
        <v>0</v>
      </c>
      <c r="AC1432" s="145">
        <v>0</v>
      </c>
      <c r="AD1432" s="145">
        <v>0</v>
      </c>
      <c r="AE1432" s="145">
        <v>0</v>
      </c>
      <c r="AF1432" s="145">
        <v>0</v>
      </c>
      <c r="AG1432" s="145">
        <v>0</v>
      </c>
      <c r="AH1432" s="145">
        <v>0</v>
      </c>
      <c r="AI1432" s="145">
        <v>0</v>
      </c>
      <c r="AJ1432" s="145">
        <v>567976</v>
      </c>
      <c r="AK1432" s="145">
        <v>567976</v>
      </c>
      <c r="AL1432" s="145">
        <v>4036519</v>
      </c>
      <c r="AM1432" s="145">
        <v>3365506</v>
      </c>
      <c r="AN1432" s="145">
        <v>3495915</v>
      </c>
      <c r="AO1432" s="145">
        <v>3413164</v>
      </c>
      <c r="AP1432" s="145">
        <v>4471975</v>
      </c>
      <c r="AQ1432" s="145">
        <v>0</v>
      </c>
      <c r="AR1432" s="145">
        <v>0</v>
      </c>
      <c r="AS1432" s="145">
        <f>U1432+V1432+W1432+AK1432+AL1432+AM1432+AN1432+AO1432+AP1432+AQ1432+AR1432</f>
        <v>19351055</v>
      </c>
      <c r="AT1432" s="145">
        <v>0</v>
      </c>
      <c r="AU1432" s="139">
        <f t="shared" si="444"/>
        <v>19351055</v>
      </c>
      <c r="AV1432" s="146">
        <f>IFERROR(VLOOKUP(J1432,Maksājumu_pieprasījumu_iesn.!G:BL,57,0),0)</f>
        <v>0</v>
      </c>
      <c r="AW1432" s="139">
        <f t="shared" si="447"/>
        <v>-19351055</v>
      </c>
      <c r="AX1432" s="153"/>
      <c r="AY1432" s="153"/>
      <c r="AZ1432" s="153"/>
      <c r="BA1432" s="138"/>
      <c r="BB1432" s="145"/>
      <c r="BC1432" s="145"/>
      <c r="BD1432" s="145"/>
      <c r="BE1432" s="145"/>
      <c r="BF1432" s="145"/>
      <c r="BG1432" s="145"/>
      <c r="BH1432" s="138"/>
      <c r="BI1432" s="138"/>
      <c r="BJ1432" s="138"/>
      <c r="BK1432" s="138"/>
      <c r="BL1432" s="138"/>
      <c r="BM1432" s="138"/>
      <c r="BN1432" s="138"/>
    </row>
    <row r="1433" spans="1:66" s="91" customFormat="1" ht="51" hidden="1" x14ac:dyDescent="0.2">
      <c r="A1433" s="127" t="s">
        <v>2279</v>
      </c>
      <c r="B1433" s="127" t="s">
        <v>448</v>
      </c>
      <c r="C1433" s="127" t="s">
        <v>1023</v>
      </c>
      <c r="D1433" s="128" t="s">
        <v>2523</v>
      </c>
      <c r="E1433" s="127"/>
      <c r="F1433" s="127"/>
      <c r="G1433" s="127" t="s">
        <v>5</v>
      </c>
      <c r="H1433" s="127"/>
      <c r="I1433" s="127"/>
      <c r="J1433" s="127"/>
      <c r="K1433" s="128"/>
      <c r="L1433" s="128"/>
      <c r="M1433" s="128"/>
      <c r="N1433" s="128"/>
      <c r="O1433" s="163"/>
      <c r="P1433" s="163"/>
      <c r="Q1433" s="163"/>
      <c r="R1433" s="163"/>
      <c r="S1433" s="164">
        <f>S1434+S1443+S1551</f>
        <v>41241194</v>
      </c>
      <c r="T1433" s="164">
        <f>T1434+T1443+T1551</f>
        <v>2515517</v>
      </c>
      <c r="U1433" s="164">
        <f>U1434+U1443+U1551</f>
        <v>0</v>
      </c>
      <c r="V1433" s="164">
        <f>V1434+V1443+V1551</f>
        <v>0</v>
      </c>
      <c r="W1433" s="164">
        <f>W1434+W1443+W1551</f>
        <v>7770.17</v>
      </c>
      <c r="X1433" s="129">
        <f>U1433+V1433+W1433</f>
        <v>7770.17</v>
      </c>
      <c r="Y1433" s="164">
        <f t="shared" ref="Y1433:AT1433" si="452">Y1434+Y1443+Y1551</f>
        <v>22502.37</v>
      </c>
      <c r="Z1433" s="164">
        <f t="shared" si="452"/>
        <v>0</v>
      </c>
      <c r="AA1433" s="164">
        <f t="shared" si="452"/>
        <v>0</v>
      </c>
      <c r="AB1433" s="164">
        <f t="shared" si="452"/>
        <v>29663.95</v>
      </c>
      <c r="AC1433" s="164">
        <f t="shared" si="452"/>
        <v>0</v>
      </c>
      <c r="AD1433" s="164">
        <f t="shared" si="452"/>
        <v>0</v>
      </c>
      <c r="AE1433" s="164">
        <f t="shared" si="452"/>
        <v>259607.65</v>
      </c>
      <c r="AF1433" s="164">
        <f t="shared" si="452"/>
        <v>0</v>
      </c>
      <c r="AG1433" s="164">
        <f t="shared" si="452"/>
        <v>0</v>
      </c>
      <c r="AH1433" s="164">
        <f t="shared" si="452"/>
        <v>8857.65</v>
      </c>
      <c r="AI1433" s="164">
        <f t="shared" si="452"/>
        <v>0</v>
      </c>
      <c r="AJ1433" s="164">
        <f t="shared" si="452"/>
        <v>0</v>
      </c>
      <c r="AK1433" s="164">
        <f t="shared" si="452"/>
        <v>320631.62</v>
      </c>
      <c r="AL1433" s="164">
        <f t="shared" si="452"/>
        <v>2238773.7199999997</v>
      </c>
      <c r="AM1433" s="164">
        <f t="shared" si="452"/>
        <v>1548337.49</v>
      </c>
      <c r="AN1433" s="164">
        <f t="shared" si="452"/>
        <v>650000</v>
      </c>
      <c r="AO1433" s="164">
        <f t="shared" si="452"/>
        <v>0</v>
      </c>
      <c r="AP1433" s="164">
        <f t="shared" si="452"/>
        <v>0</v>
      </c>
      <c r="AQ1433" s="164">
        <f t="shared" si="452"/>
        <v>0</v>
      </c>
      <c r="AR1433" s="164">
        <f t="shared" si="452"/>
        <v>0</v>
      </c>
      <c r="AS1433" s="164">
        <f t="shared" si="452"/>
        <v>4765513</v>
      </c>
      <c r="AT1433" s="164">
        <f t="shared" si="452"/>
        <v>0</v>
      </c>
      <c r="AU1433" s="183">
        <f t="shared" si="444"/>
        <v>4765513</v>
      </c>
      <c r="AV1433" s="146">
        <f>IFERROR(VLOOKUP(J1433,Maksājumu_pieprasījumu_iesn.!G:BL,57,0),0)</f>
        <v>0</v>
      </c>
      <c r="AW1433" s="139">
        <f t="shared" si="447"/>
        <v>-4765513</v>
      </c>
      <c r="AX1433" s="164">
        <f>AX1434+AX1443+AX1551</f>
        <v>33960164</v>
      </c>
      <c r="AY1433" s="164">
        <f>AY1434+AY1443+AY1551</f>
        <v>33960164</v>
      </c>
      <c r="AZ1433" s="164"/>
      <c r="BA1433" s="164"/>
      <c r="BB1433" s="164">
        <f>BB1434+BB1443+BB1551</f>
        <v>0</v>
      </c>
      <c r="BC1433" s="164">
        <f>BC1434+BC1443+BC1551</f>
        <v>1447788.65</v>
      </c>
      <c r="BD1433" s="164">
        <f>BC1433*0.86</f>
        <v>1245098.2389999998</v>
      </c>
      <c r="BE1433" s="129">
        <f>BD1433/0.85</f>
        <v>1464821.4576470586</v>
      </c>
      <c r="BF1433" s="164">
        <f>BF1434+BF1443+BF1551</f>
        <v>0</v>
      </c>
      <c r="BG1433" s="164">
        <f>BG1434+BG1443+BG1551</f>
        <v>0</v>
      </c>
      <c r="BH1433" s="129">
        <f>BH1434+BH1443+BH1551</f>
        <v>6646.15</v>
      </c>
      <c r="BI1433" s="129">
        <f>BI1434+BI1443+BI1551</f>
        <v>659.51</v>
      </c>
      <c r="BJ1433" s="129">
        <f>AK1433*0.86</f>
        <v>275743.19319999998</v>
      </c>
      <c r="BK1433" s="129">
        <f>BJ1433-BI1433</f>
        <v>275083.68319999997</v>
      </c>
      <c r="BL1433" s="129">
        <f>BL1434+BL1443+BL1551</f>
        <v>674950.6</v>
      </c>
      <c r="BM1433" s="129">
        <f>AL1433*0.86</f>
        <v>1925345.3991999996</v>
      </c>
      <c r="BN1433" s="129">
        <f>BM1433-BL1433</f>
        <v>1250394.7991999998</v>
      </c>
    </row>
    <row r="1434" spans="1:66" s="91" customFormat="1" ht="25.5" hidden="1" customHeight="1" x14ac:dyDescent="0.2">
      <c r="A1434" s="131" t="s">
        <v>2279</v>
      </c>
      <c r="B1434" s="132" t="s">
        <v>448</v>
      </c>
      <c r="C1434" s="132" t="s">
        <v>2524</v>
      </c>
      <c r="D1434" s="133" t="s">
        <v>2525</v>
      </c>
      <c r="E1434" s="22">
        <v>1</v>
      </c>
      <c r="F1434" s="22" t="s">
        <v>210</v>
      </c>
      <c r="G1434" s="22" t="s">
        <v>5</v>
      </c>
      <c r="H1434" s="22" t="s">
        <v>960</v>
      </c>
      <c r="I1434" s="22" t="s">
        <v>1022</v>
      </c>
      <c r="J1434" s="134" t="s">
        <v>1026</v>
      </c>
      <c r="K1434" s="133"/>
      <c r="L1434" s="133"/>
      <c r="M1434" s="133"/>
      <c r="N1434" s="133"/>
      <c r="O1434" s="135"/>
      <c r="P1434" s="135"/>
      <c r="Q1434" s="135"/>
      <c r="R1434" s="135"/>
      <c r="S1434" s="136">
        <v>13450032</v>
      </c>
      <c r="T1434" s="136">
        <v>895651</v>
      </c>
      <c r="U1434" s="137">
        <f>SUM(U1435:U1442)</f>
        <v>0</v>
      </c>
      <c r="V1434" s="137">
        <f>SUM(V1435:V1442)</f>
        <v>0</v>
      </c>
      <c r="W1434" s="137">
        <f>SUM(W1435:W1442)</f>
        <v>0</v>
      </c>
      <c r="X1434" s="138">
        <f>U1434+V1434+W1434</f>
        <v>0</v>
      </c>
      <c r="Y1434" s="137">
        <f t="shared" ref="Y1434:AR1434" si="453">SUM(Y1435:Y1442)</f>
        <v>0</v>
      </c>
      <c r="Z1434" s="137">
        <f t="shared" si="453"/>
        <v>0</v>
      </c>
      <c r="AA1434" s="137">
        <f t="shared" si="453"/>
        <v>0</v>
      </c>
      <c r="AB1434" s="137">
        <f t="shared" si="453"/>
        <v>0</v>
      </c>
      <c r="AC1434" s="137">
        <f t="shared" si="453"/>
        <v>0</v>
      </c>
      <c r="AD1434" s="137">
        <f t="shared" si="453"/>
        <v>0</v>
      </c>
      <c r="AE1434" s="137">
        <f t="shared" si="453"/>
        <v>0</v>
      </c>
      <c r="AF1434" s="137">
        <f t="shared" si="453"/>
        <v>0</v>
      </c>
      <c r="AG1434" s="137">
        <f t="shared" si="453"/>
        <v>0</v>
      </c>
      <c r="AH1434" s="137">
        <f t="shared" si="453"/>
        <v>0</v>
      </c>
      <c r="AI1434" s="137">
        <f t="shared" si="453"/>
        <v>0</v>
      </c>
      <c r="AJ1434" s="137">
        <f t="shared" si="453"/>
        <v>0</v>
      </c>
      <c r="AK1434" s="137">
        <f t="shared" si="453"/>
        <v>0</v>
      </c>
      <c r="AL1434" s="137">
        <f t="shared" si="453"/>
        <v>0</v>
      </c>
      <c r="AM1434" s="137">
        <f t="shared" si="453"/>
        <v>650000</v>
      </c>
      <c r="AN1434" s="137">
        <f t="shared" si="453"/>
        <v>650000</v>
      </c>
      <c r="AO1434" s="137">
        <f t="shared" si="453"/>
        <v>0</v>
      </c>
      <c r="AP1434" s="137">
        <f t="shared" si="453"/>
        <v>0</v>
      </c>
      <c r="AQ1434" s="137">
        <f t="shared" si="453"/>
        <v>0</v>
      </c>
      <c r="AR1434" s="137">
        <f t="shared" si="453"/>
        <v>0</v>
      </c>
      <c r="AS1434" s="137">
        <f t="shared" ref="AS1434:AS1465" si="454">U1434+V1434+W1434+AK1434+AL1434+AM1434+AN1434+AO1434+AP1434+AQ1434+AR1434</f>
        <v>1300000</v>
      </c>
      <c r="AT1434" s="137">
        <f>SUM(AT1435:AT1442)</f>
        <v>0</v>
      </c>
      <c r="AU1434" s="139">
        <f t="shared" si="444"/>
        <v>1300000</v>
      </c>
      <c r="AV1434" s="146">
        <f>IFERROR(VLOOKUP(J1434,Maksājumu_pieprasījumu_iesn.!G:BL,57,0),0)</f>
        <v>0</v>
      </c>
      <c r="AW1434" s="139">
        <f t="shared" si="447"/>
        <v>-1300000</v>
      </c>
      <c r="AX1434" s="140">
        <f>S1434-T1434-AU1434</f>
        <v>11254381</v>
      </c>
      <c r="AY1434" s="137">
        <v>11254381</v>
      </c>
      <c r="AZ1434" s="137"/>
      <c r="BA1434" s="138" t="s">
        <v>2526</v>
      </c>
      <c r="BB1434" s="140"/>
      <c r="BC1434" s="140">
        <f>X1434+AK1434+AL1434/2</f>
        <v>0</v>
      </c>
      <c r="BD1434" s="140"/>
      <c r="BE1434" s="140">
        <f>BC1434/0.85</f>
        <v>0</v>
      </c>
      <c r="BF1434" s="137"/>
      <c r="BG1434" s="137"/>
      <c r="BH1434" s="138">
        <v>0</v>
      </c>
      <c r="BI1434" s="138">
        <v>0</v>
      </c>
      <c r="BJ1434" s="138"/>
      <c r="BK1434" s="138"/>
      <c r="BL1434" s="138">
        <v>357581</v>
      </c>
      <c r="BM1434" s="138"/>
      <c r="BN1434" s="138"/>
    </row>
    <row r="1435" spans="1:66" s="91" customFormat="1" ht="25.5" hidden="1" customHeight="1" outlineLevel="1" x14ac:dyDescent="0.2">
      <c r="A1435" s="150" t="s">
        <v>2279</v>
      </c>
      <c r="B1435" s="355" t="s">
        <v>448</v>
      </c>
      <c r="C1435" s="355" t="s">
        <v>2524</v>
      </c>
      <c r="D1435" s="356" t="s">
        <v>2525</v>
      </c>
      <c r="E1435" s="114">
        <v>1</v>
      </c>
      <c r="F1435" s="114" t="s">
        <v>210</v>
      </c>
      <c r="G1435" s="114" t="s">
        <v>5</v>
      </c>
      <c r="H1435" s="114" t="s">
        <v>960</v>
      </c>
      <c r="I1435" s="114"/>
      <c r="J1435" s="114"/>
      <c r="K1435" s="356" t="s">
        <v>2527</v>
      </c>
      <c r="L1435" s="356"/>
      <c r="M1435" s="356"/>
      <c r="N1435" s="356"/>
      <c r="O1435" s="357">
        <v>43465</v>
      </c>
      <c r="P1435" s="357"/>
      <c r="Q1435" s="357"/>
      <c r="R1435" s="357"/>
      <c r="S1435" s="117"/>
      <c r="T1435" s="117"/>
      <c r="U1435" s="358">
        <v>0</v>
      </c>
      <c r="V1435" s="358">
        <v>0</v>
      </c>
      <c r="W1435" s="358">
        <v>0</v>
      </c>
      <c r="X1435" s="358">
        <f t="shared" ref="X1435:X1498" si="455">W1435+V1435+U1435</f>
        <v>0</v>
      </c>
      <c r="Y1435" s="358">
        <v>0</v>
      </c>
      <c r="Z1435" s="358">
        <v>0</v>
      </c>
      <c r="AA1435" s="358">
        <v>0</v>
      </c>
      <c r="AB1435" s="358">
        <v>0</v>
      </c>
      <c r="AC1435" s="358">
        <v>0</v>
      </c>
      <c r="AD1435" s="358">
        <v>0</v>
      </c>
      <c r="AE1435" s="358">
        <v>0</v>
      </c>
      <c r="AF1435" s="358">
        <v>0</v>
      </c>
      <c r="AG1435" s="358">
        <v>0</v>
      </c>
      <c r="AH1435" s="358">
        <v>0</v>
      </c>
      <c r="AI1435" s="358">
        <v>0</v>
      </c>
      <c r="AJ1435" s="358">
        <v>0</v>
      </c>
      <c r="AK1435" s="358">
        <f t="shared" ref="AK1435:AK1442" si="456">SUM(Y1435:AJ1435)</f>
        <v>0</v>
      </c>
      <c r="AL1435" s="358">
        <v>0</v>
      </c>
      <c r="AM1435" s="358">
        <v>0</v>
      </c>
      <c r="AN1435" s="358">
        <v>0</v>
      </c>
      <c r="AO1435" s="358">
        <v>0</v>
      </c>
      <c r="AP1435" s="358">
        <v>0</v>
      </c>
      <c r="AQ1435" s="358">
        <v>0</v>
      </c>
      <c r="AR1435" s="358">
        <v>0</v>
      </c>
      <c r="AS1435" s="358">
        <f t="shared" si="454"/>
        <v>0</v>
      </c>
      <c r="AT1435" s="358"/>
      <c r="AU1435" s="139">
        <f t="shared" si="444"/>
        <v>0</v>
      </c>
      <c r="AV1435" s="146">
        <f>IFERROR(VLOOKUP(J1435,Maksājumu_pieprasījumu_iesn.!G:BL,57,0),0)</f>
        <v>0</v>
      </c>
      <c r="AW1435" s="139">
        <f t="shared" si="447"/>
        <v>0</v>
      </c>
      <c r="AX1435" s="358"/>
      <c r="AY1435" s="358"/>
      <c r="AZ1435" s="358"/>
      <c r="BA1435" s="360"/>
      <c r="BB1435" s="358"/>
      <c r="BC1435" s="358"/>
      <c r="BD1435" s="358"/>
      <c r="BE1435" s="358"/>
      <c r="BF1435" s="358"/>
      <c r="BG1435" s="358"/>
      <c r="BH1435" s="360"/>
      <c r="BI1435" s="360"/>
      <c r="BJ1435" s="360"/>
      <c r="BK1435" s="360"/>
      <c r="BL1435" s="360"/>
      <c r="BM1435" s="360"/>
      <c r="BN1435" s="360"/>
    </row>
    <row r="1436" spans="1:66" s="91" customFormat="1" ht="25.5" hidden="1" customHeight="1" outlineLevel="1" x14ac:dyDescent="0.2">
      <c r="A1436" s="150" t="s">
        <v>2279</v>
      </c>
      <c r="B1436" s="355" t="s">
        <v>448</v>
      </c>
      <c r="C1436" s="355" t="s">
        <v>2524</v>
      </c>
      <c r="D1436" s="356" t="s">
        <v>2525</v>
      </c>
      <c r="E1436" s="114">
        <v>1</v>
      </c>
      <c r="F1436" s="114" t="s">
        <v>210</v>
      </c>
      <c r="G1436" s="114" t="s">
        <v>5</v>
      </c>
      <c r="H1436" s="114" t="s">
        <v>960</v>
      </c>
      <c r="I1436" s="114"/>
      <c r="J1436" s="114"/>
      <c r="K1436" s="356" t="s">
        <v>2528</v>
      </c>
      <c r="L1436" s="356"/>
      <c r="M1436" s="356"/>
      <c r="N1436" s="356"/>
      <c r="O1436" s="357">
        <v>43465</v>
      </c>
      <c r="P1436" s="357"/>
      <c r="Q1436" s="357"/>
      <c r="R1436" s="357"/>
      <c r="S1436" s="117"/>
      <c r="T1436" s="117"/>
      <c r="U1436" s="358">
        <v>0</v>
      </c>
      <c r="V1436" s="358">
        <v>0</v>
      </c>
      <c r="W1436" s="358">
        <v>0</v>
      </c>
      <c r="X1436" s="358">
        <f t="shared" si="455"/>
        <v>0</v>
      </c>
      <c r="Y1436" s="358">
        <v>0</v>
      </c>
      <c r="Z1436" s="358">
        <v>0</v>
      </c>
      <c r="AA1436" s="358">
        <v>0</v>
      </c>
      <c r="AB1436" s="358">
        <v>0</v>
      </c>
      <c r="AC1436" s="358">
        <v>0</v>
      </c>
      <c r="AD1436" s="358">
        <v>0</v>
      </c>
      <c r="AE1436" s="358">
        <v>0</v>
      </c>
      <c r="AF1436" s="358">
        <v>0</v>
      </c>
      <c r="AG1436" s="358">
        <v>0</v>
      </c>
      <c r="AH1436" s="358">
        <v>0</v>
      </c>
      <c r="AI1436" s="358">
        <v>0</v>
      </c>
      <c r="AJ1436" s="358">
        <v>0</v>
      </c>
      <c r="AK1436" s="358">
        <f t="shared" si="456"/>
        <v>0</v>
      </c>
      <c r="AL1436" s="358">
        <v>0</v>
      </c>
      <c r="AM1436" s="358">
        <v>0</v>
      </c>
      <c r="AN1436" s="358">
        <v>0</v>
      </c>
      <c r="AO1436" s="358">
        <v>0</v>
      </c>
      <c r="AP1436" s="358">
        <v>0</v>
      </c>
      <c r="AQ1436" s="358">
        <v>0</v>
      </c>
      <c r="AR1436" s="358">
        <v>0</v>
      </c>
      <c r="AS1436" s="358">
        <f t="shared" si="454"/>
        <v>0</v>
      </c>
      <c r="AT1436" s="358"/>
      <c r="AU1436" s="139">
        <f t="shared" si="444"/>
        <v>0</v>
      </c>
      <c r="AV1436" s="146">
        <f>IFERROR(VLOOKUP(J1436,Maksājumu_pieprasījumu_iesn.!G:BL,57,0),0)</f>
        <v>0</v>
      </c>
      <c r="AW1436" s="139">
        <f t="shared" si="447"/>
        <v>0</v>
      </c>
      <c r="AX1436" s="358"/>
      <c r="AY1436" s="358"/>
      <c r="AZ1436" s="358"/>
      <c r="BA1436" s="360"/>
      <c r="BB1436" s="358"/>
      <c r="BC1436" s="358"/>
      <c r="BD1436" s="358"/>
      <c r="BE1436" s="358"/>
      <c r="BF1436" s="358"/>
      <c r="BG1436" s="358"/>
      <c r="BH1436" s="360"/>
      <c r="BI1436" s="360"/>
      <c r="BJ1436" s="360"/>
      <c r="BK1436" s="360"/>
      <c r="BL1436" s="360"/>
      <c r="BM1436" s="360"/>
      <c r="BN1436" s="360"/>
    </row>
    <row r="1437" spans="1:66" s="91" customFormat="1" ht="25.5" hidden="1" customHeight="1" outlineLevel="1" x14ac:dyDescent="0.2">
      <c r="A1437" s="150" t="s">
        <v>2279</v>
      </c>
      <c r="B1437" s="355" t="s">
        <v>448</v>
      </c>
      <c r="C1437" s="355" t="s">
        <v>2524</v>
      </c>
      <c r="D1437" s="356" t="s">
        <v>2525</v>
      </c>
      <c r="E1437" s="114">
        <v>1</v>
      </c>
      <c r="F1437" s="114" t="s">
        <v>210</v>
      </c>
      <c r="G1437" s="114" t="s">
        <v>5</v>
      </c>
      <c r="H1437" s="114" t="s">
        <v>960</v>
      </c>
      <c r="I1437" s="114"/>
      <c r="J1437" s="114"/>
      <c r="K1437" s="356" t="s">
        <v>2529</v>
      </c>
      <c r="L1437" s="356"/>
      <c r="M1437" s="356"/>
      <c r="N1437" s="356"/>
      <c r="O1437" s="357">
        <v>43465</v>
      </c>
      <c r="P1437" s="357"/>
      <c r="Q1437" s="357"/>
      <c r="R1437" s="357"/>
      <c r="S1437" s="117"/>
      <c r="T1437" s="117"/>
      <c r="U1437" s="358">
        <v>0</v>
      </c>
      <c r="V1437" s="358">
        <v>0</v>
      </c>
      <c r="W1437" s="358">
        <v>0</v>
      </c>
      <c r="X1437" s="358">
        <f t="shared" si="455"/>
        <v>0</v>
      </c>
      <c r="Y1437" s="358">
        <v>0</v>
      </c>
      <c r="Z1437" s="358">
        <v>0</v>
      </c>
      <c r="AA1437" s="358">
        <v>0</v>
      </c>
      <c r="AB1437" s="358">
        <v>0</v>
      </c>
      <c r="AC1437" s="358">
        <v>0</v>
      </c>
      <c r="AD1437" s="358">
        <v>0</v>
      </c>
      <c r="AE1437" s="358">
        <v>0</v>
      </c>
      <c r="AF1437" s="358">
        <v>0</v>
      </c>
      <c r="AG1437" s="358">
        <v>0</v>
      </c>
      <c r="AH1437" s="358">
        <v>0</v>
      </c>
      <c r="AI1437" s="358">
        <v>0</v>
      </c>
      <c r="AJ1437" s="358">
        <v>0</v>
      </c>
      <c r="AK1437" s="358">
        <f t="shared" si="456"/>
        <v>0</v>
      </c>
      <c r="AL1437" s="358">
        <v>0</v>
      </c>
      <c r="AM1437" s="358">
        <v>0</v>
      </c>
      <c r="AN1437" s="358">
        <v>0</v>
      </c>
      <c r="AO1437" s="358">
        <v>0</v>
      </c>
      <c r="AP1437" s="358">
        <v>0</v>
      </c>
      <c r="AQ1437" s="358">
        <v>0</v>
      </c>
      <c r="AR1437" s="358">
        <v>0</v>
      </c>
      <c r="AS1437" s="358">
        <f t="shared" si="454"/>
        <v>0</v>
      </c>
      <c r="AT1437" s="358"/>
      <c r="AU1437" s="139">
        <f t="shared" si="444"/>
        <v>0</v>
      </c>
      <c r="AV1437" s="146">
        <f>IFERROR(VLOOKUP(J1437,Maksājumu_pieprasījumu_iesn.!G:BL,57,0),0)</f>
        <v>0</v>
      </c>
      <c r="AW1437" s="139">
        <f t="shared" si="447"/>
        <v>0</v>
      </c>
      <c r="AX1437" s="358"/>
      <c r="AY1437" s="358"/>
      <c r="AZ1437" s="358"/>
      <c r="BA1437" s="360"/>
      <c r="BB1437" s="358"/>
      <c r="BC1437" s="358"/>
      <c r="BD1437" s="358"/>
      <c r="BE1437" s="358"/>
      <c r="BF1437" s="358"/>
      <c r="BG1437" s="358"/>
      <c r="BH1437" s="360"/>
      <c r="BI1437" s="360"/>
      <c r="BJ1437" s="360"/>
      <c r="BK1437" s="360"/>
      <c r="BL1437" s="360"/>
      <c r="BM1437" s="360"/>
      <c r="BN1437" s="360"/>
    </row>
    <row r="1438" spans="1:66" s="91" customFormat="1" ht="25.5" hidden="1" customHeight="1" outlineLevel="1" x14ac:dyDescent="0.2">
      <c r="A1438" s="150" t="s">
        <v>2279</v>
      </c>
      <c r="B1438" s="355" t="s">
        <v>448</v>
      </c>
      <c r="C1438" s="355" t="s">
        <v>2524</v>
      </c>
      <c r="D1438" s="356" t="s">
        <v>2525</v>
      </c>
      <c r="E1438" s="114">
        <v>1</v>
      </c>
      <c r="F1438" s="114" t="s">
        <v>210</v>
      </c>
      <c r="G1438" s="114" t="s">
        <v>5</v>
      </c>
      <c r="H1438" s="114" t="s">
        <v>960</v>
      </c>
      <c r="I1438" s="114"/>
      <c r="J1438" s="114"/>
      <c r="K1438" s="356" t="s">
        <v>2530</v>
      </c>
      <c r="L1438" s="356"/>
      <c r="M1438" s="356"/>
      <c r="N1438" s="356"/>
      <c r="O1438" s="357">
        <v>43465</v>
      </c>
      <c r="P1438" s="357"/>
      <c r="Q1438" s="357"/>
      <c r="R1438" s="357"/>
      <c r="S1438" s="117"/>
      <c r="T1438" s="117"/>
      <c r="U1438" s="358">
        <v>0</v>
      </c>
      <c r="V1438" s="358">
        <v>0</v>
      </c>
      <c r="W1438" s="358">
        <v>0</v>
      </c>
      <c r="X1438" s="358">
        <f t="shared" si="455"/>
        <v>0</v>
      </c>
      <c r="Y1438" s="358">
        <v>0</v>
      </c>
      <c r="Z1438" s="358">
        <v>0</v>
      </c>
      <c r="AA1438" s="358">
        <v>0</v>
      </c>
      <c r="AB1438" s="358">
        <v>0</v>
      </c>
      <c r="AC1438" s="358">
        <v>0</v>
      </c>
      <c r="AD1438" s="358">
        <v>0</v>
      </c>
      <c r="AE1438" s="358">
        <v>0</v>
      </c>
      <c r="AF1438" s="358">
        <v>0</v>
      </c>
      <c r="AG1438" s="358">
        <v>0</v>
      </c>
      <c r="AH1438" s="358">
        <v>0</v>
      </c>
      <c r="AI1438" s="358">
        <v>0</v>
      </c>
      <c r="AJ1438" s="358">
        <v>0</v>
      </c>
      <c r="AK1438" s="358">
        <f t="shared" si="456"/>
        <v>0</v>
      </c>
      <c r="AL1438" s="358">
        <v>0</v>
      </c>
      <c r="AM1438" s="358">
        <v>0</v>
      </c>
      <c r="AN1438" s="358">
        <v>0</v>
      </c>
      <c r="AO1438" s="358">
        <v>0</v>
      </c>
      <c r="AP1438" s="358">
        <v>0</v>
      </c>
      <c r="AQ1438" s="358">
        <v>0</v>
      </c>
      <c r="AR1438" s="358">
        <v>0</v>
      </c>
      <c r="AS1438" s="358">
        <f t="shared" si="454"/>
        <v>0</v>
      </c>
      <c r="AT1438" s="358"/>
      <c r="AU1438" s="139">
        <f t="shared" si="444"/>
        <v>0</v>
      </c>
      <c r="AV1438" s="146">
        <f>IFERROR(VLOOKUP(J1438,Maksājumu_pieprasījumu_iesn.!G:BL,57,0),0)</f>
        <v>0</v>
      </c>
      <c r="AW1438" s="139">
        <f t="shared" si="447"/>
        <v>0</v>
      </c>
      <c r="AX1438" s="358"/>
      <c r="AY1438" s="358"/>
      <c r="AZ1438" s="358"/>
      <c r="BA1438" s="360"/>
      <c r="BB1438" s="358"/>
      <c r="BC1438" s="358"/>
      <c r="BD1438" s="358"/>
      <c r="BE1438" s="358"/>
      <c r="BF1438" s="358"/>
      <c r="BG1438" s="358"/>
      <c r="BH1438" s="360"/>
      <c r="BI1438" s="360"/>
      <c r="BJ1438" s="360"/>
      <c r="BK1438" s="360"/>
      <c r="BL1438" s="360"/>
      <c r="BM1438" s="360"/>
      <c r="BN1438" s="360"/>
    </row>
    <row r="1439" spans="1:66" s="91" customFormat="1" ht="25.5" hidden="1" customHeight="1" outlineLevel="1" x14ac:dyDescent="0.2">
      <c r="A1439" s="150" t="s">
        <v>2279</v>
      </c>
      <c r="B1439" s="355" t="s">
        <v>448</v>
      </c>
      <c r="C1439" s="355" t="s">
        <v>2524</v>
      </c>
      <c r="D1439" s="356" t="s">
        <v>2525</v>
      </c>
      <c r="E1439" s="114">
        <v>1</v>
      </c>
      <c r="F1439" s="114" t="s">
        <v>210</v>
      </c>
      <c r="G1439" s="114" t="s">
        <v>5</v>
      </c>
      <c r="H1439" s="114" t="s">
        <v>960</v>
      </c>
      <c r="I1439" s="114"/>
      <c r="J1439" s="114"/>
      <c r="K1439" s="356" t="s">
        <v>2531</v>
      </c>
      <c r="L1439" s="356"/>
      <c r="M1439" s="356"/>
      <c r="N1439" s="356"/>
      <c r="O1439" s="357">
        <v>43465</v>
      </c>
      <c r="P1439" s="357"/>
      <c r="Q1439" s="357"/>
      <c r="R1439" s="357"/>
      <c r="S1439" s="117"/>
      <c r="T1439" s="117"/>
      <c r="U1439" s="358">
        <v>0</v>
      </c>
      <c r="V1439" s="358">
        <v>0</v>
      </c>
      <c r="W1439" s="358">
        <v>0</v>
      </c>
      <c r="X1439" s="358">
        <f t="shared" si="455"/>
        <v>0</v>
      </c>
      <c r="Y1439" s="358">
        <v>0</v>
      </c>
      <c r="Z1439" s="358">
        <v>0</v>
      </c>
      <c r="AA1439" s="358">
        <v>0</v>
      </c>
      <c r="AB1439" s="358">
        <v>0</v>
      </c>
      <c r="AC1439" s="358">
        <v>0</v>
      </c>
      <c r="AD1439" s="358">
        <v>0</v>
      </c>
      <c r="AE1439" s="358">
        <v>0</v>
      </c>
      <c r="AF1439" s="358">
        <v>0</v>
      </c>
      <c r="AG1439" s="358">
        <v>0</v>
      </c>
      <c r="AH1439" s="358">
        <v>0</v>
      </c>
      <c r="AI1439" s="358">
        <v>0</v>
      </c>
      <c r="AJ1439" s="358">
        <v>0</v>
      </c>
      <c r="AK1439" s="358">
        <f t="shared" si="456"/>
        <v>0</v>
      </c>
      <c r="AL1439" s="358">
        <v>0</v>
      </c>
      <c r="AM1439" s="358">
        <v>0</v>
      </c>
      <c r="AN1439" s="358">
        <v>0</v>
      </c>
      <c r="AO1439" s="358">
        <v>0</v>
      </c>
      <c r="AP1439" s="358">
        <v>0</v>
      </c>
      <c r="AQ1439" s="358">
        <v>0</v>
      </c>
      <c r="AR1439" s="358">
        <v>0</v>
      </c>
      <c r="AS1439" s="358">
        <f t="shared" si="454"/>
        <v>0</v>
      </c>
      <c r="AT1439" s="358"/>
      <c r="AU1439" s="139">
        <f t="shared" si="444"/>
        <v>0</v>
      </c>
      <c r="AV1439" s="146">
        <f>IFERROR(VLOOKUP(J1439,Maksājumu_pieprasījumu_iesn.!G:BL,57,0),0)</f>
        <v>0</v>
      </c>
      <c r="AW1439" s="139">
        <f t="shared" si="447"/>
        <v>0</v>
      </c>
      <c r="AX1439" s="358"/>
      <c r="AY1439" s="358"/>
      <c r="AZ1439" s="358"/>
      <c r="BA1439" s="360"/>
      <c r="BB1439" s="358"/>
      <c r="BC1439" s="358"/>
      <c r="BD1439" s="358"/>
      <c r="BE1439" s="358"/>
      <c r="BF1439" s="358"/>
      <c r="BG1439" s="358"/>
      <c r="BH1439" s="360"/>
      <c r="BI1439" s="360"/>
      <c r="BJ1439" s="360"/>
      <c r="BK1439" s="360"/>
      <c r="BL1439" s="360"/>
      <c r="BM1439" s="360"/>
      <c r="BN1439" s="360"/>
    </row>
    <row r="1440" spans="1:66" s="91" customFormat="1" ht="25.5" hidden="1" customHeight="1" outlineLevel="1" x14ac:dyDescent="0.2">
      <c r="A1440" s="150" t="s">
        <v>2279</v>
      </c>
      <c r="B1440" s="355" t="s">
        <v>448</v>
      </c>
      <c r="C1440" s="355" t="s">
        <v>2524</v>
      </c>
      <c r="D1440" s="356" t="s">
        <v>2525</v>
      </c>
      <c r="E1440" s="114">
        <v>1</v>
      </c>
      <c r="F1440" s="114" t="s">
        <v>210</v>
      </c>
      <c r="G1440" s="114" t="s">
        <v>5</v>
      </c>
      <c r="H1440" s="114" t="s">
        <v>960</v>
      </c>
      <c r="I1440" s="114"/>
      <c r="J1440" s="114"/>
      <c r="K1440" s="356" t="s">
        <v>2532</v>
      </c>
      <c r="L1440" s="356"/>
      <c r="M1440" s="356"/>
      <c r="N1440" s="356"/>
      <c r="O1440" s="357">
        <v>43465</v>
      </c>
      <c r="P1440" s="357"/>
      <c r="Q1440" s="357"/>
      <c r="R1440" s="357"/>
      <c r="S1440" s="117"/>
      <c r="T1440" s="117"/>
      <c r="U1440" s="358">
        <v>0</v>
      </c>
      <c r="V1440" s="358">
        <v>0</v>
      </c>
      <c r="W1440" s="358">
        <v>0</v>
      </c>
      <c r="X1440" s="358">
        <f t="shared" si="455"/>
        <v>0</v>
      </c>
      <c r="Y1440" s="358">
        <v>0</v>
      </c>
      <c r="Z1440" s="358">
        <v>0</v>
      </c>
      <c r="AA1440" s="358">
        <v>0</v>
      </c>
      <c r="AB1440" s="358">
        <v>0</v>
      </c>
      <c r="AC1440" s="358">
        <v>0</v>
      </c>
      <c r="AD1440" s="358">
        <v>0</v>
      </c>
      <c r="AE1440" s="358">
        <v>0</v>
      </c>
      <c r="AF1440" s="358">
        <v>0</v>
      </c>
      <c r="AG1440" s="358">
        <v>0</v>
      </c>
      <c r="AH1440" s="358">
        <v>0</v>
      </c>
      <c r="AI1440" s="358">
        <v>0</v>
      </c>
      <c r="AJ1440" s="358">
        <v>0</v>
      </c>
      <c r="AK1440" s="358">
        <f t="shared" si="456"/>
        <v>0</v>
      </c>
      <c r="AL1440" s="358">
        <v>0</v>
      </c>
      <c r="AM1440" s="358">
        <v>0</v>
      </c>
      <c r="AN1440" s="358">
        <v>0</v>
      </c>
      <c r="AO1440" s="358">
        <v>0</v>
      </c>
      <c r="AP1440" s="358">
        <v>0</v>
      </c>
      <c r="AQ1440" s="358">
        <v>0</v>
      </c>
      <c r="AR1440" s="358">
        <v>0</v>
      </c>
      <c r="AS1440" s="358">
        <f t="shared" si="454"/>
        <v>0</v>
      </c>
      <c r="AT1440" s="358"/>
      <c r="AU1440" s="139">
        <f t="shared" si="444"/>
        <v>0</v>
      </c>
      <c r="AV1440" s="146">
        <f>IFERROR(VLOOKUP(J1440,Maksājumu_pieprasījumu_iesn.!G:BL,57,0),0)</f>
        <v>0</v>
      </c>
      <c r="AW1440" s="139">
        <f t="shared" si="447"/>
        <v>0</v>
      </c>
      <c r="AX1440" s="358"/>
      <c r="AY1440" s="358"/>
      <c r="AZ1440" s="358"/>
      <c r="BA1440" s="360"/>
      <c r="BB1440" s="358"/>
      <c r="BC1440" s="358"/>
      <c r="BD1440" s="358"/>
      <c r="BE1440" s="358"/>
      <c r="BF1440" s="358"/>
      <c r="BG1440" s="358"/>
      <c r="BH1440" s="360"/>
      <c r="BI1440" s="360"/>
      <c r="BJ1440" s="360"/>
      <c r="BK1440" s="360"/>
      <c r="BL1440" s="360"/>
      <c r="BM1440" s="360"/>
      <c r="BN1440" s="360"/>
    </row>
    <row r="1441" spans="1:66" s="91" customFormat="1" ht="25.5" hidden="1" customHeight="1" outlineLevel="1" x14ac:dyDescent="0.2">
      <c r="A1441" s="150" t="s">
        <v>2279</v>
      </c>
      <c r="B1441" s="355" t="s">
        <v>448</v>
      </c>
      <c r="C1441" s="355" t="s">
        <v>2524</v>
      </c>
      <c r="D1441" s="356" t="s">
        <v>2525</v>
      </c>
      <c r="E1441" s="114">
        <v>1</v>
      </c>
      <c r="F1441" s="114" t="s">
        <v>210</v>
      </c>
      <c r="G1441" s="114" t="s">
        <v>5</v>
      </c>
      <c r="H1441" s="114" t="s">
        <v>960</v>
      </c>
      <c r="I1441" s="114"/>
      <c r="J1441" s="114"/>
      <c r="K1441" s="356" t="s">
        <v>2533</v>
      </c>
      <c r="L1441" s="356"/>
      <c r="M1441" s="356"/>
      <c r="N1441" s="356"/>
      <c r="O1441" s="357">
        <v>43465</v>
      </c>
      <c r="P1441" s="357"/>
      <c r="Q1441" s="357"/>
      <c r="R1441" s="357"/>
      <c r="S1441" s="117"/>
      <c r="T1441" s="117"/>
      <c r="U1441" s="358">
        <v>0</v>
      </c>
      <c r="V1441" s="358">
        <v>0</v>
      </c>
      <c r="W1441" s="358">
        <v>0</v>
      </c>
      <c r="X1441" s="358">
        <f t="shared" si="455"/>
        <v>0</v>
      </c>
      <c r="Y1441" s="358">
        <v>0</v>
      </c>
      <c r="Z1441" s="358">
        <v>0</v>
      </c>
      <c r="AA1441" s="358">
        <v>0</v>
      </c>
      <c r="AB1441" s="358">
        <v>0</v>
      </c>
      <c r="AC1441" s="358">
        <v>0</v>
      </c>
      <c r="AD1441" s="358">
        <v>0</v>
      </c>
      <c r="AE1441" s="358">
        <v>0</v>
      </c>
      <c r="AF1441" s="358">
        <v>0</v>
      </c>
      <c r="AG1441" s="358">
        <v>0</v>
      </c>
      <c r="AH1441" s="358">
        <v>0</v>
      </c>
      <c r="AI1441" s="358">
        <v>0</v>
      </c>
      <c r="AJ1441" s="358">
        <v>0</v>
      </c>
      <c r="AK1441" s="358">
        <f t="shared" si="456"/>
        <v>0</v>
      </c>
      <c r="AL1441" s="358">
        <v>0</v>
      </c>
      <c r="AM1441" s="358">
        <v>0</v>
      </c>
      <c r="AN1441" s="358">
        <v>0</v>
      </c>
      <c r="AO1441" s="358">
        <v>0</v>
      </c>
      <c r="AP1441" s="358">
        <v>0</v>
      </c>
      <c r="AQ1441" s="358">
        <v>0</v>
      </c>
      <c r="AR1441" s="358">
        <v>0</v>
      </c>
      <c r="AS1441" s="358">
        <f t="shared" si="454"/>
        <v>0</v>
      </c>
      <c r="AT1441" s="358"/>
      <c r="AU1441" s="139">
        <f t="shared" si="444"/>
        <v>0</v>
      </c>
      <c r="AV1441" s="146">
        <f>IFERROR(VLOOKUP(J1441,Maksājumu_pieprasījumu_iesn.!G:BL,57,0),0)</f>
        <v>0</v>
      </c>
      <c r="AW1441" s="139">
        <f t="shared" si="447"/>
        <v>0</v>
      </c>
      <c r="AX1441" s="358"/>
      <c r="AY1441" s="358"/>
      <c r="AZ1441" s="358"/>
      <c r="BA1441" s="360"/>
      <c r="BB1441" s="358"/>
      <c r="BC1441" s="358"/>
      <c r="BD1441" s="358"/>
      <c r="BE1441" s="358"/>
      <c r="BF1441" s="358"/>
      <c r="BG1441" s="358"/>
      <c r="BH1441" s="360"/>
      <c r="BI1441" s="360"/>
      <c r="BJ1441" s="360"/>
      <c r="BK1441" s="360"/>
      <c r="BL1441" s="360"/>
      <c r="BM1441" s="360"/>
      <c r="BN1441" s="360"/>
    </row>
    <row r="1442" spans="1:66" s="91" customFormat="1" ht="25.5" hidden="1" customHeight="1" x14ac:dyDescent="0.2">
      <c r="A1442" s="150" t="s">
        <v>2279</v>
      </c>
      <c r="B1442" s="355" t="s">
        <v>448</v>
      </c>
      <c r="C1442" s="355" t="s">
        <v>2524</v>
      </c>
      <c r="D1442" s="356" t="s">
        <v>2525</v>
      </c>
      <c r="E1442" s="114">
        <v>1</v>
      </c>
      <c r="F1442" s="114" t="s">
        <v>210</v>
      </c>
      <c r="G1442" s="114" t="s">
        <v>5</v>
      </c>
      <c r="H1442" s="114" t="s">
        <v>960</v>
      </c>
      <c r="I1442" s="114"/>
      <c r="J1442" s="114"/>
      <c r="K1442" s="356" t="s">
        <v>524</v>
      </c>
      <c r="L1442" s="356"/>
      <c r="M1442" s="356"/>
      <c r="N1442" s="356" t="s">
        <v>2534</v>
      </c>
      <c r="O1442" s="357">
        <v>43404</v>
      </c>
      <c r="P1442" s="357"/>
      <c r="Q1442" s="357"/>
      <c r="R1442" s="357"/>
      <c r="S1442" s="117">
        <v>1300000</v>
      </c>
      <c r="T1442" s="117"/>
      <c r="U1442" s="358">
        <v>0</v>
      </c>
      <c r="V1442" s="358">
        <v>0</v>
      </c>
      <c r="W1442" s="358">
        <v>0</v>
      </c>
      <c r="X1442" s="358">
        <f t="shared" si="455"/>
        <v>0</v>
      </c>
      <c r="Y1442" s="358">
        <v>0</v>
      </c>
      <c r="Z1442" s="358">
        <v>0</v>
      </c>
      <c r="AA1442" s="358">
        <v>0</v>
      </c>
      <c r="AB1442" s="358">
        <v>0</v>
      </c>
      <c r="AC1442" s="358">
        <v>0</v>
      </c>
      <c r="AD1442" s="358">
        <v>0</v>
      </c>
      <c r="AE1442" s="358">
        <v>0</v>
      </c>
      <c r="AF1442" s="358">
        <v>0</v>
      </c>
      <c r="AG1442" s="358">
        <v>0</v>
      </c>
      <c r="AH1442" s="358">
        <v>0</v>
      </c>
      <c r="AI1442" s="358">
        <v>0</v>
      </c>
      <c r="AJ1442" s="358">
        <v>0</v>
      </c>
      <c r="AK1442" s="358">
        <f t="shared" si="456"/>
        <v>0</v>
      </c>
      <c r="AL1442" s="358">
        <v>0</v>
      </c>
      <c r="AM1442" s="358">
        <v>650000</v>
      </c>
      <c r="AN1442" s="358">
        <v>650000</v>
      </c>
      <c r="AO1442" s="358">
        <v>0</v>
      </c>
      <c r="AP1442" s="358">
        <v>0</v>
      </c>
      <c r="AQ1442" s="358">
        <v>0</v>
      </c>
      <c r="AR1442" s="358">
        <v>0</v>
      </c>
      <c r="AS1442" s="358">
        <f t="shared" si="454"/>
        <v>1300000</v>
      </c>
      <c r="AT1442" s="358"/>
      <c r="AU1442" s="139">
        <f t="shared" si="444"/>
        <v>1300000</v>
      </c>
      <c r="AV1442" s="146">
        <f>IFERROR(VLOOKUP(J1442,Maksājumu_pieprasījumu_iesn.!G:BL,57,0),0)</f>
        <v>0</v>
      </c>
      <c r="AW1442" s="139">
        <f t="shared" si="447"/>
        <v>-1300000</v>
      </c>
      <c r="AX1442" s="358">
        <f>S1442-T1442-(AS1442-AT1442)</f>
        <v>0</v>
      </c>
      <c r="AY1442" s="358"/>
      <c r="AZ1442" s="358"/>
      <c r="BA1442" s="360"/>
      <c r="BB1442" s="358"/>
      <c r="BC1442" s="358"/>
      <c r="BD1442" s="358"/>
      <c r="BE1442" s="358"/>
      <c r="BF1442" s="358"/>
      <c r="BG1442" s="358"/>
      <c r="BH1442" s="360"/>
      <c r="BI1442" s="360"/>
      <c r="BJ1442" s="360"/>
      <c r="BK1442" s="360"/>
      <c r="BL1442" s="360"/>
      <c r="BM1442" s="360"/>
      <c r="BN1442" s="360"/>
    </row>
    <row r="1443" spans="1:66" s="91" customFormat="1" ht="25.5" hidden="1" customHeight="1" x14ac:dyDescent="0.2">
      <c r="A1443" s="131" t="s">
        <v>2279</v>
      </c>
      <c r="B1443" s="132" t="s">
        <v>448</v>
      </c>
      <c r="C1443" s="132" t="s">
        <v>2524</v>
      </c>
      <c r="D1443" s="133" t="s">
        <v>2525</v>
      </c>
      <c r="E1443" s="22">
        <v>2</v>
      </c>
      <c r="F1443" s="22" t="s">
        <v>210</v>
      </c>
      <c r="G1443" s="22" t="s">
        <v>5</v>
      </c>
      <c r="H1443" s="22" t="s">
        <v>3</v>
      </c>
      <c r="I1443" s="22" t="s">
        <v>1022</v>
      </c>
      <c r="J1443" s="134" t="s">
        <v>1026</v>
      </c>
      <c r="K1443" s="133"/>
      <c r="L1443" s="133"/>
      <c r="M1443" s="133"/>
      <c r="N1443" s="133"/>
      <c r="O1443" s="135"/>
      <c r="P1443" s="135"/>
      <c r="Q1443" s="135"/>
      <c r="R1443" s="135"/>
      <c r="S1443" s="136">
        <v>24325649</v>
      </c>
      <c r="T1443" s="136">
        <v>1619866</v>
      </c>
      <c r="U1443" s="137">
        <f>SUM(U1444:U1550)</f>
        <v>0</v>
      </c>
      <c r="V1443" s="137">
        <f>SUM(V1444:V1550)</f>
        <v>0</v>
      </c>
      <c r="W1443" s="137">
        <f>SUM(W1444:W1550)</f>
        <v>0</v>
      </c>
      <c r="X1443" s="153">
        <f t="shared" si="455"/>
        <v>0</v>
      </c>
      <c r="Y1443" s="137">
        <f t="shared" ref="Y1443:AR1443" si="457">SUM(Y1444:Y1550)</f>
        <v>0</v>
      </c>
      <c r="Z1443" s="137">
        <f t="shared" si="457"/>
        <v>0</v>
      </c>
      <c r="AA1443" s="137">
        <f t="shared" si="457"/>
        <v>0</v>
      </c>
      <c r="AB1443" s="137">
        <f t="shared" si="457"/>
        <v>0</v>
      </c>
      <c r="AC1443" s="137">
        <f t="shared" si="457"/>
        <v>0</v>
      </c>
      <c r="AD1443" s="137">
        <f t="shared" si="457"/>
        <v>0</v>
      </c>
      <c r="AE1443" s="137">
        <f t="shared" si="457"/>
        <v>0</v>
      </c>
      <c r="AF1443" s="137">
        <f t="shared" si="457"/>
        <v>0</v>
      </c>
      <c r="AG1443" s="137">
        <f t="shared" si="457"/>
        <v>0</v>
      </c>
      <c r="AH1443" s="137">
        <f t="shared" si="457"/>
        <v>0</v>
      </c>
      <c r="AI1443" s="137">
        <f t="shared" si="457"/>
        <v>0</v>
      </c>
      <c r="AJ1443" s="137">
        <f t="shared" si="457"/>
        <v>0</v>
      </c>
      <c r="AK1443" s="137">
        <f t="shared" si="457"/>
        <v>0</v>
      </c>
      <c r="AL1443" s="137">
        <f t="shared" si="457"/>
        <v>0</v>
      </c>
      <c r="AM1443" s="137">
        <f t="shared" si="457"/>
        <v>0</v>
      </c>
      <c r="AN1443" s="137">
        <f t="shared" si="457"/>
        <v>0</v>
      </c>
      <c r="AO1443" s="137">
        <f t="shared" si="457"/>
        <v>0</v>
      </c>
      <c r="AP1443" s="137">
        <f t="shared" si="457"/>
        <v>0</v>
      </c>
      <c r="AQ1443" s="137">
        <f t="shared" si="457"/>
        <v>0</v>
      </c>
      <c r="AR1443" s="137">
        <f t="shared" si="457"/>
        <v>0</v>
      </c>
      <c r="AS1443" s="137">
        <f t="shared" si="454"/>
        <v>0</v>
      </c>
      <c r="AT1443" s="137">
        <f>SUM(AT1444:AT1550)</f>
        <v>0</v>
      </c>
      <c r="AU1443" s="139">
        <f t="shared" si="444"/>
        <v>0</v>
      </c>
      <c r="AV1443" s="146">
        <f>IFERROR(VLOOKUP(J1443,Maksājumu_pieprasījumu_iesn.!G:BL,57,0),0)</f>
        <v>0</v>
      </c>
      <c r="AW1443" s="139">
        <f t="shared" si="447"/>
        <v>0</v>
      </c>
      <c r="AX1443" s="140">
        <f>S1443-T1443-AU1443</f>
        <v>22705783</v>
      </c>
      <c r="AY1443" s="137">
        <v>22705783</v>
      </c>
      <c r="AZ1443" s="137"/>
      <c r="BA1443" s="138" t="s">
        <v>2526</v>
      </c>
      <c r="BB1443" s="140"/>
      <c r="BC1443" s="140">
        <f>X1443+AK1443+AL1443/2</f>
        <v>0</v>
      </c>
      <c r="BD1443" s="140"/>
      <c r="BE1443" s="140">
        <f>BC1443/0.85</f>
        <v>0</v>
      </c>
      <c r="BF1443" s="137"/>
      <c r="BG1443" s="137"/>
      <c r="BH1443" s="138">
        <v>0</v>
      </c>
      <c r="BI1443" s="138">
        <v>0</v>
      </c>
      <c r="BJ1443" s="138"/>
      <c r="BK1443" s="138"/>
      <c r="BL1443" s="138">
        <v>0</v>
      </c>
      <c r="BM1443" s="138"/>
      <c r="BN1443" s="138"/>
    </row>
    <row r="1444" spans="1:66" s="91" customFormat="1" ht="25.5" hidden="1" customHeight="1" outlineLevel="1" x14ac:dyDescent="0.2">
      <c r="A1444" s="150" t="s">
        <v>2279</v>
      </c>
      <c r="B1444" s="355" t="s">
        <v>448</v>
      </c>
      <c r="C1444" s="355" t="s">
        <v>2524</v>
      </c>
      <c r="D1444" s="356" t="s">
        <v>2525</v>
      </c>
      <c r="E1444" s="114">
        <v>2</v>
      </c>
      <c r="F1444" s="114" t="s">
        <v>210</v>
      </c>
      <c r="G1444" s="114" t="s">
        <v>5</v>
      </c>
      <c r="H1444" s="114" t="s">
        <v>3</v>
      </c>
      <c r="I1444" s="114"/>
      <c r="J1444" s="114"/>
      <c r="K1444" s="356" t="s">
        <v>416</v>
      </c>
      <c r="L1444" s="356"/>
      <c r="M1444" s="356"/>
      <c r="N1444" s="356"/>
      <c r="O1444" s="357">
        <v>43465</v>
      </c>
      <c r="P1444" s="357"/>
      <c r="Q1444" s="357"/>
      <c r="R1444" s="357"/>
      <c r="S1444" s="117"/>
      <c r="T1444" s="117"/>
      <c r="U1444" s="358">
        <v>0</v>
      </c>
      <c r="V1444" s="358">
        <v>0</v>
      </c>
      <c r="W1444" s="358">
        <v>0</v>
      </c>
      <c r="X1444" s="358">
        <f t="shared" si="455"/>
        <v>0</v>
      </c>
      <c r="Y1444" s="358">
        <v>0</v>
      </c>
      <c r="Z1444" s="358">
        <v>0</v>
      </c>
      <c r="AA1444" s="358">
        <v>0</v>
      </c>
      <c r="AB1444" s="358">
        <v>0</v>
      </c>
      <c r="AC1444" s="358">
        <v>0</v>
      </c>
      <c r="AD1444" s="358">
        <v>0</v>
      </c>
      <c r="AE1444" s="358">
        <v>0</v>
      </c>
      <c r="AF1444" s="358">
        <v>0</v>
      </c>
      <c r="AG1444" s="358">
        <v>0</v>
      </c>
      <c r="AH1444" s="358">
        <v>0</v>
      </c>
      <c r="AI1444" s="358">
        <v>0</v>
      </c>
      <c r="AJ1444" s="358">
        <v>0</v>
      </c>
      <c r="AK1444" s="358">
        <f t="shared" ref="AK1444:AK1475" si="458">SUM(Y1444:AJ1444)</f>
        <v>0</v>
      </c>
      <c r="AL1444" s="358">
        <v>0</v>
      </c>
      <c r="AM1444" s="358">
        <v>0</v>
      </c>
      <c r="AN1444" s="358">
        <v>0</v>
      </c>
      <c r="AO1444" s="358">
        <v>0</v>
      </c>
      <c r="AP1444" s="358">
        <v>0</v>
      </c>
      <c r="AQ1444" s="358">
        <v>0</v>
      </c>
      <c r="AR1444" s="358">
        <v>0</v>
      </c>
      <c r="AS1444" s="358">
        <f t="shared" si="454"/>
        <v>0</v>
      </c>
      <c r="AT1444" s="145">
        <v>0</v>
      </c>
      <c r="AU1444" s="139">
        <f t="shared" si="444"/>
        <v>0</v>
      </c>
      <c r="AV1444" s="146">
        <f>IFERROR(VLOOKUP(J1444,Maksājumu_pieprasījumu_iesn.!G:BL,57,0),0)</f>
        <v>0</v>
      </c>
      <c r="AW1444" s="139">
        <f t="shared" si="447"/>
        <v>0</v>
      </c>
      <c r="AX1444" s="358"/>
      <c r="AY1444" s="358"/>
      <c r="AZ1444" s="358"/>
      <c r="BA1444" s="360"/>
      <c r="BB1444" s="358"/>
      <c r="BC1444" s="358"/>
      <c r="BD1444" s="358"/>
      <c r="BE1444" s="358"/>
      <c r="BF1444" s="358"/>
      <c r="BG1444" s="358"/>
      <c r="BH1444" s="360"/>
      <c r="BI1444" s="360"/>
      <c r="BJ1444" s="360"/>
      <c r="BK1444" s="360"/>
      <c r="BL1444" s="360"/>
      <c r="BM1444" s="360"/>
      <c r="BN1444" s="360"/>
    </row>
    <row r="1445" spans="1:66" s="91" customFormat="1" ht="25.5" hidden="1" customHeight="1" outlineLevel="1" x14ac:dyDescent="0.2">
      <c r="A1445" s="150" t="s">
        <v>2279</v>
      </c>
      <c r="B1445" s="355" t="s">
        <v>448</v>
      </c>
      <c r="C1445" s="355" t="s">
        <v>2524</v>
      </c>
      <c r="D1445" s="356" t="s">
        <v>2525</v>
      </c>
      <c r="E1445" s="114">
        <v>2</v>
      </c>
      <c r="F1445" s="114" t="s">
        <v>210</v>
      </c>
      <c r="G1445" s="114" t="s">
        <v>5</v>
      </c>
      <c r="H1445" s="114" t="s">
        <v>3</v>
      </c>
      <c r="I1445" s="114"/>
      <c r="J1445" s="114"/>
      <c r="K1445" s="356" t="s">
        <v>703</v>
      </c>
      <c r="L1445" s="356"/>
      <c r="M1445" s="356"/>
      <c r="N1445" s="356"/>
      <c r="O1445" s="357">
        <v>43465</v>
      </c>
      <c r="P1445" s="357"/>
      <c r="Q1445" s="357"/>
      <c r="R1445" s="357"/>
      <c r="S1445" s="117"/>
      <c r="T1445" s="117"/>
      <c r="U1445" s="358">
        <v>0</v>
      </c>
      <c r="V1445" s="358">
        <v>0</v>
      </c>
      <c r="W1445" s="358">
        <v>0</v>
      </c>
      <c r="X1445" s="358">
        <f t="shared" si="455"/>
        <v>0</v>
      </c>
      <c r="Y1445" s="358">
        <v>0</v>
      </c>
      <c r="Z1445" s="358">
        <v>0</v>
      </c>
      <c r="AA1445" s="358">
        <v>0</v>
      </c>
      <c r="AB1445" s="358">
        <v>0</v>
      </c>
      <c r="AC1445" s="358">
        <v>0</v>
      </c>
      <c r="AD1445" s="358">
        <v>0</v>
      </c>
      <c r="AE1445" s="358">
        <v>0</v>
      </c>
      <c r="AF1445" s="358">
        <v>0</v>
      </c>
      <c r="AG1445" s="358">
        <v>0</v>
      </c>
      <c r="AH1445" s="358">
        <v>0</v>
      </c>
      <c r="AI1445" s="358">
        <v>0</v>
      </c>
      <c r="AJ1445" s="358">
        <v>0</v>
      </c>
      <c r="AK1445" s="358">
        <f t="shared" si="458"/>
        <v>0</v>
      </c>
      <c r="AL1445" s="358">
        <v>0</v>
      </c>
      <c r="AM1445" s="358">
        <v>0</v>
      </c>
      <c r="AN1445" s="358">
        <v>0</v>
      </c>
      <c r="AO1445" s="358">
        <v>0</v>
      </c>
      <c r="AP1445" s="358">
        <v>0</v>
      </c>
      <c r="AQ1445" s="358">
        <v>0</v>
      </c>
      <c r="AR1445" s="358">
        <v>0</v>
      </c>
      <c r="AS1445" s="358">
        <f t="shared" si="454"/>
        <v>0</v>
      </c>
      <c r="AT1445" s="145">
        <v>0</v>
      </c>
      <c r="AU1445" s="139">
        <f t="shared" si="444"/>
        <v>0</v>
      </c>
      <c r="AV1445" s="146">
        <f>IFERROR(VLOOKUP(J1445,Maksājumu_pieprasījumu_iesn.!G:BL,57,0),0)</f>
        <v>0</v>
      </c>
      <c r="AW1445" s="139">
        <f t="shared" si="447"/>
        <v>0</v>
      </c>
      <c r="AX1445" s="358"/>
      <c r="AY1445" s="358"/>
      <c r="AZ1445" s="358"/>
      <c r="BA1445" s="360"/>
      <c r="BB1445" s="358"/>
      <c r="BC1445" s="358"/>
      <c r="BD1445" s="358"/>
      <c r="BE1445" s="358"/>
      <c r="BF1445" s="358"/>
      <c r="BG1445" s="358"/>
      <c r="BH1445" s="360"/>
      <c r="BI1445" s="360"/>
      <c r="BJ1445" s="360"/>
      <c r="BK1445" s="360"/>
      <c r="BL1445" s="360"/>
      <c r="BM1445" s="360"/>
      <c r="BN1445" s="360"/>
    </row>
    <row r="1446" spans="1:66" s="91" customFormat="1" ht="25.5" hidden="1" customHeight="1" outlineLevel="1" x14ac:dyDescent="0.2">
      <c r="A1446" s="150" t="s">
        <v>2279</v>
      </c>
      <c r="B1446" s="355" t="s">
        <v>448</v>
      </c>
      <c r="C1446" s="355" t="s">
        <v>2524</v>
      </c>
      <c r="D1446" s="356" t="s">
        <v>2525</v>
      </c>
      <c r="E1446" s="114">
        <v>2</v>
      </c>
      <c r="F1446" s="114" t="s">
        <v>210</v>
      </c>
      <c r="G1446" s="114" t="s">
        <v>5</v>
      </c>
      <c r="H1446" s="114" t="s">
        <v>3</v>
      </c>
      <c r="I1446" s="114"/>
      <c r="J1446" s="114"/>
      <c r="K1446" s="356" t="s">
        <v>2535</v>
      </c>
      <c r="L1446" s="356"/>
      <c r="M1446" s="356"/>
      <c r="N1446" s="356"/>
      <c r="O1446" s="357">
        <v>43465</v>
      </c>
      <c r="P1446" s="357"/>
      <c r="Q1446" s="357"/>
      <c r="R1446" s="357"/>
      <c r="S1446" s="117"/>
      <c r="T1446" s="117"/>
      <c r="U1446" s="358">
        <v>0</v>
      </c>
      <c r="V1446" s="358">
        <v>0</v>
      </c>
      <c r="W1446" s="358">
        <v>0</v>
      </c>
      <c r="X1446" s="358">
        <f t="shared" si="455"/>
        <v>0</v>
      </c>
      <c r="Y1446" s="358">
        <v>0</v>
      </c>
      <c r="Z1446" s="358">
        <v>0</v>
      </c>
      <c r="AA1446" s="358">
        <v>0</v>
      </c>
      <c r="AB1446" s="358">
        <v>0</v>
      </c>
      <c r="AC1446" s="358">
        <v>0</v>
      </c>
      <c r="AD1446" s="358">
        <v>0</v>
      </c>
      <c r="AE1446" s="358">
        <v>0</v>
      </c>
      <c r="AF1446" s="358">
        <v>0</v>
      </c>
      <c r="AG1446" s="358">
        <v>0</v>
      </c>
      <c r="AH1446" s="358">
        <v>0</v>
      </c>
      <c r="AI1446" s="358">
        <v>0</v>
      </c>
      <c r="AJ1446" s="358">
        <v>0</v>
      </c>
      <c r="AK1446" s="358">
        <f t="shared" si="458"/>
        <v>0</v>
      </c>
      <c r="AL1446" s="358">
        <v>0</v>
      </c>
      <c r="AM1446" s="358">
        <v>0</v>
      </c>
      <c r="AN1446" s="358">
        <v>0</v>
      </c>
      <c r="AO1446" s="358">
        <v>0</v>
      </c>
      <c r="AP1446" s="358">
        <v>0</v>
      </c>
      <c r="AQ1446" s="358">
        <v>0</v>
      </c>
      <c r="AR1446" s="358">
        <v>0</v>
      </c>
      <c r="AS1446" s="358">
        <f t="shared" si="454"/>
        <v>0</v>
      </c>
      <c r="AT1446" s="145">
        <v>0</v>
      </c>
      <c r="AU1446" s="139">
        <f t="shared" si="444"/>
        <v>0</v>
      </c>
      <c r="AV1446" s="146">
        <f>IFERROR(VLOOKUP(J1446,Maksājumu_pieprasījumu_iesn.!G:BL,57,0),0)</f>
        <v>0</v>
      </c>
      <c r="AW1446" s="139">
        <f t="shared" si="447"/>
        <v>0</v>
      </c>
      <c r="AX1446" s="358"/>
      <c r="AY1446" s="358"/>
      <c r="AZ1446" s="358"/>
      <c r="BA1446" s="360"/>
      <c r="BB1446" s="358"/>
      <c r="BC1446" s="358"/>
      <c r="BD1446" s="358"/>
      <c r="BE1446" s="358"/>
      <c r="BF1446" s="358"/>
      <c r="BG1446" s="358"/>
      <c r="BH1446" s="360"/>
      <c r="BI1446" s="360"/>
      <c r="BJ1446" s="360"/>
      <c r="BK1446" s="360"/>
      <c r="BL1446" s="360"/>
      <c r="BM1446" s="360"/>
      <c r="BN1446" s="360"/>
    </row>
    <row r="1447" spans="1:66" s="91" customFormat="1" ht="25.5" hidden="1" customHeight="1" outlineLevel="1" x14ac:dyDescent="0.2">
      <c r="A1447" s="150" t="s">
        <v>2279</v>
      </c>
      <c r="B1447" s="355" t="s">
        <v>448</v>
      </c>
      <c r="C1447" s="355" t="s">
        <v>2524</v>
      </c>
      <c r="D1447" s="356" t="s">
        <v>2525</v>
      </c>
      <c r="E1447" s="114">
        <v>2</v>
      </c>
      <c r="F1447" s="114" t="s">
        <v>210</v>
      </c>
      <c r="G1447" s="114" t="s">
        <v>5</v>
      </c>
      <c r="H1447" s="114" t="s">
        <v>3</v>
      </c>
      <c r="I1447" s="114"/>
      <c r="J1447" s="114"/>
      <c r="K1447" s="356" t="s">
        <v>2536</v>
      </c>
      <c r="L1447" s="356"/>
      <c r="M1447" s="356"/>
      <c r="N1447" s="356"/>
      <c r="O1447" s="357">
        <v>43465</v>
      </c>
      <c r="P1447" s="357"/>
      <c r="Q1447" s="357"/>
      <c r="R1447" s="357"/>
      <c r="S1447" s="117"/>
      <c r="T1447" s="117"/>
      <c r="U1447" s="358">
        <v>0</v>
      </c>
      <c r="V1447" s="358">
        <v>0</v>
      </c>
      <c r="W1447" s="358">
        <v>0</v>
      </c>
      <c r="X1447" s="358">
        <f t="shared" si="455"/>
        <v>0</v>
      </c>
      <c r="Y1447" s="358">
        <v>0</v>
      </c>
      <c r="Z1447" s="358">
        <v>0</v>
      </c>
      <c r="AA1447" s="358">
        <v>0</v>
      </c>
      <c r="AB1447" s="358">
        <v>0</v>
      </c>
      <c r="AC1447" s="358">
        <v>0</v>
      </c>
      <c r="AD1447" s="358">
        <v>0</v>
      </c>
      <c r="AE1447" s="358">
        <v>0</v>
      </c>
      <c r="AF1447" s="358">
        <v>0</v>
      </c>
      <c r="AG1447" s="358">
        <v>0</v>
      </c>
      <c r="AH1447" s="358">
        <v>0</v>
      </c>
      <c r="AI1447" s="358">
        <v>0</v>
      </c>
      <c r="AJ1447" s="358">
        <v>0</v>
      </c>
      <c r="AK1447" s="358">
        <f t="shared" si="458"/>
        <v>0</v>
      </c>
      <c r="AL1447" s="358">
        <v>0</v>
      </c>
      <c r="AM1447" s="358">
        <v>0</v>
      </c>
      <c r="AN1447" s="358">
        <v>0</v>
      </c>
      <c r="AO1447" s="358">
        <v>0</v>
      </c>
      <c r="AP1447" s="358">
        <v>0</v>
      </c>
      <c r="AQ1447" s="358">
        <v>0</v>
      </c>
      <c r="AR1447" s="358">
        <v>0</v>
      </c>
      <c r="AS1447" s="358">
        <f t="shared" si="454"/>
        <v>0</v>
      </c>
      <c r="AT1447" s="145">
        <v>0</v>
      </c>
      <c r="AU1447" s="139">
        <f t="shared" si="444"/>
        <v>0</v>
      </c>
      <c r="AV1447" s="146">
        <f>IFERROR(VLOOKUP(J1447,Maksājumu_pieprasījumu_iesn.!G:BL,57,0),0)</f>
        <v>0</v>
      </c>
      <c r="AW1447" s="139">
        <f t="shared" si="447"/>
        <v>0</v>
      </c>
      <c r="AX1447" s="358"/>
      <c r="AY1447" s="358"/>
      <c r="AZ1447" s="358"/>
      <c r="BA1447" s="360"/>
      <c r="BB1447" s="358"/>
      <c r="BC1447" s="358"/>
      <c r="BD1447" s="358"/>
      <c r="BE1447" s="358"/>
      <c r="BF1447" s="358"/>
      <c r="BG1447" s="358"/>
      <c r="BH1447" s="360"/>
      <c r="BI1447" s="360"/>
      <c r="BJ1447" s="360"/>
      <c r="BK1447" s="360"/>
      <c r="BL1447" s="360"/>
      <c r="BM1447" s="360"/>
      <c r="BN1447" s="360"/>
    </row>
    <row r="1448" spans="1:66" s="91" customFormat="1" ht="25.5" hidden="1" customHeight="1" outlineLevel="1" x14ac:dyDescent="0.2">
      <c r="A1448" s="150" t="s">
        <v>2279</v>
      </c>
      <c r="B1448" s="355" t="s">
        <v>448</v>
      </c>
      <c r="C1448" s="355" t="s">
        <v>2524</v>
      </c>
      <c r="D1448" s="356" t="s">
        <v>2525</v>
      </c>
      <c r="E1448" s="114">
        <v>2</v>
      </c>
      <c r="F1448" s="114" t="s">
        <v>210</v>
      </c>
      <c r="G1448" s="114" t="s">
        <v>5</v>
      </c>
      <c r="H1448" s="114" t="s">
        <v>3</v>
      </c>
      <c r="I1448" s="114"/>
      <c r="J1448" s="114"/>
      <c r="K1448" s="356" t="s">
        <v>2537</v>
      </c>
      <c r="L1448" s="356"/>
      <c r="M1448" s="356"/>
      <c r="N1448" s="356"/>
      <c r="O1448" s="357">
        <v>43465</v>
      </c>
      <c r="P1448" s="357"/>
      <c r="Q1448" s="357"/>
      <c r="R1448" s="357"/>
      <c r="S1448" s="117"/>
      <c r="T1448" s="117"/>
      <c r="U1448" s="358">
        <v>0</v>
      </c>
      <c r="V1448" s="358">
        <v>0</v>
      </c>
      <c r="W1448" s="358">
        <v>0</v>
      </c>
      <c r="X1448" s="358">
        <f t="shared" si="455"/>
        <v>0</v>
      </c>
      <c r="Y1448" s="358">
        <v>0</v>
      </c>
      <c r="Z1448" s="358">
        <v>0</v>
      </c>
      <c r="AA1448" s="358">
        <v>0</v>
      </c>
      <c r="AB1448" s="358">
        <v>0</v>
      </c>
      <c r="AC1448" s="358">
        <v>0</v>
      </c>
      <c r="AD1448" s="358">
        <v>0</v>
      </c>
      <c r="AE1448" s="358">
        <v>0</v>
      </c>
      <c r="AF1448" s="358">
        <v>0</v>
      </c>
      <c r="AG1448" s="358">
        <v>0</v>
      </c>
      <c r="AH1448" s="358">
        <v>0</v>
      </c>
      <c r="AI1448" s="358">
        <v>0</v>
      </c>
      <c r="AJ1448" s="358">
        <v>0</v>
      </c>
      <c r="AK1448" s="358">
        <f t="shared" si="458"/>
        <v>0</v>
      </c>
      <c r="AL1448" s="358">
        <v>0</v>
      </c>
      <c r="AM1448" s="358">
        <v>0</v>
      </c>
      <c r="AN1448" s="358">
        <v>0</v>
      </c>
      <c r="AO1448" s="358">
        <v>0</v>
      </c>
      <c r="AP1448" s="358">
        <v>0</v>
      </c>
      <c r="AQ1448" s="358">
        <v>0</v>
      </c>
      <c r="AR1448" s="358">
        <v>0</v>
      </c>
      <c r="AS1448" s="358">
        <f t="shared" si="454"/>
        <v>0</v>
      </c>
      <c r="AT1448" s="145">
        <v>0</v>
      </c>
      <c r="AU1448" s="139">
        <f t="shared" si="444"/>
        <v>0</v>
      </c>
      <c r="AV1448" s="146">
        <f>IFERROR(VLOOKUP(J1448,Maksājumu_pieprasījumu_iesn.!G:BL,57,0),0)</f>
        <v>0</v>
      </c>
      <c r="AW1448" s="139">
        <f t="shared" si="447"/>
        <v>0</v>
      </c>
      <c r="AX1448" s="358"/>
      <c r="AY1448" s="358"/>
      <c r="AZ1448" s="358"/>
      <c r="BA1448" s="360"/>
      <c r="BB1448" s="358"/>
      <c r="BC1448" s="358"/>
      <c r="BD1448" s="358"/>
      <c r="BE1448" s="358"/>
      <c r="BF1448" s="358"/>
      <c r="BG1448" s="358"/>
      <c r="BH1448" s="360"/>
      <c r="BI1448" s="360"/>
      <c r="BJ1448" s="360"/>
      <c r="BK1448" s="360"/>
      <c r="BL1448" s="360"/>
      <c r="BM1448" s="360"/>
      <c r="BN1448" s="360"/>
    </row>
    <row r="1449" spans="1:66" s="91" customFormat="1" ht="25.5" hidden="1" customHeight="1" outlineLevel="1" x14ac:dyDescent="0.2">
      <c r="A1449" s="150" t="s">
        <v>2279</v>
      </c>
      <c r="B1449" s="355" t="s">
        <v>448</v>
      </c>
      <c r="C1449" s="355" t="s">
        <v>2524</v>
      </c>
      <c r="D1449" s="356" t="s">
        <v>2525</v>
      </c>
      <c r="E1449" s="114">
        <v>2</v>
      </c>
      <c r="F1449" s="114" t="s">
        <v>210</v>
      </c>
      <c r="G1449" s="114" t="s">
        <v>5</v>
      </c>
      <c r="H1449" s="114" t="s">
        <v>3</v>
      </c>
      <c r="I1449" s="114"/>
      <c r="J1449" s="114"/>
      <c r="K1449" s="356" t="s">
        <v>2538</v>
      </c>
      <c r="L1449" s="356"/>
      <c r="M1449" s="356"/>
      <c r="N1449" s="356"/>
      <c r="O1449" s="357">
        <v>43465</v>
      </c>
      <c r="P1449" s="357"/>
      <c r="Q1449" s="357"/>
      <c r="R1449" s="357"/>
      <c r="S1449" s="117"/>
      <c r="T1449" s="117"/>
      <c r="U1449" s="358">
        <v>0</v>
      </c>
      <c r="V1449" s="358">
        <v>0</v>
      </c>
      <c r="W1449" s="358">
        <v>0</v>
      </c>
      <c r="X1449" s="358">
        <f t="shared" si="455"/>
        <v>0</v>
      </c>
      <c r="Y1449" s="358">
        <v>0</v>
      </c>
      <c r="Z1449" s="358">
        <v>0</v>
      </c>
      <c r="AA1449" s="358">
        <v>0</v>
      </c>
      <c r="AB1449" s="358">
        <v>0</v>
      </c>
      <c r="AC1449" s="358">
        <v>0</v>
      </c>
      <c r="AD1449" s="358">
        <v>0</v>
      </c>
      <c r="AE1449" s="358">
        <v>0</v>
      </c>
      <c r="AF1449" s="358">
        <v>0</v>
      </c>
      <c r="AG1449" s="358">
        <v>0</v>
      </c>
      <c r="AH1449" s="358">
        <v>0</v>
      </c>
      <c r="AI1449" s="358">
        <v>0</v>
      </c>
      <c r="AJ1449" s="358">
        <v>0</v>
      </c>
      <c r="AK1449" s="358">
        <f t="shared" si="458"/>
        <v>0</v>
      </c>
      <c r="AL1449" s="358">
        <v>0</v>
      </c>
      <c r="AM1449" s="358">
        <v>0</v>
      </c>
      <c r="AN1449" s="358">
        <v>0</v>
      </c>
      <c r="AO1449" s="358">
        <v>0</v>
      </c>
      <c r="AP1449" s="358">
        <v>0</v>
      </c>
      <c r="AQ1449" s="358">
        <v>0</v>
      </c>
      <c r="AR1449" s="358">
        <v>0</v>
      </c>
      <c r="AS1449" s="358">
        <f t="shared" si="454"/>
        <v>0</v>
      </c>
      <c r="AT1449" s="145">
        <v>0</v>
      </c>
      <c r="AU1449" s="139">
        <f t="shared" si="444"/>
        <v>0</v>
      </c>
      <c r="AV1449" s="146">
        <f>IFERROR(VLOOKUP(J1449,Maksājumu_pieprasījumu_iesn.!G:BL,57,0),0)</f>
        <v>0</v>
      </c>
      <c r="AW1449" s="139">
        <f t="shared" si="447"/>
        <v>0</v>
      </c>
      <c r="AX1449" s="358"/>
      <c r="AY1449" s="358"/>
      <c r="AZ1449" s="358"/>
      <c r="BA1449" s="360"/>
      <c r="BB1449" s="358"/>
      <c r="BC1449" s="358"/>
      <c r="BD1449" s="358"/>
      <c r="BE1449" s="358"/>
      <c r="BF1449" s="358"/>
      <c r="BG1449" s="358"/>
      <c r="BH1449" s="360"/>
      <c r="BI1449" s="360"/>
      <c r="BJ1449" s="360"/>
      <c r="BK1449" s="360"/>
      <c r="BL1449" s="360"/>
      <c r="BM1449" s="360"/>
      <c r="BN1449" s="360"/>
    </row>
    <row r="1450" spans="1:66" s="91" customFormat="1" ht="25.5" hidden="1" customHeight="1" outlineLevel="1" x14ac:dyDescent="0.2">
      <c r="A1450" s="150" t="s">
        <v>2279</v>
      </c>
      <c r="B1450" s="355" t="s">
        <v>448</v>
      </c>
      <c r="C1450" s="355" t="s">
        <v>2524</v>
      </c>
      <c r="D1450" s="356" t="s">
        <v>2525</v>
      </c>
      <c r="E1450" s="114">
        <v>2</v>
      </c>
      <c r="F1450" s="114" t="s">
        <v>210</v>
      </c>
      <c r="G1450" s="114" t="s">
        <v>5</v>
      </c>
      <c r="H1450" s="114" t="s">
        <v>3</v>
      </c>
      <c r="I1450" s="114"/>
      <c r="J1450" s="114"/>
      <c r="K1450" s="356" t="s">
        <v>2539</v>
      </c>
      <c r="L1450" s="356"/>
      <c r="M1450" s="356"/>
      <c r="N1450" s="356"/>
      <c r="O1450" s="357">
        <v>43465</v>
      </c>
      <c r="P1450" s="357"/>
      <c r="Q1450" s="357"/>
      <c r="R1450" s="357"/>
      <c r="S1450" s="117"/>
      <c r="T1450" s="117"/>
      <c r="U1450" s="358">
        <v>0</v>
      </c>
      <c r="V1450" s="358">
        <v>0</v>
      </c>
      <c r="W1450" s="358">
        <v>0</v>
      </c>
      <c r="X1450" s="358">
        <f t="shared" si="455"/>
        <v>0</v>
      </c>
      <c r="Y1450" s="358">
        <v>0</v>
      </c>
      <c r="Z1450" s="358">
        <v>0</v>
      </c>
      <c r="AA1450" s="358">
        <v>0</v>
      </c>
      <c r="AB1450" s="358">
        <v>0</v>
      </c>
      <c r="AC1450" s="358">
        <v>0</v>
      </c>
      <c r="AD1450" s="358">
        <v>0</v>
      </c>
      <c r="AE1450" s="358">
        <v>0</v>
      </c>
      <c r="AF1450" s="358">
        <v>0</v>
      </c>
      <c r="AG1450" s="358">
        <v>0</v>
      </c>
      <c r="AH1450" s="358">
        <v>0</v>
      </c>
      <c r="AI1450" s="358">
        <v>0</v>
      </c>
      <c r="AJ1450" s="358">
        <v>0</v>
      </c>
      <c r="AK1450" s="358">
        <f t="shared" si="458"/>
        <v>0</v>
      </c>
      <c r="AL1450" s="358">
        <v>0</v>
      </c>
      <c r="AM1450" s="358">
        <v>0</v>
      </c>
      <c r="AN1450" s="358">
        <v>0</v>
      </c>
      <c r="AO1450" s="358">
        <v>0</v>
      </c>
      <c r="AP1450" s="358">
        <v>0</v>
      </c>
      <c r="AQ1450" s="358">
        <v>0</v>
      </c>
      <c r="AR1450" s="358">
        <v>0</v>
      </c>
      <c r="AS1450" s="358">
        <f t="shared" si="454"/>
        <v>0</v>
      </c>
      <c r="AT1450" s="145">
        <v>0</v>
      </c>
      <c r="AU1450" s="139">
        <f t="shared" si="444"/>
        <v>0</v>
      </c>
      <c r="AV1450" s="146">
        <f>IFERROR(VLOOKUP(J1450,Maksājumu_pieprasījumu_iesn.!G:BL,57,0),0)</f>
        <v>0</v>
      </c>
      <c r="AW1450" s="139">
        <f t="shared" si="447"/>
        <v>0</v>
      </c>
      <c r="AX1450" s="358"/>
      <c r="AY1450" s="358"/>
      <c r="AZ1450" s="358"/>
      <c r="BA1450" s="360"/>
      <c r="BB1450" s="358"/>
      <c r="BC1450" s="358"/>
      <c r="BD1450" s="358"/>
      <c r="BE1450" s="358"/>
      <c r="BF1450" s="358"/>
      <c r="BG1450" s="358"/>
      <c r="BH1450" s="360"/>
      <c r="BI1450" s="360"/>
      <c r="BJ1450" s="360"/>
      <c r="BK1450" s="360"/>
      <c r="BL1450" s="360"/>
      <c r="BM1450" s="360"/>
      <c r="BN1450" s="360"/>
    </row>
    <row r="1451" spans="1:66" s="91" customFormat="1" ht="25.5" hidden="1" customHeight="1" outlineLevel="1" x14ac:dyDescent="0.2">
      <c r="A1451" s="150" t="s">
        <v>2279</v>
      </c>
      <c r="B1451" s="355" t="s">
        <v>448</v>
      </c>
      <c r="C1451" s="355" t="s">
        <v>2524</v>
      </c>
      <c r="D1451" s="356" t="s">
        <v>2525</v>
      </c>
      <c r="E1451" s="114">
        <v>2</v>
      </c>
      <c r="F1451" s="114" t="s">
        <v>210</v>
      </c>
      <c r="G1451" s="114" t="s">
        <v>5</v>
      </c>
      <c r="H1451" s="114" t="s">
        <v>3</v>
      </c>
      <c r="I1451" s="114"/>
      <c r="J1451" s="114"/>
      <c r="K1451" s="356" t="s">
        <v>2540</v>
      </c>
      <c r="L1451" s="356"/>
      <c r="M1451" s="356"/>
      <c r="N1451" s="356"/>
      <c r="O1451" s="357">
        <v>43465</v>
      </c>
      <c r="P1451" s="357"/>
      <c r="Q1451" s="357"/>
      <c r="R1451" s="357"/>
      <c r="S1451" s="117"/>
      <c r="T1451" s="117"/>
      <c r="U1451" s="358">
        <v>0</v>
      </c>
      <c r="V1451" s="358">
        <v>0</v>
      </c>
      <c r="W1451" s="358">
        <v>0</v>
      </c>
      <c r="X1451" s="358">
        <f t="shared" si="455"/>
        <v>0</v>
      </c>
      <c r="Y1451" s="358">
        <v>0</v>
      </c>
      <c r="Z1451" s="358">
        <v>0</v>
      </c>
      <c r="AA1451" s="358">
        <v>0</v>
      </c>
      <c r="AB1451" s="358">
        <v>0</v>
      </c>
      <c r="AC1451" s="358">
        <v>0</v>
      </c>
      <c r="AD1451" s="358">
        <v>0</v>
      </c>
      <c r="AE1451" s="358">
        <v>0</v>
      </c>
      <c r="AF1451" s="358">
        <v>0</v>
      </c>
      <c r="AG1451" s="358">
        <v>0</v>
      </c>
      <c r="AH1451" s="358">
        <v>0</v>
      </c>
      <c r="AI1451" s="358">
        <v>0</v>
      </c>
      <c r="AJ1451" s="358">
        <v>0</v>
      </c>
      <c r="AK1451" s="358">
        <f t="shared" si="458"/>
        <v>0</v>
      </c>
      <c r="AL1451" s="358">
        <v>0</v>
      </c>
      <c r="AM1451" s="358">
        <v>0</v>
      </c>
      <c r="AN1451" s="358">
        <v>0</v>
      </c>
      <c r="AO1451" s="358">
        <v>0</v>
      </c>
      <c r="AP1451" s="358">
        <v>0</v>
      </c>
      <c r="AQ1451" s="358">
        <v>0</v>
      </c>
      <c r="AR1451" s="358">
        <v>0</v>
      </c>
      <c r="AS1451" s="358">
        <f t="shared" si="454"/>
        <v>0</v>
      </c>
      <c r="AT1451" s="145">
        <v>0</v>
      </c>
      <c r="AU1451" s="139">
        <f t="shared" si="444"/>
        <v>0</v>
      </c>
      <c r="AV1451" s="146">
        <f>IFERROR(VLOOKUP(J1451,Maksājumu_pieprasījumu_iesn.!G:BL,57,0),0)</f>
        <v>0</v>
      </c>
      <c r="AW1451" s="139">
        <f t="shared" si="447"/>
        <v>0</v>
      </c>
      <c r="AX1451" s="358"/>
      <c r="AY1451" s="358"/>
      <c r="AZ1451" s="358"/>
      <c r="BA1451" s="360"/>
      <c r="BB1451" s="358"/>
      <c r="BC1451" s="358"/>
      <c r="BD1451" s="358"/>
      <c r="BE1451" s="358"/>
      <c r="BF1451" s="358"/>
      <c r="BG1451" s="358"/>
      <c r="BH1451" s="360"/>
      <c r="BI1451" s="360"/>
      <c r="BJ1451" s="360"/>
      <c r="BK1451" s="360"/>
      <c r="BL1451" s="360"/>
      <c r="BM1451" s="360"/>
      <c r="BN1451" s="360"/>
    </row>
    <row r="1452" spans="1:66" s="91" customFormat="1" ht="25.5" hidden="1" customHeight="1" outlineLevel="1" x14ac:dyDescent="0.2">
      <c r="A1452" s="150" t="s">
        <v>2279</v>
      </c>
      <c r="B1452" s="355" t="s">
        <v>448</v>
      </c>
      <c r="C1452" s="355" t="s">
        <v>2524</v>
      </c>
      <c r="D1452" s="356" t="s">
        <v>2525</v>
      </c>
      <c r="E1452" s="114">
        <v>2</v>
      </c>
      <c r="F1452" s="114" t="s">
        <v>210</v>
      </c>
      <c r="G1452" s="114" t="s">
        <v>5</v>
      </c>
      <c r="H1452" s="114" t="s">
        <v>3</v>
      </c>
      <c r="I1452" s="114"/>
      <c r="J1452" s="114"/>
      <c r="K1452" s="356" t="s">
        <v>2541</v>
      </c>
      <c r="L1452" s="356"/>
      <c r="M1452" s="356"/>
      <c r="N1452" s="356"/>
      <c r="O1452" s="357">
        <v>43465</v>
      </c>
      <c r="P1452" s="357"/>
      <c r="Q1452" s="357"/>
      <c r="R1452" s="357"/>
      <c r="S1452" s="117"/>
      <c r="T1452" s="117"/>
      <c r="U1452" s="358">
        <v>0</v>
      </c>
      <c r="V1452" s="358">
        <v>0</v>
      </c>
      <c r="W1452" s="358">
        <v>0</v>
      </c>
      <c r="X1452" s="358">
        <f t="shared" si="455"/>
        <v>0</v>
      </c>
      <c r="Y1452" s="358">
        <v>0</v>
      </c>
      <c r="Z1452" s="358">
        <v>0</v>
      </c>
      <c r="AA1452" s="358">
        <v>0</v>
      </c>
      <c r="AB1452" s="358">
        <v>0</v>
      </c>
      <c r="AC1452" s="358">
        <v>0</v>
      </c>
      <c r="AD1452" s="358">
        <v>0</v>
      </c>
      <c r="AE1452" s="358">
        <v>0</v>
      </c>
      <c r="AF1452" s="358">
        <v>0</v>
      </c>
      <c r="AG1452" s="358">
        <v>0</v>
      </c>
      <c r="AH1452" s="358">
        <v>0</v>
      </c>
      <c r="AI1452" s="358">
        <v>0</v>
      </c>
      <c r="AJ1452" s="358">
        <v>0</v>
      </c>
      <c r="AK1452" s="358">
        <f t="shared" si="458"/>
        <v>0</v>
      </c>
      <c r="AL1452" s="358">
        <v>0</v>
      </c>
      <c r="AM1452" s="358">
        <v>0</v>
      </c>
      <c r="AN1452" s="358">
        <v>0</v>
      </c>
      <c r="AO1452" s="358">
        <v>0</v>
      </c>
      <c r="AP1452" s="358">
        <v>0</v>
      </c>
      <c r="AQ1452" s="358">
        <v>0</v>
      </c>
      <c r="AR1452" s="358">
        <v>0</v>
      </c>
      <c r="AS1452" s="358">
        <f t="shared" si="454"/>
        <v>0</v>
      </c>
      <c r="AT1452" s="145">
        <v>0</v>
      </c>
      <c r="AU1452" s="139">
        <f t="shared" si="444"/>
        <v>0</v>
      </c>
      <c r="AV1452" s="146">
        <f>IFERROR(VLOOKUP(J1452,Maksājumu_pieprasījumu_iesn.!G:BL,57,0),0)</f>
        <v>0</v>
      </c>
      <c r="AW1452" s="139">
        <f t="shared" si="447"/>
        <v>0</v>
      </c>
      <c r="AX1452" s="358"/>
      <c r="AY1452" s="358"/>
      <c r="AZ1452" s="358"/>
      <c r="BA1452" s="360"/>
      <c r="BB1452" s="358"/>
      <c r="BC1452" s="358"/>
      <c r="BD1452" s="358"/>
      <c r="BE1452" s="358"/>
      <c r="BF1452" s="358"/>
      <c r="BG1452" s="358"/>
      <c r="BH1452" s="360"/>
      <c r="BI1452" s="360"/>
      <c r="BJ1452" s="360"/>
      <c r="BK1452" s="360"/>
      <c r="BL1452" s="360"/>
      <c r="BM1452" s="360"/>
      <c r="BN1452" s="360"/>
    </row>
    <row r="1453" spans="1:66" s="91" customFormat="1" ht="25.5" hidden="1" customHeight="1" outlineLevel="1" x14ac:dyDescent="0.2">
      <c r="A1453" s="150" t="s">
        <v>2279</v>
      </c>
      <c r="B1453" s="355" t="s">
        <v>448</v>
      </c>
      <c r="C1453" s="355" t="s">
        <v>2524</v>
      </c>
      <c r="D1453" s="356" t="s">
        <v>2525</v>
      </c>
      <c r="E1453" s="114">
        <v>2</v>
      </c>
      <c r="F1453" s="114" t="s">
        <v>210</v>
      </c>
      <c r="G1453" s="114" t="s">
        <v>5</v>
      </c>
      <c r="H1453" s="114" t="s">
        <v>3</v>
      </c>
      <c r="I1453" s="114"/>
      <c r="J1453" s="114"/>
      <c r="K1453" s="356" t="s">
        <v>2542</v>
      </c>
      <c r="L1453" s="356"/>
      <c r="M1453" s="356"/>
      <c r="N1453" s="356"/>
      <c r="O1453" s="357">
        <v>43465</v>
      </c>
      <c r="P1453" s="357"/>
      <c r="Q1453" s="357"/>
      <c r="R1453" s="357"/>
      <c r="S1453" s="117"/>
      <c r="T1453" s="117"/>
      <c r="U1453" s="358">
        <v>0</v>
      </c>
      <c r="V1453" s="358">
        <v>0</v>
      </c>
      <c r="W1453" s="358">
        <v>0</v>
      </c>
      <c r="X1453" s="358">
        <f t="shared" si="455"/>
        <v>0</v>
      </c>
      <c r="Y1453" s="358">
        <v>0</v>
      </c>
      <c r="Z1453" s="358">
        <v>0</v>
      </c>
      <c r="AA1453" s="358">
        <v>0</v>
      </c>
      <c r="AB1453" s="358">
        <v>0</v>
      </c>
      <c r="AC1453" s="358">
        <v>0</v>
      </c>
      <c r="AD1453" s="358">
        <v>0</v>
      </c>
      <c r="AE1453" s="358">
        <v>0</v>
      </c>
      <c r="AF1453" s="358">
        <v>0</v>
      </c>
      <c r="AG1453" s="358">
        <v>0</v>
      </c>
      <c r="AH1453" s="358">
        <v>0</v>
      </c>
      <c r="AI1453" s="358">
        <v>0</v>
      </c>
      <c r="AJ1453" s="358">
        <v>0</v>
      </c>
      <c r="AK1453" s="358">
        <f t="shared" si="458"/>
        <v>0</v>
      </c>
      <c r="AL1453" s="358">
        <v>0</v>
      </c>
      <c r="AM1453" s="358">
        <v>0</v>
      </c>
      <c r="AN1453" s="358">
        <v>0</v>
      </c>
      <c r="AO1453" s="358">
        <v>0</v>
      </c>
      <c r="AP1453" s="358">
        <v>0</v>
      </c>
      <c r="AQ1453" s="358">
        <v>0</v>
      </c>
      <c r="AR1453" s="358">
        <v>0</v>
      </c>
      <c r="AS1453" s="358">
        <f t="shared" si="454"/>
        <v>0</v>
      </c>
      <c r="AT1453" s="145">
        <v>0</v>
      </c>
      <c r="AU1453" s="139">
        <f t="shared" si="444"/>
        <v>0</v>
      </c>
      <c r="AV1453" s="146">
        <f>IFERROR(VLOOKUP(J1453,Maksājumu_pieprasījumu_iesn.!G:BL,57,0),0)</f>
        <v>0</v>
      </c>
      <c r="AW1453" s="139">
        <f t="shared" si="447"/>
        <v>0</v>
      </c>
      <c r="AX1453" s="358"/>
      <c r="AY1453" s="358"/>
      <c r="AZ1453" s="358"/>
      <c r="BA1453" s="360"/>
      <c r="BB1453" s="358"/>
      <c r="BC1453" s="358"/>
      <c r="BD1453" s="358"/>
      <c r="BE1453" s="358"/>
      <c r="BF1453" s="358"/>
      <c r="BG1453" s="358"/>
      <c r="BH1453" s="360"/>
      <c r="BI1453" s="360"/>
      <c r="BJ1453" s="360"/>
      <c r="BK1453" s="360"/>
      <c r="BL1453" s="360"/>
      <c r="BM1453" s="360"/>
      <c r="BN1453" s="360"/>
    </row>
    <row r="1454" spans="1:66" s="91" customFormat="1" ht="25.5" hidden="1" customHeight="1" outlineLevel="1" x14ac:dyDescent="0.2">
      <c r="A1454" s="150" t="s">
        <v>2279</v>
      </c>
      <c r="B1454" s="355" t="s">
        <v>448</v>
      </c>
      <c r="C1454" s="355" t="s">
        <v>2524</v>
      </c>
      <c r="D1454" s="356" t="s">
        <v>2525</v>
      </c>
      <c r="E1454" s="114">
        <v>2</v>
      </c>
      <c r="F1454" s="114" t="s">
        <v>210</v>
      </c>
      <c r="G1454" s="114" t="s">
        <v>5</v>
      </c>
      <c r="H1454" s="114" t="s">
        <v>3</v>
      </c>
      <c r="I1454" s="114"/>
      <c r="J1454" s="114"/>
      <c r="K1454" s="356" t="s">
        <v>413</v>
      </c>
      <c r="L1454" s="356"/>
      <c r="M1454" s="356"/>
      <c r="N1454" s="356"/>
      <c r="O1454" s="357">
        <v>43465</v>
      </c>
      <c r="P1454" s="357"/>
      <c r="Q1454" s="357"/>
      <c r="R1454" s="357"/>
      <c r="S1454" s="117"/>
      <c r="T1454" s="117"/>
      <c r="U1454" s="358">
        <v>0</v>
      </c>
      <c r="V1454" s="358">
        <v>0</v>
      </c>
      <c r="W1454" s="358">
        <v>0</v>
      </c>
      <c r="X1454" s="358">
        <f t="shared" si="455"/>
        <v>0</v>
      </c>
      <c r="Y1454" s="358">
        <v>0</v>
      </c>
      <c r="Z1454" s="358">
        <v>0</v>
      </c>
      <c r="AA1454" s="358">
        <v>0</v>
      </c>
      <c r="AB1454" s="358">
        <v>0</v>
      </c>
      <c r="AC1454" s="358">
        <v>0</v>
      </c>
      <c r="AD1454" s="358">
        <v>0</v>
      </c>
      <c r="AE1454" s="358">
        <v>0</v>
      </c>
      <c r="AF1454" s="358">
        <v>0</v>
      </c>
      <c r="AG1454" s="358">
        <v>0</v>
      </c>
      <c r="AH1454" s="358">
        <v>0</v>
      </c>
      <c r="AI1454" s="358">
        <v>0</v>
      </c>
      <c r="AJ1454" s="358">
        <v>0</v>
      </c>
      <c r="AK1454" s="358">
        <f t="shared" si="458"/>
        <v>0</v>
      </c>
      <c r="AL1454" s="358">
        <v>0</v>
      </c>
      <c r="AM1454" s="358">
        <v>0</v>
      </c>
      <c r="AN1454" s="358">
        <v>0</v>
      </c>
      <c r="AO1454" s="358">
        <v>0</v>
      </c>
      <c r="AP1454" s="358">
        <v>0</v>
      </c>
      <c r="AQ1454" s="358">
        <v>0</v>
      </c>
      <c r="AR1454" s="358">
        <v>0</v>
      </c>
      <c r="AS1454" s="358">
        <f t="shared" si="454"/>
        <v>0</v>
      </c>
      <c r="AT1454" s="145">
        <v>0</v>
      </c>
      <c r="AU1454" s="139">
        <f t="shared" si="444"/>
        <v>0</v>
      </c>
      <c r="AV1454" s="146">
        <f>IFERROR(VLOOKUP(J1454,Maksājumu_pieprasījumu_iesn.!G:BL,57,0),0)</f>
        <v>0</v>
      </c>
      <c r="AW1454" s="139">
        <f t="shared" si="447"/>
        <v>0</v>
      </c>
      <c r="AX1454" s="358"/>
      <c r="AY1454" s="358"/>
      <c r="AZ1454" s="358"/>
      <c r="BA1454" s="360"/>
      <c r="BB1454" s="358"/>
      <c r="BC1454" s="358"/>
      <c r="BD1454" s="358"/>
      <c r="BE1454" s="358"/>
      <c r="BF1454" s="358"/>
      <c r="BG1454" s="358"/>
      <c r="BH1454" s="360"/>
      <c r="BI1454" s="360"/>
      <c r="BJ1454" s="360"/>
      <c r="BK1454" s="360"/>
      <c r="BL1454" s="360"/>
      <c r="BM1454" s="360"/>
      <c r="BN1454" s="360"/>
    </row>
    <row r="1455" spans="1:66" s="91" customFormat="1" ht="25.5" hidden="1" customHeight="1" outlineLevel="1" x14ac:dyDescent="0.2">
      <c r="A1455" s="150" t="s">
        <v>2279</v>
      </c>
      <c r="B1455" s="355" t="s">
        <v>448</v>
      </c>
      <c r="C1455" s="355" t="s">
        <v>2524</v>
      </c>
      <c r="D1455" s="356" t="s">
        <v>2525</v>
      </c>
      <c r="E1455" s="114">
        <v>2</v>
      </c>
      <c r="F1455" s="114" t="s">
        <v>210</v>
      </c>
      <c r="G1455" s="114" t="s">
        <v>5</v>
      </c>
      <c r="H1455" s="114" t="s">
        <v>3</v>
      </c>
      <c r="I1455" s="114"/>
      <c r="J1455" s="114"/>
      <c r="K1455" s="356" t="s">
        <v>2543</v>
      </c>
      <c r="L1455" s="356"/>
      <c r="M1455" s="356"/>
      <c r="N1455" s="356"/>
      <c r="O1455" s="357">
        <v>43465</v>
      </c>
      <c r="P1455" s="357"/>
      <c r="Q1455" s="357"/>
      <c r="R1455" s="357"/>
      <c r="S1455" s="117"/>
      <c r="T1455" s="117"/>
      <c r="U1455" s="358">
        <v>0</v>
      </c>
      <c r="V1455" s="358">
        <v>0</v>
      </c>
      <c r="W1455" s="358">
        <v>0</v>
      </c>
      <c r="X1455" s="358">
        <f t="shared" si="455"/>
        <v>0</v>
      </c>
      <c r="Y1455" s="358">
        <v>0</v>
      </c>
      <c r="Z1455" s="358">
        <v>0</v>
      </c>
      <c r="AA1455" s="358">
        <v>0</v>
      </c>
      <c r="AB1455" s="358">
        <v>0</v>
      </c>
      <c r="AC1455" s="358">
        <v>0</v>
      </c>
      <c r="AD1455" s="358">
        <v>0</v>
      </c>
      <c r="AE1455" s="358">
        <v>0</v>
      </c>
      <c r="AF1455" s="358">
        <v>0</v>
      </c>
      <c r="AG1455" s="358">
        <v>0</v>
      </c>
      <c r="AH1455" s="358">
        <v>0</v>
      </c>
      <c r="AI1455" s="358">
        <v>0</v>
      </c>
      <c r="AJ1455" s="358">
        <v>0</v>
      </c>
      <c r="AK1455" s="358">
        <f t="shared" si="458"/>
        <v>0</v>
      </c>
      <c r="AL1455" s="358">
        <v>0</v>
      </c>
      <c r="AM1455" s="358">
        <v>0</v>
      </c>
      <c r="AN1455" s="358">
        <v>0</v>
      </c>
      <c r="AO1455" s="358">
        <v>0</v>
      </c>
      <c r="AP1455" s="358">
        <v>0</v>
      </c>
      <c r="AQ1455" s="358">
        <v>0</v>
      </c>
      <c r="AR1455" s="358">
        <v>0</v>
      </c>
      <c r="AS1455" s="358">
        <f t="shared" si="454"/>
        <v>0</v>
      </c>
      <c r="AT1455" s="145">
        <v>0</v>
      </c>
      <c r="AU1455" s="139">
        <f t="shared" si="444"/>
        <v>0</v>
      </c>
      <c r="AV1455" s="146">
        <f>IFERROR(VLOOKUP(J1455,Maksājumu_pieprasījumu_iesn.!G:BL,57,0),0)</f>
        <v>0</v>
      </c>
      <c r="AW1455" s="139">
        <f t="shared" si="447"/>
        <v>0</v>
      </c>
      <c r="AX1455" s="358"/>
      <c r="AY1455" s="358"/>
      <c r="AZ1455" s="358"/>
      <c r="BA1455" s="360"/>
      <c r="BB1455" s="358"/>
      <c r="BC1455" s="358"/>
      <c r="BD1455" s="358"/>
      <c r="BE1455" s="358"/>
      <c r="BF1455" s="358"/>
      <c r="BG1455" s="358"/>
      <c r="BH1455" s="360"/>
      <c r="BI1455" s="360"/>
      <c r="BJ1455" s="360"/>
      <c r="BK1455" s="360"/>
      <c r="BL1455" s="360"/>
      <c r="BM1455" s="360"/>
      <c r="BN1455" s="360"/>
    </row>
    <row r="1456" spans="1:66" s="91" customFormat="1" ht="25.5" hidden="1" customHeight="1" outlineLevel="1" x14ac:dyDescent="0.2">
      <c r="A1456" s="150" t="s">
        <v>2279</v>
      </c>
      <c r="B1456" s="355" t="s">
        <v>448</v>
      </c>
      <c r="C1456" s="355" t="s">
        <v>2524</v>
      </c>
      <c r="D1456" s="356" t="s">
        <v>2525</v>
      </c>
      <c r="E1456" s="114">
        <v>2</v>
      </c>
      <c r="F1456" s="114" t="s">
        <v>210</v>
      </c>
      <c r="G1456" s="114" t="s">
        <v>5</v>
      </c>
      <c r="H1456" s="114" t="s">
        <v>3</v>
      </c>
      <c r="I1456" s="114"/>
      <c r="J1456" s="114"/>
      <c r="K1456" s="356" t="s">
        <v>1259</v>
      </c>
      <c r="L1456" s="356"/>
      <c r="M1456" s="356"/>
      <c r="N1456" s="356"/>
      <c r="O1456" s="357">
        <v>43465</v>
      </c>
      <c r="P1456" s="357"/>
      <c r="Q1456" s="357"/>
      <c r="R1456" s="357"/>
      <c r="S1456" s="117"/>
      <c r="T1456" s="117"/>
      <c r="U1456" s="358">
        <v>0</v>
      </c>
      <c r="V1456" s="358">
        <v>0</v>
      </c>
      <c r="W1456" s="358">
        <v>0</v>
      </c>
      <c r="X1456" s="358">
        <f t="shared" si="455"/>
        <v>0</v>
      </c>
      <c r="Y1456" s="358">
        <v>0</v>
      </c>
      <c r="Z1456" s="358">
        <v>0</v>
      </c>
      <c r="AA1456" s="358">
        <v>0</v>
      </c>
      <c r="AB1456" s="358">
        <v>0</v>
      </c>
      <c r="AC1456" s="358">
        <v>0</v>
      </c>
      <c r="AD1456" s="358">
        <v>0</v>
      </c>
      <c r="AE1456" s="358">
        <v>0</v>
      </c>
      <c r="AF1456" s="358">
        <v>0</v>
      </c>
      <c r="AG1456" s="358">
        <v>0</v>
      </c>
      <c r="AH1456" s="358">
        <v>0</v>
      </c>
      <c r="AI1456" s="358">
        <v>0</v>
      </c>
      <c r="AJ1456" s="358">
        <v>0</v>
      </c>
      <c r="AK1456" s="358">
        <f t="shared" si="458"/>
        <v>0</v>
      </c>
      <c r="AL1456" s="358">
        <v>0</v>
      </c>
      <c r="AM1456" s="358">
        <v>0</v>
      </c>
      <c r="AN1456" s="358">
        <v>0</v>
      </c>
      <c r="AO1456" s="358">
        <v>0</v>
      </c>
      <c r="AP1456" s="358">
        <v>0</v>
      </c>
      <c r="AQ1456" s="358">
        <v>0</v>
      </c>
      <c r="AR1456" s="358">
        <v>0</v>
      </c>
      <c r="AS1456" s="358">
        <f t="shared" si="454"/>
        <v>0</v>
      </c>
      <c r="AT1456" s="145">
        <v>0</v>
      </c>
      <c r="AU1456" s="139">
        <f t="shared" si="444"/>
        <v>0</v>
      </c>
      <c r="AV1456" s="146">
        <f>IFERROR(VLOOKUP(J1456,Maksājumu_pieprasījumu_iesn.!G:BL,57,0),0)</f>
        <v>0</v>
      </c>
      <c r="AW1456" s="139">
        <f t="shared" si="447"/>
        <v>0</v>
      </c>
      <c r="AX1456" s="358"/>
      <c r="AY1456" s="358"/>
      <c r="AZ1456" s="358"/>
      <c r="BA1456" s="360"/>
      <c r="BB1456" s="358"/>
      <c r="BC1456" s="358"/>
      <c r="BD1456" s="358"/>
      <c r="BE1456" s="358"/>
      <c r="BF1456" s="358"/>
      <c r="BG1456" s="358"/>
      <c r="BH1456" s="360"/>
      <c r="BI1456" s="360"/>
      <c r="BJ1456" s="360"/>
      <c r="BK1456" s="360"/>
      <c r="BL1456" s="360"/>
      <c r="BM1456" s="360"/>
      <c r="BN1456" s="360"/>
    </row>
    <row r="1457" spans="1:66" s="91" customFormat="1" ht="25.5" hidden="1" customHeight="1" outlineLevel="1" x14ac:dyDescent="0.2">
      <c r="A1457" s="150" t="s">
        <v>2279</v>
      </c>
      <c r="B1457" s="355" t="s">
        <v>448</v>
      </c>
      <c r="C1457" s="355" t="s">
        <v>2524</v>
      </c>
      <c r="D1457" s="356" t="s">
        <v>2525</v>
      </c>
      <c r="E1457" s="114">
        <v>2</v>
      </c>
      <c r="F1457" s="114" t="s">
        <v>210</v>
      </c>
      <c r="G1457" s="114" t="s">
        <v>5</v>
      </c>
      <c r="H1457" s="114" t="s">
        <v>3</v>
      </c>
      <c r="I1457" s="114"/>
      <c r="J1457" s="114"/>
      <c r="K1457" s="356" t="s">
        <v>2544</v>
      </c>
      <c r="L1457" s="356"/>
      <c r="M1457" s="356"/>
      <c r="N1457" s="356"/>
      <c r="O1457" s="357">
        <v>43465</v>
      </c>
      <c r="P1457" s="357"/>
      <c r="Q1457" s="357"/>
      <c r="R1457" s="357"/>
      <c r="S1457" s="117"/>
      <c r="T1457" s="117"/>
      <c r="U1457" s="358">
        <v>0</v>
      </c>
      <c r="V1457" s="358">
        <v>0</v>
      </c>
      <c r="W1457" s="358">
        <v>0</v>
      </c>
      <c r="X1457" s="358">
        <f t="shared" si="455"/>
        <v>0</v>
      </c>
      <c r="Y1457" s="358">
        <v>0</v>
      </c>
      <c r="Z1457" s="358">
        <v>0</v>
      </c>
      <c r="AA1457" s="358">
        <v>0</v>
      </c>
      <c r="AB1457" s="358">
        <v>0</v>
      </c>
      <c r="AC1457" s="358">
        <v>0</v>
      </c>
      <c r="AD1457" s="358">
        <v>0</v>
      </c>
      <c r="AE1457" s="358">
        <v>0</v>
      </c>
      <c r="AF1457" s="358">
        <v>0</v>
      </c>
      <c r="AG1457" s="358">
        <v>0</v>
      </c>
      <c r="AH1457" s="358">
        <v>0</v>
      </c>
      <c r="AI1457" s="358">
        <v>0</v>
      </c>
      <c r="AJ1457" s="358">
        <v>0</v>
      </c>
      <c r="AK1457" s="358">
        <f t="shared" si="458"/>
        <v>0</v>
      </c>
      <c r="AL1457" s="358">
        <v>0</v>
      </c>
      <c r="AM1457" s="358">
        <v>0</v>
      </c>
      <c r="AN1457" s="358">
        <v>0</v>
      </c>
      <c r="AO1457" s="358">
        <v>0</v>
      </c>
      <c r="AP1457" s="358">
        <v>0</v>
      </c>
      <c r="AQ1457" s="358">
        <v>0</v>
      </c>
      <c r="AR1457" s="358">
        <v>0</v>
      </c>
      <c r="AS1457" s="358">
        <f t="shared" si="454"/>
        <v>0</v>
      </c>
      <c r="AT1457" s="145">
        <v>0</v>
      </c>
      <c r="AU1457" s="139">
        <f t="shared" si="444"/>
        <v>0</v>
      </c>
      <c r="AV1457" s="146">
        <f>IFERROR(VLOOKUP(J1457,Maksājumu_pieprasījumu_iesn.!G:BL,57,0),0)</f>
        <v>0</v>
      </c>
      <c r="AW1457" s="139">
        <f t="shared" si="447"/>
        <v>0</v>
      </c>
      <c r="AX1457" s="358"/>
      <c r="AY1457" s="358"/>
      <c r="AZ1457" s="358"/>
      <c r="BA1457" s="360"/>
      <c r="BB1457" s="358"/>
      <c r="BC1457" s="358"/>
      <c r="BD1457" s="358"/>
      <c r="BE1457" s="358"/>
      <c r="BF1457" s="358"/>
      <c r="BG1457" s="358"/>
      <c r="BH1457" s="360"/>
      <c r="BI1457" s="360"/>
      <c r="BJ1457" s="360"/>
      <c r="BK1457" s="360"/>
      <c r="BL1457" s="360"/>
      <c r="BM1457" s="360"/>
      <c r="BN1457" s="360"/>
    </row>
    <row r="1458" spans="1:66" s="91" customFormat="1" ht="25.5" hidden="1" customHeight="1" outlineLevel="1" x14ac:dyDescent="0.2">
      <c r="A1458" s="150" t="s">
        <v>2279</v>
      </c>
      <c r="B1458" s="355" t="s">
        <v>448</v>
      </c>
      <c r="C1458" s="355" t="s">
        <v>2524</v>
      </c>
      <c r="D1458" s="356" t="s">
        <v>2525</v>
      </c>
      <c r="E1458" s="114">
        <v>2</v>
      </c>
      <c r="F1458" s="114" t="s">
        <v>210</v>
      </c>
      <c r="G1458" s="114" t="s">
        <v>5</v>
      </c>
      <c r="H1458" s="114" t="s">
        <v>3</v>
      </c>
      <c r="I1458" s="114"/>
      <c r="J1458" s="114"/>
      <c r="K1458" s="356" t="s">
        <v>2545</v>
      </c>
      <c r="L1458" s="356"/>
      <c r="M1458" s="356"/>
      <c r="N1458" s="356"/>
      <c r="O1458" s="357">
        <v>43465</v>
      </c>
      <c r="P1458" s="357"/>
      <c r="Q1458" s="357"/>
      <c r="R1458" s="357"/>
      <c r="S1458" s="117"/>
      <c r="T1458" s="117"/>
      <c r="U1458" s="358">
        <v>0</v>
      </c>
      <c r="V1458" s="358">
        <v>0</v>
      </c>
      <c r="W1458" s="358">
        <v>0</v>
      </c>
      <c r="X1458" s="358">
        <f t="shared" si="455"/>
        <v>0</v>
      </c>
      <c r="Y1458" s="358">
        <v>0</v>
      </c>
      <c r="Z1458" s="358">
        <v>0</v>
      </c>
      <c r="AA1458" s="358">
        <v>0</v>
      </c>
      <c r="AB1458" s="358">
        <v>0</v>
      </c>
      <c r="AC1458" s="358">
        <v>0</v>
      </c>
      <c r="AD1458" s="358">
        <v>0</v>
      </c>
      <c r="AE1458" s="358">
        <v>0</v>
      </c>
      <c r="AF1458" s="358">
        <v>0</v>
      </c>
      <c r="AG1458" s="358">
        <v>0</v>
      </c>
      <c r="AH1458" s="358">
        <v>0</v>
      </c>
      <c r="AI1458" s="358">
        <v>0</v>
      </c>
      <c r="AJ1458" s="358">
        <v>0</v>
      </c>
      <c r="AK1458" s="358">
        <f t="shared" si="458"/>
        <v>0</v>
      </c>
      <c r="AL1458" s="358">
        <v>0</v>
      </c>
      <c r="AM1458" s="358">
        <v>0</v>
      </c>
      <c r="AN1458" s="358">
        <v>0</v>
      </c>
      <c r="AO1458" s="358">
        <v>0</v>
      </c>
      <c r="AP1458" s="358">
        <v>0</v>
      </c>
      <c r="AQ1458" s="358">
        <v>0</v>
      </c>
      <c r="AR1458" s="358">
        <v>0</v>
      </c>
      <c r="AS1458" s="358">
        <f t="shared" si="454"/>
        <v>0</v>
      </c>
      <c r="AT1458" s="145">
        <v>0</v>
      </c>
      <c r="AU1458" s="139">
        <f t="shared" si="444"/>
        <v>0</v>
      </c>
      <c r="AV1458" s="146">
        <f>IFERROR(VLOOKUP(J1458,Maksājumu_pieprasījumu_iesn.!G:BL,57,0),0)</f>
        <v>0</v>
      </c>
      <c r="AW1458" s="139">
        <f t="shared" si="447"/>
        <v>0</v>
      </c>
      <c r="AX1458" s="358"/>
      <c r="AY1458" s="358"/>
      <c r="AZ1458" s="358"/>
      <c r="BA1458" s="360"/>
      <c r="BB1458" s="358"/>
      <c r="BC1458" s="358"/>
      <c r="BD1458" s="358"/>
      <c r="BE1458" s="358"/>
      <c r="BF1458" s="358"/>
      <c r="BG1458" s="358"/>
      <c r="BH1458" s="360"/>
      <c r="BI1458" s="360"/>
      <c r="BJ1458" s="360"/>
      <c r="BK1458" s="360"/>
      <c r="BL1458" s="360"/>
      <c r="BM1458" s="360"/>
      <c r="BN1458" s="360"/>
    </row>
    <row r="1459" spans="1:66" s="91" customFormat="1" ht="25.5" hidden="1" customHeight="1" outlineLevel="1" x14ac:dyDescent="0.2">
      <c r="A1459" s="150" t="s">
        <v>2279</v>
      </c>
      <c r="B1459" s="355" t="s">
        <v>448</v>
      </c>
      <c r="C1459" s="355" t="s">
        <v>2524</v>
      </c>
      <c r="D1459" s="356" t="s">
        <v>2525</v>
      </c>
      <c r="E1459" s="114">
        <v>2</v>
      </c>
      <c r="F1459" s="114" t="s">
        <v>210</v>
      </c>
      <c r="G1459" s="114" t="s">
        <v>5</v>
      </c>
      <c r="H1459" s="114" t="s">
        <v>3</v>
      </c>
      <c r="I1459" s="114"/>
      <c r="J1459" s="114"/>
      <c r="K1459" s="356" t="s">
        <v>2546</v>
      </c>
      <c r="L1459" s="356"/>
      <c r="M1459" s="356"/>
      <c r="N1459" s="356"/>
      <c r="O1459" s="357">
        <v>43465</v>
      </c>
      <c r="P1459" s="357"/>
      <c r="Q1459" s="357"/>
      <c r="R1459" s="357"/>
      <c r="S1459" s="117"/>
      <c r="T1459" s="117"/>
      <c r="U1459" s="358">
        <v>0</v>
      </c>
      <c r="V1459" s="358">
        <v>0</v>
      </c>
      <c r="W1459" s="358">
        <v>0</v>
      </c>
      <c r="X1459" s="358">
        <f t="shared" si="455"/>
        <v>0</v>
      </c>
      <c r="Y1459" s="358">
        <v>0</v>
      </c>
      <c r="Z1459" s="358">
        <v>0</v>
      </c>
      <c r="AA1459" s="358">
        <v>0</v>
      </c>
      <c r="AB1459" s="358">
        <v>0</v>
      </c>
      <c r="AC1459" s="358">
        <v>0</v>
      </c>
      <c r="AD1459" s="358">
        <v>0</v>
      </c>
      <c r="AE1459" s="358">
        <v>0</v>
      </c>
      <c r="AF1459" s="358">
        <v>0</v>
      </c>
      <c r="AG1459" s="358">
        <v>0</v>
      </c>
      <c r="AH1459" s="358">
        <v>0</v>
      </c>
      <c r="AI1459" s="358">
        <v>0</v>
      </c>
      <c r="AJ1459" s="358">
        <v>0</v>
      </c>
      <c r="AK1459" s="358">
        <f t="shared" si="458"/>
        <v>0</v>
      </c>
      <c r="AL1459" s="358">
        <v>0</v>
      </c>
      <c r="AM1459" s="358">
        <v>0</v>
      </c>
      <c r="AN1459" s="358">
        <v>0</v>
      </c>
      <c r="AO1459" s="358">
        <v>0</v>
      </c>
      <c r="AP1459" s="358">
        <v>0</v>
      </c>
      <c r="AQ1459" s="358">
        <v>0</v>
      </c>
      <c r="AR1459" s="358">
        <v>0</v>
      </c>
      <c r="AS1459" s="358">
        <f t="shared" si="454"/>
        <v>0</v>
      </c>
      <c r="AT1459" s="145">
        <v>0</v>
      </c>
      <c r="AU1459" s="139">
        <f t="shared" si="444"/>
        <v>0</v>
      </c>
      <c r="AV1459" s="146">
        <f>IFERROR(VLOOKUP(J1459,Maksājumu_pieprasījumu_iesn.!G:BL,57,0),0)</f>
        <v>0</v>
      </c>
      <c r="AW1459" s="139">
        <f t="shared" si="447"/>
        <v>0</v>
      </c>
      <c r="AX1459" s="358"/>
      <c r="AY1459" s="358"/>
      <c r="AZ1459" s="358"/>
      <c r="BA1459" s="360"/>
      <c r="BB1459" s="358"/>
      <c r="BC1459" s="358"/>
      <c r="BD1459" s="358"/>
      <c r="BE1459" s="358"/>
      <c r="BF1459" s="358"/>
      <c r="BG1459" s="358"/>
      <c r="BH1459" s="360"/>
      <c r="BI1459" s="360"/>
      <c r="BJ1459" s="360"/>
      <c r="BK1459" s="360"/>
      <c r="BL1459" s="360"/>
      <c r="BM1459" s="360"/>
      <c r="BN1459" s="360"/>
    </row>
    <row r="1460" spans="1:66" s="91" customFormat="1" ht="25.5" hidden="1" customHeight="1" outlineLevel="1" x14ac:dyDescent="0.2">
      <c r="A1460" s="150" t="s">
        <v>2279</v>
      </c>
      <c r="B1460" s="355" t="s">
        <v>448</v>
      </c>
      <c r="C1460" s="355" t="s">
        <v>2524</v>
      </c>
      <c r="D1460" s="356" t="s">
        <v>2525</v>
      </c>
      <c r="E1460" s="114">
        <v>2</v>
      </c>
      <c r="F1460" s="114" t="s">
        <v>210</v>
      </c>
      <c r="G1460" s="114" t="s">
        <v>5</v>
      </c>
      <c r="H1460" s="114" t="s">
        <v>3</v>
      </c>
      <c r="I1460" s="114"/>
      <c r="J1460" s="114"/>
      <c r="K1460" s="356" t="s">
        <v>2547</v>
      </c>
      <c r="L1460" s="356"/>
      <c r="M1460" s="356"/>
      <c r="N1460" s="356"/>
      <c r="O1460" s="357">
        <v>43465</v>
      </c>
      <c r="P1460" s="357"/>
      <c r="Q1460" s="357"/>
      <c r="R1460" s="357"/>
      <c r="S1460" s="117"/>
      <c r="T1460" s="117"/>
      <c r="U1460" s="358">
        <v>0</v>
      </c>
      <c r="V1460" s="358">
        <v>0</v>
      </c>
      <c r="W1460" s="358">
        <v>0</v>
      </c>
      <c r="X1460" s="358">
        <f t="shared" si="455"/>
        <v>0</v>
      </c>
      <c r="Y1460" s="358">
        <v>0</v>
      </c>
      <c r="Z1460" s="358">
        <v>0</v>
      </c>
      <c r="AA1460" s="358">
        <v>0</v>
      </c>
      <c r="AB1460" s="358">
        <v>0</v>
      </c>
      <c r="AC1460" s="358">
        <v>0</v>
      </c>
      <c r="AD1460" s="358">
        <v>0</v>
      </c>
      <c r="AE1460" s="358">
        <v>0</v>
      </c>
      <c r="AF1460" s="358">
        <v>0</v>
      </c>
      <c r="AG1460" s="358">
        <v>0</v>
      </c>
      <c r="AH1460" s="358">
        <v>0</v>
      </c>
      <c r="AI1460" s="358">
        <v>0</v>
      </c>
      <c r="AJ1460" s="358">
        <v>0</v>
      </c>
      <c r="AK1460" s="358">
        <f t="shared" si="458"/>
        <v>0</v>
      </c>
      <c r="AL1460" s="358">
        <v>0</v>
      </c>
      <c r="AM1460" s="358">
        <v>0</v>
      </c>
      <c r="AN1460" s="358">
        <v>0</v>
      </c>
      <c r="AO1460" s="358">
        <v>0</v>
      </c>
      <c r="AP1460" s="358">
        <v>0</v>
      </c>
      <c r="AQ1460" s="358">
        <v>0</v>
      </c>
      <c r="AR1460" s="358">
        <v>0</v>
      </c>
      <c r="AS1460" s="358">
        <f t="shared" si="454"/>
        <v>0</v>
      </c>
      <c r="AT1460" s="145">
        <v>0</v>
      </c>
      <c r="AU1460" s="139">
        <f t="shared" si="444"/>
        <v>0</v>
      </c>
      <c r="AV1460" s="146">
        <f>IFERROR(VLOOKUP(J1460,Maksājumu_pieprasījumu_iesn.!G:BL,57,0),0)</f>
        <v>0</v>
      </c>
      <c r="AW1460" s="139">
        <f t="shared" si="447"/>
        <v>0</v>
      </c>
      <c r="AX1460" s="358"/>
      <c r="AY1460" s="358"/>
      <c r="AZ1460" s="358"/>
      <c r="BA1460" s="360"/>
      <c r="BB1460" s="358"/>
      <c r="BC1460" s="358"/>
      <c r="BD1460" s="358"/>
      <c r="BE1460" s="358"/>
      <c r="BF1460" s="358"/>
      <c r="BG1460" s="358"/>
      <c r="BH1460" s="360"/>
      <c r="BI1460" s="360"/>
      <c r="BJ1460" s="360"/>
      <c r="BK1460" s="360"/>
      <c r="BL1460" s="360"/>
      <c r="BM1460" s="360"/>
      <c r="BN1460" s="360"/>
    </row>
    <row r="1461" spans="1:66" s="91" customFormat="1" ht="25.5" hidden="1" customHeight="1" outlineLevel="1" x14ac:dyDescent="0.2">
      <c r="A1461" s="150" t="s">
        <v>2279</v>
      </c>
      <c r="B1461" s="355" t="s">
        <v>448</v>
      </c>
      <c r="C1461" s="355" t="s">
        <v>2524</v>
      </c>
      <c r="D1461" s="356" t="s">
        <v>2525</v>
      </c>
      <c r="E1461" s="114">
        <v>2</v>
      </c>
      <c r="F1461" s="114" t="s">
        <v>210</v>
      </c>
      <c r="G1461" s="114" t="s">
        <v>5</v>
      </c>
      <c r="H1461" s="114" t="s">
        <v>3</v>
      </c>
      <c r="I1461" s="114"/>
      <c r="J1461" s="114"/>
      <c r="K1461" s="356" t="s">
        <v>2548</v>
      </c>
      <c r="L1461" s="356"/>
      <c r="M1461" s="356"/>
      <c r="N1461" s="356"/>
      <c r="O1461" s="357">
        <v>43465</v>
      </c>
      <c r="P1461" s="357"/>
      <c r="Q1461" s="357"/>
      <c r="R1461" s="357"/>
      <c r="S1461" s="117"/>
      <c r="T1461" s="117"/>
      <c r="U1461" s="358">
        <v>0</v>
      </c>
      <c r="V1461" s="358">
        <v>0</v>
      </c>
      <c r="W1461" s="358">
        <v>0</v>
      </c>
      <c r="X1461" s="358">
        <f t="shared" si="455"/>
        <v>0</v>
      </c>
      <c r="Y1461" s="358">
        <v>0</v>
      </c>
      <c r="Z1461" s="358">
        <v>0</v>
      </c>
      <c r="AA1461" s="358">
        <v>0</v>
      </c>
      <c r="AB1461" s="358">
        <v>0</v>
      </c>
      <c r="AC1461" s="358">
        <v>0</v>
      </c>
      <c r="AD1461" s="358">
        <v>0</v>
      </c>
      <c r="AE1461" s="358">
        <v>0</v>
      </c>
      <c r="AF1461" s="358">
        <v>0</v>
      </c>
      <c r="AG1461" s="358">
        <v>0</v>
      </c>
      <c r="AH1461" s="358">
        <v>0</v>
      </c>
      <c r="AI1461" s="358">
        <v>0</v>
      </c>
      <c r="AJ1461" s="358">
        <v>0</v>
      </c>
      <c r="AK1461" s="358">
        <f t="shared" si="458"/>
        <v>0</v>
      </c>
      <c r="AL1461" s="358">
        <v>0</v>
      </c>
      <c r="AM1461" s="358">
        <v>0</v>
      </c>
      <c r="AN1461" s="358">
        <v>0</v>
      </c>
      <c r="AO1461" s="358">
        <v>0</v>
      </c>
      <c r="AP1461" s="358">
        <v>0</v>
      </c>
      <c r="AQ1461" s="358">
        <v>0</v>
      </c>
      <c r="AR1461" s="358">
        <v>0</v>
      </c>
      <c r="AS1461" s="358">
        <f t="shared" si="454"/>
        <v>0</v>
      </c>
      <c r="AT1461" s="145">
        <v>0</v>
      </c>
      <c r="AU1461" s="139">
        <f t="shared" si="444"/>
        <v>0</v>
      </c>
      <c r="AV1461" s="146">
        <f>IFERROR(VLOOKUP(J1461,Maksājumu_pieprasījumu_iesn.!G:BL,57,0),0)</f>
        <v>0</v>
      </c>
      <c r="AW1461" s="139">
        <f t="shared" si="447"/>
        <v>0</v>
      </c>
      <c r="AX1461" s="358"/>
      <c r="AY1461" s="358"/>
      <c r="AZ1461" s="358"/>
      <c r="BA1461" s="360"/>
      <c r="BB1461" s="358"/>
      <c r="BC1461" s="358"/>
      <c r="BD1461" s="358"/>
      <c r="BE1461" s="358"/>
      <c r="BF1461" s="358"/>
      <c r="BG1461" s="358"/>
      <c r="BH1461" s="360"/>
      <c r="BI1461" s="360"/>
      <c r="BJ1461" s="360"/>
      <c r="BK1461" s="360"/>
      <c r="BL1461" s="360"/>
      <c r="BM1461" s="360"/>
      <c r="BN1461" s="360"/>
    </row>
    <row r="1462" spans="1:66" s="91" customFormat="1" ht="25.5" hidden="1" customHeight="1" outlineLevel="1" x14ac:dyDescent="0.2">
      <c r="A1462" s="150" t="s">
        <v>2279</v>
      </c>
      <c r="B1462" s="355" t="s">
        <v>448</v>
      </c>
      <c r="C1462" s="355" t="s">
        <v>2524</v>
      </c>
      <c r="D1462" s="356" t="s">
        <v>2525</v>
      </c>
      <c r="E1462" s="114">
        <v>2</v>
      </c>
      <c r="F1462" s="114" t="s">
        <v>210</v>
      </c>
      <c r="G1462" s="114" t="s">
        <v>5</v>
      </c>
      <c r="H1462" s="114" t="s">
        <v>3</v>
      </c>
      <c r="I1462" s="114"/>
      <c r="J1462" s="114"/>
      <c r="K1462" s="356" t="s">
        <v>2549</v>
      </c>
      <c r="L1462" s="356"/>
      <c r="M1462" s="356"/>
      <c r="N1462" s="356"/>
      <c r="O1462" s="357">
        <v>43465</v>
      </c>
      <c r="P1462" s="357"/>
      <c r="Q1462" s="357"/>
      <c r="R1462" s="357"/>
      <c r="S1462" s="117"/>
      <c r="T1462" s="117"/>
      <c r="U1462" s="358">
        <v>0</v>
      </c>
      <c r="V1462" s="358">
        <v>0</v>
      </c>
      <c r="W1462" s="358">
        <v>0</v>
      </c>
      <c r="X1462" s="358">
        <f t="shared" si="455"/>
        <v>0</v>
      </c>
      <c r="Y1462" s="358">
        <v>0</v>
      </c>
      <c r="Z1462" s="358">
        <v>0</v>
      </c>
      <c r="AA1462" s="358">
        <v>0</v>
      </c>
      <c r="AB1462" s="358">
        <v>0</v>
      </c>
      <c r="AC1462" s="358">
        <v>0</v>
      </c>
      <c r="AD1462" s="358">
        <v>0</v>
      </c>
      <c r="AE1462" s="358">
        <v>0</v>
      </c>
      <c r="AF1462" s="358">
        <v>0</v>
      </c>
      <c r="AG1462" s="358">
        <v>0</v>
      </c>
      <c r="AH1462" s="358">
        <v>0</v>
      </c>
      <c r="AI1462" s="358">
        <v>0</v>
      </c>
      <c r="AJ1462" s="358">
        <v>0</v>
      </c>
      <c r="AK1462" s="358">
        <f t="shared" si="458"/>
        <v>0</v>
      </c>
      <c r="AL1462" s="358">
        <v>0</v>
      </c>
      <c r="AM1462" s="358">
        <v>0</v>
      </c>
      <c r="AN1462" s="358">
        <v>0</v>
      </c>
      <c r="AO1462" s="358">
        <v>0</v>
      </c>
      <c r="AP1462" s="358">
        <v>0</v>
      </c>
      <c r="AQ1462" s="358">
        <v>0</v>
      </c>
      <c r="AR1462" s="358">
        <v>0</v>
      </c>
      <c r="AS1462" s="358">
        <f t="shared" si="454"/>
        <v>0</v>
      </c>
      <c r="AT1462" s="145">
        <v>0</v>
      </c>
      <c r="AU1462" s="139">
        <f t="shared" si="444"/>
        <v>0</v>
      </c>
      <c r="AV1462" s="146">
        <f>IFERROR(VLOOKUP(J1462,Maksājumu_pieprasījumu_iesn.!G:BL,57,0),0)</f>
        <v>0</v>
      </c>
      <c r="AW1462" s="139">
        <f t="shared" si="447"/>
        <v>0</v>
      </c>
      <c r="AX1462" s="358"/>
      <c r="AY1462" s="358"/>
      <c r="AZ1462" s="358"/>
      <c r="BA1462" s="360"/>
      <c r="BB1462" s="358"/>
      <c r="BC1462" s="358"/>
      <c r="BD1462" s="358"/>
      <c r="BE1462" s="358"/>
      <c r="BF1462" s="358"/>
      <c r="BG1462" s="358"/>
      <c r="BH1462" s="360"/>
      <c r="BI1462" s="360"/>
      <c r="BJ1462" s="360"/>
      <c r="BK1462" s="360"/>
      <c r="BL1462" s="360"/>
      <c r="BM1462" s="360"/>
      <c r="BN1462" s="360"/>
    </row>
    <row r="1463" spans="1:66" s="91" customFormat="1" ht="25.5" hidden="1" customHeight="1" outlineLevel="1" x14ac:dyDescent="0.2">
      <c r="A1463" s="150" t="s">
        <v>2279</v>
      </c>
      <c r="B1463" s="355" t="s">
        <v>448</v>
      </c>
      <c r="C1463" s="355" t="s">
        <v>2524</v>
      </c>
      <c r="D1463" s="356" t="s">
        <v>2525</v>
      </c>
      <c r="E1463" s="114">
        <v>2</v>
      </c>
      <c r="F1463" s="114" t="s">
        <v>210</v>
      </c>
      <c r="G1463" s="114" t="s">
        <v>5</v>
      </c>
      <c r="H1463" s="114" t="s">
        <v>3</v>
      </c>
      <c r="I1463" s="114"/>
      <c r="J1463" s="114"/>
      <c r="K1463" s="356" t="s">
        <v>2550</v>
      </c>
      <c r="L1463" s="356"/>
      <c r="M1463" s="356"/>
      <c r="N1463" s="356"/>
      <c r="O1463" s="357">
        <v>43465</v>
      </c>
      <c r="P1463" s="357"/>
      <c r="Q1463" s="357"/>
      <c r="R1463" s="357"/>
      <c r="S1463" s="117"/>
      <c r="T1463" s="117"/>
      <c r="U1463" s="358">
        <v>0</v>
      </c>
      <c r="V1463" s="358">
        <v>0</v>
      </c>
      <c r="W1463" s="358">
        <v>0</v>
      </c>
      <c r="X1463" s="358">
        <f t="shared" si="455"/>
        <v>0</v>
      </c>
      <c r="Y1463" s="358">
        <v>0</v>
      </c>
      <c r="Z1463" s="358">
        <v>0</v>
      </c>
      <c r="AA1463" s="358">
        <v>0</v>
      </c>
      <c r="AB1463" s="358">
        <v>0</v>
      </c>
      <c r="AC1463" s="358">
        <v>0</v>
      </c>
      <c r="AD1463" s="358">
        <v>0</v>
      </c>
      <c r="AE1463" s="358">
        <v>0</v>
      </c>
      <c r="AF1463" s="358">
        <v>0</v>
      </c>
      <c r="AG1463" s="358">
        <v>0</v>
      </c>
      <c r="AH1463" s="358">
        <v>0</v>
      </c>
      <c r="AI1463" s="358">
        <v>0</v>
      </c>
      <c r="AJ1463" s="358">
        <v>0</v>
      </c>
      <c r="AK1463" s="358">
        <f t="shared" si="458"/>
        <v>0</v>
      </c>
      <c r="AL1463" s="358">
        <v>0</v>
      </c>
      <c r="AM1463" s="358">
        <v>0</v>
      </c>
      <c r="AN1463" s="358">
        <v>0</v>
      </c>
      <c r="AO1463" s="358">
        <v>0</v>
      </c>
      <c r="AP1463" s="358">
        <v>0</v>
      </c>
      <c r="AQ1463" s="358">
        <v>0</v>
      </c>
      <c r="AR1463" s="358">
        <v>0</v>
      </c>
      <c r="AS1463" s="358">
        <f t="shared" si="454"/>
        <v>0</v>
      </c>
      <c r="AT1463" s="145">
        <v>0</v>
      </c>
      <c r="AU1463" s="139">
        <f t="shared" si="444"/>
        <v>0</v>
      </c>
      <c r="AV1463" s="146">
        <f>IFERROR(VLOOKUP(J1463,Maksājumu_pieprasījumu_iesn.!G:BL,57,0),0)</f>
        <v>0</v>
      </c>
      <c r="AW1463" s="139">
        <f t="shared" si="447"/>
        <v>0</v>
      </c>
      <c r="AX1463" s="358"/>
      <c r="AY1463" s="358"/>
      <c r="AZ1463" s="358"/>
      <c r="BA1463" s="360"/>
      <c r="BB1463" s="358"/>
      <c r="BC1463" s="358"/>
      <c r="BD1463" s="358"/>
      <c r="BE1463" s="358"/>
      <c r="BF1463" s="358"/>
      <c r="BG1463" s="358"/>
      <c r="BH1463" s="360"/>
      <c r="BI1463" s="360"/>
      <c r="BJ1463" s="360"/>
      <c r="BK1463" s="360"/>
      <c r="BL1463" s="360"/>
      <c r="BM1463" s="360"/>
      <c r="BN1463" s="360"/>
    </row>
    <row r="1464" spans="1:66" s="91" customFormat="1" ht="25.5" hidden="1" customHeight="1" outlineLevel="1" x14ac:dyDescent="0.2">
      <c r="A1464" s="150" t="s">
        <v>2279</v>
      </c>
      <c r="B1464" s="355" t="s">
        <v>448</v>
      </c>
      <c r="C1464" s="355" t="s">
        <v>2524</v>
      </c>
      <c r="D1464" s="356" t="s">
        <v>2525</v>
      </c>
      <c r="E1464" s="114">
        <v>2</v>
      </c>
      <c r="F1464" s="114" t="s">
        <v>210</v>
      </c>
      <c r="G1464" s="114" t="s">
        <v>5</v>
      </c>
      <c r="H1464" s="114" t="s">
        <v>3</v>
      </c>
      <c r="I1464" s="114"/>
      <c r="J1464" s="114"/>
      <c r="K1464" s="356" t="s">
        <v>2551</v>
      </c>
      <c r="L1464" s="356"/>
      <c r="M1464" s="356"/>
      <c r="N1464" s="356"/>
      <c r="O1464" s="357">
        <v>43465</v>
      </c>
      <c r="P1464" s="357"/>
      <c r="Q1464" s="357"/>
      <c r="R1464" s="357"/>
      <c r="S1464" s="117"/>
      <c r="T1464" s="117"/>
      <c r="U1464" s="358">
        <v>0</v>
      </c>
      <c r="V1464" s="358">
        <v>0</v>
      </c>
      <c r="W1464" s="358">
        <v>0</v>
      </c>
      <c r="X1464" s="358">
        <f t="shared" si="455"/>
        <v>0</v>
      </c>
      <c r="Y1464" s="358">
        <v>0</v>
      </c>
      <c r="Z1464" s="358">
        <v>0</v>
      </c>
      <c r="AA1464" s="358">
        <v>0</v>
      </c>
      <c r="AB1464" s="358">
        <v>0</v>
      </c>
      <c r="AC1464" s="358">
        <v>0</v>
      </c>
      <c r="AD1464" s="358">
        <v>0</v>
      </c>
      <c r="AE1464" s="358">
        <v>0</v>
      </c>
      <c r="AF1464" s="358">
        <v>0</v>
      </c>
      <c r="AG1464" s="358">
        <v>0</v>
      </c>
      <c r="AH1464" s="358">
        <v>0</v>
      </c>
      <c r="AI1464" s="358">
        <v>0</v>
      </c>
      <c r="AJ1464" s="358">
        <v>0</v>
      </c>
      <c r="AK1464" s="358">
        <f t="shared" si="458"/>
        <v>0</v>
      </c>
      <c r="AL1464" s="358">
        <v>0</v>
      </c>
      <c r="AM1464" s="358">
        <v>0</v>
      </c>
      <c r="AN1464" s="358">
        <v>0</v>
      </c>
      <c r="AO1464" s="358">
        <v>0</v>
      </c>
      <c r="AP1464" s="358">
        <v>0</v>
      </c>
      <c r="AQ1464" s="358">
        <v>0</v>
      </c>
      <c r="AR1464" s="358">
        <v>0</v>
      </c>
      <c r="AS1464" s="358">
        <f t="shared" si="454"/>
        <v>0</v>
      </c>
      <c r="AT1464" s="145">
        <v>0</v>
      </c>
      <c r="AU1464" s="139">
        <f t="shared" si="444"/>
        <v>0</v>
      </c>
      <c r="AV1464" s="146">
        <f>IFERROR(VLOOKUP(J1464,Maksājumu_pieprasījumu_iesn.!G:BL,57,0),0)</f>
        <v>0</v>
      </c>
      <c r="AW1464" s="139">
        <f t="shared" si="447"/>
        <v>0</v>
      </c>
      <c r="AX1464" s="358"/>
      <c r="AY1464" s="358"/>
      <c r="AZ1464" s="358"/>
      <c r="BA1464" s="360"/>
      <c r="BB1464" s="358"/>
      <c r="BC1464" s="358"/>
      <c r="BD1464" s="358"/>
      <c r="BE1464" s="358"/>
      <c r="BF1464" s="358"/>
      <c r="BG1464" s="358"/>
      <c r="BH1464" s="360"/>
      <c r="BI1464" s="360"/>
      <c r="BJ1464" s="360"/>
      <c r="BK1464" s="360"/>
      <c r="BL1464" s="360"/>
      <c r="BM1464" s="360"/>
      <c r="BN1464" s="360"/>
    </row>
    <row r="1465" spans="1:66" s="91" customFormat="1" ht="25.5" hidden="1" customHeight="1" outlineLevel="1" x14ac:dyDescent="0.2">
      <c r="A1465" s="150" t="s">
        <v>2279</v>
      </c>
      <c r="B1465" s="355" t="s">
        <v>448</v>
      </c>
      <c r="C1465" s="355" t="s">
        <v>2524</v>
      </c>
      <c r="D1465" s="356" t="s">
        <v>2525</v>
      </c>
      <c r="E1465" s="114">
        <v>2</v>
      </c>
      <c r="F1465" s="114" t="s">
        <v>210</v>
      </c>
      <c r="G1465" s="114" t="s">
        <v>5</v>
      </c>
      <c r="H1465" s="114" t="s">
        <v>3</v>
      </c>
      <c r="I1465" s="114"/>
      <c r="J1465" s="114"/>
      <c r="K1465" s="356" t="s">
        <v>2552</v>
      </c>
      <c r="L1465" s="356"/>
      <c r="M1465" s="356"/>
      <c r="N1465" s="356"/>
      <c r="O1465" s="357">
        <v>43465</v>
      </c>
      <c r="P1465" s="357"/>
      <c r="Q1465" s="357"/>
      <c r="R1465" s="357"/>
      <c r="S1465" s="117"/>
      <c r="T1465" s="117"/>
      <c r="U1465" s="358">
        <v>0</v>
      </c>
      <c r="V1465" s="358">
        <v>0</v>
      </c>
      <c r="W1465" s="358">
        <v>0</v>
      </c>
      <c r="X1465" s="358">
        <f t="shared" si="455"/>
        <v>0</v>
      </c>
      <c r="Y1465" s="358">
        <v>0</v>
      </c>
      <c r="Z1465" s="358">
        <v>0</v>
      </c>
      <c r="AA1465" s="358">
        <v>0</v>
      </c>
      <c r="AB1465" s="358">
        <v>0</v>
      </c>
      <c r="AC1465" s="358">
        <v>0</v>
      </c>
      <c r="AD1465" s="358">
        <v>0</v>
      </c>
      <c r="AE1465" s="358">
        <v>0</v>
      </c>
      <c r="AF1465" s="358">
        <v>0</v>
      </c>
      <c r="AG1465" s="358">
        <v>0</v>
      </c>
      <c r="AH1465" s="358">
        <v>0</v>
      </c>
      <c r="AI1465" s="358">
        <v>0</v>
      </c>
      <c r="AJ1465" s="358">
        <v>0</v>
      </c>
      <c r="AK1465" s="358">
        <f t="shared" si="458"/>
        <v>0</v>
      </c>
      <c r="AL1465" s="358">
        <v>0</v>
      </c>
      <c r="AM1465" s="358">
        <v>0</v>
      </c>
      <c r="AN1465" s="358">
        <v>0</v>
      </c>
      <c r="AO1465" s="358">
        <v>0</v>
      </c>
      <c r="AP1465" s="358">
        <v>0</v>
      </c>
      <c r="AQ1465" s="358">
        <v>0</v>
      </c>
      <c r="AR1465" s="358">
        <v>0</v>
      </c>
      <c r="AS1465" s="358">
        <f t="shared" si="454"/>
        <v>0</v>
      </c>
      <c r="AT1465" s="145">
        <v>0</v>
      </c>
      <c r="AU1465" s="139">
        <f t="shared" si="444"/>
        <v>0</v>
      </c>
      <c r="AV1465" s="146">
        <f>IFERROR(VLOOKUP(J1465,Maksājumu_pieprasījumu_iesn.!G:BL,57,0),0)</f>
        <v>0</v>
      </c>
      <c r="AW1465" s="139">
        <f t="shared" si="447"/>
        <v>0</v>
      </c>
      <c r="AX1465" s="358"/>
      <c r="AY1465" s="358"/>
      <c r="AZ1465" s="358"/>
      <c r="BA1465" s="360"/>
      <c r="BB1465" s="358"/>
      <c r="BC1465" s="358"/>
      <c r="BD1465" s="358"/>
      <c r="BE1465" s="358"/>
      <c r="BF1465" s="358"/>
      <c r="BG1465" s="358"/>
      <c r="BH1465" s="360"/>
      <c r="BI1465" s="360"/>
      <c r="BJ1465" s="360"/>
      <c r="BK1465" s="360"/>
      <c r="BL1465" s="360"/>
      <c r="BM1465" s="360"/>
      <c r="BN1465" s="360"/>
    </row>
    <row r="1466" spans="1:66" s="91" customFormat="1" ht="25.5" hidden="1" customHeight="1" outlineLevel="1" x14ac:dyDescent="0.2">
      <c r="A1466" s="150" t="s">
        <v>2279</v>
      </c>
      <c r="B1466" s="355" t="s">
        <v>448</v>
      </c>
      <c r="C1466" s="355" t="s">
        <v>2524</v>
      </c>
      <c r="D1466" s="356" t="s">
        <v>2525</v>
      </c>
      <c r="E1466" s="114">
        <v>2</v>
      </c>
      <c r="F1466" s="114" t="s">
        <v>210</v>
      </c>
      <c r="G1466" s="114" t="s">
        <v>5</v>
      </c>
      <c r="H1466" s="114" t="s">
        <v>3</v>
      </c>
      <c r="I1466" s="114"/>
      <c r="J1466" s="114"/>
      <c r="K1466" s="356" t="s">
        <v>2553</v>
      </c>
      <c r="L1466" s="356"/>
      <c r="M1466" s="356"/>
      <c r="N1466" s="356"/>
      <c r="O1466" s="357">
        <v>43465</v>
      </c>
      <c r="P1466" s="357"/>
      <c r="Q1466" s="357"/>
      <c r="R1466" s="357"/>
      <c r="S1466" s="117"/>
      <c r="T1466" s="117"/>
      <c r="U1466" s="358">
        <v>0</v>
      </c>
      <c r="V1466" s="358">
        <v>0</v>
      </c>
      <c r="W1466" s="358">
        <v>0</v>
      </c>
      <c r="X1466" s="358">
        <f t="shared" si="455"/>
        <v>0</v>
      </c>
      <c r="Y1466" s="358">
        <v>0</v>
      </c>
      <c r="Z1466" s="358">
        <v>0</v>
      </c>
      <c r="AA1466" s="358">
        <v>0</v>
      </c>
      <c r="AB1466" s="358">
        <v>0</v>
      </c>
      <c r="AC1466" s="358">
        <v>0</v>
      </c>
      <c r="AD1466" s="358">
        <v>0</v>
      </c>
      <c r="AE1466" s="358">
        <v>0</v>
      </c>
      <c r="AF1466" s="358">
        <v>0</v>
      </c>
      <c r="AG1466" s="358">
        <v>0</v>
      </c>
      <c r="AH1466" s="358">
        <v>0</v>
      </c>
      <c r="AI1466" s="358">
        <v>0</v>
      </c>
      <c r="AJ1466" s="358">
        <v>0</v>
      </c>
      <c r="AK1466" s="358">
        <f t="shared" si="458"/>
        <v>0</v>
      </c>
      <c r="AL1466" s="358">
        <v>0</v>
      </c>
      <c r="AM1466" s="358">
        <v>0</v>
      </c>
      <c r="AN1466" s="358">
        <v>0</v>
      </c>
      <c r="AO1466" s="358">
        <v>0</v>
      </c>
      <c r="AP1466" s="358">
        <v>0</v>
      </c>
      <c r="AQ1466" s="358">
        <v>0</v>
      </c>
      <c r="AR1466" s="358">
        <v>0</v>
      </c>
      <c r="AS1466" s="358">
        <f t="shared" ref="AS1466:AS1497" si="459">U1466+V1466+W1466+AK1466+AL1466+AM1466+AN1466+AO1466+AP1466+AQ1466+AR1466</f>
        <v>0</v>
      </c>
      <c r="AT1466" s="145">
        <v>0</v>
      </c>
      <c r="AU1466" s="139">
        <f t="shared" si="444"/>
        <v>0</v>
      </c>
      <c r="AV1466" s="146">
        <f>IFERROR(VLOOKUP(J1466,Maksājumu_pieprasījumu_iesn.!G:BL,57,0),0)</f>
        <v>0</v>
      </c>
      <c r="AW1466" s="139">
        <f t="shared" si="447"/>
        <v>0</v>
      </c>
      <c r="AX1466" s="358"/>
      <c r="AY1466" s="358"/>
      <c r="AZ1466" s="358"/>
      <c r="BA1466" s="360"/>
      <c r="BB1466" s="358"/>
      <c r="BC1466" s="358"/>
      <c r="BD1466" s="358"/>
      <c r="BE1466" s="358"/>
      <c r="BF1466" s="358"/>
      <c r="BG1466" s="358"/>
      <c r="BH1466" s="360"/>
      <c r="BI1466" s="360"/>
      <c r="BJ1466" s="360"/>
      <c r="BK1466" s="360"/>
      <c r="BL1466" s="360"/>
      <c r="BM1466" s="360"/>
      <c r="BN1466" s="360"/>
    </row>
    <row r="1467" spans="1:66" s="91" customFormat="1" ht="25.5" hidden="1" customHeight="1" outlineLevel="1" x14ac:dyDescent="0.2">
      <c r="A1467" s="150" t="s">
        <v>2279</v>
      </c>
      <c r="B1467" s="355" t="s">
        <v>448</v>
      </c>
      <c r="C1467" s="355" t="s">
        <v>2524</v>
      </c>
      <c r="D1467" s="356" t="s">
        <v>2525</v>
      </c>
      <c r="E1467" s="114">
        <v>2</v>
      </c>
      <c r="F1467" s="114" t="s">
        <v>210</v>
      </c>
      <c r="G1467" s="114" t="s">
        <v>5</v>
      </c>
      <c r="H1467" s="114" t="s">
        <v>3</v>
      </c>
      <c r="I1467" s="114"/>
      <c r="J1467" s="114"/>
      <c r="K1467" s="356" t="s">
        <v>2554</v>
      </c>
      <c r="L1467" s="356"/>
      <c r="M1467" s="356"/>
      <c r="N1467" s="356"/>
      <c r="O1467" s="357">
        <v>43465</v>
      </c>
      <c r="P1467" s="357"/>
      <c r="Q1467" s="357"/>
      <c r="R1467" s="357"/>
      <c r="S1467" s="117"/>
      <c r="T1467" s="117"/>
      <c r="U1467" s="358">
        <v>0</v>
      </c>
      <c r="V1467" s="358">
        <v>0</v>
      </c>
      <c r="W1467" s="358">
        <v>0</v>
      </c>
      <c r="X1467" s="358">
        <f t="shared" si="455"/>
        <v>0</v>
      </c>
      <c r="Y1467" s="358">
        <v>0</v>
      </c>
      <c r="Z1467" s="358">
        <v>0</v>
      </c>
      <c r="AA1467" s="358">
        <v>0</v>
      </c>
      <c r="AB1467" s="358">
        <v>0</v>
      </c>
      <c r="AC1467" s="358">
        <v>0</v>
      </c>
      <c r="AD1467" s="358">
        <v>0</v>
      </c>
      <c r="AE1467" s="358">
        <v>0</v>
      </c>
      <c r="AF1467" s="358">
        <v>0</v>
      </c>
      <c r="AG1467" s="358">
        <v>0</v>
      </c>
      <c r="AH1467" s="358">
        <v>0</v>
      </c>
      <c r="AI1467" s="358">
        <v>0</v>
      </c>
      <c r="AJ1467" s="358">
        <v>0</v>
      </c>
      <c r="AK1467" s="358">
        <f t="shared" si="458"/>
        <v>0</v>
      </c>
      <c r="AL1467" s="358">
        <v>0</v>
      </c>
      <c r="AM1467" s="358">
        <v>0</v>
      </c>
      <c r="AN1467" s="358">
        <v>0</v>
      </c>
      <c r="AO1467" s="358">
        <v>0</v>
      </c>
      <c r="AP1467" s="358">
        <v>0</v>
      </c>
      <c r="AQ1467" s="358">
        <v>0</v>
      </c>
      <c r="AR1467" s="358">
        <v>0</v>
      </c>
      <c r="AS1467" s="358">
        <f t="shared" si="459"/>
        <v>0</v>
      </c>
      <c r="AT1467" s="145">
        <v>0</v>
      </c>
      <c r="AU1467" s="139">
        <f t="shared" si="444"/>
        <v>0</v>
      </c>
      <c r="AV1467" s="146">
        <f>IFERROR(VLOOKUP(J1467,Maksājumu_pieprasījumu_iesn.!G:BL,57,0),0)</f>
        <v>0</v>
      </c>
      <c r="AW1467" s="139">
        <f t="shared" si="447"/>
        <v>0</v>
      </c>
      <c r="AX1467" s="358"/>
      <c r="AY1467" s="358"/>
      <c r="AZ1467" s="358"/>
      <c r="BA1467" s="360"/>
      <c r="BB1467" s="358"/>
      <c r="BC1467" s="358"/>
      <c r="BD1467" s="358"/>
      <c r="BE1467" s="358"/>
      <c r="BF1467" s="358"/>
      <c r="BG1467" s="358"/>
      <c r="BH1467" s="360"/>
      <c r="BI1467" s="360"/>
      <c r="BJ1467" s="360"/>
      <c r="BK1467" s="360"/>
      <c r="BL1467" s="360"/>
      <c r="BM1467" s="360"/>
      <c r="BN1467" s="360"/>
    </row>
    <row r="1468" spans="1:66" s="91" customFormat="1" ht="25.5" hidden="1" customHeight="1" outlineLevel="1" x14ac:dyDescent="0.2">
      <c r="A1468" s="150" t="s">
        <v>2279</v>
      </c>
      <c r="B1468" s="355" t="s">
        <v>448</v>
      </c>
      <c r="C1468" s="355" t="s">
        <v>2524</v>
      </c>
      <c r="D1468" s="356" t="s">
        <v>2525</v>
      </c>
      <c r="E1468" s="114">
        <v>2</v>
      </c>
      <c r="F1468" s="114" t="s">
        <v>210</v>
      </c>
      <c r="G1468" s="114" t="s">
        <v>5</v>
      </c>
      <c r="H1468" s="114" t="s">
        <v>3</v>
      </c>
      <c r="I1468" s="114"/>
      <c r="J1468" s="114"/>
      <c r="K1468" s="356" t="s">
        <v>2555</v>
      </c>
      <c r="L1468" s="356"/>
      <c r="M1468" s="356"/>
      <c r="N1468" s="356"/>
      <c r="O1468" s="357">
        <v>43465</v>
      </c>
      <c r="P1468" s="357"/>
      <c r="Q1468" s="357"/>
      <c r="R1468" s="357"/>
      <c r="S1468" s="117"/>
      <c r="T1468" s="117"/>
      <c r="U1468" s="358">
        <v>0</v>
      </c>
      <c r="V1468" s="358">
        <v>0</v>
      </c>
      <c r="W1468" s="358">
        <v>0</v>
      </c>
      <c r="X1468" s="358">
        <f t="shared" si="455"/>
        <v>0</v>
      </c>
      <c r="Y1468" s="358">
        <v>0</v>
      </c>
      <c r="Z1468" s="358">
        <v>0</v>
      </c>
      <c r="AA1468" s="358">
        <v>0</v>
      </c>
      <c r="AB1468" s="358">
        <v>0</v>
      </c>
      <c r="AC1468" s="358">
        <v>0</v>
      </c>
      <c r="AD1468" s="358">
        <v>0</v>
      </c>
      <c r="AE1468" s="358">
        <v>0</v>
      </c>
      <c r="AF1468" s="358">
        <v>0</v>
      </c>
      <c r="AG1468" s="358">
        <v>0</v>
      </c>
      <c r="AH1468" s="358">
        <v>0</v>
      </c>
      <c r="AI1468" s="358">
        <v>0</v>
      </c>
      <c r="AJ1468" s="358">
        <v>0</v>
      </c>
      <c r="AK1468" s="358">
        <f t="shared" si="458"/>
        <v>0</v>
      </c>
      <c r="AL1468" s="358">
        <v>0</v>
      </c>
      <c r="AM1468" s="358">
        <v>0</v>
      </c>
      <c r="AN1468" s="358">
        <v>0</v>
      </c>
      <c r="AO1468" s="358">
        <v>0</v>
      </c>
      <c r="AP1468" s="358">
        <v>0</v>
      </c>
      <c r="AQ1468" s="358">
        <v>0</v>
      </c>
      <c r="AR1468" s="358">
        <v>0</v>
      </c>
      <c r="AS1468" s="358">
        <f t="shared" si="459"/>
        <v>0</v>
      </c>
      <c r="AT1468" s="145">
        <v>0</v>
      </c>
      <c r="AU1468" s="139">
        <f t="shared" si="444"/>
        <v>0</v>
      </c>
      <c r="AV1468" s="146">
        <f>IFERROR(VLOOKUP(J1468,Maksājumu_pieprasījumu_iesn.!G:BL,57,0),0)</f>
        <v>0</v>
      </c>
      <c r="AW1468" s="139">
        <f t="shared" si="447"/>
        <v>0</v>
      </c>
      <c r="AX1468" s="358"/>
      <c r="AY1468" s="358"/>
      <c r="AZ1468" s="358"/>
      <c r="BA1468" s="360"/>
      <c r="BB1468" s="358"/>
      <c r="BC1468" s="358"/>
      <c r="BD1468" s="358"/>
      <c r="BE1468" s="358"/>
      <c r="BF1468" s="358"/>
      <c r="BG1468" s="358"/>
      <c r="BH1468" s="360"/>
      <c r="BI1468" s="360"/>
      <c r="BJ1468" s="360"/>
      <c r="BK1468" s="360"/>
      <c r="BL1468" s="360"/>
      <c r="BM1468" s="360"/>
      <c r="BN1468" s="360"/>
    </row>
    <row r="1469" spans="1:66" s="91" customFormat="1" ht="25.5" hidden="1" customHeight="1" outlineLevel="1" x14ac:dyDescent="0.2">
      <c r="A1469" s="150" t="s">
        <v>2279</v>
      </c>
      <c r="B1469" s="355" t="s">
        <v>448</v>
      </c>
      <c r="C1469" s="355" t="s">
        <v>2524</v>
      </c>
      <c r="D1469" s="356" t="s">
        <v>2525</v>
      </c>
      <c r="E1469" s="114">
        <v>2</v>
      </c>
      <c r="F1469" s="114" t="s">
        <v>210</v>
      </c>
      <c r="G1469" s="114" t="s">
        <v>5</v>
      </c>
      <c r="H1469" s="114" t="s">
        <v>3</v>
      </c>
      <c r="I1469" s="114"/>
      <c r="J1469" s="114"/>
      <c r="K1469" s="356" t="s">
        <v>2556</v>
      </c>
      <c r="L1469" s="356"/>
      <c r="M1469" s="356"/>
      <c r="N1469" s="356"/>
      <c r="O1469" s="357">
        <v>43465</v>
      </c>
      <c r="P1469" s="357"/>
      <c r="Q1469" s="357"/>
      <c r="R1469" s="357"/>
      <c r="S1469" s="117"/>
      <c r="T1469" s="117"/>
      <c r="U1469" s="358">
        <v>0</v>
      </c>
      <c r="V1469" s="358">
        <v>0</v>
      </c>
      <c r="W1469" s="358">
        <v>0</v>
      </c>
      <c r="X1469" s="358">
        <f t="shared" si="455"/>
        <v>0</v>
      </c>
      <c r="Y1469" s="358">
        <v>0</v>
      </c>
      <c r="Z1469" s="358">
        <v>0</v>
      </c>
      <c r="AA1469" s="358">
        <v>0</v>
      </c>
      <c r="AB1469" s="358">
        <v>0</v>
      </c>
      <c r="AC1469" s="358">
        <v>0</v>
      </c>
      <c r="AD1469" s="358">
        <v>0</v>
      </c>
      <c r="AE1469" s="358">
        <v>0</v>
      </c>
      <c r="AF1469" s="358">
        <v>0</v>
      </c>
      <c r="AG1469" s="358">
        <v>0</v>
      </c>
      <c r="AH1469" s="358">
        <v>0</v>
      </c>
      <c r="AI1469" s="358">
        <v>0</v>
      </c>
      <c r="AJ1469" s="358">
        <v>0</v>
      </c>
      <c r="AK1469" s="358">
        <f t="shared" si="458"/>
        <v>0</v>
      </c>
      <c r="AL1469" s="358">
        <v>0</v>
      </c>
      <c r="AM1469" s="358">
        <v>0</v>
      </c>
      <c r="AN1469" s="358">
        <v>0</v>
      </c>
      <c r="AO1469" s="358">
        <v>0</v>
      </c>
      <c r="AP1469" s="358">
        <v>0</v>
      </c>
      <c r="AQ1469" s="358">
        <v>0</v>
      </c>
      <c r="AR1469" s="358">
        <v>0</v>
      </c>
      <c r="AS1469" s="358">
        <f t="shared" si="459"/>
        <v>0</v>
      </c>
      <c r="AT1469" s="145">
        <v>0</v>
      </c>
      <c r="AU1469" s="139">
        <f t="shared" si="444"/>
        <v>0</v>
      </c>
      <c r="AV1469" s="146">
        <f>IFERROR(VLOOKUP(J1469,Maksājumu_pieprasījumu_iesn.!G:BL,57,0),0)</f>
        <v>0</v>
      </c>
      <c r="AW1469" s="139">
        <f t="shared" si="447"/>
        <v>0</v>
      </c>
      <c r="AX1469" s="358"/>
      <c r="AY1469" s="358"/>
      <c r="AZ1469" s="358"/>
      <c r="BA1469" s="360"/>
      <c r="BB1469" s="358"/>
      <c r="BC1469" s="358"/>
      <c r="BD1469" s="358"/>
      <c r="BE1469" s="358"/>
      <c r="BF1469" s="358"/>
      <c r="BG1469" s="358"/>
      <c r="BH1469" s="360"/>
      <c r="BI1469" s="360"/>
      <c r="BJ1469" s="360"/>
      <c r="BK1469" s="360"/>
      <c r="BL1469" s="360"/>
      <c r="BM1469" s="360"/>
      <c r="BN1469" s="360"/>
    </row>
    <row r="1470" spans="1:66" s="91" customFormat="1" ht="25.5" hidden="1" customHeight="1" outlineLevel="1" x14ac:dyDescent="0.2">
      <c r="A1470" s="150" t="s">
        <v>2279</v>
      </c>
      <c r="B1470" s="355" t="s">
        <v>448</v>
      </c>
      <c r="C1470" s="355" t="s">
        <v>2524</v>
      </c>
      <c r="D1470" s="356" t="s">
        <v>2525</v>
      </c>
      <c r="E1470" s="114">
        <v>2</v>
      </c>
      <c r="F1470" s="114" t="s">
        <v>210</v>
      </c>
      <c r="G1470" s="114" t="s">
        <v>5</v>
      </c>
      <c r="H1470" s="114" t="s">
        <v>3</v>
      </c>
      <c r="I1470" s="114"/>
      <c r="J1470" s="114"/>
      <c r="K1470" s="356" t="s">
        <v>2557</v>
      </c>
      <c r="L1470" s="356"/>
      <c r="M1470" s="356"/>
      <c r="N1470" s="356"/>
      <c r="O1470" s="357">
        <v>43465</v>
      </c>
      <c r="P1470" s="357"/>
      <c r="Q1470" s="357"/>
      <c r="R1470" s="357"/>
      <c r="S1470" s="117"/>
      <c r="T1470" s="117"/>
      <c r="U1470" s="358">
        <v>0</v>
      </c>
      <c r="V1470" s="358">
        <v>0</v>
      </c>
      <c r="W1470" s="358">
        <v>0</v>
      </c>
      <c r="X1470" s="358">
        <f t="shared" si="455"/>
        <v>0</v>
      </c>
      <c r="Y1470" s="358">
        <v>0</v>
      </c>
      <c r="Z1470" s="358">
        <v>0</v>
      </c>
      <c r="AA1470" s="358">
        <v>0</v>
      </c>
      <c r="AB1470" s="358">
        <v>0</v>
      </c>
      <c r="AC1470" s="358">
        <v>0</v>
      </c>
      <c r="AD1470" s="358">
        <v>0</v>
      </c>
      <c r="AE1470" s="358">
        <v>0</v>
      </c>
      <c r="AF1470" s="358">
        <v>0</v>
      </c>
      <c r="AG1470" s="358">
        <v>0</v>
      </c>
      <c r="AH1470" s="358">
        <v>0</v>
      </c>
      <c r="AI1470" s="358">
        <v>0</v>
      </c>
      <c r="AJ1470" s="358">
        <v>0</v>
      </c>
      <c r="AK1470" s="358">
        <f t="shared" si="458"/>
        <v>0</v>
      </c>
      <c r="AL1470" s="358">
        <v>0</v>
      </c>
      <c r="AM1470" s="358">
        <v>0</v>
      </c>
      <c r="AN1470" s="358">
        <v>0</v>
      </c>
      <c r="AO1470" s="358">
        <v>0</v>
      </c>
      <c r="AP1470" s="358">
        <v>0</v>
      </c>
      <c r="AQ1470" s="358">
        <v>0</v>
      </c>
      <c r="AR1470" s="358">
        <v>0</v>
      </c>
      <c r="AS1470" s="358">
        <f t="shared" si="459"/>
        <v>0</v>
      </c>
      <c r="AT1470" s="145">
        <v>0</v>
      </c>
      <c r="AU1470" s="139">
        <f t="shared" si="444"/>
        <v>0</v>
      </c>
      <c r="AV1470" s="146">
        <f>IFERROR(VLOOKUP(J1470,Maksājumu_pieprasījumu_iesn.!G:BL,57,0),0)</f>
        <v>0</v>
      </c>
      <c r="AW1470" s="139">
        <f t="shared" si="447"/>
        <v>0</v>
      </c>
      <c r="AX1470" s="358"/>
      <c r="AY1470" s="358"/>
      <c r="AZ1470" s="358"/>
      <c r="BA1470" s="360"/>
      <c r="BB1470" s="358"/>
      <c r="BC1470" s="358"/>
      <c r="BD1470" s="358"/>
      <c r="BE1470" s="358"/>
      <c r="BF1470" s="358"/>
      <c r="BG1470" s="358"/>
      <c r="BH1470" s="360"/>
      <c r="BI1470" s="360"/>
      <c r="BJ1470" s="360"/>
      <c r="BK1470" s="360"/>
      <c r="BL1470" s="360"/>
      <c r="BM1470" s="360"/>
      <c r="BN1470" s="360"/>
    </row>
    <row r="1471" spans="1:66" s="91" customFormat="1" ht="25.5" hidden="1" customHeight="1" outlineLevel="1" x14ac:dyDescent="0.2">
      <c r="A1471" s="150" t="s">
        <v>2279</v>
      </c>
      <c r="B1471" s="355" t="s">
        <v>448</v>
      </c>
      <c r="C1471" s="355" t="s">
        <v>2524</v>
      </c>
      <c r="D1471" s="356" t="s">
        <v>2525</v>
      </c>
      <c r="E1471" s="114">
        <v>2</v>
      </c>
      <c r="F1471" s="114" t="s">
        <v>210</v>
      </c>
      <c r="G1471" s="114" t="s">
        <v>5</v>
      </c>
      <c r="H1471" s="114" t="s">
        <v>3</v>
      </c>
      <c r="I1471" s="114"/>
      <c r="J1471" s="114"/>
      <c r="K1471" s="356" t="s">
        <v>2558</v>
      </c>
      <c r="L1471" s="356"/>
      <c r="M1471" s="356"/>
      <c r="N1471" s="356"/>
      <c r="O1471" s="357">
        <v>43465</v>
      </c>
      <c r="P1471" s="357"/>
      <c r="Q1471" s="357"/>
      <c r="R1471" s="357"/>
      <c r="S1471" s="117"/>
      <c r="T1471" s="117"/>
      <c r="U1471" s="358">
        <v>0</v>
      </c>
      <c r="V1471" s="358">
        <v>0</v>
      </c>
      <c r="W1471" s="358">
        <v>0</v>
      </c>
      <c r="X1471" s="358">
        <f t="shared" si="455"/>
        <v>0</v>
      </c>
      <c r="Y1471" s="358">
        <v>0</v>
      </c>
      <c r="Z1471" s="358">
        <v>0</v>
      </c>
      <c r="AA1471" s="358">
        <v>0</v>
      </c>
      <c r="AB1471" s="358">
        <v>0</v>
      </c>
      <c r="AC1471" s="358">
        <v>0</v>
      </c>
      <c r="AD1471" s="358">
        <v>0</v>
      </c>
      <c r="AE1471" s="358">
        <v>0</v>
      </c>
      <c r="AF1471" s="358">
        <v>0</v>
      </c>
      <c r="AG1471" s="358">
        <v>0</v>
      </c>
      <c r="AH1471" s="358">
        <v>0</v>
      </c>
      <c r="AI1471" s="358">
        <v>0</v>
      </c>
      <c r="AJ1471" s="358">
        <v>0</v>
      </c>
      <c r="AK1471" s="358">
        <f t="shared" si="458"/>
        <v>0</v>
      </c>
      <c r="AL1471" s="358">
        <v>0</v>
      </c>
      <c r="AM1471" s="358">
        <v>0</v>
      </c>
      <c r="AN1471" s="358">
        <v>0</v>
      </c>
      <c r="AO1471" s="358">
        <v>0</v>
      </c>
      <c r="AP1471" s="358">
        <v>0</v>
      </c>
      <c r="AQ1471" s="358">
        <v>0</v>
      </c>
      <c r="AR1471" s="358">
        <v>0</v>
      </c>
      <c r="AS1471" s="358">
        <f t="shared" si="459"/>
        <v>0</v>
      </c>
      <c r="AT1471" s="145">
        <v>0</v>
      </c>
      <c r="AU1471" s="139">
        <f t="shared" ref="AU1471:AU1534" si="460">AS1471-AT1471</f>
        <v>0</v>
      </c>
      <c r="AV1471" s="146">
        <f>IFERROR(VLOOKUP(J1471,Maksājumu_pieprasījumu_iesn.!G:BL,57,0),0)</f>
        <v>0</v>
      </c>
      <c r="AW1471" s="139">
        <f t="shared" si="447"/>
        <v>0</v>
      </c>
      <c r="AX1471" s="358"/>
      <c r="AY1471" s="358"/>
      <c r="AZ1471" s="358"/>
      <c r="BA1471" s="360"/>
      <c r="BB1471" s="358"/>
      <c r="BC1471" s="358"/>
      <c r="BD1471" s="358"/>
      <c r="BE1471" s="358"/>
      <c r="BF1471" s="358"/>
      <c r="BG1471" s="358"/>
      <c r="BH1471" s="360"/>
      <c r="BI1471" s="360"/>
      <c r="BJ1471" s="360"/>
      <c r="BK1471" s="360"/>
      <c r="BL1471" s="360"/>
      <c r="BM1471" s="360"/>
      <c r="BN1471" s="360"/>
    </row>
    <row r="1472" spans="1:66" s="91" customFormat="1" ht="25.5" hidden="1" customHeight="1" outlineLevel="1" x14ac:dyDescent="0.2">
      <c r="A1472" s="150" t="s">
        <v>2279</v>
      </c>
      <c r="B1472" s="355" t="s">
        <v>448</v>
      </c>
      <c r="C1472" s="355" t="s">
        <v>2524</v>
      </c>
      <c r="D1472" s="356" t="s">
        <v>2525</v>
      </c>
      <c r="E1472" s="114">
        <v>2</v>
      </c>
      <c r="F1472" s="114" t="s">
        <v>210</v>
      </c>
      <c r="G1472" s="114" t="s">
        <v>5</v>
      </c>
      <c r="H1472" s="114" t="s">
        <v>3</v>
      </c>
      <c r="I1472" s="114"/>
      <c r="J1472" s="114"/>
      <c r="K1472" s="356" t="s">
        <v>2559</v>
      </c>
      <c r="L1472" s="356"/>
      <c r="M1472" s="356"/>
      <c r="N1472" s="356"/>
      <c r="O1472" s="357">
        <v>43465</v>
      </c>
      <c r="P1472" s="357"/>
      <c r="Q1472" s="357"/>
      <c r="R1472" s="357"/>
      <c r="S1472" s="117"/>
      <c r="T1472" s="117"/>
      <c r="U1472" s="358">
        <v>0</v>
      </c>
      <c r="V1472" s="358">
        <v>0</v>
      </c>
      <c r="W1472" s="358">
        <v>0</v>
      </c>
      <c r="X1472" s="358">
        <f t="shared" si="455"/>
        <v>0</v>
      </c>
      <c r="Y1472" s="358">
        <v>0</v>
      </c>
      <c r="Z1472" s="358">
        <v>0</v>
      </c>
      <c r="AA1472" s="358">
        <v>0</v>
      </c>
      <c r="AB1472" s="358">
        <v>0</v>
      </c>
      <c r="AC1472" s="358">
        <v>0</v>
      </c>
      <c r="AD1472" s="358">
        <v>0</v>
      </c>
      <c r="AE1472" s="358">
        <v>0</v>
      </c>
      <c r="AF1472" s="358">
        <v>0</v>
      </c>
      <c r="AG1472" s="358">
        <v>0</v>
      </c>
      <c r="AH1472" s="358">
        <v>0</v>
      </c>
      <c r="AI1472" s="358">
        <v>0</v>
      </c>
      <c r="AJ1472" s="358">
        <v>0</v>
      </c>
      <c r="AK1472" s="358">
        <f t="shared" si="458"/>
        <v>0</v>
      </c>
      <c r="AL1472" s="358">
        <v>0</v>
      </c>
      <c r="AM1472" s="358">
        <v>0</v>
      </c>
      <c r="AN1472" s="358">
        <v>0</v>
      </c>
      <c r="AO1472" s="358">
        <v>0</v>
      </c>
      <c r="AP1472" s="358">
        <v>0</v>
      </c>
      <c r="AQ1472" s="358">
        <v>0</v>
      </c>
      <c r="AR1472" s="358">
        <v>0</v>
      </c>
      <c r="AS1472" s="358">
        <f t="shared" si="459"/>
        <v>0</v>
      </c>
      <c r="AT1472" s="145">
        <v>0</v>
      </c>
      <c r="AU1472" s="139">
        <f t="shared" si="460"/>
        <v>0</v>
      </c>
      <c r="AV1472" s="146">
        <f>IFERROR(VLOOKUP(J1472,Maksājumu_pieprasījumu_iesn.!G:BL,57,0),0)</f>
        <v>0</v>
      </c>
      <c r="AW1472" s="139">
        <f t="shared" si="447"/>
        <v>0</v>
      </c>
      <c r="AX1472" s="358"/>
      <c r="AY1472" s="358"/>
      <c r="AZ1472" s="358"/>
      <c r="BA1472" s="360"/>
      <c r="BB1472" s="358"/>
      <c r="BC1472" s="358"/>
      <c r="BD1472" s="358"/>
      <c r="BE1472" s="358"/>
      <c r="BF1472" s="358"/>
      <c r="BG1472" s="358"/>
      <c r="BH1472" s="360"/>
      <c r="BI1472" s="360"/>
      <c r="BJ1472" s="360"/>
      <c r="BK1472" s="360"/>
      <c r="BL1472" s="360"/>
      <c r="BM1472" s="360"/>
      <c r="BN1472" s="360"/>
    </row>
    <row r="1473" spans="1:66" s="91" customFormat="1" ht="25.5" hidden="1" customHeight="1" outlineLevel="1" x14ac:dyDescent="0.2">
      <c r="A1473" s="150" t="s">
        <v>2279</v>
      </c>
      <c r="B1473" s="355" t="s">
        <v>448</v>
      </c>
      <c r="C1473" s="355" t="s">
        <v>2524</v>
      </c>
      <c r="D1473" s="356" t="s">
        <v>2525</v>
      </c>
      <c r="E1473" s="114">
        <v>2</v>
      </c>
      <c r="F1473" s="114" t="s">
        <v>210</v>
      </c>
      <c r="G1473" s="114" t="s">
        <v>5</v>
      </c>
      <c r="H1473" s="114" t="s">
        <v>3</v>
      </c>
      <c r="I1473" s="114"/>
      <c r="J1473" s="114"/>
      <c r="K1473" s="356" t="s">
        <v>2560</v>
      </c>
      <c r="L1473" s="356"/>
      <c r="M1473" s="356"/>
      <c r="N1473" s="356"/>
      <c r="O1473" s="357">
        <v>43465</v>
      </c>
      <c r="P1473" s="357"/>
      <c r="Q1473" s="357"/>
      <c r="R1473" s="357"/>
      <c r="S1473" s="117"/>
      <c r="T1473" s="117"/>
      <c r="U1473" s="358">
        <v>0</v>
      </c>
      <c r="V1473" s="358">
        <v>0</v>
      </c>
      <c r="W1473" s="358">
        <v>0</v>
      </c>
      <c r="X1473" s="358">
        <f t="shared" si="455"/>
        <v>0</v>
      </c>
      <c r="Y1473" s="358">
        <v>0</v>
      </c>
      <c r="Z1473" s="358">
        <v>0</v>
      </c>
      <c r="AA1473" s="358">
        <v>0</v>
      </c>
      <c r="AB1473" s="358">
        <v>0</v>
      </c>
      <c r="AC1473" s="358">
        <v>0</v>
      </c>
      <c r="AD1473" s="358">
        <v>0</v>
      </c>
      <c r="AE1473" s="358">
        <v>0</v>
      </c>
      <c r="AF1473" s="358">
        <v>0</v>
      </c>
      <c r="AG1473" s="358">
        <v>0</v>
      </c>
      <c r="AH1473" s="358">
        <v>0</v>
      </c>
      <c r="AI1473" s="358">
        <v>0</v>
      </c>
      <c r="AJ1473" s="358">
        <v>0</v>
      </c>
      <c r="AK1473" s="358">
        <f t="shared" si="458"/>
        <v>0</v>
      </c>
      <c r="AL1473" s="358">
        <v>0</v>
      </c>
      <c r="AM1473" s="358">
        <v>0</v>
      </c>
      <c r="AN1473" s="358">
        <v>0</v>
      </c>
      <c r="AO1473" s="358">
        <v>0</v>
      </c>
      <c r="AP1473" s="358">
        <v>0</v>
      </c>
      <c r="AQ1473" s="358">
        <v>0</v>
      </c>
      <c r="AR1473" s="358">
        <v>0</v>
      </c>
      <c r="AS1473" s="358">
        <f t="shared" si="459"/>
        <v>0</v>
      </c>
      <c r="AT1473" s="145">
        <v>0</v>
      </c>
      <c r="AU1473" s="139">
        <f t="shared" si="460"/>
        <v>0</v>
      </c>
      <c r="AV1473" s="146">
        <f>IFERROR(VLOOKUP(J1473,Maksājumu_pieprasījumu_iesn.!G:BL,57,0),0)</f>
        <v>0</v>
      </c>
      <c r="AW1473" s="139">
        <f t="shared" si="447"/>
        <v>0</v>
      </c>
      <c r="AX1473" s="358"/>
      <c r="AY1473" s="358"/>
      <c r="AZ1473" s="358"/>
      <c r="BA1473" s="360"/>
      <c r="BB1473" s="358"/>
      <c r="BC1473" s="358"/>
      <c r="BD1473" s="358"/>
      <c r="BE1473" s="358"/>
      <c r="BF1473" s="358"/>
      <c r="BG1473" s="358"/>
      <c r="BH1473" s="360"/>
      <c r="BI1473" s="360"/>
      <c r="BJ1473" s="360"/>
      <c r="BK1473" s="360"/>
      <c r="BL1473" s="360"/>
      <c r="BM1473" s="360"/>
      <c r="BN1473" s="360"/>
    </row>
    <row r="1474" spans="1:66" s="91" customFormat="1" ht="25.5" hidden="1" customHeight="1" outlineLevel="1" x14ac:dyDescent="0.2">
      <c r="A1474" s="150" t="s">
        <v>2279</v>
      </c>
      <c r="B1474" s="355" t="s">
        <v>448</v>
      </c>
      <c r="C1474" s="355" t="s">
        <v>2524</v>
      </c>
      <c r="D1474" s="356" t="s">
        <v>2525</v>
      </c>
      <c r="E1474" s="114">
        <v>2</v>
      </c>
      <c r="F1474" s="114" t="s">
        <v>210</v>
      </c>
      <c r="G1474" s="114" t="s">
        <v>5</v>
      </c>
      <c r="H1474" s="114" t="s">
        <v>3</v>
      </c>
      <c r="I1474" s="114"/>
      <c r="J1474" s="114"/>
      <c r="K1474" s="356" t="s">
        <v>2561</v>
      </c>
      <c r="L1474" s="356"/>
      <c r="M1474" s="356"/>
      <c r="N1474" s="356"/>
      <c r="O1474" s="357">
        <v>43465</v>
      </c>
      <c r="P1474" s="357"/>
      <c r="Q1474" s="357"/>
      <c r="R1474" s="357"/>
      <c r="S1474" s="117"/>
      <c r="T1474" s="117"/>
      <c r="U1474" s="358">
        <v>0</v>
      </c>
      <c r="V1474" s="358">
        <v>0</v>
      </c>
      <c r="W1474" s="358">
        <v>0</v>
      </c>
      <c r="X1474" s="358">
        <f t="shared" si="455"/>
        <v>0</v>
      </c>
      <c r="Y1474" s="358">
        <v>0</v>
      </c>
      <c r="Z1474" s="358">
        <v>0</v>
      </c>
      <c r="AA1474" s="358">
        <v>0</v>
      </c>
      <c r="AB1474" s="358">
        <v>0</v>
      </c>
      <c r="AC1474" s="358">
        <v>0</v>
      </c>
      <c r="AD1474" s="358">
        <v>0</v>
      </c>
      <c r="AE1474" s="358">
        <v>0</v>
      </c>
      <c r="AF1474" s="358">
        <v>0</v>
      </c>
      <c r="AG1474" s="358">
        <v>0</v>
      </c>
      <c r="AH1474" s="358">
        <v>0</v>
      </c>
      <c r="AI1474" s="358">
        <v>0</v>
      </c>
      <c r="AJ1474" s="358">
        <v>0</v>
      </c>
      <c r="AK1474" s="358">
        <f t="shared" si="458"/>
        <v>0</v>
      </c>
      <c r="AL1474" s="358">
        <v>0</v>
      </c>
      <c r="AM1474" s="358">
        <v>0</v>
      </c>
      <c r="AN1474" s="358">
        <v>0</v>
      </c>
      <c r="AO1474" s="358">
        <v>0</v>
      </c>
      <c r="AP1474" s="358">
        <v>0</v>
      </c>
      <c r="AQ1474" s="358">
        <v>0</v>
      </c>
      <c r="AR1474" s="358">
        <v>0</v>
      </c>
      <c r="AS1474" s="358">
        <f t="shared" si="459"/>
        <v>0</v>
      </c>
      <c r="AT1474" s="145">
        <v>0</v>
      </c>
      <c r="AU1474" s="139">
        <f t="shared" si="460"/>
        <v>0</v>
      </c>
      <c r="AV1474" s="146">
        <f>IFERROR(VLOOKUP(J1474,Maksājumu_pieprasījumu_iesn.!G:BL,57,0),0)</f>
        <v>0</v>
      </c>
      <c r="AW1474" s="139">
        <f t="shared" si="447"/>
        <v>0</v>
      </c>
      <c r="AX1474" s="358"/>
      <c r="AY1474" s="358"/>
      <c r="AZ1474" s="358"/>
      <c r="BA1474" s="360"/>
      <c r="BB1474" s="358"/>
      <c r="BC1474" s="358"/>
      <c r="BD1474" s="358"/>
      <c r="BE1474" s="358"/>
      <c r="BF1474" s="358"/>
      <c r="BG1474" s="358"/>
      <c r="BH1474" s="360"/>
      <c r="BI1474" s="360"/>
      <c r="BJ1474" s="360"/>
      <c r="BK1474" s="360"/>
      <c r="BL1474" s="360"/>
      <c r="BM1474" s="360"/>
      <c r="BN1474" s="360"/>
    </row>
    <row r="1475" spans="1:66" s="91" customFormat="1" ht="25.5" hidden="1" customHeight="1" outlineLevel="1" x14ac:dyDescent="0.2">
      <c r="A1475" s="150" t="s">
        <v>2279</v>
      </c>
      <c r="B1475" s="355" t="s">
        <v>448</v>
      </c>
      <c r="C1475" s="355" t="s">
        <v>2524</v>
      </c>
      <c r="D1475" s="356" t="s">
        <v>2525</v>
      </c>
      <c r="E1475" s="114">
        <v>2</v>
      </c>
      <c r="F1475" s="114" t="s">
        <v>210</v>
      </c>
      <c r="G1475" s="114" t="s">
        <v>5</v>
      </c>
      <c r="H1475" s="114" t="s">
        <v>3</v>
      </c>
      <c r="I1475" s="114"/>
      <c r="J1475" s="114"/>
      <c r="K1475" s="356" t="s">
        <v>2562</v>
      </c>
      <c r="L1475" s="356"/>
      <c r="M1475" s="356"/>
      <c r="N1475" s="356"/>
      <c r="O1475" s="357">
        <v>43465</v>
      </c>
      <c r="P1475" s="357"/>
      <c r="Q1475" s="357"/>
      <c r="R1475" s="357"/>
      <c r="S1475" s="117"/>
      <c r="T1475" s="117"/>
      <c r="U1475" s="358">
        <v>0</v>
      </c>
      <c r="V1475" s="358">
        <v>0</v>
      </c>
      <c r="W1475" s="358">
        <v>0</v>
      </c>
      <c r="X1475" s="358">
        <f t="shared" si="455"/>
        <v>0</v>
      </c>
      <c r="Y1475" s="358">
        <v>0</v>
      </c>
      <c r="Z1475" s="358">
        <v>0</v>
      </c>
      <c r="AA1475" s="358">
        <v>0</v>
      </c>
      <c r="AB1475" s="358">
        <v>0</v>
      </c>
      <c r="AC1475" s="358">
        <v>0</v>
      </c>
      <c r="AD1475" s="358">
        <v>0</v>
      </c>
      <c r="AE1475" s="358">
        <v>0</v>
      </c>
      <c r="AF1475" s="358">
        <v>0</v>
      </c>
      <c r="AG1475" s="358">
        <v>0</v>
      </c>
      <c r="AH1475" s="358">
        <v>0</v>
      </c>
      <c r="AI1475" s="358">
        <v>0</v>
      </c>
      <c r="AJ1475" s="358">
        <v>0</v>
      </c>
      <c r="AK1475" s="358">
        <f t="shared" si="458"/>
        <v>0</v>
      </c>
      <c r="AL1475" s="358">
        <v>0</v>
      </c>
      <c r="AM1475" s="358">
        <v>0</v>
      </c>
      <c r="AN1475" s="358">
        <v>0</v>
      </c>
      <c r="AO1475" s="358">
        <v>0</v>
      </c>
      <c r="AP1475" s="358">
        <v>0</v>
      </c>
      <c r="AQ1475" s="358">
        <v>0</v>
      </c>
      <c r="AR1475" s="358">
        <v>0</v>
      </c>
      <c r="AS1475" s="358">
        <f t="shared" si="459"/>
        <v>0</v>
      </c>
      <c r="AT1475" s="145">
        <v>0</v>
      </c>
      <c r="AU1475" s="139">
        <f t="shared" si="460"/>
        <v>0</v>
      </c>
      <c r="AV1475" s="146">
        <f>IFERROR(VLOOKUP(J1475,Maksājumu_pieprasījumu_iesn.!G:BL,57,0),0)</f>
        <v>0</v>
      </c>
      <c r="AW1475" s="139">
        <f t="shared" si="447"/>
        <v>0</v>
      </c>
      <c r="AX1475" s="358"/>
      <c r="AY1475" s="358"/>
      <c r="AZ1475" s="358"/>
      <c r="BA1475" s="360"/>
      <c r="BB1475" s="358"/>
      <c r="BC1475" s="358"/>
      <c r="BD1475" s="358"/>
      <c r="BE1475" s="358"/>
      <c r="BF1475" s="358"/>
      <c r="BG1475" s="358"/>
      <c r="BH1475" s="360"/>
      <c r="BI1475" s="360"/>
      <c r="BJ1475" s="360"/>
      <c r="BK1475" s="360"/>
      <c r="BL1475" s="360"/>
      <c r="BM1475" s="360"/>
      <c r="BN1475" s="360"/>
    </row>
    <row r="1476" spans="1:66" s="91" customFormat="1" ht="25.5" hidden="1" customHeight="1" outlineLevel="1" x14ac:dyDescent="0.2">
      <c r="A1476" s="150" t="s">
        <v>2279</v>
      </c>
      <c r="B1476" s="355" t="s">
        <v>448</v>
      </c>
      <c r="C1476" s="355" t="s">
        <v>2524</v>
      </c>
      <c r="D1476" s="356" t="s">
        <v>2525</v>
      </c>
      <c r="E1476" s="114">
        <v>2</v>
      </c>
      <c r="F1476" s="114" t="s">
        <v>210</v>
      </c>
      <c r="G1476" s="114" t="s">
        <v>5</v>
      </c>
      <c r="H1476" s="114" t="s">
        <v>3</v>
      </c>
      <c r="I1476" s="114"/>
      <c r="J1476" s="114"/>
      <c r="K1476" s="356" t="s">
        <v>2563</v>
      </c>
      <c r="L1476" s="356"/>
      <c r="M1476" s="356"/>
      <c r="N1476" s="356"/>
      <c r="O1476" s="357">
        <v>43465</v>
      </c>
      <c r="P1476" s="357"/>
      <c r="Q1476" s="357"/>
      <c r="R1476" s="357"/>
      <c r="S1476" s="117"/>
      <c r="T1476" s="117"/>
      <c r="U1476" s="358">
        <v>0</v>
      </c>
      <c r="V1476" s="358">
        <v>0</v>
      </c>
      <c r="W1476" s="358">
        <v>0</v>
      </c>
      <c r="X1476" s="358">
        <f t="shared" si="455"/>
        <v>0</v>
      </c>
      <c r="Y1476" s="358">
        <v>0</v>
      </c>
      <c r="Z1476" s="358">
        <v>0</v>
      </c>
      <c r="AA1476" s="358">
        <v>0</v>
      </c>
      <c r="AB1476" s="358">
        <v>0</v>
      </c>
      <c r="AC1476" s="358">
        <v>0</v>
      </c>
      <c r="AD1476" s="358">
        <v>0</v>
      </c>
      <c r="AE1476" s="358">
        <v>0</v>
      </c>
      <c r="AF1476" s="358">
        <v>0</v>
      </c>
      <c r="AG1476" s="358">
        <v>0</v>
      </c>
      <c r="AH1476" s="358">
        <v>0</v>
      </c>
      <c r="AI1476" s="358">
        <v>0</v>
      </c>
      <c r="AJ1476" s="358">
        <v>0</v>
      </c>
      <c r="AK1476" s="358">
        <f t="shared" ref="AK1476:AK1507" si="461">SUM(Y1476:AJ1476)</f>
        <v>0</v>
      </c>
      <c r="AL1476" s="358">
        <v>0</v>
      </c>
      <c r="AM1476" s="358">
        <v>0</v>
      </c>
      <c r="AN1476" s="358">
        <v>0</v>
      </c>
      <c r="AO1476" s="358">
        <v>0</v>
      </c>
      <c r="AP1476" s="358">
        <v>0</v>
      </c>
      <c r="AQ1476" s="358">
        <v>0</v>
      </c>
      <c r="AR1476" s="358">
        <v>0</v>
      </c>
      <c r="AS1476" s="358">
        <f t="shared" si="459"/>
        <v>0</v>
      </c>
      <c r="AT1476" s="145">
        <v>0</v>
      </c>
      <c r="AU1476" s="139">
        <f t="shared" si="460"/>
        <v>0</v>
      </c>
      <c r="AV1476" s="146">
        <f>IFERROR(VLOOKUP(J1476,Maksājumu_pieprasījumu_iesn.!G:BL,57,0),0)</f>
        <v>0</v>
      </c>
      <c r="AW1476" s="139">
        <f t="shared" si="447"/>
        <v>0</v>
      </c>
      <c r="AX1476" s="358"/>
      <c r="AY1476" s="358"/>
      <c r="AZ1476" s="358"/>
      <c r="BA1476" s="360"/>
      <c r="BB1476" s="358"/>
      <c r="BC1476" s="358"/>
      <c r="BD1476" s="358"/>
      <c r="BE1476" s="358"/>
      <c r="BF1476" s="358"/>
      <c r="BG1476" s="358"/>
      <c r="BH1476" s="360"/>
      <c r="BI1476" s="360"/>
      <c r="BJ1476" s="360"/>
      <c r="BK1476" s="360"/>
      <c r="BL1476" s="360"/>
      <c r="BM1476" s="360"/>
      <c r="BN1476" s="360"/>
    </row>
    <row r="1477" spans="1:66" s="91" customFormat="1" ht="25.5" hidden="1" customHeight="1" outlineLevel="1" x14ac:dyDescent="0.2">
      <c r="A1477" s="150" t="s">
        <v>2279</v>
      </c>
      <c r="B1477" s="355" t="s">
        <v>448</v>
      </c>
      <c r="C1477" s="355" t="s">
        <v>2524</v>
      </c>
      <c r="D1477" s="356" t="s">
        <v>2525</v>
      </c>
      <c r="E1477" s="114">
        <v>2</v>
      </c>
      <c r="F1477" s="114" t="s">
        <v>210</v>
      </c>
      <c r="G1477" s="114" t="s">
        <v>5</v>
      </c>
      <c r="H1477" s="114" t="s">
        <v>3</v>
      </c>
      <c r="I1477" s="114"/>
      <c r="J1477" s="114"/>
      <c r="K1477" s="356" t="s">
        <v>2564</v>
      </c>
      <c r="L1477" s="356"/>
      <c r="M1477" s="356"/>
      <c r="N1477" s="356"/>
      <c r="O1477" s="357">
        <v>43465</v>
      </c>
      <c r="P1477" s="357"/>
      <c r="Q1477" s="357"/>
      <c r="R1477" s="357"/>
      <c r="S1477" s="117"/>
      <c r="T1477" s="117"/>
      <c r="U1477" s="358">
        <v>0</v>
      </c>
      <c r="V1477" s="358">
        <v>0</v>
      </c>
      <c r="W1477" s="358">
        <v>0</v>
      </c>
      <c r="X1477" s="358">
        <f t="shared" si="455"/>
        <v>0</v>
      </c>
      <c r="Y1477" s="358">
        <v>0</v>
      </c>
      <c r="Z1477" s="358">
        <v>0</v>
      </c>
      <c r="AA1477" s="358">
        <v>0</v>
      </c>
      <c r="AB1477" s="358">
        <v>0</v>
      </c>
      <c r="AC1477" s="358">
        <v>0</v>
      </c>
      <c r="AD1477" s="358">
        <v>0</v>
      </c>
      <c r="AE1477" s="358">
        <v>0</v>
      </c>
      <c r="AF1477" s="358">
        <v>0</v>
      </c>
      <c r="AG1477" s="358">
        <v>0</v>
      </c>
      <c r="AH1477" s="358">
        <v>0</v>
      </c>
      <c r="AI1477" s="358">
        <v>0</v>
      </c>
      <c r="AJ1477" s="358">
        <v>0</v>
      </c>
      <c r="AK1477" s="358">
        <f t="shared" si="461"/>
        <v>0</v>
      </c>
      <c r="AL1477" s="358">
        <v>0</v>
      </c>
      <c r="AM1477" s="358">
        <v>0</v>
      </c>
      <c r="AN1477" s="358">
        <v>0</v>
      </c>
      <c r="AO1477" s="358">
        <v>0</v>
      </c>
      <c r="AP1477" s="358">
        <v>0</v>
      </c>
      <c r="AQ1477" s="358">
        <v>0</v>
      </c>
      <c r="AR1477" s="358">
        <v>0</v>
      </c>
      <c r="AS1477" s="358">
        <f t="shared" si="459"/>
        <v>0</v>
      </c>
      <c r="AT1477" s="145">
        <v>0</v>
      </c>
      <c r="AU1477" s="139">
        <f t="shared" si="460"/>
        <v>0</v>
      </c>
      <c r="AV1477" s="146">
        <f>IFERROR(VLOOKUP(J1477,Maksājumu_pieprasījumu_iesn.!G:BL,57,0),0)</f>
        <v>0</v>
      </c>
      <c r="AW1477" s="139">
        <f t="shared" si="447"/>
        <v>0</v>
      </c>
      <c r="AX1477" s="358"/>
      <c r="AY1477" s="358"/>
      <c r="AZ1477" s="358"/>
      <c r="BA1477" s="360"/>
      <c r="BB1477" s="358"/>
      <c r="BC1477" s="358"/>
      <c r="BD1477" s="358"/>
      <c r="BE1477" s="358"/>
      <c r="BF1477" s="358"/>
      <c r="BG1477" s="358"/>
      <c r="BH1477" s="360"/>
      <c r="BI1477" s="360"/>
      <c r="BJ1477" s="360"/>
      <c r="BK1477" s="360"/>
      <c r="BL1477" s="360"/>
      <c r="BM1477" s="360"/>
      <c r="BN1477" s="360"/>
    </row>
    <row r="1478" spans="1:66" s="91" customFormat="1" ht="25.5" hidden="1" customHeight="1" outlineLevel="1" x14ac:dyDescent="0.2">
      <c r="A1478" s="150" t="s">
        <v>2279</v>
      </c>
      <c r="B1478" s="355" t="s">
        <v>448</v>
      </c>
      <c r="C1478" s="355" t="s">
        <v>2524</v>
      </c>
      <c r="D1478" s="356" t="s">
        <v>2525</v>
      </c>
      <c r="E1478" s="114">
        <v>2</v>
      </c>
      <c r="F1478" s="114" t="s">
        <v>210</v>
      </c>
      <c r="G1478" s="114" t="s">
        <v>5</v>
      </c>
      <c r="H1478" s="114" t="s">
        <v>3</v>
      </c>
      <c r="I1478" s="114"/>
      <c r="J1478" s="114"/>
      <c r="K1478" s="356" t="s">
        <v>2565</v>
      </c>
      <c r="L1478" s="356"/>
      <c r="M1478" s="356"/>
      <c r="N1478" s="356"/>
      <c r="O1478" s="357">
        <v>43465</v>
      </c>
      <c r="P1478" s="357"/>
      <c r="Q1478" s="357"/>
      <c r="R1478" s="357"/>
      <c r="S1478" s="117"/>
      <c r="T1478" s="117"/>
      <c r="U1478" s="358">
        <v>0</v>
      </c>
      <c r="V1478" s="358">
        <v>0</v>
      </c>
      <c r="W1478" s="358">
        <v>0</v>
      </c>
      <c r="X1478" s="358">
        <f t="shared" si="455"/>
        <v>0</v>
      </c>
      <c r="Y1478" s="358">
        <v>0</v>
      </c>
      <c r="Z1478" s="358">
        <v>0</v>
      </c>
      <c r="AA1478" s="358">
        <v>0</v>
      </c>
      <c r="AB1478" s="358">
        <v>0</v>
      </c>
      <c r="AC1478" s="358">
        <v>0</v>
      </c>
      <c r="AD1478" s="358">
        <v>0</v>
      </c>
      <c r="AE1478" s="358">
        <v>0</v>
      </c>
      <c r="AF1478" s="358">
        <v>0</v>
      </c>
      <c r="AG1478" s="358">
        <v>0</v>
      </c>
      <c r="AH1478" s="358">
        <v>0</v>
      </c>
      <c r="AI1478" s="358">
        <v>0</v>
      </c>
      <c r="AJ1478" s="358">
        <v>0</v>
      </c>
      <c r="AK1478" s="358">
        <f t="shared" si="461"/>
        <v>0</v>
      </c>
      <c r="AL1478" s="358">
        <v>0</v>
      </c>
      <c r="AM1478" s="358">
        <v>0</v>
      </c>
      <c r="AN1478" s="358">
        <v>0</v>
      </c>
      <c r="AO1478" s="358">
        <v>0</v>
      </c>
      <c r="AP1478" s="358">
        <v>0</v>
      </c>
      <c r="AQ1478" s="358">
        <v>0</v>
      </c>
      <c r="AR1478" s="358">
        <v>0</v>
      </c>
      <c r="AS1478" s="358">
        <f t="shared" si="459"/>
        <v>0</v>
      </c>
      <c r="AT1478" s="145">
        <v>0</v>
      </c>
      <c r="AU1478" s="139">
        <f t="shared" si="460"/>
        <v>0</v>
      </c>
      <c r="AV1478" s="146">
        <f>IFERROR(VLOOKUP(J1478,Maksājumu_pieprasījumu_iesn.!G:BL,57,0),0)</f>
        <v>0</v>
      </c>
      <c r="AW1478" s="139">
        <f t="shared" si="447"/>
        <v>0</v>
      </c>
      <c r="AX1478" s="358"/>
      <c r="AY1478" s="358"/>
      <c r="AZ1478" s="358"/>
      <c r="BA1478" s="360"/>
      <c r="BB1478" s="358"/>
      <c r="BC1478" s="358"/>
      <c r="BD1478" s="358"/>
      <c r="BE1478" s="358"/>
      <c r="BF1478" s="358"/>
      <c r="BG1478" s="358"/>
      <c r="BH1478" s="360"/>
      <c r="BI1478" s="360"/>
      <c r="BJ1478" s="360"/>
      <c r="BK1478" s="360"/>
      <c r="BL1478" s="360"/>
      <c r="BM1478" s="360"/>
      <c r="BN1478" s="360"/>
    </row>
    <row r="1479" spans="1:66" s="91" customFormat="1" ht="25.5" hidden="1" customHeight="1" outlineLevel="1" x14ac:dyDescent="0.2">
      <c r="A1479" s="150" t="s">
        <v>2279</v>
      </c>
      <c r="B1479" s="355" t="s">
        <v>448</v>
      </c>
      <c r="C1479" s="355" t="s">
        <v>2524</v>
      </c>
      <c r="D1479" s="356" t="s">
        <v>2525</v>
      </c>
      <c r="E1479" s="114">
        <v>2</v>
      </c>
      <c r="F1479" s="114" t="s">
        <v>210</v>
      </c>
      <c r="G1479" s="114" t="s">
        <v>5</v>
      </c>
      <c r="H1479" s="114" t="s">
        <v>3</v>
      </c>
      <c r="I1479" s="114"/>
      <c r="J1479" s="114"/>
      <c r="K1479" s="356" t="s">
        <v>2566</v>
      </c>
      <c r="L1479" s="356"/>
      <c r="M1479" s="356"/>
      <c r="N1479" s="356"/>
      <c r="O1479" s="357">
        <v>43465</v>
      </c>
      <c r="P1479" s="357"/>
      <c r="Q1479" s="357"/>
      <c r="R1479" s="357"/>
      <c r="S1479" s="117"/>
      <c r="T1479" s="117"/>
      <c r="U1479" s="358">
        <v>0</v>
      </c>
      <c r="V1479" s="358">
        <v>0</v>
      </c>
      <c r="W1479" s="358">
        <v>0</v>
      </c>
      <c r="X1479" s="358">
        <f t="shared" si="455"/>
        <v>0</v>
      </c>
      <c r="Y1479" s="358">
        <v>0</v>
      </c>
      <c r="Z1479" s="358">
        <v>0</v>
      </c>
      <c r="AA1479" s="358">
        <v>0</v>
      </c>
      <c r="AB1479" s="358">
        <v>0</v>
      </c>
      <c r="AC1479" s="358">
        <v>0</v>
      </c>
      <c r="AD1479" s="358">
        <v>0</v>
      </c>
      <c r="AE1479" s="358">
        <v>0</v>
      </c>
      <c r="AF1479" s="358">
        <v>0</v>
      </c>
      <c r="AG1479" s="358">
        <v>0</v>
      </c>
      <c r="AH1479" s="358">
        <v>0</v>
      </c>
      <c r="AI1479" s="358">
        <v>0</v>
      </c>
      <c r="AJ1479" s="358">
        <v>0</v>
      </c>
      <c r="AK1479" s="358">
        <f t="shared" si="461"/>
        <v>0</v>
      </c>
      <c r="AL1479" s="358">
        <v>0</v>
      </c>
      <c r="AM1479" s="358">
        <v>0</v>
      </c>
      <c r="AN1479" s="358">
        <v>0</v>
      </c>
      <c r="AO1479" s="358">
        <v>0</v>
      </c>
      <c r="AP1479" s="358">
        <v>0</v>
      </c>
      <c r="AQ1479" s="358">
        <v>0</v>
      </c>
      <c r="AR1479" s="358">
        <v>0</v>
      </c>
      <c r="AS1479" s="358">
        <f t="shared" si="459"/>
        <v>0</v>
      </c>
      <c r="AT1479" s="145">
        <v>0</v>
      </c>
      <c r="AU1479" s="139">
        <f t="shared" si="460"/>
        <v>0</v>
      </c>
      <c r="AV1479" s="146">
        <f>IFERROR(VLOOKUP(J1479,Maksājumu_pieprasījumu_iesn.!G:BL,57,0),0)</f>
        <v>0</v>
      </c>
      <c r="AW1479" s="139">
        <f t="shared" si="447"/>
        <v>0</v>
      </c>
      <c r="AX1479" s="358"/>
      <c r="AY1479" s="358"/>
      <c r="AZ1479" s="358"/>
      <c r="BA1479" s="360"/>
      <c r="BB1479" s="358"/>
      <c r="BC1479" s="358"/>
      <c r="BD1479" s="358"/>
      <c r="BE1479" s="358"/>
      <c r="BF1479" s="358"/>
      <c r="BG1479" s="358"/>
      <c r="BH1479" s="360"/>
      <c r="BI1479" s="360"/>
      <c r="BJ1479" s="360"/>
      <c r="BK1479" s="360"/>
      <c r="BL1479" s="360"/>
      <c r="BM1479" s="360"/>
      <c r="BN1479" s="360"/>
    </row>
    <row r="1480" spans="1:66" s="91" customFormat="1" ht="25.5" hidden="1" customHeight="1" outlineLevel="1" x14ac:dyDescent="0.2">
      <c r="A1480" s="150" t="s">
        <v>2279</v>
      </c>
      <c r="B1480" s="355" t="s">
        <v>448</v>
      </c>
      <c r="C1480" s="355" t="s">
        <v>2524</v>
      </c>
      <c r="D1480" s="356" t="s">
        <v>2525</v>
      </c>
      <c r="E1480" s="114">
        <v>2</v>
      </c>
      <c r="F1480" s="114" t="s">
        <v>210</v>
      </c>
      <c r="G1480" s="114" t="s">
        <v>5</v>
      </c>
      <c r="H1480" s="114" t="s">
        <v>3</v>
      </c>
      <c r="I1480" s="114"/>
      <c r="J1480" s="114"/>
      <c r="K1480" s="356" t="s">
        <v>2567</v>
      </c>
      <c r="L1480" s="356"/>
      <c r="M1480" s="356"/>
      <c r="N1480" s="356"/>
      <c r="O1480" s="357">
        <v>43465</v>
      </c>
      <c r="P1480" s="357"/>
      <c r="Q1480" s="357"/>
      <c r="R1480" s="357"/>
      <c r="S1480" s="117"/>
      <c r="T1480" s="117"/>
      <c r="U1480" s="358">
        <v>0</v>
      </c>
      <c r="V1480" s="358">
        <v>0</v>
      </c>
      <c r="W1480" s="358">
        <v>0</v>
      </c>
      <c r="X1480" s="358">
        <f t="shared" si="455"/>
        <v>0</v>
      </c>
      <c r="Y1480" s="358">
        <v>0</v>
      </c>
      <c r="Z1480" s="358">
        <v>0</v>
      </c>
      <c r="AA1480" s="358">
        <v>0</v>
      </c>
      <c r="AB1480" s="358">
        <v>0</v>
      </c>
      <c r="AC1480" s="358">
        <v>0</v>
      </c>
      <c r="AD1480" s="358">
        <v>0</v>
      </c>
      <c r="AE1480" s="358">
        <v>0</v>
      </c>
      <c r="AF1480" s="358">
        <v>0</v>
      </c>
      <c r="AG1480" s="358">
        <v>0</v>
      </c>
      <c r="AH1480" s="358">
        <v>0</v>
      </c>
      <c r="AI1480" s="358">
        <v>0</v>
      </c>
      <c r="AJ1480" s="358">
        <v>0</v>
      </c>
      <c r="AK1480" s="358">
        <f t="shared" si="461"/>
        <v>0</v>
      </c>
      <c r="AL1480" s="358">
        <v>0</v>
      </c>
      <c r="AM1480" s="358">
        <v>0</v>
      </c>
      <c r="AN1480" s="358">
        <v>0</v>
      </c>
      <c r="AO1480" s="358">
        <v>0</v>
      </c>
      <c r="AP1480" s="358">
        <v>0</v>
      </c>
      <c r="AQ1480" s="358">
        <v>0</v>
      </c>
      <c r="AR1480" s="358">
        <v>0</v>
      </c>
      <c r="AS1480" s="358">
        <f t="shared" si="459"/>
        <v>0</v>
      </c>
      <c r="AT1480" s="145">
        <v>0</v>
      </c>
      <c r="AU1480" s="139">
        <f t="shared" si="460"/>
        <v>0</v>
      </c>
      <c r="AV1480" s="146">
        <f>IFERROR(VLOOKUP(J1480,Maksājumu_pieprasījumu_iesn.!G:BL,57,0),0)</f>
        <v>0</v>
      </c>
      <c r="AW1480" s="139">
        <f t="shared" si="447"/>
        <v>0</v>
      </c>
      <c r="AX1480" s="358"/>
      <c r="AY1480" s="358"/>
      <c r="AZ1480" s="358"/>
      <c r="BA1480" s="360"/>
      <c r="BB1480" s="358"/>
      <c r="BC1480" s="358"/>
      <c r="BD1480" s="358"/>
      <c r="BE1480" s="358"/>
      <c r="BF1480" s="358"/>
      <c r="BG1480" s="358"/>
      <c r="BH1480" s="360"/>
      <c r="BI1480" s="360"/>
      <c r="BJ1480" s="360"/>
      <c r="BK1480" s="360"/>
      <c r="BL1480" s="360"/>
      <c r="BM1480" s="360"/>
      <c r="BN1480" s="360"/>
    </row>
    <row r="1481" spans="1:66" s="91" customFormat="1" ht="25.5" hidden="1" customHeight="1" outlineLevel="1" x14ac:dyDescent="0.2">
      <c r="A1481" s="150" t="s">
        <v>2279</v>
      </c>
      <c r="B1481" s="355" t="s">
        <v>448</v>
      </c>
      <c r="C1481" s="355" t="s">
        <v>2524</v>
      </c>
      <c r="D1481" s="356" t="s">
        <v>2525</v>
      </c>
      <c r="E1481" s="114">
        <v>2</v>
      </c>
      <c r="F1481" s="114" t="s">
        <v>210</v>
      </c>
      <c r="G1481" s="114" t="s">
        <v>5</v>
      </c>
      <c r="H1481" s="114" t="s">
        <v>3</v>
      </c>
      <c r="I1481" s="114"/>
      <c r="J1481" s="114"/>
      <c r="K1481" s="356" t="s">
        <v>2568</v>
      </c>
      <c r="L1481" s="356"/>
      <c r="M1481" s="356"/>
      <c r="N1481" s="356"/>
      <c r="O1481" s="357">
        <v>43465</v>
      </c>
      <c r="P1481" s="357"/>
      <c r="Q1481" s="357"/>
      <c r="R1481" s="357"/>
      <c r="S1481" s="117"/>
      <c r="T1481" s="117"/>
      <c r="U1481" s="358">
        <v>0</v>
      </c>
      <c r="V1481" s="358">
        <v>0</v>
      </c>
      <c r="W1481" s="358">
        <v>0</v>
      </c>
      <c r="X1481" s="358">
        <f t="shared" si="455"/>
        <v>0</v>
      </c>
      <c r="Y1481" s="358">
        <v>0</v>
      </c>
      <c r="Z1481" s="358">
        <v>0</v>
      </c>
      <c r="AA1481" s="358">
        <v>0</v>
      </c>
      <c r="AB1481" s="358">
        <v>0</v>
      </c>
      <c r="AC1481" s="358">
        <v>0</v>
      </c>
      <c r="AD1481" s="358">
        <v>0</v>
      </c>
      <c r="AE1481" s="358">
        <v>0</v>
      </c>
      <c r="AF1481" s="358">
        <v>0</v>
      </c>
      <c r="AG1481" s="358">
        <v>0</v>
      </c>
      <c r="AH1481" s="358">
        <v>0</v>
      </c>
      <c r="AI1481" s="358">
        <v>0</v>
      </c>
      <c r="AJ1481" s="358">
        <v>0</v>
      </c>
      <c r="AK1481" s="358">
        <f t="shared" si="461"/>
        <v>0</v>
      </c>
      <c r="AL1481" s="358">
        <v>0</v>
      </c>
      <c r="AM1481" s="358">
        <v>0</v>
      </c>
      <c r="AN1481" s="358">
        <v>0</v>
      </c>
      <c r="AO1481" s="358">
        <v>0</v>
      </c>
      <c r="AP1481" s="358">
        <v>0</v>
      </c>
      <c r="AQ1481" s="358">
        <v>0</v>
      </c>
      <c r="AR1481" s="358">
        <v>0</v>
      </c>
      <c r="AS1481" s="358">
        <f t="shared" si="459"/>
        <v>0</v>
      </c>
      <c r="AT1481" s="145">
        <v>0</v>
      </c>
      <c r="AU1481" s="139">
        <f t="shared" si="460"/>
        <v>0</v>
      </c>
      <c r="AV1481" s="146">
        <f>IFERROR(VLOOKUP(J1481,Maksājumu_pieprasījumu_iesn.!G:BL,57,0),0)</f>
        <v>0</v>
      </c>
      <c r="AW1481" s="139">
        <f t="shared" si="447"/>
        <v>0</v>
      </c>
      <c r="AX1481" s="358"/>
      <c r="AY1481" s="358"/>
      <c r="AZ1481" s="358"/>
      <c r="BA1481" s="360"/>
      <c r="BB1481" s="358"/>
      <c r="BC1481" s="358"/>
      <c r="BD1481" s="358"/>
      <c r="BE1481" s="358"/>
      <c r="BF1481" s="358"/>
      <c r="BG1481" s="358"/>
      <c r="BH1481" s="360"/>
      <c r="BI1481" s="360"/>
      <c r="BJ1481" s="360"/>
      <c r="BK1481" s="360"/>
      <c r="BL1481" s="360"/>
      <c r="BM1481" s="360"/>
      <c r="BN1481" s="360"/>
    </row>
    <row r="1482" spans="1:66" s="91" customFormat="1" ht="25.5" hidden="1" customHeight="1" outlineLevel="1" x14ac:dyDescent="0.2">
      <c r="A1482" s="150" t="s">
        <v>2279</v>
      </c>
      <c r="B1482" s="355" t="s">
        <v>448</v>
      </c>
      <c r="C1482" s="355" t="s">
        <v>2524</v>
      </c>
      <c r="D1482" s="356" t="s">
        <v>2525</v>
      </c>
      <c r="E1482" s="114">
        <v>2</v>
      </c>
      <c r="F1482" s="114" t="s">
        <v>210</v>
      </c>
      <c r="G1482" s="114" t="s">
        <v>5</v>
      </c>
      <c r="H1482" s="114" t="s">
        <v>3</v>
      </c>
      <c r="I1482" s="114"/>
      <c r="J1482" s="114"/>
      <c r="K1482" s="356" t="s">
        <v>2569</v>
      </c>
      <c r="L1482" s="356"/>
      <c r="M1482" s="356"/>
      <c r="N1482" s="356"/>
      <c r="O1482" s="357">
        <v>43465</v>
      </c>
      <c r="P1482" s="357"/>
      <c r="Q1482" s="357"/>
      <c r="R1482" s="357"/>
      <c r="S1482" s="117"/>
      <c r="T1482" s="117"/>
      <c r="U1482" s="358">
        <v>0</v>
      </c>
      <c r="V1482" s="358">
        <v>0</v>
      </c>
      <c r="W1482" s="358">
        <v>0</v>
      </c>
      <c r="X1482" s="358">
        <f t="shared" si="455"/>
        <v>0</v>
      </c>
      <c r="Y1482" s="358">
        <v>0</v>
      </c>
      <c r="Z1482" s="358">
        <v>0</v>
      </c>
      <c r="AA1482" s="358">
        <v>0</v>
      </c>
      <c r="AB1482" s="358">
        <v>0</v>
      </c>
      <c r="AC1482" s="358">
        <v>0</v>
      </c>
      <c r="AD1482" s="358">
        <v>0</v>
      </c>
      <c r="AE1482" s="358">
        <v>0</v>
      </c>
      <c r="AF1482" s="358">
        <v>0</v>
      </c>
      <c r="AG1482" s="358">
        <v>0</v>
      </c>
      <c r="AH1482" s="358">
        <v>0</v>
      </c>
      <c r="AI1482" s="358">
        <v>0</v>
      </c>
      <c r="AJ1482" s="358">
        <v>0</v>
      </c>
      <c r="AK1482" s="358">
        <f t="shared" si="461"/>
        <v>0</v>
      </c>
      <c r="AL1482" s="358">
        <v>0</v>
      </c>
      <c r="AM1482" s="358">
        <v>0</v>
      </c>
      <c r="AN1482" s="358">
        <v>0</v>
      </c>
      <c r="AO1482" s="358">
        <v>0</v>
      </c>
      <c r="AP1482" s="358">
        <v>0</v>
      </c>
      <c r="AQ1482" s="358">
        <v>0</v>
      </c>
      <c r="AR1482" s="358">
        <v>0</v>
      </c>
      <c r="AS1482" s="358">
        <f t="shared" si="459"/>
        <v>0</v>
      </c>
      <c r="AT1482" s="145">
        <v>0</v>
      </c>
      <c r="AU1482" s="139">
        <f t="shared" si="460"/>
        <v>0</v>
      </c>
      <c r="AV1482" s="146">
        <f>IFERROR(VLOOKUP(J1482,Maksājumu_pieprasījumu_iesn.!G:BL,57,0),0)</f>
        <v>0</v>
      </c>
      <c r="AW1482" s="139">
        <f t="shared" si="447"/>
        <v>0</v>
      </c>
      <c r="AX1482" s="358"/>
      <c r="AY1482" s="358"/>
      <c r="AZ1482" s="358"/>
      <c r="BA1482" s="360"/>
      <c r="BB1482" s="358"/>
      <c r="BC1482" s="358"/>
      <c r="BD1482" s="358"/>
      <c r="BE1482" s="358"/>
      <c r="BF1482" s="358"/>
      <c r="BG1482" s="358"/>
      <c r="BH1482" s="360"/>
      <c r="BI1482" s="360"/>
      <c r="BJ1482" s="360"/>
      <c r="BK1482" s="360"/>
      <c r="BL1482" s="360"/>
      <c r="BM1482" s="360"/>
      <c r="BN1482" s="360"/>
    </row>
    <row r="1483" spans="1:66" s="91" customFormat="1" ht="25.5" hidden="1" customHeight="1" outlineLevel="1" x14ac:dyDescent="0.2">
      <c r="A1483" s="150" t="s">
        <v>2279</v>
      </c>
      <c r="B1483" s="355" t="s">
        <v>448</v>
      </c>
      <c r="C1483" s="355" t="s">
        <v>2524</v>
      </c>
      <c r="D1483" s="356" t="s">
        <v>2525</v>
      </c>
      <c r="E1483" s="114">
        <v>2</v>
      </c>
      <c r="F1483" s="114" t="s">
        <v>210</v>
      </c>
      <c r="G1483" s="114" t="s">
        <v>5</v>
      </c>
      <c r="H1483" s="114" t="s">
        <v>3</v>
      </c>
      <c r="I1483" s="114"/>
      <c r="J1483" s="114"/>
      <c r="K1483" s="356" t="s">
        <v>2570</v>
      </c>
      <c r="L1483" s="356"/>
      <c r="M1483" s="356"/>
      <c r="N1483" s="356"/>
      <c r="O1483" s="357">
        <v>43465</v>
      </c>
      <c r="P1483" s="357"/>
      <c r="Q1483" s="357"/>
      <c r="R1483" s="357"/>
      <c r="S1483" s="117"/>
      <c r="T1483" s="117"/>
      <c r="U1483" s="358">
        <v>0</v>
      </c>
      <c r="V1483" s="358">
        <v>0</v>
      </c>
      <c r="W1483" s="358">
        <v>0</v>
      </c>
      <c r="X1483" s="358">
        <f t="shared" si="455"/>
        <v>0</v>
      </c>
      <c r="Y1483" s="358">
        <v>0</v>
      </c>
      <c r="Z1483" s="358">
        <v>0</v>
      </c>
      <c r="AA1483" s="358">
        <v>0</v>
      </c>
      <c r="AB1483" s="358">
        <v>0</v>
      </c>
      <c r="AC1483" s="358">
        <v>0</v>
      </c>
      <c r="AD1483" s="358">
        <v>0</v>
      </c>
      <c r="AE1483" s="358">
        <v>0</v>
      </c>
      <c r="AF1483" s="358">
        <v>0</v>
      </c>
      <c r="AG1483" s="358">
        <v>0</v>
      </c>
      <c r="AH1483" s="358">
        <v>0</v>
      </c>
      <c r="AI1483" s="358">
        <v>0</v>
      </c>
      <c r="AJ1483" s="358">
        <v>0</v>
      </c>
      <c r="AK1483" s="358">
        <f t="shared" si="461"/>
        <v>0</v>
      </c>
      <c r="AL1483" s="358">
        <v>0</v>
      </c>
      <c r="AM1483" s="358">
        <v>0</v>
      </c>
      <c r="AN1483" s="358">
        <v>0</v>
      </c>
      <c r="AO1483" s="358">
        <v>0</v>
      </c>
      <c r="AP1483" s="358">
        <v>0</v>
      </c>
      <c r="AQ1483" s="358">
        <v>0</v>
      </c>
      <c r="AR1483" s="358">
        <v>0</v>
      </c>
      <c r="AS1483" s="358">
        <f t="shared" si="459"/>
        <v>0</v>
      </c>
      <c r="AT1483" s="145">
        <v>0</v>
      </c>
      <c r="AU1483" s="139">
        <f t="shared" si="460"/>
        <v>0</v>
      </c>
      <c r="AV1483" s="146">
        <f>IFERROR(VLOOKUP(J1483,Maksājumu_pieprasījumu_iesn.!G:BL,57,0),0)</f>
        <v>0</v>
      </c>
      <c r="AW1483" s="139">
        <f t="shared" si="447"/>
        <v>0</v>
      </c>
      <c r="AX1483" s="358"/>
      <c r="AY1483" s="358"/>
      <c r="AZ1483" s="358"/>
      <c r="BA1483" s="360"/>
      <c r="BB1483" s="358"/>
      <c r="BC1483" s="358"/>
      <c r="BD1483" s="358"/>
      <c r="BE1483" s="358"/>
      <c r="BF1483" s="358"/>
      <c r="BG1483" s="358"/>
      <c r="BH1483" s="360"/>
      <c r="BI1483" s="360"/>
      <c r="BJ1483" s="360"/>
      <c r="BK1483" s="360"/>
      <c r="BL1483" s="360"/>
      <c r="BM1483" s="360"/>
      <c r="BN1483" s="360"/>
    </row>
    <row r="1484" spans="1:66" s="91" customFormat="1" ht="25.5" hidden="1" customHeight="1" outlineLevel="1" x14ac:dyDescent="0.2">
      <c r="A1484" s="150" t="s">
        <v>2279</v>
      </c>
      <c r="B1484" s="355" t="s">
        <v>448</v>
      </c>
      <c r="C1484" s="355" t="s">
        <v>2524</v>
      </c>
      <c r="D1484" s="356" t="s">
        <v>2525</v>
      </c>
      <c r="E1484" s="114">
        <v>2</v>
      </c>
      <c r="F1484" s="114" t="s">
        <v>210</v>
      </c>
      <c r="G1484" s="114" t="s">
        <v>5</v>
      </c>
      <c r="H1484" s="114" t="s">
        <v>3</v>
      </c>
      <c r="I1484" s="114"/>
      <c r="J1484" s="114"/>
      <c r="K1484" s="356" t="s">
        <v>2571</v>
      </c>
      <c r="L1484" s="356"/>
      <c r="M1484" s="356"/>
      <c r="N1484" s="356"/>
      <c r="O1484" s="357">
        <v>43465</v>
      </c>
      <c r="P1484" s="357"/>
      <c r="Q1484" s="357"/>
      <c r="R1484" s="357"/>
      <c r="S1484" s="117"/>
      <c r="T1484" s="117"/>
      <c r="U1484" s="358">
        <v>0</v>
      </c>
      <c r="V1484" s="358">
        <v>0</v>
      </c>
      <c r="W1484" s="358">
        <v>0</v>
      </c>
      <c r="X1484" s="358">
        <f t="shared" si="455"/>
        <v>0</v>
      </c>
      <c r="Y1484" s="358">
        <v>0</v>
      </c>
      <c r="Z1484" s="358">
        <v>0</v>
      </c>
      <c r="AA1484" s="358">
        <v>0</v>
      </c>
      <c r="AB1484" s="358">
        <v>0</v>
      </c>
      <c r="AC1484" s="358">
        <v>0</v>
      </c>
      <c r="AD1484" s="358">
        <v>0</v>
      </c>
      <c r="AE1484" s="358">
        <v>0</v>
      </c>
      <c r="AF1484" s="358">
        <v>0</v>
      </c>
      <c r="AG1484" s="358">
        <v>0</v>
      </c>
      <c r="AH1484" s="358">
        <v>0</v>
      </c>
      <c r="AI1484" s="358">
        <v>0</v>
      </c>
      <c r="AJ1484" s="358">
        <v>0</v>
      </c>
      <c r="AK1484" s="358">
        <f t="shared" si="461"/>
        <v>0</v>
      </c>
      <c r="AL1484" s="358">
        <v>0</v>
      </c>
      <c r="AM1484" s="358">
        <v>0</v>
      </c>
      <c r="AN1484" s="358">
        <v>0</v>
      </c>
      <c r="AO1484" s="358">
        <v>0</v>
      </c>
      <c r="AP1484" s="358">
        <v>0</v>
      </c>
      <c r="AQ1484" s="358">
        <v>0</v>
      </c>
      <c r="AR1484" s="358">
        <v>0</v>
      </c>
      <c r="AS1484" s="358">
        <f t="shared" si="459"/>
        <v>0</v>
      </c>
      <c r="AT1484" s="145">
        <v>0</v>
      </c>
      <c r="AU1484" s="139">
        <f t="shared" si="460"/>
        <v>0</v>
      </c>
      <c r="AV1484" s="146">
        <f>IFERROR(VLOOKUP(J1484,Maksājumu_pieprasījumu_iesn.!G:BL,57,0),0)</f>
        <v>0</v>
      </c>
      <c r="AW1484" s="139">
        <f t="shared" si="447"/>
        <v>0</v>
      </c>
      <c r="AX1484" s="358"/>
      <c r="AY1484" s="358"/>
      <c r="AZ1484" s="358"/>
      <c r="BA1484" s="360"/>
      <c r="BB1484" s="358"/>
      <c r="BC1484" s="358"/>
      <c r="BD1484" s="358"/>
      <c r="BE1484" s="358"/>
      <c r="BF1484" s="358"/>
      <c r="BG1484" s="358"/>
      <c r="BH1484" s="360"/>
      <c r="BI1484" s="360"/>
      <c r="BJ1484" s="360"/>
      <c r="BK1484" s="360"/>
      <c r="BL1484" s="360"/>
      <c r="BM1484" s="360"/>
      <c r="BN1484" s="360"/>
    </row>
    <row r="1485" spans="1:66" s="91" customFormat="1" ht="25.5" hidden="1" customHeight="1" outlineLevel="1" x14ac:dyDescent="0.2">
      <c r="A1485" s="150" t="s">
        <v>2279</v>
      </c>
      <c r="B1485" s="355" t="s">
        <v>448</v>
      </c>
      <c r="C1485" s="355" t="s">
        <v>2524</v>
      </c>
      <c r="D1485" s="356" t="s">
        <v>2525</v>
      </c>
      <c r="E1485" s="114">
        <v>2</v>
      </c>
      <c r="F1485" s="114" t="s">
        <v>210</v>
      </c>
      <c r="G1485" s="114" t="s">
        <v>5</v>
      </c>
      <c r="H1485" s="114" t="s">
        <v>3</v>
      </c>
      <c r="I1485" s="114"/>
      <c r="J1485" s="114"/>
      <c r="K1485" s="356" t="s">
        <v>2572</v>
      </c>
      <c r="L1485" s="356"/>
      <c r="M1485" s="356"/>
      <c r="N1485" s="356"/>
      <c r="O1485" s="357">
        <v>43465</v>
      </c>
      <c r="P1485" s="357"/>
      <c r="Q1485" s="357"/>
      <c r="R1485" s="357"/>
      <c r="S1485" s="117"/>
      <c r="T1485" s="117"/>
      <c r="U1485" s="358">
        <v>0</v>
      </c>
      <c r="V1485" s="358">
        <v>0</v>
      </c>
      <c r="W1485" s="358">
        <v>0</v>
      </c>
      <c r="X1485" s="358">
        <f t="shared" si="455"/>
        <v>0</v>
      </c>
      <c r="Y1485" s="358">
        <v>0</v>
      </c>
      <c r="Z1485" s="358">
        <v>0</v>
      </c>
      <c r="AA1485" s="358">
        <v>0</v>
      </c>
      <c r="AB1485" s="358">
        <v>0</v>
      </c>
      <c r="AC1485" s="358">
        <v>0</v>
      </c>
      <c r="AD1485" s="358">
        <v>0</v>
      </c>
      <c r="AE1485" s="358">
        <v>0</v>
      </c>
      <c r="AF1485" s="358">
        <v>0</v>
      </c>
      <c r="AG1485" s="358">
        <v>0</v>
      </c>
      <c r="AH1485" s="358">
        <v>0</v>
      </c>
      <c r="AI1485" s="358">
        <v>0</v>
      </c>
      <c r="AJ1485" s="358">
        <v>0</v>
      </c>
      <c r="AK1485" s="358">
        <f t="shared" si="461"/>
        <v>0</v>
      </c>
      <c r="AL1485" s="358">
        <v>0</v>
      </c>
      <c r="AM1485" s="358">
        <v>0</v>
      </c>
      <c r="AN1485" s="358">
        <v>0</v>
      </c>
      <c r="AO1485" s="358">
        <v>0</v>
      </c>
      <c r="AP1485" s="358">
        <v>0</v>
      </c>
      <c r="AQ1485" s="358">
        <v>0</v>
      </c>
      <c r="AR1485" s="358">
        <v>0</v>
      </c>
      <c r="AS1485" s="358">
        <f t="shared" si="459"/>
        <v>0</v>
      </c>
      <c r="AT1485" s="145">
        <v>0</v>
      </c>
      <c r="AU1485" s="139">
        <f t="shared" si="460"/>
        <v>0</v>
      </c>
      <c r="AV1485" s="146">
        <f>IFERROR(VLOOKUP(J1485,Maksājumu_pieprasījumu_iesn.!G:BL,57,0),0)</f>
        <v>0</v>
      </c>
      <c r="AW1485" s="139">
        <f t="shared" si="447"/>
        <v>0</v>
      </c>
      <c r="AX1485" s="358"/>
      <c r="AY1485" s="358"/>
      <c r="AZ1485" s="358"/>
      <c r="BA1485" s="360"/>
      <c r="BB1485" s="358"/>
      <c r="BC1485" s="358"/>
      <c r="BD1485" s="358"/>
      <c r="BE1485" s="358"/>
      <c r="BF1485" s="358"/>
      <c r="BG1485" s="358"/>
      <c r="BH1485" s="360"/>
      <c r="BI1485" s="360"/>
      <c r="BJ1485" s="360"/>
      <c r="BK1485" s="360"/>
      <c r="BL1485" s="360"/>
      <c r="BM1485" s="360"/>
      <c r="BN1485" s="360"/>
    </row>
    <row r="1486" spans="1:66" s="91" customFormat="1" ht="25.5" hidden="1" customHeight="1" outlineLevel="1" x14ac:dyDescent="0.2">
      <c r="A1486" s="150" t="s">
        <v>2279</v>
      </c>
      <c r="B1486" s="355" t="s">
        <v>448</v>
      </c>
      <c r="C1486" s="355" t="s">
        <v>2524</v>
      </c>
      <c r="D1486" s="356" t="s">
        <v>2525</v>
      </c>
      <c r="E1486" s="114">
        <v>2</v>
      </c>
      <c r="F1486" s="114" t="s">
        <v>210</v>
      </c>
      <c r="G1486" s="114" t="s">
        <v>5</v>
      </c>
      <c r="H1486" s="114" t="s">
        <v>3</v>
      </c>
      <c r="I1486" s="114"/>
      <c r="J1486" s="114"/>
      <c r="K1486" s="356" t="s">
        <v>2573</v>
      </c>
      <c r="L1486" s="356"/>
      <c r="M1486" s="356"/>
      <c r="N1486" s="356"/>
      <c r="O1486" s="357">
        <v>43465</v>
      </c>
      <c r="P1486" s="357"/>
      <c r="Q1486" s="357"/>
      <c r="R1486" s="357"/>
      <c r="S1486" s="117"/>
      <c r="T1486" s="117"/>
      <c r="U1486" s="358">
        <v>0</v>
      </c>
      <c r="V1486" s="358">
        <v>0</v>
      </c>
      <c r="W1486" s="358">
        <v>0</v>
      </c>
      <c r="X1486" s="358">
        <f t="shared" si="455"/>
        <v>0</v>
      </c>
      <c r="Y1486" s="358">
        <v>0</v>
      </c>
      <c r="Z1486" s="358">
        <v>0</v>
      </c>
      <c r="AA1486" s="358">
        <v>0</v>
      </c>
      <c r="AB1486" s="358">
        <v>0</v>
      </c>
      <c r="AC1486" s="358">
        <v>0</v>
      </c>
      <c r="AD1486" s="358">
        <v>0</v>
      </c>
      <c r="AE1486" s="358">
        <v>0</v>
      </c>
      <c r="AF1486" s="358">
        <v>0</v>
      </c>
      <c r="AG1486" s="358">
        <v>0</v>
      </c>
      <c r="AH1486" s="358">
        <v>0</v>
      </c>
      <c r="AI1486" s="358">
        <v>0</v>
      </c>
      <c r="AJ1486" s="358">
        <v>0</v>
      </c>
      <c r="AK1486" s="358">
        <f t="shared" si="461"/>
        <v>0</v>
      </c>
      <c r="AL1486" s="358">
        <v>0</v>
      </c>
      <c r="AM1486" s="358">
        <v>0</v>
      </c>
      <c r="AN1486" s="358">
        <v>0</v>
      </c>
      <c r="AO1486" s="358">
        <v>0</v>
      </c>
      <c r="AP1486" s="358">
        <v>0</v>
      </c>
      <c r="AQ1486" s="358">
        <v>0</v>
      </c>
      <c r="AR1486" s="358">
        <v>0</v>
      </c>
      <c r="AS1486" s="358">
        <f t="shared" si="459"/>
        <v>0</v>
      </c>
      <c r="AT1486" s="145">
        <v>0</v>
      </c>
      <c r="AU1486" s="139">
        <f t="shared" si="460"/>
        <v>0</v>
      </c>
      <c r="AV1486" s="146">
        <f>IFERROR(VLOOKUP(J1486,Maksājumu_pieprasījumu_iesn.!G:BL,57,0),0)</f>
        <v>0</v>
      </c>
      <c r="AW1486" s="139">
        <f t="shared" si="447"/>
        <v>0</v>
      </c>
      <c r="AX1486" s="358"/>
      <c r="AY1486" s="358"/>
      <c r="AZ1486" s="358"/>
      <c r="BA1486" s="360"/>
      <c r="BB1486" s="358"/>
      <c r="BC1486" s="358"/>
      <c r="BD1486" s="358"/>
      <c r="BE1486" s="358"/>
      <c r="BF1486" s="358"/>
      <c r="BG1486" s="358"/>
      <c r="BH1486" s="360"/>
      <c r="BI1486" s="360"/>
      <c r="BJ1486" s="360"/>
      <c r="BK1486" s="360"/>
      <c r="BL1486" s="360"/>
      <c r="BM1486" s="360"/>
      <c r="BN1486" s="360"/>
    </row>
    <row r="1487" spans="1:66" s="91" customFormat="1" ht="25.5" hidden="1" customHeight="1" outlineLevel="1" x14ac:dyDescent="0.2">
      <c r="A1487" s="150" t="s">
        <v>2279</v>
      </c>
      <c r="B1487" s="355" t="s">
        <v>448</v>
      </c>
      <c r="C1487" s="355" t="s">
        <v>2524</v>
      </c>
      <c r="D1487" s="356" t="s">
        <v>2525</v>
      </c>
      <c r="E1487" s="114">
        <v>2</v>
      </c>
      <c r="F1487" s="114" t="s">
        <v>210</v>
      </c>
      <c r="G1487" s="114" t="s">
        <v>5</v>
      </c>
      <c r="H1487" s="114" t="s">
        <v>3</v>
      </c>
      <c r="I1487" s="114"/>
      <c r="J1487" s="114"/>
      <c r="K1487" s="356" t="s">
        <v>2574</v>
      </c>
      <c r="L1487" s="356"/>
      <c r="M1487" s="356"/>
      <c r="N1487" s="356"/>
      <c r="O1487" s="357">
        <v>43465</v>
      </c>
      <c r="P1487" s="357"/>
      <c r="Q1487" s="357"/>
      <c r="R1487" s="357"/>
      <c r="S1487" s="117"/>
      <c r="T1487" s="117"/>
      <c r="U1487" s="358">
        <v>0</v>
      </c>
      <c r="V1487" s="358">
        <v>0</v>
      </c>
      <c r="W1487" s="358">
        <v>0</v>
      </c>
      <c r="X1487" s="358">
        <f t="shared" si="455"/>
        <v>0</v>
      </c>
      <c r="Y1487" s="358">
        <v>0</v>
      </c>
      <c r="Z1487" s="358">
        <v>0</v>
      </c>
      <c r="AA1487" s="358">
        <v>0</v>
      </c>
      <c r="AB1487" s="358">
        <v>0</v>
      </c>
      <c r="AC1487" s="358">
        <v>0</v>
      </c>
      <c r="AD1487" s="358">
        <v>0</v>
      </c>
      <c r="AE1487" s="358">
        <v>0</v>
      </c>
      <c r="AF1487" s="358">
        <v>0</v>
      </c>
      <c r="AG1487" s="358">
        <v>0</v>
      </c>
      <c r="AH1487" s="358">
        <v>0</v>
      </c>
      <c r="AI1487" s="358">
        <v>0</v>
      </c>
      <c r="AJ1487" s="358">
        <v>0</v>
      </c>
      <c r="AK1487" s="358">
        <f t="shared" si="461"/>
        <v>0</v>
      </c>
      <c r="AL1487" s="358">
        <v>0</v>
      </c>
      <c r="AM1487" s="358">
        <v>0</v>
      </c>
      <c r="AN1487" s="358">
        <v>0</v>
      </c>
      <c r="AO1487" s="358">
        <v>0</v>
      </c>
      <c r="AP1487" s="358">
        <v>0</v>
      </c>
      <c r="AQ1487" s="358">
        <v>0</v>
      </c>
      <c r="AR1487" s="358">
        <v>0</v>
      </c>
      <c r="AS1487" s="358">
        <f t="shared" si="459"/>
        <v>0</v>
      </c>
      <c r="AT1487" s="145">
        <v>0</v>
      </c>
      <c r="AU1487" s="139">
        <f t="shared" si="460"/>
        <v>0</v>
      </c>
      <c r="AV1487" s="146">
        <f>IFERROR(VLOOKUP(J1487,Maksājumu_pieprasījumu_iesn.!G:BL,57,0),0)</f>
        <v>0</v>
      </c>
      <c r="AW1487" s="139">
        <f t="shared" si="447"/>
        <v>0</v>
      </c>
      <c r="AX1487" s="358"/>
      <c r="AY1487" s="358"/>
      <c r="AZ1487" s="358"/>
      <c r="BA1487" s="360"/>
      <c r="BB1487" s="358"/>
      <c r="BC1487" s="358"/>
      <c r="BD1487" s="358"/>
      <c r="BE1487" s="358"/>
      <c r="BF1487" s="358"/>
      <c r="BG1487" s="358"/>
      <c r="BH1487" s="360"/>
      <c r="BI1487" s="360"/>
      <c r="BJ1487" s="360"/>
      <c r="BK1487" s="360"/>
      <c r="BL1487" s="360"/>
      <c r="BM1487" s="360"/>
      <c r="BN1487" s="360"/>
    </row>
    <row r="1488" spans="1:66" s="91" customFormat="1" ht="25.5" hidden="1" customHeight="1" outlineLevel="1" x14ac:dyDescent="0.2">
      <c r="A1488" s="150" t="s">
        <v>2279</v>
      </c>
      <c r="B1488" s="355" t="s">
        <v>448</v>
      </c>
      <c r="C1488" s="355" t="s">
        <v>2524</v>
      </c>
      <c r="D1488" s="356" t="s">
        <v>2525</v>
      </c>
      <c r="E1488" s="114">
        <v>2</v>
      </c>
      <c r="F1488" s="114" t="s">
        <v>210</v>
      </c>
      <c r="G1488" s="114" t="s">
        <v>5</v>
      </c>
      <c r="H1488" s="114" t="s">
        <v>3</v>
      </c>
      <c r="I1488" s="114"/>
      <c r="J1488" s="114"/>
      <c r="K1488" s="356" t="s">
        <v>2575</v>
      </c>
      <c r="L1488" s="356"/>
      <c r="M1488" s="356"/>
      <c r="N1488" s="356"/>
      <c r="O1488" s="357">
        <v>43465</v>
      </c>
      <c r="P1488" s="357"/>
      <c r="Q1488" s="357"/>
      <c r="R1488" s="357"/>
      <c r="S1488" s="117"/>
      <c r="T1488" s="117"/>
      <c r="U1488" s="358">
        <v>0</v>
      </c>
      <c r="V1488" s="358">
        <v>0</v>
      </c>
      <c r="W1488" s="358">
        <v>0</v>
      </c>
      <c r="X1488" s="358">
        <f t="shared" si="455"/>
        <v>0</v>
      </c>
      <c r="Y1488" s="358">
        <v>0</v>
      </c>
      <c r="Z1488" s="358">
        <v>0</v>
      </c>
      <c r="AA1488" s="358">
        <v>0</v>
      </c>
      <c r="AB1488" s="358">
        <v>0</v>
      </c>
      <c r="AC1488" s="358">
        <v>0</v>
      </c>
      <c r="AD1488" s="358">
        <v>0</v>
      </c>
      <c r="AE1488" s="358">
        <v>0</v>
      </c>
      <c r="AF1488" s="358">
        <v>0</v>
      </c>
      <c r="AG1488" s="358">
        <v>0</v>
      </c>
      <c r="AH1488" s="358">
        <v>0</v>
      </c>
      <c r="AI1488" s="358">
        <v>0</v>
      </c>
      <c r="AJ1488" s="358">
        <v>0</v>
      </c>
      <c r="AK1488" s="358">
        <f t="shared" si="461"/>
        <v>0</v>
      </c>
      <c r="AL1488" s="358">
        <v>0</v>
      </c>
      <c r="AM1488" s="358">
        <v>0</v>
      </c>
      <c r="AN1488" s="358">
        <v>0</v>
      </c>
      <c r="AO1488" s="358">
        <v>0</v>
      </c>
      <c r="AP1488" s="358">
        <v>0</v>
      </c>
      <c r="AQ1488" s="358">
        <v>0</v>
      </c>
      <c r="AR1488" s="358">
        <v>0</v>
      </c>
      <c r="AS1488" s="358">
        <f t="shared" si="459"/>
        <v>0</v>
      </c>
      <c r="AT1488" s="145">
        <v>0</v>
      </c>
      <c r="AU1488" s="139">
        <f t="shared" si="460"/>
        <v>0</v>
      </c>
      <c r="AV1488" s="146">
        <f>IFERROR(VLOOKUP(J1488,Maksājumu_pieprasījumu_iesn.!G:BL,57,0),0)</f>
        <v>0</v>
      </c>
      <c r="AW1488" s="139">
        <f t="shared" ref="AW1488:AW1551" si="462">AV1488-AU1488</f>
        <v>0</v>
      </c>
      <c r="AX1488" s="358"/>
      <c r="AY1488" s="358"/>
      <c r="AZ1488" s="358"/>
      <c r="BA1488" s="360"/>
      <c r="BB1488" s="358"/>
      <c r="BC1488" s="358"/>
      <c r="BD1488" s="358"/>
      <c r="BE1488" s="358"/>
      <c r="BF1488" s="358"/>
      <c r="BG1488" s="358"/>
      <c r="BH1488" s="360"/>
      <c r="BI1488" s="360"/>
      <c r="BJ1488" s="360"/>
      <c r="BK1488" s="360"/>
      <c r="BL1488" s="360"/>
      <c r="BM1488" s="360"/>
      <c r="BN1488" s="360"/>
    </row>
    <row r="1489" spans="1:66" s="91" customFormat="1" ht="25.5" hidden="1" customHeight="1" outlineLevel="1" x14ac:dyDescent="0.2">
      <c r="A1489" s="150" t="s">
        <v>2279</v>
      </c>
      <c r="B1489" s="355" t="s">
        <v>448</v>
      </c>
      <c r="C1489" s="355" t="s">
        <v>2524</v>
      </c>
      <c r="D1489" s="356" t="s">
        <v>2525</v>
      </c>
      <c r="E1489" s="114">
        <v>2</v>
      </c>
      <c r="F1489" s="114" t="s">
        <v>210</v>
      </c>
      <c r="G1489" s="114" t="s">
        <v>5</v>
      </c>
      <c r="H1489" s="114" t="s">
        <v>3</v>
      </c>
      <c r="I1489" s="114"/>
      <c r="J1489" s="114"/>
      <c r="K1489" s="356" t="s">
        <v>2576</v>
      </c>
      <c r="L1489" s="356"/>
      <c r="M1489" s="356"/>
      <c r="N1489" s="356"/>
      <c r="O1489" s="357">
        <v>43465</v>
      </c>
      <c r="P1489" s="357"/>
      <c r="Q1489" s="357"/>
      <c r="R1489" s="357"/>
      <c r="S1489" s="117"/>
      <c r="T1489" s="117"/>
      <c r="U1489" s="358">
        <v>0</v>
      </c>
      <c r="V1489" s="358">
        <v>0</v>
      </c>
      <c r="W1489" s="358">
        <v>0</v>
      </c>
      <c r="X1489" s="358">
        <f t="shared" si="455"/>
        <v>0</v>
      </c>
      <c r="Y1489" s="358">
        <v>0</v>
      </c>
      <c r="Z1489" s="358">
        <v>0</v>
      </c>
      <c r="AA1489" s="358">
        <v>0</v>
      </c>
      <c r="AB1489" s="358">
        <v>0</v>
      </c>
      <c r="AC1489" s="358">
        <v>0</v>
      </c>
      <c r="AD1489" s="358">
        <v>0</v>
      </c>
      <c r="AE1489" s="358">
        <v>0</v>
      </c>
      <c r="AF1489" s="358">
        <v>0</v>
      </c>
      <c r="AG1489" s="358">
        <v>0</v>
      </c>
      <c r="AH1489" s="358">
        <v>0</v>
      </c>
      <c r="AI1489" s="358">
        <v>0</v>
      </c>
      <c r="AJ1489" s="358">
        <v>0</v>
      </c>
      <c r="AK1489" s="358">
        <f t="shared" si="461"/>
        <v>0</v>
      </c>
      <c r="AL1489" s="358">
        <v>0</v>
      </c>
      <c r="AM1489" s="358">
        <v>0</v>
      </c>
      <c r="AN1489" s="358">
        <v>0</v>
      </c>
      <c r="AO1489" s="358">
        <v>0</v>
      </c>
      <c r="AP1489" s="358">
        <v>0</v>
      </c>
      <c r="AQ1489" s="358">
        <v>0</v>
      </c>
      <c r="AR1489" s="358">
        <v>0</v>
      </c>
      <c r="AS1489" s="358">
        <f t="shared" si="459"/>
        <v>0</v>
      </c>
      <c r="AT1489" s="145">
        <v>0</v>
      </c>
      <c r="AU1489" s="139">
        <f t="shared" si="460"/>
        <v>0</v>
      </c>
      <c r="AV1489" s="146">
        <f>IFERROR(VLOOKUP(J1489,Maksājumu_pieprasījumu_iesn.!G:BL,57,0),0)</f>
        <v>0</v>
      </c>
      <c r="AW1489" s="139">
        <f t="shared" si="462"/>
        <v>0</v>
      </c>
      <c r="AX1489" s="358"/>
      <c r="AY1489" s="358"/>
      <c r="AZ1489" s="358"/>
      <c r="BA1489" s="360"/>
      <c r="BB1489" s="358"/>
      <c r="BC1489" s="358"/>
      <c r="BD1489" s="358"/>
      <c r="BE1489" s="358"/>
      <c r="BF1489" s="358"/>
      <c r="BG1489" s="358"/>
      <c r="BH1489" s="360"/>
      <c r="BI1489" s="360"/>
      <c r="BJ1489" s="360"/>
      <c r="BK1489" s="360"/>
      <c r="BL1489" s="360"/>
      <c r="BM1489" s="360"/>
      <c r="BN1489" s="360"/>
    </row>
    <row r="1490" spans="1:66" s="91" customFormat="1" ht="25.5" hidden="1" customHeight="1" outlineLevel="1" x14ac:dyDescent="0.2">
      <c r="A1490" s="150" t="s">
        <v>2279</v>
      </c>
      <c r="B1490" s="355" t="s">
        <v>448</v>
      </c>
      <c r="C1490" s="355" t="s">
        <v>2524</v>
      </c>
      <c r="D1490" s="356" t="s">
        <v>2525</v>
      </c>
      <c r="E1490" s="114">
        <v>2</v>
      </c>
      <c r="F1490" s="114" t="s">
        <v>210</v>
      </c>
      <c r="G1490" s="114" t="s">
        <v>5</v>
      </c>
      <c r="H1490" s="114" t="s">
        <v>3</v>
      </c>
      <c r="I1490" s="114"/>
      <c r="J1490" s="114"/>
      <c r="K1490" s="356" t="s">
        <v>2577</v>
      </c>
      <c r="L1490" s="356"/>
      <c r="M1490" s="356"/>
      <c r="N1490" s="356"/>
      <c r="O1490" s="357">
        <v>43465</v>
      </c>
      <c r="P1490" s="357"/>
      <c r="Q1490" s="357"/>
      <c r="R1490" s="357"/>
      <c r="S1490" s="117"/>
      <c r="T1490" s="117"/>
      <c r="U1490" s="358">
        <v>0</v>
      </c>
      <c r="V1490" s="358">
        <v>0</v>
      </c>
      <c r="W1490" s="358">
        <v>0</v>
      </c>
      <c r="X1490" s="358">
        <f t="shared" si="455"/>
        <v>0</v>
      </c>
      <c r="Y1490" s="358">
        <v>0</v>
      </c>
      <c r="Z1490" s="358">
        <v>0</v>
      </c>
      <c r="AA1490" s="358">
        <v>0</v>
      </c>
      <c r="AB1490" s="358">
        <v>0</v>
      </c>
      <c r="AC1490" s="358">
        <v>0</v>
      </c>
      <c r="AD1490" s="358">
        <v>0</v>
      </c>
      <c r="AE1490" s="358">
        <v>0</v>
      </c>
      <c r="AF1490" s="358">
        <v>0</v>
      </c>
      <c r="AG1490" s="358">
        <v>0</v>
      </c>
      <c r="AH1490" s="358">
        <v>0</v>
      </c>
      <c r="AI1490" s="358">
        <v>0</v>
      </c>
      <c r="AJ1490" s="358">
        <v>0</v>
      </c>
      <c r="AK1490" s="358">
        <f t="shared" si="461"/>
        <v>0</v>
      </c>
      <c r="AL1490" s="358">
        <v>0</v>
      </c>
      <c r="AM1490" s="358">
        <v>0</v>
      </c>
      <c r="AN1490" s="358">
        <v>0</v>
      </c>
      <c r="AO1490" s="358">
        <v>0</v>
      </c>
      <c r="AP1490" s="358">
        <v>0</v>
      </c>
      <c r="AQ1490" s="358">
        <v>0</v>
      </c>
      <c r="AR1490" s="358">
        <v>0</v>
      </c>
      <c r="AS1490" s="358">
        <f t="shared" si="459"/>
        <v>0</v>
      </c>
      <c r="AT1490" s="145">
        <v>0</v>
      </c>
      <c r="AU1490" s="139">
        <f t="shared" si="460"/>
        <v>0</v>
      </c>
      <c r="AV1490" s="146">
        <f>IFERROR(VLOOKUP(J1490,Maksājumu_pieprasījumu_iesn.!G:BL,57,0),0)</f>
        <v>0</v>
      </c>
      <c r="AW1490" s="139">
        <f t="shared" si="462"/>
        <v>0</v>
      </c>
      <c r="AX1490" s="358"/>
      <c r="AY1490" s="358"/>
      <c r="AZ1490" s="358"/>
      <c r="BA1490" s="360"/>
      <c r="BB1490" s="358"/>
      <c r="BC1490" s="358"/>
      <c r="BD1490" s="358"/>
      <c r="BE1490" s="358"/>
      <c r="BF1490" s="358"/>
      <c r="BG1490" s="358"/>
      <c r="BH1490" s="360"/>
      <c r="BI1490" s="360"/>
      <c r="BJ1490" s="360"/>
      <c r="BK1490" s="360"/>
      <c r="BL1490" s="360"/>
      <c r="BM1490" s="360"/>
      <c r="BN1490" s="360"/>
    </row>
    <row r="1491" spans="1:66" s="91" customFormat="1" ht="25.5" hidden="1" customHeight="1" outlineLevel="1" x14ac:dyDescent="0.2">
      <c r="A1491" s="150" t="s">
        <v>2279</v>
      </c>
      <c r="B1491" s="355" t="s">
        <v>448</v>
      </c>
      <c r="C1491" s="355" t="s">
        <v>2524</v>
      </c>
      <c r="D1491" s="356" t="s">
        <v>2525</v>
      </c>
      <c r="E1491" s="114">
        <v>2</v>
      </c>
      <c r="F1491" s="114" t="s">
        <v>210</v>
      </c>
      <c r="G1491" s="114" t="s">
        <v>5</v>
      </c>
      <c r="H1491" s="114" t="s">
        <v>3</v>
      </c>
      <c r="I1491" s="114"/>
      <c r="J1491" s="114"/>
      <c r="K1491" s="356" t="s">
        <v>2578</v>
      </c>
      <c r="L1491" s="356"/>
      <c r="M1491" s="356"/>
      <c r="N1491" s="356"/>
      <c r="O1491" s="357">
        <v>43465</v>
      </c>
      <c r="P1491" s="357"/>
      <c r="Q1491" s="357"/>
      <c r="R1491" s="357"/>
      <c r="S1491" s="117"/>
      <c r="T1491" s="117"/>
      <c r="U1491" s="358">
        <v>0</v>
      </c>
      <c r="V1491" s="358">
        <v>0</v>
      </c>
      <c r="W1491" s="358">
        <v>0</v>
      </c>
      <c r="X1491" s="358">
        <f t="shared" si="455"/>
        <v>0</v>
      </c>
      <c r="Y1491" s="358">
        <v>0</v>
      </c>
      <c r="Z1491" s="358">
        <v>0</v>
      </c>
      <c r="AA1491" s="358">
        <v>0</v>
      </c>
      <c r="AB1491" s="358">
        <v>0</v>
      </c>
      <c r="AC1491" s="358">
        <v>0</v>
      </c>
      <c r="AD1491" s="358">
        <v>0</v>
      </c>
      <c r="AE1491" s="358">
        <v>0</v>
      </c>
      <c r="AF1491" s="358">
        <v>0</v>
      </c>
      <c r="AG1491" s="358">
        <v>0</v>
      </c>
      <c r="AH1491" s="358">
        <v>0</v>
      </c>
      <c r="AI1491" s="358">
        <v>0</v>
      </c>
      <c r="AJ1491" s="358">
        <v>0</v>
      </c>
      <c r="AK1491" s="358">
        <f t="shared" si="461"/>
        <v>0</v>
      </c>
      <c r="AL1491" s="358">
        <v>0</v>
      </c>
      <c r="AM1491" s="358">
        <v>0</v>
      </c>
      <c r="AN1491" s="358">
        <v>0</v>
      </c>
      <c r="AO1491" s="358">
        <v>0</v>
      </c>
      <c r="AP1491" s="358">
        <v>0</v>
      </c>
      <c r="AQ1491" s="358">
        <v>0</v>
      </c>
      <c r="AR1491" s="358">
        <v>0</v>
      </c>
      <c r="AS1491" s="358">
        <f t="shared" si="459"/>
        <v>0</v>
      </c>
      <c r="AT1491" s="145">
        <v>0</v>
      </c>
      <c r="AU1491" s="139">
        <f t="shared" si="460"/>
        <v>0</v>
      </c>
      <c r="AV1491" s="146">
        <f>IFERROR(VLOOKUP(J1491,Maksājumu_pieprasījumu_iesn.!G:BL,57,0),0)</f>
        <v>0</v>
      </c>
      <c r="AW1491" s="139">
        <f t="shared" si="462"/>
        <v>0</v>
      </c>
      <c r="AX1491" s="358"/>
      <c r="AY1491" s="358"/>
      <c r="AZ1491" s="358"/>
      <c r="BA1491" s="360"/>
      <c r="BB1491" s="358"/>
      <c r="BC1491" s="358"/>
      <c r="BD1491" s="358"/>
      <c r="BE1491" s="358"/>
      <c r="BF1491" s="358"/>
      <c r="BG1491" s="358"/>
      <c r="BH1491" s="360"/>
      <c r="BI1491" s="360"/>
      <c r="BJ1491" s="360"/>
      <c r="BK1491" s="360"/>
      <c r="BL1491" s="360"/>
      <c r="BM1491" s="360"/>
      <c r="BN1491" s="360"/>
    </row>
    <row r="1492" spans="1:66" s="91" customFormat="1" ht="25.5" hidden="1" customHeight="1" outlineLevel="1" x14ac:dyDescent="0.2">
      <c r="A1492" s="150" t="s">
        <v>2279</v>
      </c>
      <c r="B1492" s="355" t="s">
        <v>448</v>
      </c>
      <c r="C1492" s="355" t="s">
        <v>2524</v>
      </c>
      <c r="D1492" s="356" t="s">
        <v>2525</v>
      </c>
      <c r="E1492" s="114">
        <v>2</v>
      </c>
      <c r="F1492" s="114" t="s">
        <v>210</v>
      </c>
      <c r="G1492" s="114" t="s">
        <v>5</v>
      </c>
      <c r="H1492" s="114" t="s">
        <v>3</v>
      </c>
      <c r="I1492" s="114"/>
      <c r="J1492" s="114"/>
      <c r="K1492" s="356" t="s">
        <v>2579</v>
      </c>
      <c r="L1492" s="356"/>
      <c r="M1492" s="356"/>
      <c r="N1492" s="356"/>
      <c r="O1492" s="357">
        <v>43465</v>
      </c>
      <c r="P1492" s="357"/>
      <c r="Q1492" s="357"/>
      <c r="R1492" s="357"/>
      <c r="S1492" s="117"/>
      <c r="T1492" s="117"/>
      <c r="U1492" s="358">
        <v>0</v>
      </c>
      <c r="V1492" s="358">
        <v>0</v>
      </c>
      <c r="W1492" s="358">
        <v>0</v>
      </c>
      <c r="X1492" s="358">
        <f t="shared" si="455"/>
        <v>0</v>
      </c>
      <c r="Y1492" s="358">
        <v>0</v>
      </c>
      <c r="Z1492" s="358">
        <v>0</v>
      </c>
      <c r="AA1492" s="358">
        <v>0</v>
      </c>
      <c r="AB1492" s="358">
        <v>0</v>
      </c>
      <c r="AC1492" s="358">
        <v>0</v>
      </c>
      <c r="AD1492" s="358">
        <v>0</v>
      </c>
      <c r="AE1492" s="358">
        <v>0</v>
      </c>
      <c r="AF1492" s="358">
        <v>0</v>
      </c>
      <c r="AG1492" s="358">
        <v>0</v>
      </c>
      <c r="AH1492" s="358">
        <v>0</v>
      </c>
      <c r="AI1492" s="358">
        <v>0</v>
      </c>
      <c r="AJ1492" s="358">
        <v>0</v>
      </c>
      <c r="AK1492" s="358">
        <f t="shared" si="461"/>
        <v>0</v>
      </c>
      <c r="AL1492" s="358">
        <v>0</v>
      </c>
      <c r="AM1492" s="358">
        <v>0</v>
      </c>
      <c r="AN1492" s="358">
        <v>0</v>
      </c>
      <c r="AO1492" s="358">
        <v>0</v>
      </c>
      <c r="AP1492" s="358">
        <v>0</v>
      </c>
      <c r="AQ1492" s="358">
        <v>0</v>
      </c>
      <c r="AR1492" s="358">
        <v>0</v>
      </c>
      <c r="AS1492" s="358">
        <f t="shared" si="459"/>
        <v>0</v>
      </c>
      <c r="AT1492" s="145">
        <v>0</v>
      </c>
      <c r="AU1492" s="139">
        <f t="shared" si="460"/>
        <v>0</v>
      </c>
      <c r="AV1492" s="146">
        <f>IFERROR(VLOOKUP(J1492,Maksājumu_pieprasījumu_iesn.!G:BL,57,0),0)</f>
        <v>0</v>
      </c>
      <c r="AW1492" s="139">
        <f t="shared" si="462"/>
        <v>0</v>
      </c>
      <c r="AX1492" s="358"/>
      <c r="AY1492" s="358"/>
      <c r="AZ1492" s="358"/>
      <c r="BA1492" s="360"/>
      <c r="BB1492" s="358"/>
      <c r="BC1492" s="358"/>
      <c r="BD1492" s="358"/>
      <c r="BE1492" s="358"/>
      <c r="BF1492" s="358"/>
      <c r="BG1492" s="358"/>
      <c r="BH1492" s="360"/>
      <c r="BI1492" s="360"/>
      <c r="BJ1492" s="360"/>
      <c r="BK1492" s="360"/>
      <c r="BL1492" s="360"/>
      <c r="BM1492" s="360"/>
      <c r="BN1492" s="360"/>
    </row>
    <row r="1493" spans="1:66" s="91" customFormat="1" ht="25.5" hidden="1" customHeight="1" outlineLevel="1" x14ac:dyDescent="0.2">
      <c r="A1493" s="150" t="s">
        <v>2279</v>
      </c>
      <c r="B1493" s="355" t="s">
        <v>448</v>
      </c>
      <c r="C1493" s="355" t="s">
        <v>2524</v>
      </c>
      <c r="D1493" s="356" t="s">
        <v>2525</v>
      </c>
      <c r="E1493" s="114">
        <v>2</v>
      </c>
      <c r="F1493" s="114" t="s">
        <v>210</v>
      </c>
      <c r="G1493" s="114" t="s">
        <v>5</v>
      </c>
      <c r="H1493" s="114" t="s">
        <v>3</v>
      </c>
      <c r="I1493" s="114"/>
      <c r="J1493" s="114"/>
      <c r="K1493" s="356" t="s">
        <v>2580</v>
      </c>
      <c r="L1493" s="356"/>
      <c r="M1493" s="356"/>
      <c r="N1493" s="356"/>
      <c r="O1493" s="357">
        <v>43465</v>
      </c>
      <c r="P1493" s="357"/>
      <c r="Q1493" s="357"/>
      <c r="R1493" s="357"/>
      <c r="S1493" s="117"/>
      <c r="T1493" s="117"/>
      <c r="U1493" s="358">
        <v>0</v>
      </c>
      <c r="V1493" s="358">
        <v>0</v>
      </c>
      <c r="W1493" s="358">
        <v>0</v>
      </c>
      <c r="X1493" s="358">
        <f t="shared" si="455"/>
        <v>0</v>
      </c>
      <c r="Y1493" s="358">
        <v>0</v>
      </c>
      <c r="Z1493" s="358">
        <v>0</v>
      </c>
      <c r="AA1493" s="358">
        <v>0</v>
      </c>
      <c r="AB1493" s="358">
        <v>0</v>
      </c>
      <c r="AC1493" s="358">
        <v>0</v>
      </c>
      <c r="AD1493" s="358">
        <v>0</v>
      </c>
      <c r="AE1493" s="358">
        <v>0</v>
      </c>
      <c r="AF1493" s="358">
        <v>0</v>
      </c>
      <c r="AG1493" s="358">
        <v>0</v>
      </c>
      <c r="AH1493" s="358">
        <v>0</v>
      </c>
      <c r="AI1493" s="358">
        <v>0</v>
      </c>
      <c r="AJ1493" s="358">
        <v>0</v>
      </c>
      <c r="AK1493" s="358">
        <f t="shared" si="461"/>
        <v>0</v>
      </c>
      <c r="AL1493" s="358">
        <v>0</v>
      </c>
      <c r="AM1493" s="358">
        <v>0</v>
      </c>
      <c r="AN1493" s="358">
        <v>0</v>
      </c>
      <c r="AO1493" s="358">
        <v>0</v>
      </c>
      <c r="AP1493" s="358">
        <v>0</v>
      </c>
      <c r="AQ1493" s="358">
        <v>0</v>
      </c>
      <c r="AR1493" s="358">
        <v>0</v>
      </c>
      <c r="AS1493" s="358">
        <f t="shared" si="459"/>
        <v>0</v>
      </c>
      <c r="AT1493" s="145">
        <v>0</v>
      </c>
      <c r="AU1493" s="139">
        <f t="shared" si="460"/>
        <v>0</v>
      </c>
      <c r="AV1493" s="146">
        <f>IFERROR(VLOOKUP(J1493,Maksājumu_pieprasījumu_iesn.!G:BL,57,0),0)</f>
        <v>0</v>
      </c>
      <c r="AW1493" s="139">
        <f t="shared" si="462"/>
        <v>0</v>
      </c>
      <c r="AX1493" s="358"/>
      <c r="AY1493" s="358"/>
      <c r="AZ1493" s="358"/>
      <c r="BA1493" s="360"/>
      <c r="BB1493" s="358"/>
      <c r="BC1493" s="358"/>
      <c r="BD1493" s="358"/>
      <c r="BE1493" s="358"/>
      <c r="BF1493" s="358"/>
      <c r="BG1493" s="358"/>
      <c r="BH1493" s="360"/>
      <c r="BI1493" s="360"/>
      <c r="BJ1493" s="360"/>
      <c r="BK1493" s="360"/>
      <c r="BL1493" s="360"/>
      <c r="BM1493" s="360"/>
      <c r="BN1493" s="360"/>
    </row>
    <row r="1494" spans="1:66" s="91" customFormat="1" ht="25.5" hidden="1" customHeight="1" outlineLevel="1" x14ac:dyDescent="0.2">
      <c r="A1494" s="150" t="s">
        <v>2279</v>
      </c>
      <c r="B1494" s="355" t="s">
        <v>448</v>
      </c>
      <c r="C1494" s="355" t="s">
        <v>2524</v>
      </c>
      <c r="D1494" s="356" t="s">
        <v>2525</v>
      </c>
      <c r="E1494" s="114">
        <v>2</v>
      </c>
      <c r="F1494" s="114" t="s">
        <v>210</v>
      </c>
      <c r="G1494" s="114" t="s">
        <v>5</v>
      </c>
      <c r="H1494" s="114" t="s">
        <v>3</v>
      </c>
      <c r="I1494" s="114"/>
      <c r="J1494" s="114"/>
      <c r="K1494" s="356" t="s">
        <v>2581</v>
      </c>
      <c r="L1494" s="356"/>
      <c r="M1494" s="356"/>
      <c r="N1494" s="356"/>
      <c r="O1494" s="357">
        <v>43465</v>
      </c>
      <c r="P1494" s="357"/>
      <c r="Q1494" s="357"/>
      <c r="R1494" s="357"/>
      <c r="S1494" s="117"/>
      <c r="T1494" s="117"/>
      <c r="U1494" s="358">
        <v>0</v>
      </c>
      <c r="V1494" s="358">
        <v>0</v>
      </c>
      <c r="W1494" s="358">
        <v>0</v>
      </c>
      <c r="X1494" s="358">
        <f t="shared" si="455"/>
        <v>0</v>
      </c>
      <c r="Y1494" s="358">
        <v>0</v>
      </c>
      <c r="Z1494" s="358">
        <v>0</v>
      </c>
      <c r="AA1494" s="358">
        <v>0</v>
      </c>
      <c r="AB1494" s="358">
        <v>0</v>
      </c>
      <c r="AC1494" s="358">
        <v>0</v>
      </c>
      <c r="AD1494" s="358">
        <v>0</v>
      </c>
      <c r="AE1494" s="358">
        <v>0</v>
      </c>
      <c r="AF1494" s="358">
        <v>0</v>
      </c>
      <c r="AG1494" s="358">
        <v>0</v>
      </c>
      <c r="AH1494" s="358">
        <v>0</v>
      </c>
      <c r="AI1494" s="358">
        <v>0</v>
      </c>
      <c r="AJ1494" s="358">
        <v>0</v>
      </c>
      <c r="AK1494" s="358">
        <f t="shared" si="461"/>
        <v>0</v>
      </c>
      <c r="AL1494" s="358">
        <v>0</v>
      </c>
      <c r="AM1494" s="358">
        <v>0</v>
      </c>
      <c r="AN1494" s="358">
        <v>0</v>
      </c>
      <c r="AO1494" s="358">
        <v>0</v>
      </c>
      <c r="AP1494" s="358">
        <v>0</v>
      </c>
      <c r="AQ1494" s="358">
        <v>0</v>
      </c>
      <c r="AR1494" s="358">
        <v>0</v>
      </c>
      <c r="AS1494" s="358">
        <f t="shared" si="459"/>
        <v>0</v>
      </c>
      <c r="AT1494" s="145">
        <v>0</v>
      </c>
      <c r="AU1494" s="139">
        <f t="shared" si="460"/>
        <v>0</v>
      </c>
      <c r="AV1494" s="146">
        <f>IFERROR(VLOOKUP(J1494,Maksājumu_pieprasījumu_iesn.!G:BL,57,0),0)</f>
        <v>0</v>
      </c>
      <c r="AW1494" s="139">
        <f t="shared" si="462"/>
        <v>0</v>
      </c>
      <c r="AX1494" s="358"/>
      <c r="AY1494" s="358"/>
      <c r="AZ1494" s="358"/>
      <c r="BA1494" s="360"/>
      <c r="BB1494" s="358"/>
      <c r="BC1494" s="358"/>
      <c r="BD1494" s="358"/>
      <c r="BE1494" s="358"/>
      <c r="BF1494" s="358"/>
      <c r="BG1494" s="358"/>
      <c r="BH1494" s="360"/>
      <c r="BI1494" s="360"/>
      <c r="BJ1494" s="360"/>
      <c r="BK1494" s="360"/>
      <c r="BL1494" s="360"/>
      <c r="BM1494" s="360"/>
      <c r="BN1494" s="360"/>
    </row>
    <row r="1495" spans="1:66" s="91" customFormat="1" ht="25.5" hidden="1" customHeight="1" outlineLevel="1" x14ac:dyDescent="0.2">
      <c r="A1495" s="150" t="s">
        <v>2279</v>
      </c>
      <c r="B1495" s="355" t="s">
        <v>448</v>
      </c>
      <c r="C1495" s="355" t="s">
        <v>2524</v>
      </c>
      <c r="D1495" s="356" t="s">
        <v>2525</v>
      </c>
      <c r="E1495" s="114">
        <v>2</v>
      </c>
      <c r="F1495" s="114" t="s">
        <v>210</v>
      </c>
      <c r="G1495" s="114" t="s">
        <v>5</v>
      </c>
      <c r="H1495" s="114" t="s">
        <v>3</v>
      </c>
      <c r="I1495" s="114"/>
      <c r="J1495" s="114"/>
      <c r="K1495" s="356" t="s">
        <v>2582</v>
      </c>
      <c r="L1495" s="356"/>
      <c r="M1495" s="356"/>
      <c r="N1495" s="356"/>
      <c r="O1495" s="357">
        <v>43465</v>
      </c>
      <c r="P1495" s="357"/>
      <c r="Q1495" s="357"/>
      <c r="R1495" s="357"/>
      <c r="S1495" s="117"/>
      <c r="T1495" s="117"/>
      <c r="U1495" s="358">
        <v>0</v>
      </c>
      <c r="V1495" s="358">
        <v>0</v>
      </c>
      <c r="W1495" s="358">
        <v>0</v>
      </c>
      <c r="X1495" s="358">
        <f t="shared" si="455"/>
        <v>0</v>
      </c>
      <c r="Y1495" s="358">
        <v>0</v>
      </c>
      <c r="Z1495" s="358">
        <v>0</v>
      </c>
      <c r="AA1495" s="358">
        <v>0</v>
      </c>
      <c r="AB1495" s="358">
        <v>0</v>
      </c>
      <c r="AC1495" s="358">
        <v>0</v>
      </c>
      <c r="AD1495" s="358">
        <v>0</v>
      </c>
      <c r="AE1495" s="358">
        <v>0</v>
      </c>
      <c r="AF1495" s="358">
        <v>0</v>
      </c>
      <c r="AG1495" s="358">
        <v>0</v>
      </c>
      <c r="AH1495" s="358">
        <v>0</v>
      </c>
      <c r="AI1495" s="358">
        <v>0</v>
      </c>
      <c r="AJ1495" s="358">
        <v>0</v>
      </c>
      <c r="AK1495" s="358">
        <f t="shared" si="461"/>
        <v>0</v>
      </c>
      <c r="AL1495" s="358">
        <v>0</v>
      </c>
      <c r="AM1495" s="358">
        <v>0</v>
      </c>
      <c r="AN1495" s="358">
        <v>0</v>
      </c>
      <c r="AO1495" s="358">
        <v>0</v>
      </c>
      <c r="AP1495" s="358">
        <v>0</v>
      </c>
      <c r="AQ1495" s="358">
        <v>0</v>
      </c>
      <c r="AR1495" s="358">
        <v>0</v>
      </c>
      <c r="AS1495" s="358">
        <f t="shared" si="459"/>
        <v>0</v>
      </c>
      <c r="AT1495" s="145">
        <v>0</v>
      </c>
      <c r="AU1495" s="139">
        <f t="shared" si="460"/>
        <v>0</v>
      </c>
      <c r="AV1495" s="146">
        <f>IFERROR(VLOOKUP(J1495,Maksājumu_pieprasījumu_iesn.!G:BL,57,0),0)</f>
        <v>0</v>
      </c>
      <c r="AW1495" s="139">
        <f t="shared" si="462"/>
        <v>0</v>
      </c>
      <c r="AX1495" s="358"/>
      <c r="AY1495" s="358"/>
      <c r="AZ1495" s="358"/>
      <c r="BA1495" s="360"/>
      <c r="BB1495" s="358"/>
      <c r="BC1495" s="358"/>
      <c r="BD1495" s="358"/>
      <c r="BE1495" s="358"/>
      <c r="BF1495" s="358"/>
      <c r="BG1495" s="358"/>
      <c r="BH1495" s="360"/>
      <c r="BI1495" s="360"/>
      <c r="BJ1495" s="360"/>
      <c r="BK1495" s="360"/>
      <c r="BL1495" s="360"/>
      <c r="BM1495" s="360"/>
      <c r="BN1495" s="360"/>
    </row>
    <row r="1496" spans="1:66" s="91" customFormat="1" ht="25.5" hidden="1" customHeight="1" outlineLevel="1" x14ac:dyDescent="0.2">
      <c r="A1496" s="150" t="s">
        <v>2279</v>
      </c>
      <c r="B1496" s="355" t="s">
        <v>448</v>
      </c>
      <c r="C1496" s="355" t="s">
        <v>2524</v>
      </c>
      <c r="D1496" s="356" t="s">
        <v>2525</v>
      </c>
      <c r="E1496" s="114">
        <v>2</v>
      </c>
      <c r="F1496" s="114" t="s">
        <v>210</v>
      </c>
      <c r="G1496" s="114" t="s">
        <v>5</v>
      </c>
      <c r="H1496" s="114" t="s">
        <v>3</v>
      </c>
      <c r="I1496" s="114"/>
      <c r="J1496" s="114"/>
      <c r="K1496" s="356" t="s">
        <v>2583</v>
      </c>
      <c r="L1496" s="356"/>
      <c r="M1496" s="356"/>
      <c r="N1496" s="356"/>
      <c r="O1496" s="357">
        <v>43465</v>
      </c>
      <c r="P1496" s="357"/>
      <c r="Q1496" s="357"/>
      <c r="R1496" s="357"/>
      <c r="S1496" s="117"/>
      <c r="T1496" s="117"/>
      <c r="U1496" s="358">
        <v>0</v>
      </c>
      <c r="V1496" s="358">
        <v>0</v>
      </c>
      <c r="W1496" s="358">
        <v>0</v>
      </c>
      <c r="X1496" s="358">
        <f t="shared" si="455"/>
        <v>0</v>
      </c>
      <c r="Y1496" s="358">
        <v>0</v>
      </c>
      <c r="Z1496" s="358">
        <v>0</v>
      </c>
      <c r="AA1496" s="358">
        <v>0</v>
      </c>
      <c r="AB1496" s="358">
        <v>0</v>
      </c>
      <c r="AC1496" s="358">
        <v>0</v>
      </c>
      <c r="AD1496" s="358">
        <v>0</v>
      </c>
      <c r="AE1496" s="358">
        <v>0</v>
      </c>
      <c r="AF1496" s="358">
        <v>0</v>
      </c>
      <c r="AG1496" s="358">
        <v>0</v>
      </c>
      <c r="AH1496" s="358">
        <v>0</v>
      </c>
      <c r="AI1496" s="358">
        <v>0</v>
      </c>
      <c r="AJ1496" s="358">
        <v>0</v>
      </c>
      <c r="AK1496" s="358">
        <f t="shared" si="461"/>
        <v>0</v>
      </c>
      <c r="AL1496" s="358">
        <v>0</v>
      </c>
      <c r="AM1496" s="358">
        <v>0</v>
      </c>
      <c r="AN1496" s="358">
        <v>0</v>
      </c>
      <c r="AO1496" s="358">
        <v>0</v>
      </c>
      <c r="AP1496" s="358">
        <v>0</v>
      </c>
      <c r="AQ1496" s="358">
        <v>0</v>
      </c>
      <c r="AR1496" s="358">
        <v>0</v>
      </c>
      <c r="AS1496" s="358">
        <f t="shared" si="459"/>
        <v>0</v>
      </c>
      <c r="AT1496" s="145">
        <v>0</v>
      </c>
      <c r="AU1496" s="139">
        <f t="shared" si="460"/>
        <v>0</v>
      </c>
      <c r="AV1496" s="146">
        <f>IFERROR(VLOOKUP(J1496,Maksājumu_pieprasījumu_iesn.!G:BL,57,0),0)</f>
        <v>0</v>
      </c>
      <c r="AW1496" s="139">
        <f t="shared" si="462"/>
        <v>0</v>
      </c>
      <c r="AX1496" s="358"/>
      <c r="AY1496" s="358"/>
      <c r="AZ1496" s="358"/>
      <c r="BA1496" s="360"/>
      <c r="BB1496" s="358"/>
      <c r="BC1496" s="358"/>
      <c r="BD1496" s="358"/>
      <c r="BE1496" s="358"/>
      <c r="BF1496" s="358"/>
      <c r="BG1496" s="358"/>
      <c r="BH1496" s="360"/>
      <c r="BI1496" s="360"/>
      <c r="BJ1496" s="360"/>
      <c r="BK1496" s="360"/>
      <c r="BL1496" s="360"/>
      <c r="BM1496" s="360"/>
      <c r="BN1496" s="360"/>
    </row>
    <row r="1497" spans="1:66" s="91" customFormat="1" ht="25.5" hidden="1" customHeight="1" outlineLevel="1" x14ac:dyDescent="0.2">
      <c r="A1497" s="150" t="s">
        <v>2279</v>
      </c>
      <c r="B1497" s="355" t="s">
        <v>448</v>
      </c>
      <c r="C1497" s="355" t="s">
        <v>2524</v>
      </c>
      <c r="D1497" s="356" t="s">
        <v>2525</v>
      </c>
      <c r="E1497" s="114">
        <v>2</v>
      </c>
      <c r="F1497" s="114" t="s">
        <v>210</v>
      </c>
      <c r="G1497" s="114" t="s">
        <v>5</v>
      </c>
      <c r="H1497" s="114" t="s">
        <v>3</v>
      </c>
      <c r="I1497" s="114"/>
      <c r="J1497" s="114"/>
      <c r="K1497" s="356" t="s">
        <v>2584</v>
      </c>
      <c r="L1497" s="356"/>
      <c r="M1497" s="356"/>
      <c r="N1497" s="356"/>
      <c r="O1497" s="357">
        <v>43465</v>
      </c>
      <c r="P1497" s="357"/>
      <c r="Q1497" s="357"/>
      <c r="R1497" s="357"/>
      <c r="S1497" s="117"/>
      <c r="T1497" s="117"/>
      <c r="U1497" s="358">
        <v>0</v>
      </c>
      <c r="V1497" s="358">
        <v>0</v>
      </c>
      <c r="W1497" s="358">
        <v>0</v>
      </c>
      <c r="X1497" s="358">
        <f t="shared" si="455"/>
        <v>0</v>
      </c>
      <c r="Y1497" s="358">
        <v>0</v>
      </c>
      <c r="Z1497" s="358">
        <v>0</v>
      </c>
      <c r="AA1497" s="358">
        <v>0</v>
      </c>
      <c r="AB1497" s="358">
        <v>0</v>
      </c>
      <c r="AC1497" s="358">
        <v>0</v>
      </c>
      <c r="AD1497" s="358">
        <v>0</v>
      </c>
      <c r="AE1497" s="358">
        <v>0</v>
      </c>
      <c r="AF1497" s="358">
        <v>0</v>
      </c>
      <c r="AG1497" s="358">
        <v>0</v>
      </c>
      <c r="AH1497" s="358">
        <v>0</v>
      </c>
      <c r="AI1497" s="358">
        <v>0</v>
      </c>
      <c r="AJ1497" s="358">
        <v>0</v>
      </c>
      <c r="AK1497" s="358">
        <f t="shared" si="461"/>
        <v>0</v>
      </c>
      <c r="AL1497" s="358">
        <v>0</v>
      </c>
      <c r="AM1497" s="358">
        <v>0</v>
      </c>
      <c r="AN1497" s="358">
        <v>0</v>
      </c>
      <c r="AO1497" s="358">
        <v>0</v>
      </c>
      <c r="AP1497" s="358">
        <v>0</v>
      </c>
      <c r="AQ1497" s="358">
        <v>0</v>
      </c>
      <c r="AR1497" s="358">
        <v>0</v>
      </c>
      <c r="AS1497" s="358">
        <f t="shared" si="459"/>
        <v>0</v>
      </c>
      <c r="AT1497" s="145">
        <v>0</v>
      </c>
      <c r="AU1497" s="139">
        <f t="shared" si="460"/>
        <v>0</v>
      </c>
      <c r="AV1497" s="146">
        <f>IFERROR(VLOOKUP(J1497,Maksājumu_pieprasījumu_iesn.!G:BL,57,0),0)</f>
        <v>0</v>
      </c>
      <c r="AW1497" s="139">
        <f t="shared" si="462"/>
        <v>0</v>
      </c>
      <c r="AX1497" s="358"/>
      <c r="AY1497" s="358"/>
      <c r="AZ1497" s="358"/>
      <c r="BA1497" s="360"/>
      <c r="BB1497" s="358"/>
      <c r="BC1497" s="358"/>
      <c r="BD1497" s="358"/>
      <c r="BE1497" s="358"/>
      <c r="BF1497" s="358"/>
      <c r="BG1497" s="358"/>
      <c r="BH1497" s="360"/>
      <c r="BI1497" s="360"/>
      <c r="BJ1497" s="360"/>
      <c r="BK1497" s="360"/>
      <c r="BL1497" s="360"/>
      <c r="BM1497" s="360"/>
      <c r="BN1497" s="360"/>
    </row>
    <row r="1498" spans="1:66" s="91" customFormat="1" ht="25.5" hidden="1" customHeight="1" outlineLevel="1" x14ac:dyDescent="0.2">
      <c r="A1498" s="150" t="s">
        <v>2279</v>
      </c>
      <c r="B1498" s="355" t="s">
        <v>448</v>
      </c>
      <c r="C1498" s="355" t="s">
        <v>2524</v>
      </c>
      <c r="D1498" s="356" t="s">
        <v>2525</v>
      </c>
      <c r="E1498" s="114">
        <v>2</v>
      </c>
      <c r="F1498" s="114" t="s">
        <v>210</v>
      </c>
      <c r="G1498" s="114" t="s">
        <v>5</v>
      </c>
      <c r="H1498" s="114" t="s">
        <v>3</v>
      </c>
      <c r="I1498" s="114"/>
      <c r="J1498" s="114"/>
      <c r="K1498" s="356" t="s">
        <v>2585</v>
      </c>
      <c r="L1498" s="356"/>
      <c r="M1498" s="356"/>
      <c r="N1498" s="356"/>
      <c r="O1498" s="357">
        <v>43465</v>
      </c>
      <c r="P1498" s="357"/>
      <c r="Q1498" s="357"/>
      <c r="R1498" s="357"/>
      <c r="S1498" s="117"/>
      <c r="T1498" s="117"/>
      <c r="U1498" s="358">
        <v>0</v>
      </c>
      <c r="V1498" s="358">
        <v>0</v>
      </c>
      <c r="W1498" s="358">
        <v>0</v>
      </c>
      <c r="X1498" s="358">
        <f t="shared" si="455"/>
        <v>0</v>
      </c>
      <c r="Y1498" s="358">
        <v>0</v>
      </c>
      <c r="Z1498" s="358">
        <v>0</v>
      </c>
      <c r="AA1498" s="358">
        <v>0</v>
      </c>
      <c r="AB1498" s="358">
        <v>0</v>
      </c>
      <c r="AC1498" s="358">
        <v>0</v>
      </c>
      <c r="AD1498" s="358">
        <v>0</v>
      </c>
      <c r="AE1498" s="358">
        <v>0</v>
      </c>
      <c r="AF1498" s="358">
        <v>0</v>
      </c>
      <c r="AG1498" s="358">
        <v>0</v>
      </c>
      <c r="AH1498" s="358">
        <v>0</v>
      </c>
      <c r="AI1498" s="358">
        <v>0</v>
      </c>
      <c r="AJ1498" s="358">
        <v>0</v>
      </c>
      <c r="AK1498" s="358">
        <f t="shared" si="461"/>
        <v>0</v>
      </c>
      <c r="AL1498" s="358">
        <v>0</v>
      </c>
      <c r="AM1498" s="358">
        <v>0</v>
      </c>
      <c r="AN1498" s="358">
        <v>0</v>
      </c>
      <c r="AO1498" s="358">
        <v>0</v>
      </c>
      <c r="AP1498" s="358">
        <v>0</v>
      </c>
      <c r="AQ1498" s="358">
        <v>0</v>
      </c>
      <c r="AR1498" s="358">
        <v>0</v>
      </c>
      <c r="AS1498" s="358">
        <f t="shared" ref="AS1498:AS1529" si="463">U1498+V1498+W1498+AK1498+AL1498+AM1498+AN1498+AO1498+AP1498+AQ1498+AR1498</f>
        <v>0</v>
      </c>
      <c r="AT1498" s="145">
        <v>0</v>
      </c>
      <c r="AU1498" s="139">
        <f t="shared" si="460"/>
        <v>0</v>
      </c>
      <c r="AV1498" s="146">
        <f>IFERROR(VLOOKUP(J1498,Maksājumu_pieprasījumu_iesn.!G:BL,57,0),0)</f>
        <v>0</v>
      </c>
      <c r="AW1498" s="139">
        <f t="shared" si="462"/>
        <v>0</v>
      </c>
      <c r="AX1498" s="358"/>
      <c r="AY1498" s="358"/>
      <c r="AZ1498" s="358"/>
      <c r="BA1498" s="360"/>
      <c r="BB1498" s="358"/>
      <c r="BC1498" s="358"/>
      <c r="BD1498" s="358"/>
      <c r="BE1498" s="358"/>
      <c r="BF1498" s="358"/>
      <c r="BG1498" s="358"/>
      <c r="BH1498" s="360"/>
      <c r="BI1498" s="360"/>
      <c r="BJ1498" s="360"/>
      <c r="BK1498" s="360"/>
      <c r="BL1498" s="360"/>
      <c r="BM1498" s="360"/>
      <c r="BN1498" s="360"/>
    </row>
    <row r="1499" spans="1:66" s="91" customFormat="1" ht="25.5" hidden="1" customHeight="1" outlineLevel="1" x14ac:dyDescent="0.2">
      <c r="A1499" s="150" t="s">
        <v>2279</v>
      </c>
      <c r="B1499" s="355" t="s">
        <v>448</v>
      </c>
      <c r="C1499" s="355" t="s">
        <v>2524</v>
      </c>
      <c r="D1499" s="356" t="s">
        <v>2525</v>
      </c>
      <c r="E1499" s="114">
        <v>2</v>
      </c>
      <c r="F1499" s="114" t="s">
        <v>210</v>
      </c>
      <c r="G1499" s="114" t="s">
        <v>5</v>
      </c>
      <c r="H1499" s="114" t="s">
        <v>3</v>
      </c>
      <c r="I1499" s="114"/>
      <c r="J1499" s="114"/>
      <c r="K1499" s="356" t="s">
        <v>2586</v>
      </c>
      <c r="L1499" s="356"/>
      <c r="M1499" s="356"/>
      <c r="N1499" s="356"/>
      <c r="O1499" s="357">
        <v>43465</v>
      </c>
      <c r="P1499" s="357"/>
      <c r="Q1499" s="357"/>
      <c r="R1499" s="357"/>
      <c r="S1499" s="117"/>
      <c r="T1499" s="117"/>
      <c r="U1499" s="358">
        <v>0</v>
      </c>
      <c r="V1499" s="358">
        <v>0</v>
      </c>
      <c r="W1499" s="358">
        <v>0</v>
      </c>
      <c r="X1499" s="358">
        <f t="shared" ref="X1499:X1549" si="464">W1499+V1499+U1499</f>
        <v>0</v>
      </c>
      <c r="Y1499" s="358">
        <v>0</v>
      </c>
      <c r="Z1499" s="358">
        <v>0</v>
      </c>
      <c r="AA1499" s="358">
        <v>0</v>
      </c>
      <c r="AB1499" s="358">
        <v>0</v>
      </c>
      <c r="AC1499" s="358">
        <v>0</v>
      </c>
      <c r="AD1499" s="358">
        <v>0</v>
      </c>
      <c r="AE1499" s="358">
        <v>0</v>
      </c>
      <c r="AF1499" s="358">
        <v>0</v>
      </c>
      <c r="AG1499" s="358">
        <v>0</v>
      </c>
      <c r="AH1499" s="358">
        <v>0</v>
      </c>
      <c r="AI1499" s="358">
        <v>0</v>
      </c>
      <c r="AJ1499" s="358">
        <v>0</v>
      </c>
      <c r="AK1499" s="358">
        <f t="shared" si="461"/>
        <v>0</v>
      </c>
      <c r="AL1499" s="358">
        <v>0</v>
      </c>
      <c r="AM1499" s="358">
        <v>0</v>
      </c>
      <c r="AN1499" s="358">
        <v>0</v>
      </c>
      <c r="AO1499" s="358">
        <v>0</v>
      </c>
      <c r="AP1499" s="358">
        <v>0</v>
      </c>
      <c r="AQ1499" s="358">
        <v>0</v>
      </c>
      <c r="AR1499" s="358">
        <v>0</v>
      </c>
      <c r="AS1499" s="358">
        <f t="shared" si="463"/>
        <v>0</v>
      </c>
      <c r="AT1499" s="145">
        <v>0</v>
      </c>
      <c r="AU1499" s="139">
        <f t="shared" si="460"/>
        <v>0</v>
      </c>
      <c r="AV1499" s="146">
        <f>IFERROR(VLOOKUP(J1499,Maksājumu_pieprasījumu_iesn.!G:BL,57,0),0)</f>
        <v>0</v>
      </c>
      <c r="AW1499" s="139">
        <f t="shared" si="462"/>
        <v>0</v>
      </c>
      <c r="AX1499" s="358"/>
      <c r="AY1499" s="358"/>
      <c r="AZ1499" s="358"/>
      <c r="BA1499" s="360"/>
      <c r="BB1499" s="358"/>
      <c r="BC1499" s="358"/>
      <c r="BD1499" s="358"/>
      <c r="BE1499" s="358"/>
      <c r="BF1499" s="358"/>
      <c r="BG1499" s="358"/>
      <c r="BH1499" s="360"/>
      <c r="BI1499" s="360"/>
      <c r="BJ1499" s="360"/>
      <c r="BK1499" s="360"/>
      <c r="BL1499" s="360"/>
      <c r="BM1499" s="360"/>
      <c r="BN1499" s="360"/>
    </row>
    <row r="1500" spans="1:66" s="91" customFormat="1" ht="25.5" hidden="1" customHeight="1" outlineLevel="1" x14ac:dyDescent="0.2">
      <c r="A1500" s="150" t="s">
        <v>2279</v>
      </c>
      <c r="B1500" s="355" t="s">
        <v>448</v>
      </c>
      <c r="C1500" s="355" t="s">
        <v>2524</v>
      </c>
      <c r="D1500" s="356" t="s">
        <v>2525</v>
      </c>
      <c r="E1500" s="114">
        <v>2</v>
      </c>
      <c r="F1500" s="114" t="s">
        <v>210</v>
      </c>
      <c r="G1500" s="114" t="s">
        <v>5</v>
      </c>
      <c r="H1500" s="114" t="s">
        <v>3</v>
      </c>
      <c r="I1500" s="114"/>
      <c r="J1500" s="114"/>
      <c r="K1500" s="356" t="s">
        <v>2587</v>
      </c>
      <c r="L1500" s="356"/>
      <c r="M1500" s="356"/>
      <c r="N1500" s="356"/>
      <c r="O1500" s="357">
        <v>43465</v>
      </c>
      <c r="P1500" s="357"/>
      <c r="Q1500" s="357"/>
      <c r="R1500" s="357"/>
      <c r="S1500" s="117"/>
      <c r="T1500" s="117"/>
      <c r="U1500" s="358">
        <v>0</v>
      </c>
      <c r="V1500" s="358">
        <v>0</v>
      </c>
      <c r="W1500" s="358">
        <v>0</v>
      </c>
      <c r="X1500" s="358">
        <f t="shared" si="464"/>
        <v>0</v>
      </c>
      <c r="Y1500" s="358">
        <v>0</v>
      </c>
      <c r="Z1500" s="358">
        <v>0</v>
      </c>
      <c r="AA1500" s="358">
        <v>0</v>
      </c>
      <c r="AB1500" s="358">
        <v>0</v>
      </c>
      <c r="AC1500" s="358">
        <v>0</v>
      </c>
      <c r="AD1500" s="358">
        <v>0</v>
      </c>
      <c r="AE1500" s="358">
        <v>0</v>
      </c>
      <c r="AF1500" s="358">
        <v>0</v>
      </c>
      <c r="AG1500" s="358">
        <v>0</v>
      </c>
      <c r="AH1500" s="358">
        <v>0</v>
      </c>
      <c r="AI1500" s="358">
        <v>0</v>
      </c>
      <c r="AJ1500" s="358">
        <v>0</v>
      </c>
      <c r="AK1500" s="358">
        <f t="shared" si="461"/>
        <v>0</v>
      </c>
      <c r="AL1500" s="358">
        <v>0</v>
      </c>
      <c r="AM1500" s="358">
        <v>0</v>
      </c>
      <c r="AN1500" s="358">
        <v>0</v>
      </c>
      <c r="AO1500" s="358">
        <v>0</v>
      </c>
      <c r="AP1500" s="358">
        <v>0</v>
      </c>
      <c r="AQ1500" s="358">
        <v>0</v>
      </c>
      <c r="AR1500" s="358">
        <v>0</v>
      </c>
      <c r="AS1500" s="358">
        <f t="shared" si="463"/>
        <v>0</v>
      </c>
      <c r="AT1500" s="145">
        <v>0</v>
      </c>
      <c r="AU1500" s="139">
        <f t="shared" si="460"/>
        <v>0</v>
      </c>
      <c r="AV1500" s="146">
        <f>IFERROR(VLOOKUP(J1500,Maksājumu_pieprasījumu_iesn.!G:BL,57,0),0)</f>
        <v>0</v>
      </c>
      <c r="AW1500" s="139">
        <f t="shared" si="462"/>
        <v>0</v>
      </c>
      <c r="AX1500" s="358"/>
      <c r="AY1500" s="358"/>
      <c r="AZ1500" s="358"/>
      <c r="BA1500" s="360"/>
      <c r="BB1500" s="358"/>
      <c r="BC1500" s="358"/>
      <c r="BD1500" s="358"/>
      <c r="BE1500" s="358"/>
      <c r="BF1500" s="358"/>
      <c r="BG1500" s="358"/>
      <c r="BH1500" s="360"/>
      <c r="BI1500" s="360"/>
      <c r="BJ1500" s="360"/>
      <c r="BK1500" s="360"/>
      <c r="BL1500" s="360"/>
      <c r="BM1500" s="360"/>
      <c r="BN1500" s="360"/>
    </row>
    <row r="1501" spans="1:66" s="91" customFormat="1" ht="25.5" hidden="1" customHeight="1" outlineLevel="1" x14ac:dyDescent="0.2">
      <c r="A1501" s="150" t="s">
        <v>2279</v>
      </c>
      <c r="B1501" s="355" t="s">
        <v>448</v>
      </c>
      <c r="C1501" s="355" t="s">
        <v>2524</v>
      </c>
      <c r="D1501" s="356" t="s">
        <v>2525</v>
      </c>
      <c r="E1501" s="114">
        <v>2</v>
      </c>
      <c r="F1501" s="114" t="s">
        <v>210</v>
      </c>
      <c r="G1501" s="114" t="s">
        <v>5</v>
      </c>
      <c r="H1501" s="114" t="s">
        <v>3</v>
      </c>
      <c r="I1501" s="114"/>
      <c r="J1501" s="114"/>
      <c r="K1501" s="356" t="s">
        <v>2588</v>
      </c>
      <c r="L1501" s="356"/>
      <c r="M1501" s="356"/>
      <c r="N1501" s="356"/>
      <c r="O1501" s="357">
        <v>43465</v>
      </c>
      <c r="P1501" s="357"/>
      <c r="Q1501" s="357"/>
      <c r="R1501" s="357"/>
      <c r="S1501" s="117"/>
      <c r="T1501" s="117"/>
      <c r="U1501" s="358">
        <v>0</v>
      </c>
      <c r="V1501" s="358">
        <v>0</v>
      </c>
      <c r="W1501" s="358">
        <v>0</v>
      </c>
      <c r="X1501" s="358">
        <f t="shared" si="464"/>
        <v>0</v>
      </c>
      <c r="Y1501" s="358">
        <v>0</v>
      </c>
      <c r="Z1501" s="358">
        <v>0</v>
      </c>
      <c r="AA1501" s="358">
        <v>0</v>
      </c>
      <c r="AB1501" s="358">
        <v>0</v>
      </c>
      <c r="AC1501" s="358">
        <v>0</v>
      </c>
      <c r="AD1501" s="358">
        <v>0</v>
      </c>
      <c r="AE1501" s="358">
        <v>0</v>
      </c>
      <c r="AF1501" s="358">
        <v>0</v>
      </c>
      <c r="AG1501" s="358">
        <v>0</v>
      </c>
      <c r="AH1501" s="358">
        <v>0</v>
      </c>
      <c r="AI1501" s="358">
        <v>0</v>
      </c>
      <c r="AJ1501" s="358">
        <v>0</v>
      </c>
      <c r="AK1501" s="358">
        <f t="shared" si="461"/>
        <v>0</v>
      </c>
      <c r="AL1501" s="358">
        <v>0</v>
      </c>
      <c r="AM1501" s="358">
        <v>0</v>
      </c>
      <c r="AN1501" s="358">
        <v>0</v>
      </c>
      <c r="AO1501" s="358">
        <v>0</v>
      </c>
      <c r="AP1501" s="358">
        <v>0</v>
      </c>
      <c r="AQ1501" s="358">
        <v>0</v>
      </c>
      <c r="AR1501" s="358">
        <v>0</v>
      </c>
      <c r="AS1501" s="358">
        <f t="shared" si="463"/>
        <v>0</v>
      </c>
      <c r="AT1501" s="145">
        <v>0</v>
      </c>
      <c r="AU1501" s="139">
        <f t="shared" si="460"/>
        <v>0</v>
      </c>
      <c r="AV1501" s="146">
        <f>IFERROR(VLOOKUP(J1501,Maksājumu_pieprasījumu_iesn.!G:BL,57,0),0)</f>
        <v>0</v>
      </c>
      <c r="AW1501" s="139">
        <f t="shared" si="462"/>
        <v>0</v>
      </c>
      <c r="AX1501" s="358"/>
      <c r="AY1501" s="358"/>
      <c r="AZ1501" s="358"/>
      <c r="BA1501" s="360"/>
      <c r="BB1501" s="358"/>
      <c r="BC1501" s="358"/>
      <c r="BD1501" s="358"/>
      <c r="BE1501" s="358"/>
      <c r="BF1501" s="358"/>
      <c r="BG1501" s="358"/>
      <c r="BH1501" s="360"/>
      <c r="BI1501" s="360"/>
      <c r="BJ1501" s="360"/>
      <c r="BK1501" s="360"/>
      <c r="BL1501" s="360"/>
      <c r="BM1501" s="360"/>
      <c r="BN1501" s="360"/>
    </row>
    <row r="1502" spans="1:66" s="91" customFormat="1" ht="25.5" hidden="1" customHeight="1" outlineLevel="1" x14ac:dyDescent="0.2">
      <c r="A1502" s="150" t="s">
        <v>2279</v>
      </c>
      <c r="B1502" s="355" t="s">
        <v>448</v>
      </c>
      <c r="C1502" s="355" t="s">
        <v>2524</v>
      </c>
      <c r="D1502" s="356" t="s">
        <v>2525</v>
      </c>
      <c r="E1502" s="114">
        <v>2</v>
      </c>
      <c r="F1502" s="114" t="s">
        <v>210</v>
      </c>
      <c r="G1502" s="114" t="s">
        <v>5</v>
      </c>
      <c r="H1502" s="114" t="s">
        <v>3</v>
      </c>
      <c r="I1502" s="114"/>
      <c r="J1502" s="114"/>
      <c r="K1502" s="356" t="s">
        <v>2589</v>
      </c>
      <c r="L1502" s="356"/>
      <c r="M1502" s="356"/>
      <c r="N1502" s="356"/>
      <c r="O1502" s="357">
        <v>43465</v>
      </c>
      <c r="P1502" s="357"/>
      <c r="Q1502" s="357"/>
      <c r="R1502" s="357"/>
      <c r="S1502" s="117"/>
      <c r="T1502" s="117"/>
      <c r="U1502" s="358">
        <v>0</v>
      </c>
      <c r="V1502" s="358">
        <v>0</v>
      </c>
      <c r="W1502" s="358">
        <v>0</v>
      </c>
      <c r="X1502" s="358">
        <f t="shared" si="464"/>
        <v>0</v>
      </c>
      <c r="Y1502" s="358">
        <v>0</v>
      </c>
      <c r="Z1502" s="358">
        <v>0</v>
      </c>
      <c r="AA1502" s="358">
        <v>0</v>
      </c>
      <c r="AB1502" s="358">
        <v>0</v>
      </c>
      <c r="AC1502" s="358">
        <v>0</v>
      </c>
      <c r="AD1502" s="358">
        <v>0</v>
      </c>
      <c r="AE1502" s="358">
        <v>0</v>
      </c>
      <c r="AF1502" s="358">
        <v>0</v>
      </c>
      <c r="AG1502" s="358">
        <v>0</v>
      </c>
      <c r="AH1502" s="358">
        <v>0</v>
      </c>
      <c r="AI1502" s="358">
        <v>0</v>
      </c>
      <c r="AJ1502" s="358">
        <v>0</v>
      </c>
      <c r="AK1502" s="358">
        <f t="shared" si="461"/>
        <v>0</v>
      </c>
      <c r="AL1502" s="358">
        <v>0</v>
      </c>
      <c r="AM1502" s="358">
        <v>0</v>
      </c>
      <c r="AN1502" s="358">
        <v>0</v>
      </c>
      <c r="AO1502" s="358">
        <v>0</v>
      </c>
      <c r="AP1502" s="358">
        <v>0</v>
      </c>
      <c r="AQ1502" s="358">
        <v>0</v>
      </c>
      <c r="AR1502" s="358">
        <v>0</v>
      </c>
      <c r="AS1502" s="358">
        <f t="shared" si="463"/>
        <v>0</v>
      </c>
      <c r="AT1502" s="145">
        <v>0</v>
      </c>
      <c r="AU1502" s="139">
        <f t="shared" si="460"/>
        <v>0</v>
      </c>
      <c r="AV1502" s="146">
        <f>IFERROR(VLOOKUP(J1502,Maksājumu_pieprasījumu_iesn.!G:BL,57,0),0)</f>
        <v>0</v>
      </c>
      <c r="AW1502" s="139">
        <f t="shared" si="462"/>
        <v>0</v>
      </c>
      <c r="AX1502" s="358"/>
      <c r="AY1502" s="358"/>
      <c r="AZ1502" s="358"/>
      <c r="BA1502" s="360"/>
      <c r="BB1502" s="358"/>
      <c r="BC1502" s="358"/>
      <c r="BD1502" s="358"/>
      <c r="BE1502" s="358"/>
      <c r="BF1502" s="358"/>
      <c r="BG1502" s="358"/>
      <c r="BH1502" s="360"/>
      <c r="BI1502" s="360"/>
      <c r="BJ1502" s="360"/>
      <c r="BK1502" s="360"/>
      <c r="BL1502" s="360"/>
      <c r="BM1502" s="360"/>
      <c r="BN1502" s="360"/>
    </row>
    <row r="1503" spans="1:66" s="91" customFormat="1" ht="25.5" hidden="1" customHeight="1" outlineLevel="1" x14ac:dyDescent="0.2">
      <c r="A1503" s="150" t="s">
        <v>2279</v>
      </c>
      <c r="B1503" s="355" t="s">
        <v>448</v>
      </c>
      <c r="C1503" s="355" t="s">
        <v>2524</v>
      </c>
      <c r="D1503" s="356" t="s">
        <v>2525</v>
      </c>
      <c r="E1503" s="114">
        <v>2</v>
      </c>
      <c r="F1503" s="114" t="s">
        <v>210</v>
      </c>
      <c r="G1503" s="114" t="s">
        <v>5</v>
      </c>
      <c r="H1503" s="114" t="s">
        <v>3</v>
      </c>
      <c r="I1503" s="114"/>
      <c r="J1503" s="114"/>
      <c r="K1503" s="356" t="s">
        <v>2590</v>
      </c>
      <c r="L1503" s="356"/>
      <c r="M1503" s="356"/>
      <c r="N1503" s="356"/>
      <c r="O1503" s="357">
        <v>43465</v>
      </c>
      <c r="P1503" s="357"/>
      <c r="Q1503" s="357"/>
      <c r="R1503" s="357"/>
      <c r="S1503" s="117"/>
      <c r="T1503" s="117"/>
      <c r="U1503" s="358">
        <v>0</v>
      </c>
      <c r="V1503" s="358">
        <v>0</v>
      </c>
      <c r="W1503" s="358">
        <v>0</v>
      </c>
      <c r="X1503" s="358">
        <f t="shared" si="464"/>
        <v>0</v>
      </c>
      <c r="Y1503" s="358">
        <v>0</v>
      </c>
      <c r="Z1503" s="358">
        <v>0</v>
      </c>
      <c r="AA1503" s="358">
        <v>0</v>
      </c>
      <c r="AB1503" s="358">
        <v>0</v>
      </c>
      <c r="AC1503" s="358">
        <v>0</v>
      </c>
      <c r="AD1503" s="358">
        <v>0</v>
      </c>
      <c r="AE1503" s="358">
        <v>0</v>
      </c>
      <c r="AF1503" s="358">
        <v>0</v>
      </c>
      <c r="AG1503" s="358">
        <v>0</v>
      </c>
      <c r="AH1503" s="358">
        <v>0</v>
      </c>
      <c r="AI1503" s="358">
        <v>0</v>
      </c>
      <c r="AJ1503" s="358">
        <v>0</v>
      </c>
      <c r="AK1503" s="358">
        <f t="shared" si="461"/>
        <v>0</v>
      </c>
      <c r="AL1503" s="358">
        <v>0</v>
      </c>
      <c r="AM1503" s="358">
        <v>0</v>
      </c>
      <c r="AN1503" s="358">
        <v>0</v>
      </c>
      <c r="AO1503" s="358">
        <v>0</v>
      </c>
      <c r="AP1503" s="358">
        <v>0</v>
      </c>
      <c r="AQ1503" s="358">
        <v>0</v>
      </c>
      <c r="AR1503" s="358">
        <v>0</v>
      </c>
      <c r="AS1503" s="358">
        <f t="shared" si="463"/>
        <v>0</v>
      </c>
      <c r="AT1503" s="145">
        <v>0</v>
      </c>
      <c r="AU1503" s="139">
        <f t="shared" si="460"/>
        <v>0</v>
      </c>
      <c r="AV1503" s="146">
        <f>IFERROR(VLOOKUP(J1503,Maksājumu_pieprasījumu_iesn.!G:BL,57,0),0)</f>
        <v>0</v>
      </c>
      <c r="AW1503" s="139">
        <f t="shared" si="462"/>
        <v>0</v>
      </c>
      <c r="AX1503" s="358"/>
      <c r="AY1503" s="358"/>
      <c r="AZ1503" s="358"/>
      <c r="BA1503" s="360"/>
      <c r="BB1503" s="358"/>
      <c r="BC1503" s="358"/>
      <c r="BD1503" s="358"/>
      <c r="BE1503" s="358"/>
      <c r="BF1503" s="358"/>
      <c r="BG1503" s="358"/>
      <c r="BH1503" s="360"/>
      <c r="BI1503" s="360"/>
      <c r="BJ1503" s="360"/>
      <c r="BK1503" s="360"/>
      <c r="BL1503" s="360"/>
      <c r="BM1503" s="360"/>
      <c r="BN1503" s="360"/>
    </row>
    <row r="1504" spans="1:66" s="91" customFormat="1" ht="25.5" hidden="1" customHeight="1" outlineLevel="1" x14ac:dyDescent="0.2">
      <c r="A1504" s="150" t="s">
        <v>2279</v>
      </c>
      <c r="B1504" s="355" t="s">
        <v>448</v>
      </c>
      <c r="C1504" s="355" t="s">
        <v>2524</v>
      </c>
      <c r="D1504" s="356" t="s">
        <v>2525</v>
      </c>
      <c r="E1504" s="114">
        <v>2</v>
      </c>
      <c r="F1504" s="114" t="s">
        <v>210</v>
      </c>
      <c r="G1504" s="114" t="s">
        <v>5</v>
      </c>
      <c r="H1504" s="114" t="s">
        <v>3</v>
      </c>
      <c r="I1504" s="114"/>
      <c r="J1504" s="114"/>
      <c r="K1504" s="356" t="s">
        <v>2591</v>
      </c>
      <c r="L1504" s="356"/>
      <c r="M1504" s="356"/>
      <c r="N1504" s="356"/>
      <c r="O1504" s="357">
        <v>43465</v>
      </c>
      <c r="P1504" s="357"/>
      <c r="Q1504" s="357"/>
      <c r="R1504" s="357"/>
      <c r="S1504" s="117"/>
      <c r="T1504" s="117"/>
      <c r="U1504" s="358">
        <v>0</v>
      </c>
      <c r="V1504" s="358">
        <v>0</v>
      </c>
      <c r="W1504" s="358">
        <v>0</v>
      </c>
      <c r="X1504" s="358">
        <f t="shared" si="464"/>
        <v>0</v>
      </c>
      <c r="Y1504" s="358">
        <v>0</v>
      </c>
      <c r="Z1504" s="358">
        <v>0</v>
      </c>
      <c r="AA1504" s="358">
        <v>0</v>
      </c>
      <c r="AB1504" s="358">
        <v>0</v>
      </c>
      <c r="AC1504" s="358">
        <v>0</v>
      </c>
      <c r="AD1504" s="358">
        <v>0</v>
      </c>
      <c r="AE1504" s="358">
        <v>0</v>
      </c>
      <c r="AF1504" s="358">
        <v>0</v>
      </c>
      <c r="AG1504" s="358">
        <v>0</v>
      </c>
      <c r="AH1504" s="358">
        <v>0</v>
      </c>
      <c r="AI1504" s="358">
        <v>0</v>
      </c>
      <c r="AJ1504" s="358">
        <v>0</v>
      </c>
      <c r="AK1504" s="358">
        <f t="shared" si="461"/>
        <v>0</v>
      </c>
      <c r="AL1504" s="358">
        <v>0</v>
      </c>
      <c r="AM1504" s="358">
        <v>0</v>
      </c>
      <c r="AN1504" s="358">
        <v>0</v>
      </c>
      <c r="AO1504" s="358">
        <v>0</v>
      </c>
      <c r="AP1504" s="358">
        <v>0</v>
      </c>
      <c r="AQ1504" s="358">
        <v>0</v>
      </c>
      <c r="AR1504" s="358">
        <v>0</v>
      </c>
      <c r="AS1504" s="358">
        <f t="shared" si="463"/>
        <v>0</v>
      </c>
      <c r="AT1504" s="145">
        <v>0</v>
      </c>
      <c r="AU1504" s="139">
        <f t="shared" si="460"/>
        <v>0</v>
      </c>
      <c r="AV1504" s="146">
        <f>IFERROR(VLOOKUP(J1504,Maksājumu_pieprasījumu_iesn.!G:BL,57,0),0)</f>
        <v>0</v>
      </c>
      <c r="AW1504" s="139">
        <f t="shared" si="462"/>
        <v>0</v>
      </c>
      <c r="AX1504" s="358"/>
      <c r="AY1504" s="358"/>
      <c r="AZ1504" s="358"/>
      <c r="BA1504" s="360"/>
      <c r="BB1504" s="358"/>
      <c r="BC1504" s="358"/>
      <c r="BD1504" s="358"/>
      <c r="BE1504" s="358"/>
      <c r="BF1504" s="358"/>
      <c r="BG1504" s="358"/>
      <c r="BH1504" s="360"/>
      <c r="BI1504" s="360"/>
      <c r="BJ1504" s="360"/>
      <c r="BK1504" s="360"/>
      <c r="BL1504" s="360"/>
      <c r="BM1504" s="360"/>
      <c r="BN1504" s="360"/>
    </row>
    <row r="1505" spans="1:66" s="91" customFormat="1" ht="25.5" hidden="1" customHeight="1" outlineLevel="1" x14ac:dyDescent="0.2">
      <c r="A1505" s="150" t="s">
        <v>2279</v>
      </c>
      <c r="B1505" s="355" t="s">
        <v>448</v>
      </c>
      <c r="C1505" s="355" t="s">
        <v>2524</v>
      </c>
      <c r="D1505" s="356" t="s">
        <v>2525</v>
      </c>
      <c r="E1505" s="114">
        <v>2</v>
      </c>
      <c r="F1505" s="114" t="s">
        <v>210</v>
      </c>
      <c r="G1505" s="114" t="s">
        <v>5</v>
      </c>
      <c r="H1505" s="114" t="s">
        <v>3</v>
      </c>
      <c r="I1505" s="114"/>
      <c r="J1505" s="114"/>
      <c r="K1505" s="356" t="s">
        <v>2592</v>
      </c>
      <c r="L1505" s="356"/>
      <c r="M1505" s="356"/>
      <c r="N1505" s="356"/>
      <c r="O1505" s="357">
        <v>43465</v>
      </c>
      <c r="P1505" s="357"/>
      <c r="Q1505" s="357"/>
      <c r="R1505" s="357"/>
      <c r="S1505" s="117"/>
      <c r="T1505" s="117"/>
      <c r="U1505" s="358">
        <v>0</v>
      </c>
      <c r="V1505" s="358">
        <v>0</v>
      </c>
      <c r="W1505" s="358">
        <v>0</v>
      </c>
      <c r="X1505" s="358">
        <f t="shared" si="464"/>
        <v>0</v>
      </c>
      <c r="Y1505" s="358">
        <v>0</v>
      </c>
      <c r="Z1505" s="358">
        <v>0</v>
      </c>
      <c r="AA1505" s="358">
        <v>0</v>
      </c>
      <c r="AB1505" s="358">
        <v>0</v>
      </c>
      <c r="AC1505" s="358">
        <v>0</v>
      </c>
      <c r="AD1505" s="358">
        <v>0</v>
      </c>
      <c r="AE1505" s="358">
        <v>0</v>
      </c>
      <c r="AF1505" s="358">
        <v>0</v>
      </c>
      <c r="AG1505" s="358">
        <v>0</v>
      </c>
      <c r="AH1505" s="358">
        <v>0</v>
      </c>
      <c r="AI1505" s="358">
        <v>0</v>
      </c>
      <c r="AJ1505" s="358">
        <v>0</v>
      </c>
      <c r="AK1505" s="358">
        <f t="shared" si="461"/>
        <v>0</v>
      </c>
      <c r="AL1505" s="358">
        <v>0</v>
      </c>
      <c r="AM1505" s="358">
        <v>0</v>
      </c>
      <c r="AN1505" s="358">
        <v>0</v>
      </c>
      <c r="AO1505" s="358">
        <v>0</v>
      </c>
      <c r="AP1505" s="358">
        <v>0</v>
      </c>
      <c r="AQ1505" s="358">
        <v>0</v>
      </c>
      <c r="AR1505" s="358">
        <v>0</v>
      </c>
      <c r="AS1505" s="358">
        <f t="shared" si="463"/>
        <v>0</v>
      </c>
      <c r="AT1505" s="145">
        <v>0</v>
      </c>
      <c r="AU1505" s="139">
        <f t="shared" si="460"/>
        <v>0</v>
      </c>
      <c r="AV1505" s="146">
        <f>IFERROR(VLOOKUP(J1505,Maksājumu_pieprasījumu_iesn.!G:BL,57,0),0)</f>
        <v>0</v>
      </c>
      <c r="AW1505" s="139">
        <f t="shared" si="462"/>
        <v>0</v>
      </c>
      <c r="AX1505" s="358"/>
      <c r="AY1505" s="358"/>
      <c r="AZ1505" s="358"/>
      <c r="BA1505" s="360"/>
      <c r="BB1505" s="358"/>
      <c r="BC1505" s="358"/>
      <c r="BD1505" s="358"/>
      <c r="BE1505" s="358"/>
      <c r="BF1505" s="358"/>
      <c r="BG1505" s="358"/>
      <c r="BH1505" s="360"/>
      <c r="BI1505" s="360"/>
      <c r="BJ1505" s="360"/>
      <c r="BK1505" s="360"/>
      <c r="BL1505" s="360"/>
      <c r="BM1505" s="360"/>
      <c r="BN1505" s="360"/>
    </row>
    <row r="1506" spans="1:66" s="91" customFormat="1" ht="25.5" hidden="1" customHeight="1" outlineLevel="1" x14ac:dyDescent="0.2">
      <c r="A1506" s="150" t="s">
        <v>2279</v>
      </c>
      <c r="B1506" s="355" t="s">
        <v>448</v>
      </c>
      <c r="C1506" s="355" t="s">
        <v>2524</v>
      </c>
      <c r="D1506" s="356" t="s">
        <v>2525</v>
      </c>
      <c r="E1506" s="114">
        <v>2</v>
      </c>
      <c r="F1506" s="114" t="s">
        <v>210</v>
      </c>
      <c r="G1506" s="114" t="s">
        <v>5</v>
      </c>
      <c r="H1506" s="114" t="s">
        <v>3</v>
      </c>
      <c r="I1506" s="114"/>
      <c r="J1506" s="114"/>
      <c r="K1506" s="356" t="s">
        <v>2593</v>
      </c>
      <c r="L1506" s="356"/>
      <c r="M1506" s="356"/>
      <c r="N1506" s="356"/>
      <c r="O1506" s="357">
        <v>43465</v>
      </c>
      <c r="P1506" s="357"/>
      <c r="Q1506" s="357"/>
      <c r="R1506" s="357"/>
      <c r="S1506" s="117"/>
      <c r="T1506" s="117"/>
      <c r="U1506" s="358">
        <v>0</v>
      </c>
      <c r="V1506" s="358">
        <v>0</v>
      </c>
      <c r="W1506" s="358">
        <v>0</v>
      </c>
      <c r="X1506" s="358">
        <f t="shared" si="464"/>
        <v>0</v>
      </c>
      <c r="Y1506" s="358">
        <v>0</v>
      </c>
      <c r="Z1506" s="358">
        <v>0</v>
      </c>
      <c r="AA1506" s="358">
        <v>0</v>
      </c>
      <c r="AB1506" s="358">
        <v>0</v>
      </c>
      <c r="AC1506" s="358">
        <v>0</v>
      </c>
      <c r="AD1506" s="358">
        <v>0</v>
      </c>
      <c r="AE1506" s="358">
        <v>0</v>
      </c>
      <c r="AF1506" s="358">
        <v>0</v>
      </c>
      <c r="AG1506" s="358">
        <v>0</v>
      </c>
      <c r="AH1506" s="358">
        <v>0</v>
      </c>
      <c r="AI1506" s="358">
        <v>0</v>
      </c>
      <c r="AJ1506" s="358">
        <v>0</v>
      </c>
      <c r="AK1506" s="358">
        <f t="shared" si="461"/>
        <v>0</v>
      </c>
      <c r="AL1506" s="358">
        <v>0</v>
      </c>
      <c r="AM1506" s="358">
        <v>0</v>
      </c>
      <c r="AN1506" s="358">
        <v>0</v>
      </c>
      <c r="AO1506" s="358">
        <v>0</v>
      </c>
      <c r="AP1506" s="358">
        <v>0</v>
      </c>
      <c r="AQ1506" s="358">
        <v>0</v>
      </c>
      <c r="AR1506" s="358">
        <v>0</v>
      </c>
      <c r="AS1506" s="358">
        <f t="shared" si="463"/>
        <v>0</v>
      </c>
      <c r="AT1506" s="145">
        <v>0</v>
      </c>
      <c r="AU1506" s="139">
        <f t="shared" si="460"/>
        <v>0</v>
      </c>
      <c r="AV1506" s="146">
        <f>IFERROR(VLOOKUP(J1506,Maksājumu_pieprasījumu_iesn.!G:BL,57,0),0)</f>
        <v>0</v>
      </c>
      <c r="AW1506" s="139">
        <f t="shared" si="462"/>
        <v>0</v>
      </c>
      <c r="AX1506" s="358"/>
      <c r="AY1506" s="358"/>
      <c r="AZ1506" s="358"/>
      <c r="BA1506" s="360"/>
      <c r="BB1506" s="358"/>
      <c r="BC1506" s="358"/>
      <c r="BD1506" s="358"/>
      <c r="BE1506" s="358"/>
      <c r="BF1506" s="358"/>
      <c r="BG1506" s="358"/>
      <c r="BH1506" s="360"/>
      <c r="BI1506" s="360"/>
      <c r="BJ1506" s="360"/>
      <c r="BK1506" s="360"/>
      <c r="BL1506" s="360"/>
      <c r="BM1506" s="360"/>
      <c r="BN1506" s="360"/>
    </row>
    <row r="1507" spans="1:66" s="91" customFormat="1" ht="25.5" hidden="1" customHeight="1" outlineLevel="1" x14ac:dyDescent="0.2">
      <c r="A1507" s="150" t="s">
        <v>2279</v>
      </c>
      <c r="B1507" s="355" t="s">
        <v>448</v>
      </c>
      <c r="C1507" s="355" t="s">
        <v>2524</v>
      </c>
      <c r="D1507" s="356" t="s">
        <v>2525</v>
      </c>
      <c r="E1507" s="114">
        <v>2</v>
      </c>
      <c r="F1507" s="114" t="s">
        <v>210</v>
      </c>
      <c r="G1507" s="114" t="s">
        <v>5</v>
      </c>
      <c r="H1507" s="114" t="s">
        <v>3</v>
      </c>
      <c r="I1507" s="114"/>
      <c r="J1507" s="114"/>
      <c r="K1507" s="356" t="s">
        <v>2594</v>
      </c>
      <c r="L1507" s="356"/>
      <c r="M1507" s="356"/>
      <c r="N1507" s="356"/>
      <c r="O1507" s="357">
        <v>43465</v>
      </c>
      <c r="P1507" s="357"/>
      <c r="Q1507" s="357"/>
      <c r="R1507" s="357"/>
      <c r="S1507" s="117"/>
      <c r="T1507" s="117"/>
      <c r="U1507" s="358">
        <v>0</v>
      </c>
      <c r="V1507" s="358">
        <v>0</v>
      </c>
      <c r="W1507" s="358">
        <v>0</v>
      </c>
      <c r="X1507" s="358">
        <f t="shared" si="464"/>
        <v>0</v>
      </c>
      <c r="Y1507" s="358">
        <v>0</v>
      </c>
      <c r="Z1507" s="358">
        <v>0</v>
      </c>
      <c r="AA1507" s="358">
        <v>0</v>
      </c>
      <c r="AB1507" s="358">
        <v>0</v>
      </c>
      <c r="AC1507" s="358">
        <v>0</v>
      </c>
      <c r="AD1507" s="358">
        <v>0</v>
      </c>
      <c r="AE1507" s="358">
        <v>0</v>
      </c>
      <c r="AF1507" s="358">
        <v>0</v>
      </c>
      <c r="AG1507" s="358">
        <v>0</v>
      </c>
      <c r="AH1507" s="358">
        <v>0</v>
      </c>
      <c r="AI1507" s="358">
        <v>0</v>
      </c>
      <c r="AJ1507" s="358">
        <v>0</v>
      </c>
      <c r="AK1507" s="358">
        <f t="shared" si="461"/>
        <v>0</v>
      </c>
      <c r="AL1507" s="358">
        <v>0</v>
      </c>
      <c r="AM1507" s="358">
        <v>0</v>
      </c>
      <c r="AN1507" s="358">
        <v>0</v>
      </c>
      <c r="AO1507" s="358">
        <v>0</v>
      </c>
      <c r="AP1507" s="358">
        <v>0</v>
      </c>
      <c r="AQ1507" s="358">
        <v>0</v>
      </c>
      <c r="AR1507" s="358">
        <v>0</v>
      </c>
      <c r="AS1507" s="358">
        <f t="shared" si="463"/>
        <v>0</v>
      </c>
      <c r="AT1507" s="145">
        <v>0</v>
      </c>
      <c r="AU1507" s="139">
        <f t="shared" si="460"/>
        <v>0</v>
      </c>
      <c r="AV1507" s="146">
        <f>IFERROR(VLOOKUP(J1507,Maksājumu_pieprasījumu_iesn.!G:BL,57,0),0)</f>
        <v>0</v>
      </c>
      <c r="AW1507" s="139">
        <f t="shared" si="462"/>
        <v>0</v>
      </c>
      <c r="AX1507" s="358"/>
      <c r="AY1507" s="358"/>
      <c r="AZ1507" s="358"/>
      <c r="BA1507" s="360"/>
      <c r="BB1507" s="358"/>
      <c r="BC1507" s="358"/>
      <c r="BD1507" s="358"/>
      <c r="BE1507" s="358"/>
      <c r="BF1507" s="358"/>
      <c r="BG1507" s="358"/>
      <c r="BH1507" s="360"/>
      <c r="BI1507" s="360"/>
      <c r="BJ1507" s="360"/>
      <c r="BK1507" s="360"/>
      <c r="BL1507" s="360"/>
      <c r="BM1507" s="360"/>
      <c r="BN1507" s="360"/>
    </row>
    <row r="1508" spans="1:66" s="91" customFormat="1" ht="25.5" hidden="1" customHeight="1" outlineLevel="1" x14ac:dyDescent="0.2">
      <c r="A1508" s="150" t="s">
        <v>2279</v>
      </c>
      <c r="B1508" s="355" t="s">
        <v>448</v>
      </c>
      <c r="C1508" s="355" t="s">
        <v>2524</v>
      </c>
      <c r="D1508" s="356" t="s">
        <v>2525</v>
      </c>
      <c r="E1508" s="114">
        <v>2</v>
      </c>
      <c r="F1508" s="114" t="s">
        <v>210</v>
      </c>
      <c r="G1508" s="114" t="s">
        <v>5</v>
      </c>
      <c r="H1508" s="114" t="s">
        <v>3</v>
      </c>
      <c r="I1508" s="114"/>
      <c r="J1508" s="114"/>
      <c r="K1508" s="356" t="s">
        <v>2595</v>
      </c>
      <c r="L1508" s="356"/>
      <c r="M1508" s="356"/>
      <c r="N1508" s="356"/>
      <c r="O1508" s="357">
        <v>43465</v>
      </c>
      <c r="P1508" s="357"/>
      <c r="Q1508" s="357"/>
      <c r="R1508" s="357"/>
      <c r="S1508" s="117"/>
      <c r="T1508" s="117"/>
      <c r="U1508" s="358">
        <v>0</v>
      </c>
      <c r="V1508" s="358">
        <v>0</v>
      </c>
      <c r="W1508" s="358">
        <v>0</v>
      </c>
      <c r="X1508" s="358">
        <f t="shared" si="464"/>
        <v>0</v>
      </c>
      <c r="Y1508" s="358">
        <v>0</v>
      </c>
      <c r="Z1508" s="358">
        <v>0</v>
      </c>
      <c r="AA1508" s="358">
        <v>0</v>
      </c>
      <c r="AB1508" s="358">
        <v>0</v>
      </c>
      <c r="AC1508" s="358">
        <v>0</v>
      </c>
      <c r="AD1508" s="358">
        <v>0</v>
      </c>
      <c r="AE1508" s="358">
        <v>0</v>
      </c>
      <c r="AF1508" s="358">
        <v>0</v>
      </c>
      <c r="AG1508" s="358">
        <v>0</v>
      </c>
      <c r="AH1508" s="358">
        <v>0</v>
      </c>
      <c r="AI1508" s="358">
        <v>0</v>
      </c>
      <c r="AJ1508" s="358">
        <v>0</v>
      </c>
      <c r="AK1508" s="358">
        <f t="shared" ref="AK1508:AK1539" si="465">SUM(Y1508:AJ1508)</f>
        <v>0</v>
      </c>
      <c r="AL1508" s="358">
        <v>0</v>
      </c>
      <c r="AM1508" s="358">
        <v>0</v>
      </c>
      <c r="AN1508" s="358">
        <v>0</v>
      </c>
      <c r="AO1508" s="358">
        <v>0</v>
      </c>
      <c r="AP1508" s="358">
        <v>0</v>
      </c>
      <c r="AQ1508" s="358">
        <v>0</v>
      </c>
      <c r="AR1508" s="358">
        <v>0</v>
      </c>
      <c r="AS1508" s="358">
        <f t="shared" si="463"/>
        <v>0</v>
      </c>
      <c r="AT1508" s="145">
        <v>0</v>
      </c>
      <c r="AU1508" s="139">
        <f t="shared" si="460"/>
        <v>0</v>
      </c>
      <c r="AV1508" s="146">
        <f>IFERROR(VLOOKUP(J1508,Maksājumu_pieprasījumu_iesn.!G:BL,57,0),0)</f>
        <v>0</v>
      </c>
      <c r="AW1508" s="139">
        <f t="shared" si="462"/>
        <v>0</v>
      </c>
      <c r="AX1508" s="358"/>
      <c r="AY1508" s="358"/>
      <c r="AZ1508" s="358"/>
      <c r="BA1508" s="360"/>
      <c r="BB1508" s="358"/>
      <c r="BC1508" s="358"/>
      <c r="BD1508" s="358"/>
      <c r="BE1508" s="358"/>
      <c r="BF1508" s="358"/>
      <c r="BG1508" s="358"/>
      <c r="BH1508" s="360"/>
      <c r="BI1508" s="360"/>
      <c r="BJ1508" s="360"/>
      <c r="BK1508" s="360"/>
      <c r="BL1508" s="360"/>
      <c r="BM1508" s="360"/>
      <c r="BN1508" s="360"/>
    </row>
    <row r="1509" spans="1:66" s="91" customFormat="1" ht="25.5" hidden="1" customHeight="1" outlineLevel="1" x14ac:dyDescent="0.2">
      <c r="A1509" s="150" t="s">
        <v>2279</v>
      </c>
      <c r="B1509" s="355" t="s">
        <v>448</v>
      </c>
      <c r="C1509" s="355" t="s">
        <v>2524</v>
      </c>
      <c r="D1509" s="356" t="s">
        <v>2525</v>
      </c>
      <c r="E1509" s="114">
        <v>2</v>
      </c>
      <c r="F1509" s="114" t="s">
        <v>210</v>
      </c>
      <c r="G1509" s="114" t="s">
        <v>5</v>
      </c>
      <c r="H1509" s="114" t="s">
        <v>3</v>
      </c>
      <c r="I1509" s="114"/>
      <c r="J1509" s="114"/>
      <c r="K1509" s="356" t="s">
        <v>2596</v>
      </c>
      <c r="L1509" s="356"/>
      <c r="M1509" s="356"/>
      <c r="N1509" s="356"/>
      <c r="O1509" s="357">
        <v>43465</v>
      </c>
      <c r="P1509" s="357"/>
      <c r="Q1509" s="357"/>
      <c r="R1509" s="357"/>
      <c r="S1509" s="117"/>
      <c r="T1509" s="117"/>
      <c r="U1509" s="358">
        <v>0</v>
      </c>
      <c r="V1509" s="358">
        <v>0</v>
      </c>
      <c r="W1509" s="358">
        <v>0</v>
      </c>
      <c r="X1509" s="358">
        <f t="shared" si="464"/>
        <v>0</v>
      </c>
      <c r="Y1509" s="358">
        <v>0</v>
      </c>
      <c r="Z1509" s="358">
        <v>0</v>
      </c>
      <c r="AA1509" s="358">
        <v>0</v>
      </c>
      <c r="AB1509" s="358">
        <v>0</v>
      </c>
      <c r="AC1509" s="358">
        <v>0</v>
      </c>
      <c r="AD1509" s="358">
        <v>0</v>
      </c>
      <c r="AE1509" s="358">
        <v>0</v>
      </c>
      <c r="AF1509" s="358">
        <v>0</v>
      </c>
      <c r="AG1509" s="358">
        <v>0</v>
      </c>
      <c r="AH1509" s="358">
        <v>0</v>
      </c>
      <c r="AI1509" s="358">
        <v>0</v>
      </c>
      <c r="AJ1509" s="358">
        <v>0</v>
      </c>
      <c r="AK1509" s="358">
        <f t="shared" si="465"/>
        <v>0</v>
      </c>
      <c r="AL1509" s="358">
        <v>0</v>
      </c>
      <c r="AM1509" s="358">
        <v>0</v>
      </c>
      <c r="AN1509" s="358">
        <v>0</v>
      </c>
      <c r="AO1509" s="358">
        <v>0</v>
      </c>
      <c r="AP1509" s="358">
        <v>0</v>
      </c>
      <c r="AQ1509" s="358">
        <v>0</v>
      </c>
      <c r="AR1509" s="358">
        <v>0</v>
      </c>
      <c r="AS1509" s="358">
        <f t="shared" si="463"/>
        <v>0</v>
      </c>
      <c r="AT1509" s="145">
        <v>0</v>
      </c>
      <c r="AU1509" s="139">
        <f t="shared" si="460"/>
        <v>0</v>
      </c>
      <c r="AV1509" s="146">
        <f>IFERROR(VLOOKUP(J1509,Maksājumu_pieprasījumu_iesn.!G:BL,57,0),0)</f>
        <v>0</v>
      </c>
      <c r="AW1509" s="139">
        <f t="shared" si="462"/>
        <v>0</v>
      </c>
      <c r="AX1509" s="358"/>
      <c r="AY1509" s="358"/>
      <c r="AZ1509" s="358"/>
      <c r="BA1509" s="360"/>
      <c r="BB1509" s="358"/>
      <c r="BC1509" s="358"/>
      <c r="BD1509" s="358"/>
      <c r="BE1509" s="358"/>
      <c r="BF1509" s="358"/>
      <c r="BG1509" s="358"/>
      <c r="BH1509" s="360"/>
      <c r="BI1509" s="360"/>
      <c r="BJ1509" s="360"/>
      <c r="BK1509" s="360"/>
      <c r="BL1509" s="360"/>
      <c r="BM1509" s="360"/>
      <c r="BN1509" s="360"/>
    </row>
    <row r="1510" spans="1:66" s="91" customFormat="1" ht="25.5" hidden="1" customHeight="1" outlineLevel="1" x14ac:dyDescent="0.2">
      <c r="A1510" s="150" t="s">
        <v>2279</v>
      </c>
      <c r="B1510" s="355" t="s">
        <v>448</v>
      </c>
      <c r="C1510" s="355" t="s">
        <v>2524</v>
      </c>
      <c r="D1510" s="356" t="s">
        <v>2525</v>
      </c>
      <c r="E1510" s="114">
        <v>2</v>
      </c>
      <c r="F1510" s="114" t="s">
        <v>210</v>
      </c>
      <c r="G1510" s="114" t="s">
        <v>5</v>
      </c>
      <c r="H1510" s="114" t="s">
        <v>3</v>
      </c>
      <c r="I1510" s="114"/>
      <c r="J1510" s="114"/>
      <c r="K1510" s="356" t="s">
        <v>2597</v>
      </c>
      <c r="L1510" s="356"/>
      <c r="M1510" s="356"/>
      <c r="N1510" s="356"/>
      <c r="O1510" s="357">
        <v>43465</v>
      </c>
      <c r="P1510" s="357"/>
      <c r="Q1510" s="357"/>
      <c r="R1510" s="357"/>
      <c r="S1510" s="117"/>
      <c r="T1510" s="117"/>
      <c r="U1510" s="358">
        <v>0</v>
      </c>
      <c r="V1510" s="358">
        <v>0</v>
      </c>
      <c r="W1510" s="358">
        <v>0</v>
      </c>
      <c r="X1510" s="358">
        <f t="shared" si="464"/>
        <v>0</v>
      </c>
      <c r="Y1510" s="358">
        <v>0</v>
      </c>
      <c r="Z1510" s="358">
        <v>0</v>
      </c>
      <c r="AA1510" s="358">
        <v>0</v>
      </c>
      <c r="AB1510" s="358">
        <v>0</v>
      </c>
      <c r="AC1510" s="358">
        <v>0</v>
      </c>
      <c r="AD1510" s="358">
        <v>0</v>
      </c>
      <c r="AE1510" s="358">
        <v>0</v>
      </c>
      <c r="AF1510" s="358">
        <v>0</v>
      </c>
      <c r="AG1510" s="358">
        <v>0</v>
      </c>
      <c r="AH1510" s="358">
        <v>0</v>
      </c>
      <c r="AI1510" s="358">
        <v>0</v>
      </c>
      <c r="AJ1510" s="358">
        <v>0</v>
      </c>
      <c r="AK1510" s="358">
        <f t="shared" si="465"/>
        <v>0</v>
      </c>
      <c r="AL1510" s="358">
        <v>0</v>
      </c>
      <c r="AM1510" s="358">
        <v>0</v>
      </c>
      <c r="AN1510" s="358">
        <v>0</v>
      </c>
      <c r="AO1510" s="358">
        <v>0</v>
      </c>
      <c r="AP1510" s="358">
        <v>0</v>
      </c>
      <c r="AQ1510" s="358">
        <v>0</v>
      </c>
      <c r="AR1510" s="358">
        <v>0</v>
      </c>
      <c r="AS1510" s="358">
        <f t="shared" si="463"/>
        <v>0</v>
      </c>
      <c r="AT1510" s="145">
        <v>0</v>
      </c>
      <c r="AU1510" s="139">
        <f t="shared" si="460"/>
        <v>0</v>
      </c>
      <c r="AV1510" s="146">
        <f>IFERROR(VLOOKUP(J1510,Maksājumu_pieprasījumu_iesn.!G:BL,57,0),0)</f>
        <v>0</v>
      </c>
      <c r="AW1510" s="139">
        <f t="shared" si="462"/>
        <v>0</v>
      </c>
      <c r="AX1510" s="358"/>
      <c r="AY1510" s="358"/>
      <c r="AZ1510" s="358"/>
      <c r="BA1510" s="360"/>
      <c r="BB1510" s="358"/>
      <c r="BC1510" s="358"/>
      <c r="BD1510" s="358"/>
      <c r="BE1510" s="358"/>
      <c r="BF1510" s="358"/>
      <c r="BG1510" s="358"/>
      <c r="BH1510" s="360"/>
      <c r="BI1510" s="360"/>
      <c r="BJ1510" s="360"/>
      <c r="BK1510" s="360"/>
      <c r="BL1510" s="360"/>
      <c r="BM1510" s="360"/>
      <c r="BN1510" s="360"/>
    </row>
    <row r="1511" spans="1:66" s="91" customFormat="1" ht="25.5" hidden="1" customHeight="1" outlineLevel="1" x14ac:dyDescent="0.2">
      <c r="A1511" s="150" t="s">
        <v>2279</v>
      </c>
      <c r="B1511" s="355" t="s">
        <v>448</v>
      </c>
      <c r="C1511" s="355" t="s">
        <v>2524</v>
      </c>
      <c r="D1511" s="356" t="s">
        <v>2525</v>
      </c>
      <c r="E1511" s="114">
        <v>2</v>
      </c>
      <c r="F1511" s="114" t="s">
        <v>210</v>
      </c>
      <c r="G1511" s="114" t="s">
        <v>5</v>
      </c>
      <c r="H1511" s="114" t="s">
        <v>3</v>
      </c>
      <c r="I1511" s="114"/>
      <c r="J1511" s="114"/>
      <c r="K1511" s="356" t="s">
        <v>2598</v>
      </c>
      <c r="L1511" s="356"/>
      <c r="M1511" s="356"/>
      <c r="N1511" s="356"/>
      <c r="O1511" s="357">
        <v>43465</v>
      </c>
      <c r="P1511" s="357"/>
      <c r="Q1511" s="357"/>
      <c r="R1511" s="357"/>
      <c r="S1511" s="117"/>
      <c r="T1511" s="117"/>
      <c r="U1511" s="358">
        <v>0</v>
      </c>
      <c r="V1511" s="358">
        <v>0</v>
      </c>
      <c r="W1511" s="358">
        <v>0</v>
      </c>
      <c r="X1511" s="358">
        <f t="shared" si="464"/>
        <v>0</v>
      </c>
      <c r="Y1511" s="358">
        <v>0</v>
      </c>
      <c r="Z1511" s="358">
        <v>0</v>
      </c>
      <c r="AA1511" s="358">
        <v>0</v>
      </c>
      <c r="AB1511" s="358">
        <v>0</v>
      </c>
      <c r="AC1511" s="358">
        <v>0</v>
      </c>
      <c r="AD1511" s="358">
        <v>0</v>
      </c>
      <c r="AE1511" s="358">
        <v>0</v>
      </c>
      <c r="AF1511" s="358">
        <v>0</v>
      </c>
      <c r="AG1511" s="358">
        <v>0</v>
      </c>
      <c r="AH1511" s="358">
        <v>0</v>
      </c>
      <c r="AI1511" s="358">
        <v>0</v>
      </c>
      <c r="AJ1511" s="358">
        <v>0</v>
      </c>
      <c r="AK1511" s="358">
        <f t="shared" si="465"/>
        <v>0</v>
      </c>
      <c r="AL1511" s="358">
        <v>0</v>
      </c>
      <c r="AM1511" s="358">
        <v>0</v>
      </c>
      <c r="AN1511" s="358">
        <v>0</v>
      </c>
      <c r="AO1511" s="358">
        <v>0</v>
      </c>
      <c r="AP1511" s="358">
        <v>0</v>
      </c>
      <c r="AQ1511" s="358">
        <v>0</v>
      </c>
      <c r="AR1511" s="358">
        <v>0</v>
      </c>
      <c r="AS1511" s="358">
        <f t="shared" si="463"/>
        <v>0</v>
      </c>
      <c r="AT1511" s="145">
        <v>0</v>
      </c>
      <c r="AU1511" s="139">
        <f t="shared" si="460"/>
        <v>0</v>
      </c>
      <c r="AV1511" s="146">
        <f>IFERROR(VLOOKUP(J1511,Maksājumu_pieprasījumu_iesn.!G:BL,57,0),0)</f>
        <v>0</v>
      </c>
      <c r="AW1511" s="139">
        <f t="shared" si="462"/>
        <v>0</v>
      </c>
      <c r="AX1511" s="358"/>
      <c r="AY1511" s="358"/>
      <c r="AZ1511" s="358"/>
      <c r="BA1511" s="360"/>
      <c r="BB1511" s="358"/>
      <c r="BC1511" s="358"/>
      <c r="BD1511" s="358"/>
      <c r="BE1511" s="358"/>
      <c r="BF1511" s="358"/>
      <c r="BG1511" s="358"/>
      <c r="BH1511" s="360"/>
      <c r="BI1511" s="360"/>
      <c r="BJ1511" s="360"/>
      <c r="BK1511" s="360"/>
      <c r="BL1511" s="360"/>
      <c r="BM1511" s="360"/>
      <c r="BN1511" s="360"/>
    </row>
    <row r="1512" spans="1:66" s="91" customFormat="1" ht="25.5" hidden="1" customHeight="1" outlineLevel="1" x14ac:dyDescent="0.2">
      <c r="A1512" s="150" t="s">
        <v>2279</v>
      </c>
      <c r="B1512" s="355" t="s">
        <v>448</v>
      </c>
      <c r="C1512" s="355" t="s">
        <v>2524</v>
      </c>
      <c r="D1512" s="356" t="s">
        <v>2525</v>
      </c>
      <c r="E1512" s="114">
        <v>2</v>
      </c>
      <c r="F1512" s="114" t="s">
        <v>210</v>
      </c>
      <c r="G1512" s="114" t="s">
        <v>5</v>
      </c>
      <c r="H1512" s="114" t="s">
        <v>3</v>
      </c>
      <c r="I1512" s="114"/>
      <c r="J1512" s="114"/>
      <c r="K1512" s="356" t="s">
        <v>2599</v>
      </c>
      <c r="L1512" s="356"/>
      <c r="M1512" s="356"/>
      <c r="N1512" s="356"/>
      <c r="O1512" s="357">
        <v>43465</v>
      </c>
      <c r="P1512" s="357"/>
      <c r="Q1512" s="357"/>
      <c r="R1512" s="357"/>
      <c r="S1512" s="117"/>
      <c r="T1512" s="117"/>
      <c r="U1512" s="358">
        <v>0</v>
      </c>
      <c r="V1512" s="358">
        <v>0</v>
      </c>
      <c r="W1512" s="358">
        <v>0</v>
      </c>
      <c r="X1512" s="358">
        <f t="shared" si="464"/>
        <v>0</v>
      </c>
      <c r="Y1512" s="358">
        <v>0</v>
      </c>
      <c r="Z1512" s="358">
        <v>0</v>
      </c>
      <c r="AA1512" s="358">
        <v>0</v>
      </c>
      <c r="AB1512" s="358">
        <v>0</v>
      </c>
      <c r="AC1512" s="358">
        <v>0</v>
      </c>
      <c r="AD1512" s="358">
        <v>0</v>
      </c>
      <c r="AE1512" s="358">
        <v>0</v>
      </c>
      <c r="AF1512" s="358">
        <v>0</v>
      </c>
      <c r="AG1512" s="358">
        <v>0</v>
      </c>
      <c r="AH1512" s="358">
        <v>0</v>
      </c>
      <c r="AI1512" s="358">
        <v>0</v>
      </c>
      <c r="AJ1512" s="358">
        <v>0</v>
      </c>
      <c r="AK1512" s="358">
        <f t="shared" si="465"/>
        <v>0</v>
      </c>
      <c r="AL1512" s="358">
        <v>0</v>
      </c>
      <c r="AM1512" s="358">
        <v>0</v>
      </c>
      <c r="AN1512" s="358">
        <v>0</v>
      </c>
      <c r="AO1512" s="358">
        <v>0</v>
      </c>
      <c r="AP1512" s="358">
        <v>0</v>
      </c>
      <c r="AQ1512" s="358">
        <v>0</v>
      </c>
      <c r="AR1512" s="358">
        <v>0</v>
      </c>
      <c r="AS1512" s="358">
        <f t="shared" si="463"/>
        <v>0</v>
      </c>
      <c r="AT1512" s="145">
        <v>0</v>
      </c>
      <c r="AU1512" s="139">
        <f t="shared" si="460"/>
        <v>0</v>
      </c>
      <c r="AV1512" s="146">
        <f>IFERROR(VLOOKUP(J1512,Maksājumu_pieprasījumu_iesn.!G:BL,57,0),0)</f>
        <v>0</v>
      </c>
      <c r="AW1512" s="139">
        <f t="shared" si="462"/>
        <v>0</v>
      </c>
      <c r="AX1512" s="358"/>
      <c r="AY1512" s="358"/>
      <c r="AZ1512" s="358"/>
      <c r="BA1512" s="360"/>
      <c r="BB1512" s="358"/>
      <c r="BC1512" s="358"/>
      <c r="BD1512" s="358"/>
      <c r="BE1512" s="358"/>
      <c r="BF1512" s="358"/>
      <c r="BG1512" s="358"/>
      <c r="BH1512" s="360"/>
      <c r="BI1512" s="360"/>
      <c r="BJ1512" s="360"/>
      <c r="BK1512" s="360"/>
      <c r="BL1512" s="360"/>
      <c r="BM1512" s="360"/>
      <c r="BN1512" s="360"/>
    </row>
    <row r="1513" spans="1:66" s="91" customFormat="1" ht="25.5" hidden="1" customHeight="1" outlineLevel="1" x14ac:dyDescent="0.2">
      <c r="A1513" s="150" t="s">
        <v>2279</v>
      </c>
      <c r="B1513" s="355" t="s">
        <v>448</v>
      </c>
      <c r="C1513" s="355" t="s">
        <v>2524</v>
      </c>
      <c r="D1513" s="356" t="s">
        <v>2525</v>
      </c>
      <c r="E1513" s="114">
        <v>2</v>
      </c>
      <c r="F1513" s="114" t="s">
        <v>210</v>
      </c>
      <c r="G1513" s="114" t="s">
        <v>5</v>
      </c>
      <c r="H1513" s="114" t="s">
        <v>3</v>
      </c>
      <c r="I1513" s="114"/>
      <c r="J1513" s="114"/>
      <c r="K1513" s="356" t="s">
        <v>2600</v>
      </c>
      <c r="L1513" s="356"/>
      <c r="M1513" s="356"/>
      <c r="N1513" s="356"/>
      <c r="O1513" s="357">
        <v>43465</v>
      </c>
      <c r="P1513" s="357"/>
      <c r="Q1513" s="357"/>
      <c r="R1513" s="357"/>
      <c r="S1513" s="117"/>
      <c r="T1513" s="117"/>
      <c r="U1513" s="358">
        <v>0</v>
      </c>
      <c r="V1513" s="358">
        <v>0</v>
      </c>
      <c r="W1513" s="358">
        <v>0</v>
      </c>
      <c r="X1513" s="358">
        <f t="shared" si="464"/>
        <v>0</v>
      </c>
      <c r="Y1513" s="358">
        <v>0</v>
      </c>
      <c r="Z1513" s="358">
        <v>0</v>
      </c>
      <c r="AA1513" s="358">
        <v>0</v>
      </c>
      <c r="AB1513" s="358">
        <v>0</v>
      </c>
      <c r="AC1513" s="358">
        <v>0</v>
      </c>
      <c r="AD1513" s="358">
        <v>0</v>
      </c>
      <c r="AE1513" s="358">
        <v>0</v>
      </c>
      <c r="AF1513" s="358">
        <v>0</v>
      </c>
      <c r="AG1513" s="358">
        <v>0</v>
      </c>
      <c r="AH1513" s="358">
        <v>0</v>
      </c>
      <c r="AI1513" s="358">
        <v>0</v>
      </c>
      <c r="AJ1513" s="358">
        <v>0</v>
      </c>
      <c r="AK1513" s="358">
        <f t="shared" si="465"/>
        <v>0</v>
      </c>
      <c r="AL1513" s="358">
        <v>0</v>
      </c>
      <c r="AM1513" s="358">
        <v>0</v>
      </c>
      <c r="AN1513" s="358">
        <v>0</v>
      </c>
      <c r="AO1513" s="358">
        <v>0</v>
      </c>
      <c r="AP1513" s="358">
        <v>0</v>
      </c>
      <c r="AQ1513" s="358">
        <v>0</v>
      </c>
      <c r="AR1513" s="358">
        <v>0</v>
      </c>
      <c r="AS1513" s="358">
        <f t="shared" si="463"/>
        <v>0</v>
      </c>
      <c r="AT1513" s="145">
        <v>0</v>
      </c>
      <c r="AU1513" s="139">
        <f t="shared" si="460"/>
        <v>0</v>
      </c>
      <c r="AV1513" s="146">
        <f>IFERROR(VLOOKUP(J1513,Maksājumu_pieprasījumu_iesn.!G:BL,57,0),0)</f>
        <v>0</v>
      </c>
      <c r="AW1513" s="139">
        <f t="shared" si="462"/>
        <v>0</v>
      </c>
      <c r="AX1513" s="358"/>
      <c r="AY1513" s="358"/>
      <c r="AZ1513" s="358"/>
      <c r="BA1513" s="360"/>
      <c r="BB1513" s="358"/>
      <c r="BC1513" s="358"/>
      <c r="BD1513" s="358"/>
      <c r="BE1513" s="358"/>
      <c r="BF1513" s="358"/>
      <c r="BG1513" s="358"/>
      <c r="BH1513" s="360"/>
      <c r="BI1513" s="360"/>
      <c r="BJ1513" s="360"/>
      <c r="BK1513" s="360"/>
      <c r="BL1513" s="360"/>
      <c r="BM1513" s="360"/>
      <c r="BN1513" s="360"/>
    </row>
    <row r="1514" spans="1:66" s="91" customFormat="1" ht="25.5" hidden="1" customHeight="1" outlineLevel="1" x14ac:dyDescent="0.2">
      <c r="A1514" s="150" t="s">
        <v>2279</v>
      </c>
      <c r="B1514" s="355" t="s">
        <v>448</v>
      </c>
      <c r="C1514" s="355" t="s">
        <v>2524</v>
      </c>
      <c r="D1514" s="356" t="s">
        <v>2525</v>
      </c>
      <c r="E1514" s="114">
        <v>2</v>
      </c>
      <c r="F1514" s="114" t="s">
        <v>210</v>
      </c>
      <c r="G1514" s="114" t="s">
        <v>5</v>
      </c>
      <c r="H1514" s="114" t="s">
        <v>3</v>
      </c>
      <c r="I1514" s="114"/>
      <c r="J1514" s="114"/>
      <c r="K1514" s="356" t="s">
        <v>2601</v>
      </c>
      <c r="L1514" s="356"/>
      <c r="M1514" s="356"/>
      <c r="N1514" s="356"/>
      <c r="O1514" s="357">
        <v>43465</v>
      </c>
      <c r="P1514" s="357"/>
      <c r="Q1514" s="357"/>
      <c r="R1514" s="357"/>
      <c r="S1514" s="117"/>
      <c r="T1514" s="117"/>
      <c r="U1514" s="358">
        <v>0</v>
      </c>
      <c r="V1514" s="358">
        <v>0</v>
      </c>
      <c r="W1514" s="358">
        <v>0</v>
      </c>
      <c r="X1514" s="358">
        <f t="shared" si="464"/>
        <v>0</v>
      </c>
      <c r="Y1514" s="358">
        <v>0</v>
      </c>
      <c r="Z1514" s="358">
        <v>0</v>
      </c>
      <c r="AA1514" s="358">
        <v>0</v>
      </c>
      <c r="AB1514" s="358">
        <v>0</v>
      </c>
      <c r="AC1514" s="358">
        <v>0</v>
      </c>
      <c r="AD1514" s="358">
        <v>0</v>
      </c>
      <c r="AE1514" s="358">
        <v>0</v>
      </c>
      <c r="AF1514" s="358">
        <v>0</v>
      </c>
      <c r="AG1514" s="358">
        <v>0</v>
      </c>
      <c r="AH1514" s="358">
        <v>0</v>
      </c>
      <c r="AI1514" s="358">
        <v>0</v>
      </c>
      <c r="AJ1514" s="358">
        <v>0</v>
      </c>
      <c r="AK1514" s="358">
        <f t="shared" si="465"/>
        <v>0</v>
      </c>
      <c r="AL1514" s="358">
        <v>0</v>
      </c>
      <c r="AM1514" s="358">
        <v>0</v>
      </c>
      <c r="AN1514" s="358">
        <v>0</v>
      </c>
      <c r="AO1514" s="358">
        <v>0</v>
      </c>
      <c r="AP1514" s="358">
        <v>0</v>
      </c>
      <c r="AQ1514" s="358">
        <v>0</v>
      </c>
      <c r="AR1514" s="358">
        <v>0</v>
      </c>
      <c r="AS1514" s="358">
        <f t="shared" si="463"/>
        <v>0</v>
      </c>
      <c r="AT1514" s="145">
        <v>0</v>
      </c>
      <c r="AU1514" s="139">
        <f t="shared" si="460"/>
        <v>0</v>
      </c>
      <c r="AV1514" s="146">
        <f>IFERROR(VLOOKUP(J1514,Maksājumu_pieprasījumu_iesn.!G:BL,57,0),0)</f>
        <v>0</v>
      </c>
      <c r="AW1514" s="139">
        <f t="shared" si="462"/>
        <v>0</v>
      </c>
      <c r="AX1514" s="358"/>
      <c r="AY1514" s="358"/>
      <c r="AZ1514" s="358"/>
      <c r="BA1514" s="360"/>
      <c r="BB1514" s="358"/>
      <c r="BC1514" s="358"/>
      <c r="BD1514" s="358"/>
      <c r="BE1514" s="358"/>
      <c r="BF1514" s="358"/>
      <c r="BG1514" s="358"/>
      <c r="BH1514" s="360"/>
      <c r="BI1514" s="360"/>
      <c r="BJ1514" s="360"/>
      <c r="BK1514" s="360"/>
      <c r="BL1514" s="360"/>
      <c r="BM1514" s="360"/>
      <c r="BN1514" s="360"/>
    </row>
    <row r="1515" spans="1:66" s="91" customFormat="1" ht="25.5" hidden="1" customHeight="1" outlineLevel="1" x14ac:dyDescent="0.2">
      <c r="A1515" s="150" t="s">
        <v>2279</v>
      </c>
      <c r="B1515" s="355" t="s">
        <v>448</v>
      </c>
      <c r="C1515" s="355" t="s">
        <v>2524</v>
      </c>
      <c r="D1515" s="356" t="s">
        <v>2525</v>
      </c>
      <c r="E1515" s="114">
        <v>2</v>
      </c>
      <c r="F1515" s="114" t="s">
        <v>210</v>
      </c>
      <c r="G1515" s="114" t="s">
        <v>5</v>
      </c>
      <c r="H1515" s="114" t="s">
        <v>3</v>
      </c>
      <c r="I1515" s="114"/>
      <c r="J1515" s="114"/>
      <c r="K1515" s="356" t="s">
        <v>2602</v>
      </c>
      <c r="L1515" s="356"/>
      <c r="M1515" s="356"/>
      <c r="N1515" s="356"/>
      <c r="O1515" s="357">
        <v>43465</v>
      </c>
      <c r="P1515" s="357"/>
      <c r="Q1515" s="357"/>
      <c r="R1515" s="357"/>
      <c r="S1515" s="117"/>
      <c r="T1515" s="117"/>
      <c r="U1515" s="358">
        <v>0</v>
      </c>
      <c r="V1515" s="358">
        <v>0</v>
      </c>
      <c r="W1515" s="358">
        <v>0</v>
      </c>
      <c r="X1515" s="358">
        <f t="shared" si="464"/>
        <v>0</v>
      </c>
      <c r="Y1515" s="358">
        <v>0</v>
      </c>
      <c r="Z1515" s="358">
        <v>0</v>
      </c>
      <c r="AA1515" s="358">
        <v>0</v>
      </c>
      <c r="AB1515" s="358">
        <v>0</v>
      </c>
      <c r="AC1515" s="358">
        <v>0</v>
      </c>
      <c r="AD1515" s="358">
        <v>0</v>
      </c>
      <c r="AE1515" s="358">
        <v>0</v>
      </c>
      <c r="AF1515" s="358">
        <v>0</v>
      </c>
      <c r="AG1515" s="358">
        <v>0</v>
      </c>
      <c r="AH1515" s="358">
        <v>0</v>
      </c>
      <c r="AI1515" s="358">
        <v>0</v>
      </c>
      <c r="AJ1515" s="358">
        <v>0</v>
      </c>
      <c r="AK1515" s="358">
        <f t="shared" si="465"/>
        <v>0</v>
      </c>
      <c r="AL1515" s="358">
        <v>0</v>
      </c>
      <c r="AM1515" s="358">
        <v>0</v>
      </c>
      <c r="AN1515" s="358">
        <v>0</v>
      </c>
      <c r="AO1515" s="358">
        <v>0</v>
      </c>
      <c r="AP1515" s="358">
        <v>0</v>
      </c>
      <c r="AQ1515" s="358">
        <v>0</v>
      </c>
      <c r="AR1515" s="358">
        <v>0</v>
      </c>
      <c r="AS1515" s="358">
        <f t="shared" si="463"/>
        <v>0</v>
      </c>
      <c r="AT1515" s="145">
        <v>0</v>
      </c>
      <c r="AU1515" s="139">
        <f t="shared" si="460"/>
        <v>0</v>
      </c>
      <c r="AV1515" s="146">
        <f>IFERROR(VLOOKUP(J1515,Maksājumu_pieprasījumu_iesn.!G:BL,57,0),0)</f>
        <v>0</v>
      </c>
      <c r="AW1515" s="139">
        <f t="shared" si="462"/>
        <v>0</v>
      </c>
      <c r="AX1515" s="358"/>
      <c r="AY1515" s="358"/>
      <c r="AZ1515" s="358"/>
      <c r="BA1515" s="360"/>
      <c r="BB1515" s="358"/>
      <c r="BC1515" s="358"/>
      <c r="BD1515" s="358"/>
      <c r="BE1515" s="358"/>
      <c r="BF1515" s="358"/>
      <c r="BG1515" s="358"/>
      <c r="BH1515" s="360"/>
      <c r="BI1515" s="360"/>
      <c r="BJ1515" s="360"/>
      <c r="BK1515" s="360"/>
      <c r="BL1515" s="360"/>
      <c r="BM1515" s="360"/>
      <c r="BN1515" s="360"/>
    </row>
    <row r="1516" spans="1:66" s="91" customFormat="1" ht="25.5" hidden="1" customHeight="1" outlineLevel="1" x14ac:dyDescent="0.2">
      <c r="A1516" s="150" t="s">
        <v>2279</v>
      </c>
      <c r="B1516" s="355" t="s">
        <v>448</v>
      </c>
      <c r="C1516" s="355" t="s">
        <v>2524</v>
      </c>
      <c r="D1516" s="356" t="s">
        <v>2525</v>
      </c>
      <c r="E1516" s="114">
        <v>2</v>
      </c>
      <c r="F1516" s="114" t="s">
        <v>210</v>
      </c>
      <c r="G1516" s="114" t="s">
        <v>5</v>
      </c>
      <c r="H1516" s="114" t="s">
        <v>3</v>
      </c>
      <c r="I1516" s="114"/>
      <c r="J1516" s="114"/>
      <c r="K1516" s="356" t="s">
        <v>2603</v>
      </c>
      <c r="L1516" s="356"/>
      <c r="M1516" s="356"/>
      <c r="N1516" s="356"/>
      <c r="O1516" s="357">
        <v>43465</v>
      </c>
      <c r="P1516" s="357"/>
      <c r="Q1516" s="357"/>
      <c r="R1516" s="357"/>
      <c r="S1516" s="117"/>
      <c r="T1516" s="117"/>
      <c r="U1516" s="358">
        <v>0</v>
      </c>
      <c r="V1516" s="358">
        <v>0</v>
      </c>
      <c r="W1516" s="358">
        <v>0</v>
      </c>
      <c r="X1516" s="358">
        <f t="shared" si="464"/>
        <v>0</v>
      </c>
      <c r="Y1516" s="358">
        <v>0</v>
      </c>
      <c r="Z1516" s="358">
        <v>0</v>
      </c>
      <c r="AA1516" s="358">
        <v>0</v>
      </c>
      <c r="AB1516" s="358">
        <v>0</v>
      </c>
      <c r="AC1516" s="358">
        <v>0</v>
      </c>
      <c r="AD1516" s="358">
        <v>0</v>
      </c>
      <c r="AE1516" s="358">
        <v>0</v>
      </c>
      <c r="AF1516" s="358">
        <v>0</v>
      </c>
      <c r="AG1516" s="358">
        <v>0</v>
      </c>
      <c r="AH1516" s="358">
        <v>0</v>
      </c>
      <c r="AI1516" s="358">
        <v>0</v>
      </c>
      <c r="AJ1516" s="358">
        <v>0</v>
      </c>
      <c r="AK1516" s="358">
        <f t="shared" si="465"/>
        <v>0</v>
      </c>
      <c r="AL1516" s="358">
        <v>0</v>
      </c>
      <c r="AM1516" s="358">
        <v>0</v>
      </c>
      <c r="AN1516" s="358">
        <v>0</v>
      </c>
      <c r="AO1516" s="358">
        <v>0</v>
      </c>
      <c r="AP1516" s="358">
        <v>0</v>
      </c>
      <c r="AQ1516" s="358">
        <v>0</v>
      </c>
      <c r="AR1516" s="358">
        <v>0</v>
      </c>
      <c r="AS1516" s="358">
        <f t="shared" si="463"/>
        <v>0</v>
      </c>
      <c r="AT1516" s="145">
        <v>0</v>
      </c>
      <c r="AU1516" s="139">
        <f t="shared" si="460"/>
        <v>0</v>
      </c>
      <c r="AV1516" s="146">
        <f>IFERROR(VLOOKUP(J1516,Maksājumu_pieprasījumu_iesn.!G:BL,57,0),0)</f>
        <v>0</v>
      </c>
      <c r="AW1516" s="139">
        <f t="shared" si="462"/>
        <v>0</v>
      </c>
      <c r="AX1516" s="358"/>
      <c r="AY1516" s="358"/>
      <c r="AZ1516" s="358"/>
      <c r="BA1516" s="360"/>
      <c r="BB1516" s="358"/>
      <c r="BC1516" s="358"/>
      <c r="BD1516" s="358"/>
      <c r="BE1516" s="358"/>
      <c r="BF1516" s="358"/>
      <c r="BG1516" s="358"/>
      <c r="BH1516" s="360"/>
      <c r="BI1516" s="360"/>
      <c r="BJ1516" s="360"/>
      <c r="BK1516" s="360"/>
      <c r="BL1516" s="360"/>
      <c r="BM1516" s="360"/>
      <c r="BN1516" s="360"/>
    </row>
    <row r="1517" spans="1:66" s="91" customFormat="1" ht="25.5" hidden="1" customHeight="1" outlineLevel="1" x14ac:dyDescent="0.2">
      <c r="A1517" s="150" t="s">
        <v>2279</v>
      </c>
      <c r="B1517" s="355" t="s">
        <v>448</v>
      </c>
      <c r="C1517" s="355" t="s">
        <v>2524</v>
      </c>
      <c r="D1517" s="356" t="s">
        <v>2525</v>
      </c>
      <c r="E1517" s="114">
        <v>2</v>
      </c>
      <c r="F1517" s="114" t="s">
        <v>210</v>
      </c>
      <c r="G1517" s="114" t="s">
        <v>5</v>
      </c>
      <c r="H1517" s="114" t="s">
        <v>3</v>
      </c>
      <c r="I1517" s="114"/>
      <c r="J1517" s="114"/>
      <c r="K1517" s="356" t="s">
        <v>2604</v>
      </c>
      <c r="L1517" s="356"/>
      <c r="M1517" s="356"/>
      <c r="N1517" s="356"/>
      <c r="O1517" s="357">
        <v>43465</v>
      </c>
      <c r="P1517" s="357"/>
      <c r="Q1517" s="357"/>
      <c r="R1517" s="357"/>
      <c r="S1517" s="117"/>
      <c r="T1517" s="117"/>
      <c r="U1517" s="358">
        <v>0</v>
      </c>
      <c r="V1517" s="358">
        <v>0</v>
      </c>
      <c r="W1517" s="358">
        <v>0</v>
      </c>
      <c r="X1517" s="358">
        <f t="shared" si="464"/>
        <v>0</v>
      </c>
      <c r="Y1517" s="358">
        <v>0</v>
      </c>
      <c r="Z1517" s="358">
        <v>0</v>
      </c>
      <c r="AA1517" s="358">
        <v>0</v>
      </c>
      <c r="AB1517" s="358">
        <v>0</v>
      </c>
      <c r="AC1517" s="358">
        <v>0</v>
      </c>
      <c r="AD1517" s="358">
        <v>0</v>
      </c>
      <c r="AE1517" s="358">
        <v>0</v>
      </c>
      <c r="AF1517" s="358">
        <v>0</v>
      </c>
      <c r="AG1517" s="358">
        <v>0</v>
      </c>
      <c r="AH1517" s="358">
        <v>0</v>
      </c>
      <c r="AI1517" s="358">
        <v>0</v>
      </c>
      <c r="AJ1517" s="358">
        <v>0</v>
      </c>
      <c r="AK1517" s="358">
        <f t="shared" si="465"/>
        <v>0</v>
      </c>
      <c r="AL1517" s="358">
        <v>0</v>
      </c>
      <c r="AM1517" s="358">
        <v>0</v>
      </c>
      <c r="AN1517" s="358">
        <v>0</v>
      </c>
      <c r="AO1517" s="358">
        <v>0</v>
      </c>
      <c r="AP1517" s="358">
        <v>0</v>
      </c>
      <c r="AQ1517" s="358">
        <v>0</v>
      </c>
      <c r="AR1517" s="358">
        <v>0</v>
      </c>
      <c r="AS1517" s="358">
        <f t="shared" si="463"/>
        <v>0</v>
      </c>
      <c r="AT1517" s="145">
        <v>0</v>
      </c>
      <c r="AU1517" s="139">
        <f t="shared" si="460"/>
        <v>0</v>
      </c>
      <c r="AV1517" s="146">
        <f>IFERROR(VLOOKUP(J1517,Maksājumu_pieprasījumu_iesn.!G:BL,57,0),0)</f>
        <v>0</v>
      </c>
      <c r="AW1517" s="139">
        <f t="shared" si="462"/>
        <v>0</v>
      </c>
      <c r="AX1517" s="358"/>
      <c r="AY1517" s="358"/>
      <c r="AZ1517" s="358"/>
      <c r="BA1517" s="360"/>
      <c r="BB1517" s="358"/>
      <c r="BC1517" s="358"/>
      <c r="BD1517" s="358"/>
      <c r="BE1517" s="358"/>
      <c r="BF1517" s="358"/>
      <c r="BG1517" s="358"/>
      <c r="BH1517" s="360"/>
      <c r="BI1517" s="360"/>
      <c r="BJ1517" s="360"/>
      <c r="BK1517" s="360"/>
      <c r="BL1517" s="360"/>
      <c r="BM1517" s="360"/>
      <c r="BN1517" s="360"/>
    </row>
    <row r="1518" spans="1:66" s="91" customFormat="1" ht="25.5" hidden="1" customHeight="1" outlineLevel="1" x14ac:dyDescent="0.2">
      <c r="A1518" s="150" t="s">
        <v>2279</v>
      </c>
      <c r="B1518" s="355" t="s">
        <v>448</v>
      </c>
      <c r="C1518" s="355" t="s">
        <v>2524</v>
      </c>
      <c r="D1518" s="356" t="s">
        <v>2525</v>
      </c>
      <c r="E1518" s="114">
        <v>2</v>
      </c>
      <c r="F1518" s="114" t="s">
        <v>210</v>
      </c>
      <c r="G1518" s="114" t="s">
        <v>5</v>
      </c>
      <c r="H1518" s="114" t="s">
        <v>3</v>
      </c>
      <c r="I1518" s="114"/>
      <c r="J1518" s="114"/>
      <c r="K1518" s="356" t="s">
        <v>2605</v>
      </c>
      <c r="L1518" s="356"/>
      <c r="M1518" s="356"/>
      <c r="N1518" s="356"/>
      <c r="O1518" s="357">
        <v>43465</v>
      </c>
      <c r="P1518" s="357"/>
      <c r="Q1518" s="357"/>
      <c r="R1518" s="357"/>
      <c r="S1518" s="117"/>
      <c r="T1518" s="117"/>
      <c r="U1518" s="358">
        <v>0</v>
      </c>
      <c r="V1518" s="358">
        <v>0</v>
      </c>
      <c r="W1518" s="358">
        <v>0</v>
      </c>
      <c r="X1518" s="358">
        <f t="shared" si="464"/>
        <v>0</v>
      </c>
      <c r="Y1518" s="358">
        <v>0</v>
      </c>
      <c r="Z1518" s="358">
        <v>0</v>
      </c>
      <c r="AA1518" s="358">
        <v>0</v>
      </c>
      <c r="AB1518" s="358">
        <v>0</v>
      </c>
      <c r="AC1518" s="358">
        <v>0</v>
      </c>
      <c r="AD1518" s="358">
        <v>0</v>
      </c>
      <c r="AE1518" s="358">
        <v>0</v>
      </c>
      <c r="AF1518" s="358">
        <v>0</v>
      </c>
      <c r="AG1518" s="358">
        <v>0</v>
      </c>
      <c r="AH1518" s="358">
        <v>0</v>
      </c>
      <c r="AI1518" s="358">
        <v>0</v>
      </c>
      <c r="AJ1518" s="358">
        <v>0</v>
      </c>
      <c r="AK1518" s="358">
        <f t="shared" si="465"/>
        <v>0</v>
      </c>
      <c r="AL1518" s="358">
        <v>0</v>
      </c>
      <c r="AM1518" s="358">
        <v>0</v>
      </c>
      <c r="AN1518" s="358">
        <v>0</v>
      </c>
      <c r="AO1518" s="358">
        <v>0</v>
      </c>
      <c r="AP1518" s="358">
        <v>0</v>
      </c>
      <c r="AQ1518" s="358">
        <v>0</v>
      </c>
      <c r="AR1518" s="358">
        <v>0</v>
      </c>
      <c r="AS1518" s="358">
        <f t="shared" si="463"/>
        <v>0</v>
      </c>
      <c r="AT1518" s="145">
        <v>0</v>
      </c>
      <c r="AU1518" s="139">
        <f t="shared" si="460"/>
        <v>0</v>
      </c>
      <c r="AV1518" s="146">
        <f>IFERROR(VLOOKUP(J1518,Maksājumu_pieprasījumu_iesn.!G:BL,57,0),0)</f>
        <v>0</v>
      </c>
      <c r="AW1518" s="139">
        <f t="shared" si="462"/>
        <v>0</v>
      </c>
      <c r="AX1518" s="358"/>
      <c r="AY1518" s="358"/>
      <c r="AZ1518" s="358"/>
      <c r="BA1518" s="360"/>
      <c r="BB1518" s="358"/>
      <c r="BC1518" s="358"/>
      <c r="BD1518" s="358"/>
      <c r="BE1518" s="358"/>
      <c r="BF1518" s="358"/>
      <c r="BG1518" s="358"/>
      <c r="BH1518" s="360"/>
      <c r="BI1518" s="360"/>
      <c r="BJ1518" s="360"/>
      <c r="BK1518" s="360"/>
      <c r="BL1518" s="360"/>
      <c r="BM1518" s="360"/>
      <c r="BN1518" s="360"/>
    </row>
    <row r="1519" spans="1:66" s="91" customFormat="1" ht="25.5" hidden="1" customHeight="1" outlineLevel="1" x14ac:dyDescent="0.2">
      <c r="A1519" s="150" t="s">
        <v>2279</v>
      </c>
      <c r="B1519" s="355" t="s">
        <v>448</v>
      </c>
      <c r="C1519" s="355" t="s">
        <v>2524</v>
      </c>
      <c r="D1519" s="356" t="s">
        <v>2525</v>
      </c>
      <c r="E1519" s="114">
        <v>2</v>
      </c>
      <c r="F1519" s="114" t="s">
        <v>210</v>
      </c>
      <c r="G1519" s="114" t="s">
        <v>5</v>
      </c>
      <c r="H1519" s="114" t="s">
        <v>3</v>
      </c>
      <c r="I1519" s="114"/>
      <c r="J1519" s="114"/>
      <c r="K1519" s="356" t="s">
        <v>2606</v>
      </c>
      <c r="L1519" s="356"/>
      <c r="M1519" s="356"/>
      <c r="N1519" s="356"/>
      <c r="O1519" s="357">
        <v>43465</v>
      </c>
      <c r="P1519" s="357"/>
      <c r="Q1519" s="357"/>
      <c r="R1519" s="357"/>
      <c r="S1519" s="117"/>
      <c r="T1519" s="117"/>
      <c r="U1519" s="358">
        <v>0</v>
      </c>
      <c r="V1519" s="358">
        <v>0</v>
      </c>
      <c r="W1519" s="358">
        <v>0</v>
      </c>
      <c r="X1519" s="358">
        <f t="shared" si="464"/>
        <v>0</v>
      </c>
      <c r="Y1519" s="358">
        <v>0</v>
      </c>
      <c r="Z1519" s="358">
        <v>0</v>
      </c>
      <c r="AA1519" s="358">
        <v>0</v>
      </c>
      <c r="AB1519" s="358">
        <v>0</v>
      </c>
      <c r="AC1519" s="358">
        <v>0</v>
      </c>
      <c r="AD1519" s="358">
        <v>0</v>
      </c>
      <c r="AE1519" s="358">
        <v>0</v>
      </c>
      <c r="AF1519" s="358">
        <v>0</v>
      </c>
      <c r="AG1519" s="358">
        <v>0</v>
      </c>
      <c r="AH1519" s="358">
        <v>0</v>
      </c>
      <c r="AI1519" s="358">
        <v>0</v>
      </c>
      <c r="AJ1519" s="358">
        <v>0</v>
      </c>
      <c r="AK1519" s="358">
        <f t="shared" si="465"/>
        <v>0</v>
      </c>
      <c r="AL1519" s="358">
        <v>0</v>
      </c>
      <c r="AM1519" s="358">
        <v>0</v>
      </c>
      <c r="AN1519" s="358">
        <v>0</v>
      </c>
      <c r="AO1519" s="358">
        <v>0</v>
      </c>
      <c r="AP1519" s="358">
        <v>0</v>
      </c>
      <c r="AQ1519" s="358">
        <v>0</v>
      </c>
      <c r="AR1519" s="358">
        <v>0</v>
      </c>
      <c r="AS1519" s="358">
        <f t="shared" si="463"/>
        <v>0</v>
      </c>
      <c r="AT1519" s="145">
        <v>0</v>
      </c>
      <c r="AU1519" s="139">
        <f t="shared" si="460"/>
        <v>0</v>
      </c>
      <c r="AV1519" s="146">
        <f>IFERROR(VLOOKUP(J1519,Maksājumu_pieprasījumu_iesn.!G:BL,57,0),0)</f>
        <v>0</v>
      </c>
      <c r="AW1519" s="139">
        <f t="shared" si="462"/>
        <v>0</v>
      </c>
      <c r="AX1519" s="358"/>
      <c r="AY1519" s="358"/>
      <c r="AZ1519" s="358"/>
      <c r="BA1519" s="360"/>
      <c r="BB1519" s="358"/>
      <c r="BC1519" s="358"/>
      <c r="BD1519" s="358"/>
      <c r="BE1519" s="358"/>
      <c r="BF1519" s="358"/>
      <c r="BG1519" s="358"/>
      <c r="BH1519" s="360"/>
      <c r="BI1519" s="360"/>
      <c r="BJ1519" s="360"/>
      <c r="BK1519" s="360"/>
      <c r="BL1519" s="360"/>
      <c r="BM1519" s="360"/>
      <c r="BN1519" s="360"/>
    </row>
    <row r="1520" spans="1:66" s="91" customFormat="1" ht="25.5" hidden="1" customHeight="1" outlineLevel="1" x14ac:dyDescent="0.2">
      <c r="A1520" s="150" t="s">
        <v>2279</v>
      </c>
      <c r="B1520" s="355" t="s">
        <v>448</v>
      </c>
      <c r="C1520" s="355" t="s">
        <v>2524</v>
      </c>
      <c r="D1520" s="356" t="s">
        <v>2525</v>
      </c>
      <c r="E1520" s="114">
        <v>2</v>
      </c>
      <c r="F1520" s="114" t="s">
        <v>210</v>
      </c>
      <c r="G1520" s="114" t="s">
        <v>5</v>
      </c>
      <c r="H1520" s="114" t="s">
        <v>3</v>
      </c>
      <c r="I1520" s="114"/>
      <c r="J1520" s="114"/>
      <c r="K1520" s="356" t="s">
        <v>2607</v>
      </c>
      <c r="L1520" s="356"/>
      <c r="M1520" s="356"/>
      <c r="N1520" s="356"/>
      <c r="O1520" s="357">
        <v>43465</v>
      </c>
      <c r="P1520" s="357"/>
      <c r="Q1520" s="357"/>
      <c r="R1520" s="357"/>
      <c r="S1520" s="117"/>
      <c r="T1520" s="117"/>
      <c r="U1520" s="358">
        <v>0</v>
      </c>
      <c r="V1520" s="358">
        <v>0</v>
      </c>
      <c r="W1520" s="358">
        <v>0</v>
      </c>
      <c r="X1520" s="358">
        <f t="shared" si="464"/>
        <v>0</v>
      </c>
      <c r="Y1520" s="358">
        <v>0</v>
      </c>
      <c r="Z1520" s="358">
        <v>0</v>
      </c>
      <c r="AA1520" s="358">
        <v>0</v>
      </c>
      <c r="AB1520" s="358">
        <v>0</v>
      </c>
      <c r="AC1520" s="358">
        <v>0</v>
      </c>
      <c r="AD1520" s="358">
        <v>0</v>
      </c>
      <c r="AE1520" s="358">
        <v>0</v>
      </c>
      <c r="AF1520" s="358">
        <v>0</v>
      </c>
      <c r="AG1520" s="358">
        <v>0</v>
      </c>
      <c r="AH1520" s="358">
        <v>0</v>
      </c>
      <c r="AI1520" s="358">
        <v>0</v>
      </c>
      <c r="AJ1520" s="358">
        <v>0</v>
      </c>
      <c r="AK1520" s="358">
        <f t="shared" si="465"/>
        <v>0</v>
      </c>
      <c r="AL1520" s="358">
        <v>0</v>
      </c>
      <c r="AM1520" s="358">
        <v>0</v>
      </c>
      <c r="AN1520" s="358">
        <v>0</v>
      </c>
      <c r="AO1520" s="358">
        <v>0</v>
      </c>
      <c r="AP1520" s="358">
        <v>0</v>
      </c>
      <c r="AQ1520" s="358">
        <v>0</v>
      </c>
      <c r="AR1520" s="358">
        <v>0</v>
      </c>
      <c r="AS1520" s="358">
        <f t="shared" si="463"/>
        <v>0</v>
      </c>
      <c r="AT1520" s="145">
        <v>0</v>
      </c>
      <c r="AU1520" s="139">
        <f t="shared" si="460"/>
        <v>0</v>
      </c>
      <c r="AV1520" s="146">
        <f>IFERROR(VLOOKUP(J1520,Maksājumu_pieprasījumu_iesn.!G:BL,57,0),0)</f>
        <v>0</v>
      </c>
      <c r="AW1520" s="139">
        <f t="shared" si="462"/>
        <v>0</v>
      </c>
      <c r="AX1520" s="358"/>
      <c r="AY1520" s="358"/>
      <c r="AZ1520" s="358"/>
      <c r="BA1520" s="360"/>
      <c r="BB1520" s="358"/>
      <c r="BC1520" s="358"/>
      <c r="BD1520" s="358"/>
      <c r="BE1520" s="358"/>
      <c r="BF1520" s="358"/>
      <c r="BG1520" s="358"/>
      <c r="BH1520" s="360"/>
      <c r="BI1520" s="360"/>
      <c r="BJ1520" s="360"/>
      <c r="BK1520" s="360"/>
      <c r="BL1520" s="360"/>
      <c r="BM1520" s="360"/>
      <c r="BN1520" s="360"/>
    </row>
    <row r="1521" spans="1:66" s="91" customFormat="1" ht="25.5" hidden="1" customHeight="1" outlineLevel="1" x14ac:dyDescent="0.2">
      <c r="A1521" s="150" t="s">
        <v>2279</v>
      </c>
      <c r="B1521" s="355" t="s">
        <v>448</v>
      </c>
      <c r="C1521" s="355" t="s">
        <v>2524</v>
      </c>
      <c r="D1521" s="356" t="s">
        <v>2525</v>
      </c>
      <c r="E1521" s="114">
        <v>2</v>
      </c>
      <c r="F1521" s="114" t="s">
        <v>210</v>
      </c>
      <c r="G1521" s="114" t="s">
        <v>5</v>
      </c>
      <c r="H1521" s="114" t="s">
        <v>3</v>
      </c>
      <c r="I1521" s="114"/>
      <c r="J1521" s="114"/>
      <c r="K1521" s="356" t="s">
        <v>2608</v>
      </c>
      <c r="L1521" s="356"/>
      <c r="M1521" s="356"/>
      <c r="N1521" s="356"/>
      <c r="O1521" s="357">
        <v>43465</v>
      </c>
      <c r="P1521" s="357"/>
      <c r="Q1521" s="357"/>
      <c r="R1521" s="357"/>
      <c r="S1521" s="117"/>
      <c r="T1521" s="117"/>
      <c r="U1521" s="358">
        <v>0</v>
      </c>
      <c r="V1521" s="358">
        <v>0</v>
      </c>
      <c r="W1521" s="358">
        <v>0</v>
      </c>
      <c r="X1521" s="358">
        <f t="shared" si="464"/>
        <v>0</v>
      </c>
      <c r="Y1521" s="358">
        <v>0</v>
      </c>
      <c r="Z1521" s="358">
        <v>0</v>
      </c>
      <c r="AA1521" s="358">
        <v>0</v>
      </c>
      <c r="AB1521" s="358">
        <v>0</v>
      </c>
      <c r="AC1521" s="358">
        <v>0</v>
      </c>
      <c r="AD1521" s="358">
        <v>0</v>
      </c>
      <c r="AE1521" s="358">
        <v>0</v>
      </c>
      <c r="AF1521" s="358">
        <v>0</v>
      </c>
      <c r="AG1521" s="358">
        <v>0</v>
      </c>
      <c r="AH1521" s="358">
        <v>0</v>
      </c>
      <c r="AI1521" s="358">
        <v>0</v>
      </c>
      <c r="AJ1521" s="358">
        <v>0</v>
      </c>
      <c r="AK1521" s="358">
        <f t="shared" si="465"/>
        <v>0</v>
      </c>
      <c r="AL1521" s="358">
        <v>0</v>
      </c>
      <c r="AM1521" s="358">
        <v>0</v>
      </c>
      <c r="AN1521" s="358">
        <v>0</v>
      </c>
      <c r="AO1521" s="358">
        <v>0</v>
      </c>
      <c r="AP1521" s="358">
        <v>0</v>
      </c>
      <c r="AQ1521" s="358">
        <v>0</v>
      </c>
      <c r="AR1521" s="358">
        <v>0</v>
      </c>
      <c r="AS1521" s="358">
        <f t="shared" si="463"/>
        <v>0</v>
      </c>
      <c r="AT1521" s="145">
        <v>0</v>
      </c>
      <c r="AU1521" s="139">
        <f t="shared" si="460"/>
        <v>0</v>
      </c>
      <c r="AV1521" s="146">
        <f>IFERROR(VLOOKUP(J1521,Maksājumu_pieprasījumu_iesn.!G:BL,57,0),0)</f>
        <v>0</v>
      </c>
      <c r="AW1521" s="139">
        <f t="shared" si="462"/>
        <v>0</v>
      </c>
      <c r="AX1521" s="358"/>
      <c r="AY1521" s="358"/>
      <c r="AZ1521" s="358"/>
      <c r="BA1521" s="360"/>
      <c r="BB1521" s="358"/>
      <c r="BC1521" s="358"/>
      <c r="BD1521" s="358"/>
      <c r="BE1521" s="358"/>
      <c r="BF1521" s="358"/>
      <c r="BG1521" s="358"/>
      <c r="BH1521" s="360"/>
      <c r="BI1521" s="360"/>
      <c r="BJ1521" s="360"/>
      <c r="BK1521" s="360"/>
      <c r="BL1521" s="360"/>
      <c r="BM1521" s="360"/>
      <c r="BN1521" s="360"/>
    </row>
    <row r="1522" spans="1:66" s="91" customFormat="1" ht="25.5" hidden="1" customHeight="1" outlineLevel="1" x14ac:dyDescent="0.2">
      <c r="A1522" s="150" t="s">
        <v>2279</v>
      </c>
      <c r="B1522" s="355" t="s">
        <v>448</v>
      </c>
      <c r="C1522" s="355" t="s">
        <v>2524</v>
      </c>
      <c r="D1522" s="356" t="s">
        <v>2525</v>
      </c>
      <c r="E1522" s="114">
        <v>2</v>
      </c>
      <c r="F1522" s="114" t="s">
        <v>210</v>
      </c>
      <c r="G1522" s="114" t="s">
        <v>5</v>
      </c>
      <c r="H1522" s="114" t="s">
        <v>3</v>
      </c>
      <c r="I1522" s="114"/>
      <c r="J1522" s="114"/>
      <c r="K1522" s="356" t="s">
        <v>2609</v>
      </c>
      <c r="L1522" s="356"/>
      <c r="M1522" s="356"/>
      <c r="N1522" s="356"/>
      <c r="O1522" s="357">
        <v>43465</v>
      </c>
      <c r="P1522" s="357"/>
      <c r="Q1522" s="357"/>
      <c r="R1522" s="357"/>
      <c r="S1522" s="117"/>
      <c r="T1522" s="117"/>
      <c r="U1522" s="358">
        <v>0</v>
      </c>
      <c r="V1522" s="358">
        <v>0</v>
      </c>
      <c r="W1522" s="358">
        <v>0</v>
      </c>
      <c r="X1522" s="358">
        <f t="shared" si="464"/>
        <v>0</v>
      </c>
      <c r="Y1522" s="358">
        <v>0</v>
      </c>
      <c r="Z1522" s="358">
        <v>0</v>
      </c>
      <c r="AA1522" s="358">
        <v>0</v>
      </c>
      <c r="AB1522" s="358">
        <v>0</v>
      </c>
      <c r="AC1522" s="358">
        <v>0</v>
      </c>
      <c r="AD1522" s="358">
        <v>0</v>
      </c>
      <c r="AE1522" s="358">
        <v>0</v>
      </c>
      <c r="AF1522" s="358">
        <v>0</v>
      </c>
      <c r="AG1522" s="358">
        <v>0</v>
      </c>
      <c r="AH1522" s="358">
        <v>0</v>
      </c>
      <c r="AI1522" s="358">
        <v>0</v>
      </c>
      <c r="AJ1522" s="358">
        <v>0</v>
      </c>
      <c r="AK1522" s="358">
        <f t="shared" si="465"/>
        <v>0</v>
      </c>
      <c r="AL1522" s="358">
        <v>0</v>
      </c>
      <c r="AM1522" s="358">
        <v>0</v>
      </c>
      <c r="AN1522" s="358">
        <v>0</v>
      </c>
      <c r="AO1522" s="358">
        <v>0</v>
      </c>
      <c r="AP1522" s="358">
        <v>0</v>
      </c>
      <c r="AQ1522" s="358">
        <v>0</v>
      </c>
      <c r="AR1522" s="358">
        <v>0</v>
      </c>
      <c r="AS1522" s="358">
        <f t="shared" si="463"/>
        <v>0</v>
      </c>
      <c r="AT1522" s="145">
        <v>0</v>
      </c>
      <c r="AU1522" s="139">
        <f t="shared" si="460"/>
        <v>0</v>
      </c>
      <c r="AV1522" s="146">
        <f>IFERROR(VLOOKUP(J1522,Maksājumu_pieprasījumu_iesn.!G:BL,57,0),0)</f>
        <v>0</v>
      </c>
      <c r="AW1522" s="139">
        <f t="shared" si="462"/>
        <v>0</v>
      </c>
      <c r="AX1522" s="358"/>
      <c r="AY1522" s="358"/>
      <c r="AZ1522" s="358"/>
      <c r="BA1522" s="360"/>
      <c r="BB1522" s="358"/>
      <c r="BC1522" s="358"/>
      <c r="BD1522" s="358"/>
      <c r="BE1522" s="358"/>
      <c r="BF1522" s="358"/>
      <c r="BG1522" s="358"/>
      <c r="BH1522" s="360"/>
      <c r="BI1522" s="360"/>
      <c r="BJ1522" s="360"/>
      <c r="BK1522" s="360"/>
      <c r="BL1522" s="360"/>
      <c r="BM1522" s="360"/>
      <c r="BN1522" s="360"/>
    </row>
    <row r="1523" spans="1:66" s="91" customFormat="1" ht="25.5" hidden="1" customHeight="1" outlineLevel="1" x14ac:dyDescent="0.2">
      <c r="A1523" s="150" t="s">
        <v>2279</v>
      </c>
      <c r="B1523" s="355" t="s">
        <v>448</v>
      </c>
      <c r="C1523" s="355" t="s">
        <v>2524</v>
      </c>
      <c r="D1523" s="356" t="s">
        <v>2525</v>
      </c>
      <c r="E1523" s="114">
        <v>2</v>
      </c>
      <c r="F1523" s="114" t="s">
        <v>210</v>
      </c>
      <c r="G1523" s="114" t="s">
        <v>5</v>
      </c>
      <c r="H1523" s="114" t="s">
        <v>3</v>
      </c>
      <c r="I1523" s="114"/>
      <c r="J1523" s="114"/>
      <c r="K1523" s="356" t="s">
        <v>2610</v>
      </c>
      <c r="L1523" s="356"/>
      <c r="M1523" s="356"/>
      <c r="N1523" s="356"/>
      <c r="O1523" s="357">
        <v>43465</v>
      </c>
      <c r="P1523" s="357"/>
      <c r="Q1523" s="357"/>
      <c r="R1523" s="357"/>
      <c r="S1523" s="117"/>
      <c r="T1523" s="117"/>
      <c r="U1523" s="358">
        <v>0</v>
      </c>
      <c r="V1523" s="358">
        <v>0</v>
      </c>
      <c r="W1523" s="358">
        <v>0</v>
      </c>
      <c r="X1523" s="358">
        <f t="shared" si="464"/>
        <v>0</v>
      </c>
      <c r="Y1523" s="358">
        <v>0</v>
      </c>
      <c r="Z1523" s="358">
        <v>0</v>
      </c>
      <c r="AA1523" s="358">
        <v>0</v>
      </c>
      <c r="AB1523" s="358">
        <v>0</v>
      </c>
      <c r="AC1523" s="358">
        <v>0</v>
      </c>
      <c r="AD1523" s="358">
        <v>0</v>
      </c>
      <c r="AE1523" s="358">
        <v>0</v>
      </c>
      <c r="AF1523" s="358">
        <v>0</v>
      </c>
      <c r="AG1523" s="358">
        <v>0</v>
      </c>
      <c r="AH1523" s="358">
        <v>0</v>
      </c>
      <c r="AI1523" s="358">
        <v>0</v>
      </c>
      <c r="AJ1523" s="358">
        <v>0</v>
      </c>
      <c r="AK1523" s="358">
        <f t="shared" si="465"/>
        <v>0</v>
      </c>
      <c r="AL1523" s="358">
        <v>0</v>
      </c>
      <c r="AM1523" s="358">
        <v>0</v>
      </c>
      <c r="AN1523" s="358">
        <v>0</v>
      </c>
      <c r="AO1523" s="358">
        <v>0</v>
      </c>
      <c r="AP1523" s="358">
        <v>0</v>
      </c>
      <c r="AQ1523" s="358">
        <v>0</v>
      </c>
      <c r="AR1523" s="358">
        <v>0</v>
      </c>
      <c r="AS1523" s="358">
        <f t="shared" si="463"/>
        <v>0</v>
      </c>
      <c r="AT1523" s="145">
        <v>0</v>
      </c>
      <c r="AU1523" s="139">
        <f t="shared" si="460"/>
        <v>0</v>
      </c>
      <c r="AV1523" s="146">
        <f>IFERROR(VLOOKUP(J1523,Maksājumu_pieprasījumu_iesn.!G:BL,57,0),0)</f>
        <v>0</v>
      </c>
      <c r="AW1523" s="139">
        <f t="shared" si="462"/>
        <v>0</v>
      </c>
      <c r="AX1523" s="358"/>
      <c r="AY1523" s="358"/>
      <c r="AZ1523" s="358"/>
      <c r="BA1523" s="360"/>
      <c r="BB1523" s="358"/>
      <c r="BC1523" s="358"/>
      <c r="BD1523" s="358"/>
      <c r="BE1523" s="358"/>
      <c r="BF1523" s="358"/>
      <c r="BG1523" s="358"/>
      <c r="BH1523" s="360"/>
      <c r="BI1523" s="360"/>
      <c r="BJ1523" s="360"/>
      <c r="BK1523" s="360"/>
      <c r="BL1523" s="360"/>
      <c r="BM1523" s="360"/>
      <c r="BN1523" s="360"/>
    </row>
    <row r="1524" spans="1:66" s="91" customFormat="1" ht="25.5" hidden="1" customHeight="1" outlineLevel="1" x14ac:dyDescent="0.2">
      <c r="A1524" s="150" t="s">
        <v>2279</v>
      </c>
      <c r="B1524" s="355" t="s">
        <v>448</v>
      </c>
      <c r="C1524" s="355" t="s">
        <v>2524</v>
      </c>
      <c r="D1524" s="356" t="s">
        <v>2525</v>
      </c>
      <c r="E1524" s="114">
        <v>2</v>
      </c>
      <c r="F1524" s="114" t="s">
        <v>210</v>
      </c>
      <c r="G1524" s="114" t="s">
        <v>5</v>
      </c>
      <c r="H1524" s="114" t="s">
        <v>3</v>
      </c>
      <c r="I1524" s="114"/>
      <c r="J1524" s="114"/>
      <c r="K1524" s="356" t="s">
        <v>2611</v>
      </c>
      <c r="L1524" s="356"/>
      <c r="M1524" s="356"/>
      <c r="N1524" s="356"/>
      <c r="O1524" s="357">
        <v>43465</v>
      </c>
      <c r="P1524" s="357"/>
      <c r="Q1524" s="357"/>
      <c r="R1524" s="357"/>
      <c r="S1524" s="117"/>
      <c r="T1524" s="117"/>
      <c r="U1524" s="358">
        <v>0</v>
      </c>
      <c r="V1524" s="358">
        <v>0</v>
      </c>
      <c r="W1524" s="358">
        <v>0</v>
      </c>
      <c r="X1524" s="358">
        <f t="shared" si="464"/>
        <v>0</v>
      </c>
      <c r="Y1524" s="358">
        <v>0</v>
      </c>
      <c r="Z1524" s="358">
        <v>0</v>
      </c>
      <c r="AA1524" s="358">
        <v>0</v>
      </c>
      <c r="AB1524" s="358">
        <v>0</v>
      </c>
      <c r="AC1524" s="358">
        <v>0</v>
      </c>
      <c r="AD1524" s="358">
        <v>0</v>
      </c>
      <c r="AE1524" s="358">
        <v>0</v>
      </c>
      <c r="AF1524" s="358">
        <v>0</v>
      </c>
      <c r="AG1524" s="358">
        <v>0</v>
      </c>
      <c r="AH1524" s="358">
        <v>0</v>
      </c>
      <c r="AI1524" s="358">
        <v>0</v>
      </c>
      <c r="AJ1524" s="358">
        <v>0</v>
      </c>
      <c r="AK1524" s="358">
        <f t="shared" si="465"/>
        <v>0</v>
      </c>
      <c r="AL1524" s="358">
        <v>0</v>
      </c>
      <c r="AM1524" s="358">
        <v>0</v>
      </c>
      <c r="AN1524" s="358">
        <v>0</v>
      </c>
      <c r="AO1524" s="358">
        <v>0</v>
      </c>
      <c r="AP1524" s="358">
        <v>0</v>
      </c>
      <c r="AQ1524" s="358">
        <v>0</v>
      </c>
      <c r="AR1524" s="358">
        <v>0</v>
      </c>
      <c r="AS1524" s="358">
        <f t="shared" si="463"/>
        <v>0</v>
      </c>
      <c r="AT1524" s="145">
        <v>0</v>
      </c>
      <c r="AU1524" s="139">
        <f t="shared" si="460"/>
        <v>0</v>
      </c>
      <c r="AV1524" s="146">
        <f>IFERROR(VLOOKUP(J1524,Maksājumu_pieprasījumu_iesn.!G:BL,57,0),0)</f>
        <v>0</v>
      </c>
      <c r="AW1524" s="139">
        <f t="shared" si="462"/>
        <v>0</v>
      </c>
      <c r="AX1524" s="358"/>
      <c r="AY1524" s="358"/>
      <c r="AZ1524" s="358"/>
      <c r="BA1524" s="360"/>
      <c r="BB1524" s="358"/>
      <c r="BC1524" s="358"/>
      <c r="BD1524" s="358"/>
      <c r="BE1524" s="358"/>
      <c r="BF1524" s="358"/>
      <c r="BG1524" s="358"/>
      <c r="BH1524" s="360"/>
      <c r="BI1524" s="360"/>
      <c r="BJ1524" s="360"/>
      <c r="BK1524" s="360"/>
      <c r="BL1524" s="360"/>
      <c r="BM1524" s="360"/>
      <c r="BN1524" s="360"/>
    </row>
    <row r="1525" spans="1:66" s="91" customFormat="1" ht="25.5" hidden="1" customHeight="1" outlineLevel="1" x14ac:dyDescent="0.2">
      <c r="A1525" s="150" t="s">
        <v>2279</v>
      </c>
      <c r="B1525" s="355" t="s">
        <v>448</v>
      </c>
      <c r="C1525" s="355" t="s">
        <v>2524</v>
      </c>
      <c r="D1525" s="356" t="s">
        <v>2525</v>
      </c>
      <c r="E1525" s="114">
        <v>2</v>
      </c>
      <c r="F1525" s="114" t="s">
        <v>210</v>
      </c>
      <c r="G1525" s="114" t="s">
        <v>5</v>
      </c>
      <c r="H1525" s="114" t="s">
        <v>3</v>
      </c>
      <c r="I1525" s="114"/>
      <c r="J1525" s="114"/>
      <c r="K1525" s="356" t="s">
        <v>2612</v>
      </c>
      <c r="L1525" s="356"/>
      <c r="M1525" s="356"/>
      <c r="N1525" s="356"/>
      <c r="O1525" s="357">
        <v>43465</v>
      </c>
      <c r="P1525" s="357"/>
      <c r="Q1525" s="357"/>
      <c r="R1525" s="357"/>
      <c r="S1525" s="117"/>
      <c r="T1525" s="117"/>
      <c r="U1525" s="358">
        <v>0</v>
      </c>
      <c r="V1525" s="358">
        <v>0</v>
      </c>
      <c r="W1525" s="358">
        <v>0</v>
      </c>
      <c r="X1525" s="358">
        <f t="shared" si="464"/>
        <v>0</v>
      </c>
      <c r="Y1525" s="358">
        <v>0</v>
      </c>
      <c r="Z1525" s="358">
        <v>0</v>
      </c>
      <c r="AA1525" s="358">
        <v>0</v>
      </c>
      <c r="AB1525" s="358">
        <v>0</v>
      </c>
      <c r="AC1525" s="358">
        <v>0</v>
      </c>
      <c r="AD1525" s="358">
        <v>0</v>
      </c>
      <c r="AE1525" s="358">
        <v>0</v>
      </c>
      <c r="AF1525" s="358">
        <v>0</v>
      </c>
      <c r="AG1525" s="358">
        <v>0</v>
      </c>
      <c r="AH1525" s="358">
        <v>0</v>
      </c>
      <c r="AI1525" s="358">
        <v>0</v>
      </c>
      <c r="AJ1525" s="358">
        <v>0</v>
      </c>
      <c r="AK1525" s="358">
        <f t="shared" si="465"/>
        <v>0</v>
      </c>
      <c r="AL1525" s="358">
        <v>0</v>
      </c>
      <c r="AM1525" s="358">
        <v>0</v>
      </c>
      <c r="AN1525" s="358">
        <v>0</v>
      </c>
      <c r="AO1525" s="358">
        <v>0</v>
      </c>
      <c r="AP1525" s="358">
        <v>0</v>
      </c>
      <c r="AQ1525" s="358">
        <v>0</v>
      </c>
      <c r="AR1525" s="358">
        <v>0</v>
      </c>
      <c r="AS1525" s="358">
        <f t="shared" si="463"/>
        <v>0</v>
      </c>
      <c r="AT1525" s="145">
        <v>0</v>
      </c>
      <c r="AU1525" s="139">
        <f t="shared" si="460"/>
        <v>0</v>
      </c>
      <c r="AV1525" s="146">
        <f>IFERROR(VLOOKUP(J1525,Maksājumu_pieprasījumu_iesn.!G:BL,57,0),0)</f>
        <v>0</v>
      </c>
      <c r="AW1525" s="139">
        <f t="shared" si="462"/>
        <v>0</v>
      </c>
      <c r="AX1525" s="358"/>
      <c r="AY1525" s="358"/>
      <c r="AZ1525" s="358"/>
      <c r="BA1525" s="360"/>
      <c r="BB1525" s="358"/>
      <c r="BC1525" s="358"/>
      <c r="BD1525" s="358"/>
      <c r="BE1525" s="358"/>
      <c r="BF1525" s="358"/>
      <c r="BG1525" s="358"/>
      <c r="BH1525" s="360"/>
      <c r="BI1525" s="360"/>
      <c r="BJ1525" s="360"/>
      <c r="BK1525" s="360"/>
      <c r="BL1525" s="360"/>
      <c r="BM1525" s="360"/>
      <c r="BN1525" s="360"/>
    </row>
    <row r="1526" spans="1:66" s="91" customFormat="1" ht="25.5" hidden="1" customHeight="1" outlineLevel="1" x14ac:dyDescent="0.2">
      <c r="A1526" s="150" t="s">
        <v>2279</v>
      </c>
      <c r="B1526" s="355" t="s">
        <v>448</v>
      </c>
      <c r="C1526" s="355" t="s">
        <v>2524</v>
      </c>
      <c r="D1526" s="356" t="s">
        <v>2525</v>
      </c>
      <c r="E1526" s="114">
        <v>2</v>
      </c>
      <c r="F1526" s="114" t="s">
        <v>210</v>
      </c>
      <c r="G1526" s="114" t="s">
        <v>5</v>
      </c>
      <c r="H1526" s="114" t="s">
        <v>3</v>
      </c>
      <c r="I1526" s="114"/>
      <c r="J1526" s="114"/>
      <c r="K1526" s="356" t="s">
        <v>2613</v>
      </c>
      <c r="L1526" s="356"/>
      <c r="M1526" s="356"/>
      <c r="N1526" s="356"/>
      <c r="O1526" s="357">
        <v>43465</v>
      </c>
      <c r="P1526" s="357"/>
      <c r="Q1526" s="357"/>
      <c r="R1526" s="357"/>
      <c r="S1526" s="117"/>
      <c r="T1526" s="117"/>
      <c r="U1526" s="358">
        <v>0</v>
      </c>
      <c r="V1526" s="358">
        <v>0</v>
      </c>
      <c r="W1526" s="358">
        <v>0</v>
      </c>
      <c r="X1526" s="358">
        <f t="shared" si="464"/>
        <v>0</v>
      </c>
      <c r="Y1526" s="358">
        <v>0</v>
      </c>
      <c r="Z1526" s="358">
        <v>0</v>
      </c>
      <c r="AA1526" s="358">
        <v>0</v>
      </c>
      <c r="AB1526" s="358">
        <v>0</v>
      </c>
      <c r="AC1526" s="358">
        <v>0</v>
      </c>
      <c r="AD1526" s="358">
        <v>0</v>
      </c>
      <c r="AE1526" s="358">
        <v>0</v>
      </c>
      <c r="AF1526" s="358">
        <v>0</v>
      </c>
      <c r="AG1526" s="358">
        <v>0</v>
      </c>
      <c r="AH1526" s="358">
        <v>0</v>
      </c>
      <c r="AI1526" s="358">
        <v>0</v>
      </c>
      <c r="AJ1526" s="358">
        <v>0</v>
      </c>
      <c r="AK1526" s="358">
        <f t="shared" si="465"/>
        <v>0</v>
      </c>
      <c r="AL1526" s="358">
        <v>0</v>
      </c>
      <c r="AM1526" s="358">
        <v>0</v>
      </c>
      <c r="AN1526" s="358">
        <v>0</v>
      </c>
      <c r="AO1526" s="358">
        <v>0</v>
      </c>
      <c r="AP1526" s="358">
        <v>0</v>
      </c>
      <c r="AQ1526" s="358">
        <v>0</v>
      </c>
      <c r="AR1526" s="358">
        <v>0</v>
      </c>
      <c r="AS1526" s="358">
        <f t="shared" si="463"/>
        <v>0</v>
      </c>
      <c r="AT1526" s="145">
        <v>0</v>
      </c>
      <c r="AU1526" s="139">
        <f t="shared" si="460"/>
        <v>0</v>
      </c>
      <c r="AV1526" s="146">
        <f>IFERROR(VLOOKUP(J1526,Maksājumu_pieprasījumu_iesn.!G:BL,57,0),0)</f>
        <v>0</v>
      </c>
      <c r="AW1526" s="139">
        <f t="shared" si="462"/>
        <v>0</v>
      </c>
      <c r="AX1526" s="358"/>
      <c r="AY1526" s="358"/>
      <c r="AZ1526" s="358"/>
      <c r="BA1526" s="360"/>
      <c r="BB1526" s="358"/>
      <c r="BC1526" s="358"/>
      <c r="BD1526" s="358"/>
      <c r="BE1526" s="358"/>
      <c r="BF1526" s="358"/>
      <c r="BG1526" s="358"/>
      <c r="BH1526" s="360"/>
      <c r="BI1526" s="360"/>
      <c r="BJ1526" s="360"/>
      <c r="BK1526" s="360"/>
      <c r="BL1526" s="360"/>
      <c r="BM1526" s="360"/>
      <c r="BN1526" s="360"/>
    </row>
    <row r="1527" spans="1:66" s="91" customFormat="1" ht="25.5" hidden="1" customHeight="1" outlineLevel="1" x14ac:dyDescent="0.2">
      <c r="A1527" s="150" t="s">
        <v>2279</v>
      </c>
      <c r="B1527" s="355" t="s">
        <v>448</v>
      </c>
      <c r="C1527" s="355" t="s">
        <v>2524</v>
      </c>
      <c r="D1527" s="356" t="s">
        <v>2525</v>
      </c>
      <c r="E1527" s="114">
        <v>2</v>
      </c>
      <c r="F1527" s="114" t="s">
        <v>210</v>
      </c>
      <c r="G1527" s="114" t="s">
        <v>5</v>
      </c>
      <c r="H1527" s="114" t="s">
        <v>3</v>
      </c>
      <c r="I1527" s="114"/>
      <c r="J1527" s="114"/>
      <c r="K1527" s="356" t="s">
        <v>2614</v>
      </c>
      <c r="L1527" s="356"/>
      <c r="M1527" s="356"/>
      <c r="N1527" s="356"/>
      <c r="O1527" s="357">
        <v>43465</v>
      </c>
      <c r="P1527" s="357"/>
      <c r="Q1527" s="357"/>
      <c r="R1527" s="357"/>
      <c r="S1527" s="117"/>
      <c r="T1527" s="117"/>
      <c r="U1527" s="358">
        <v>0</v>
      </c>
      <c r="V1527" s="358">
        <v>0</v>
      </c>
      <c r="W1527" s="358">
        <v>0</v>
      </c>
      <c r="X1527" s="358">
        <f t="shared" si="464"/>
        <v>0</v>
      </c>
      <c r="Y1527" s="358">
        <v>0</v>
      </c>
      <c r="Z1527" s="358">
        <v>0</v>
      </c>
      <c r="AA1527" s="358">
        <v>0</v>
      </c>
      <c r="AB1527" s="358">
        <v>0</v>
      </c>
      <c r="AC1527" s="358">
        <v>0</v>
      </c>
      <c r="AD1527" s="358">
        <v>0</v>
      </c>
      <c r="AE1527" s="358">
        <v>0</v>
      </c>
      <c r="AF1527" s="358">
        <v>0</v>
      </c>
      <c r="AG1527" s="358">
        <v>0</v>
      </c>
      <c r="AH1527" s="358">
        <v>0</v>
      </c>
      <c r="AI1527" s="358">
        <v>0</v>
      </c>
      <c r="AJ1527" s="358">
        <v>0</v>
      </c>
      <c r="AK1527" s="358">
        <f t="shared" si="465"/>
        <v>0</v>
      </c>
      <c r="AL1527" s="358">
        <v>0</v>
      </c>
      <c r="AM1527" s="358">
        <v>0</v>
      </c>
      <c r="AN1527" s="358">
        <v>0</v>
      </c>
      <c r="AO1527" s="358">
        <v>0</v>
      </c>
      <c r="AP1527" s="358">
        <v>0</v>
      </c>
      <c r="AQ1527" s="358">
        <v>0</v>
      </c>
      <c r="AR1527" s="358">
        <v>0</v>
      </c>
      <c r="AS1527" s="358">
        <f t="shared" si="463"/>
        <v>0</v>
      </c>
      <c r="AT1527" s="145">
        <v>0</v>
      </c>
      <c r="AU1527" s="139">
        <f t="shared" si="460"/>
        <v>0</v>
      </c>
      <c r="AV1527" s="146">
        <f>IFERROR(VLOOKUP(J1527,Maksājumu_pieprasījumu_iesn.!G:BL,57,0),0)</f>
        <v>0</v>
      </c>
      <c r="AW1527" s="139">
        <f t="shared" si="462"/>
        <v>0</v>
      </c>
      <c r="AX1527" s="358"/>
      <c r="AY1527" s="358"/>
      <c r="AZ1527" s="358"/>
      <c r="BA1527" s="360"/>
      <c r="BB1527" s="358"/>
      <c r="BC1527" s="358"/>
      <c r="BD1527" s="358"/>
      <c r="BE1527" s="358"/>
      <c r="BF1527" s="358"/>
      <c r="BG1527" s="358"/>
      <c r="BH1527" s="360"/>
      <c r="BI1527" s="360"/>
      <c r="BJ1527" s="360"/>
      <c r="BK1527" s="360"/>
      <c r="BL1527" s="360"/>
      <c r="BM1527" s="360"/>
      <c r="BN1527" s="360"/>
    </row>
    <row r="1528" spans="1:66" s="91" customFormat="1" ht="25.5" hidden="1" customHeight="1" outlineLevel="1" x14ac:dyDescent="0.2">
      <c r="A1528" s="150" t="s">
        <v>2279</v>
      </c>
      <c r="B1528" s="355" t="s">
        <v>448</v>
      </c>
      <c r="C1528" s="355" t="s">
        <v>2524</v>
      </c>
      <c r="D1528" s="356" t="s">
        <v>2525</v>
      </c>
      <c r="E1528" s="114">
        <v>2</v>
      </c>
      <c r="F1528" s="114" t="s">
        <v>210</v>
      </c>
      <c r="G1528" s="114" t="s">
        <v>5</v>
      </c>
      <c r="H1528" s="114" t="s">
        <v>3</v>
      </c>
      <c r="I1528" s="114"/>
      <c r="J1528" s="114"/>
      <c r="K1528" s="356" t="s">
        <v>2615</v>
      </c>
      <c r="L1528" s="356"/>
      <c r="M1528" s="356"/>
      <c r="N1528" s="356"/>
      <c r="O1528" s="357">
        <v>43465</v>
      </c>
      <c r="P1528" s="357"/>
      <c r="Q1528" s="357"/>
      <c r="R1528" s="357"/>
      <c r="S1528" s="117"/>
      <c r="T1528" s="117"/>
      <c r="U1528" s="358">
        <v>0</v>
      </c>
      <c r="V1528" s="358">
        <v>0</v>
      </c>
      <c r="W1528" s="358">
        <v>0</v>
      </c>
      <c r="X1528" s="358">
        <f t="shared" si="464"/>
        <v>0</v>
      </c>
      <c r="Y1528" s="358">
        <v>0</v>
      </c>
      <c r="Z1528" s="358">
        <v>0</v>
      </c>
      <c r="AA1528" s="358">
        <v>0</v>
      </c>
      <c r="AB1528" s="358">
        <v>0</v>
      </c>
      <c r="AC1528" s="358">
        <v>0</v>
      </c>
      <c r="AD1528" s="358">
        <v>0</v>
      </c>
      <c r="AE1528" s="358">
        <v>0</v>
      </c>
      <c r="AF1528" s="358">
        <v>0</v>
      </c>
      <c r="AG1528" s="358">
        <v>0</v>
      </c>
      <c r="AH1528" s="358">
        <v>0</v>
      </c>
      <c r="AI1528" s="358">
        <v>0</v>
      </c>
      <c r="AJ1528" s="358">
        <v>0</v>
      </c>
      <c r="AK1528" s="358">
        <f t="shared" si="465"/>
        <v>0</v>
      </c>
      <c r="AL1528" s="358">
        <v>0</v>
      </c>
      <c r="AM1528" s="358">
        <v>0</v>
      </c>
      <c r="AN1528" s="358">
        <v>0</v>
      </c>
      <c r="AO1528" s="358">
        <v>0</v>
      </c>
      <c r="AP1528" s="358">
        <v>0</v>
      </c>
      <c r="AQ1528" s="358">
        <v>0</v>
      </c>
      <c r="AR1528" s="358">
        <v>0</v>
      </c>
      <c r="AS1528" s="358">
        <f t="shared" si="463"/>
        <v>0</v>
      </c>
      <c r="AT1528" s="145">
        <v>0</v>
      </c>
      <c r="AU1528" s="139">
        <f t="shared" si="460"/>
        <v>0</v>
      </c>
      <c r="AV1528" s="146">
        <f>IFERROR(VLOOKUP(J1528,Maksājumu_pieprasījumu_iesn.!G:BL,57,0),0)</f>
        <v>0</v>
      </c>
      <c r="AW1528" s="139">
        <f t="shared" si="462"/>
        <v>0</v>
      </c>
      <c r="AX1528" s="358"/>
      <c r="AY1528" s="358"/>
      <c r="AZ1528" s="358"/>
      <c r="BA1528" s="360"/>
      <c r="BB1528" s="358"/>
      <c r="BC1528" s="358"/>
      <c r="BD1528" s="358"/>
      <c r="BE1528" s="358"/>
      <c r="BF1528" s="358"/>
      <c r="BG1528" s="358"/>
      <c r="BH1528" s="360"/>
      <c r="BI1528" s="360"/>
      <c r="BJ1528" s="360"/>
      <c r="BK1528" s="360"/>
      <c r="BL1528" s="360"/>
      <c r="BM1528" s="360"/>
      <c r="BN1528" s="360"/>
    </row>
    <row r="1529" spans="1:66" s="91" customFormat="1" ht="25.5" hidden="1" customHeight="1" outlineLevel="1" x14ac:dyDescent="0.2">
      <c r="A1529" s="150" t="s">
        <v>2279</v>
      </c>
      <c r="B1529" s="355" t="s">
        <v>448</v>
      </c>
      <c r="C1529" s="355" t="s">
        <v>2524</v>
      </c>
      <c r="D1529" s="356" t="s">
        <v>2525</v>
      </c>
      <c r="E1529" s="114">
        <v>2</v>
      </c>
      <c r="F1529" s="114" t="s">
        <v>210</v>
      </c>
      <c r="G1529" s="114" t="s">
        <v>5</v>
      </c>
      <c r="H1529" s="114" t="s">
        <v>3</v>
      </c>
      <c r="I1529" s="114"/>
      <c r="J1529" s="114"/>
      <c r="K1529" s="356" t="s">
        <v>2616</v>
      </c>
      <c r="L1529" s="356"/>
      <c r="M1529" s="356"/>
      <c r="N1529" s="356"/>
      <c r="O1529" s="357">
        <v>43465</v>
      </c>
      <c r="P1529" s="357"/>
      <c r="Q1529" s="357"/>
      <c r="R1529" s="357"/>
      <c r="S1529" s="117"/>
      <c r="T1529" s="117"/>
      <c r="U1529" s="358">
        <v>0</v>
      </c>
      <c r="V1529" s="358">
        <v>0</v>
      </c>
      <c r="W1529" s="358">
        <v>0</v>
      </c>
      <c r="X1529" s="358">
        <f t="shared" si="464"/>
        <v>0</v>
      </c>
      <c r="Y1529" s="358">
        <v>0</v>
      </c>
      <c r="Z1529" s="358">
        <v>0</v>
      </c>
      <c r="AA1529" s="358">
        <v>0</v>
      </c>
      <c r="AB1529" s="358">
        <v>0</v>
      </c>
      <c r="AC1529" s="358">
        <v>0</v>
      </c>
      <c r="AD1529" s="358">
        <v>0</v>
      </c>
      <c r="AE1529" s="358">
        <v>0</v>
      </c>
      <c r="AF1529" s="358">
        <v>0</v>
      </c>
      <c r="AG1529" s="358">
        <v>0</v>
      </c>
      <c r="AH1529" s="358">
        <v>0</v>
      </c>
      <c r="AI1529" s="358">
        <v>0</v>
      </c>
      <c r="AJ1529" s="358">
        <v>0</v>
      </c>
      <c r="AK1529" s="358">
        <f t="shared" si="465"/>
        <v>0</v>
      </c>
      <c r="AL1529" s="358">
        <v>0</v>
      </c>
      <c r="AM1529" s="358">
        <v>0</v>
      </c>
      <c r="AN1529" s="358">
        <v>0</v>
      </c>
      <c r="AO1529" s="358">
        <v>0</v>
      </c>
      <c r="AP1529" s="358">
        <v>0</v>
      </c>
      <c r="AQ1529" s="358">
        <v>0</v>
      </c>
      <c r="AR1529" s="358">
        <v>0</v>
      </c>
      <c r="AS1529" s="358">
        <f t="shared" si="463"/>
        <v>0</v>
      </c>
      <c r="AT1529" s="145">
        <v>0</v>
      </c>
      <c r="AU1529" s="139">
        <f t="shared" si="460"/>
        <v>0</v>
      </c>
      <c r="AV1529" s="146">
        <f>IFERROR(VLOOKUP(J1529,Maksājumu_pieprasījumu_iesn.!G:BL,57,0),0)</f>
        <v>0</v>
      </c>
      <c r="AW1529" s="139">
        <f t="shared" si="462"/>
        <v>0</v>
      </c>
      <c r="AX1529" s="358"/>
      <c r="AY1529" s="358"/>
      <c r="AZ1529" s="358"/>
      <c r="BA1529" s="360"/>
      <c r="BB1529" s="358"/>
      <c r="BC1529" s="358"/>
      <c r="BD1529" s="358"/>
      <c r="BE1529" s="358"/>
      <c r="BF1529" s="358"/>
      <c r="BG1529" s="358"/>
      <c r="BH1529" s="360"/>
      <c r="BI1529" s="360"/>
      <c r="BJ1529" s="360"/>
      <c r="BK1529" s="360"/>
      <c r="BL1529" s="360"/>
      <c r="BM1529" s="360"/>
      <c r="BN1529" s="360"/>
    </row>
    <row r="1530" spans="1:66" s="91" customFormat="1" ht="25.5" hidden="1" customHeight="1" outlineLevel="1" x14ac:dyDescent="0.2">
      <c r="A1530" s="150" t="s">
        <v>2279</v>
      </c>
      <c r="B1530" s="355" t="s">
        <v>448</v>
      </c>
      <c r="C1530" s="355" t="s">
        <v>2524</v>
      </c>
      <c r="D1530" s="356" t="s">
        <v>2525</v>
      </c>
      <c r="E1530" s="114">
        <v>2</v>
      </c>
      <c r="F1530" s="114" t="s">
        <v>210</v>
      </c>
      <c r="G1530" s="114" t="s">
        <v>5</v>
      </c>
      <c r="H1530" s="114" t="s">
        <v>3</v>
      </c>
      <c r="I1530" s="114"/>
      <c r="J1530" s="114"/>
      <c r="K1530" s="356" t="s">
        <v>2617</v>
      </c>
      <c r="L1530" s="356"/>
      <c r="M1530" s="356"/>
      <c r="N1530" s="356"/>
      <c r="O1530" s="357">
        <v>43465</v>
      </c>
      <c r="P1530" s="357"/>
      <c r="Q1530" s="357"/>
      <c r="R1530" s="357"/>
      <c r="S1530" s="117"/>
      <c r="T1530" s="117"/>
      <c r="U1530" s="358">
        <v>0</v>
      </c>
      <c r="V1530" s="358">
        <v>0</v>
      </c>
      <c r="W1530" s="358">
        <v>0</v>
      </c>
      <c r="X1530" s="358">
        <f t="shared" si="464"/>
        <v>0</v>
      </c>
      <c r="Y1530" s="358">
        <v>0</v>
      </c>
      <c r="Z1530" s="358">
        <v>0</v>
      </c>
      <c r="AA1530" s="358">
        <v>0</v>
      </c>
      <c r="AB1530" s="358">
        <v>0</v>
      </c>
      <c r="AC1530" s="358">
        <v>0</v>
      </c>
      <c r="AD1530" s="358">
        <v>0</v>
      </c>
      <c r="AE1530" s="358">
        <v>0</v>
      </c>
      <c r="AF1530" s="358">
        <v>0</v>
      </c>
      <c r="AG1530" s="358">
        <v>0</v>
      </c>
      <c r="AH1530" s="358">
        <v>0</v>
      </c>
      <c r="AI1530" s="358">
        <v>0</v>
      </c>
      <c r="AJ1530" s="358">
        <v>0</v>
      </c>
      <c r="AK1530" s="358">
        <f t="shared" si="465"/>
        <v>0</v>
      </c>
      <c r="AL1530" s="358">
        <v>0</v>
      </c>
      <c r="AM1530" s="358">
        <v>0</v>
      </c>
      <c r="AN1530" s="358">
        <v>0</v>
      </c>
      <c r="AO1530" s="358">
        <v>0</v>
      </c>
      <c r="AP1530" s="358">
        <v>0</v>
      </c>
      <c r="AQ1530" s="358">
        <v>0</v>
      </c>
      <c r="AR1530" s="358">
        <v>0</v>
      </c>
      <c r="AS1530" s="358">
        <f t="shared" ref="AS1530:AS1552" si="466">U1530+V1530+W1530+AK1530+AL1530+AM1530+AN1530+AO1530+AP1530+AQ1530+AR1530</f>
        <v>0</v>
      </c>
      <c r="AT1530" s="145">
        <v>0</v>
      </c>
      <c r="AU1530" s="139">
        <f t="shared" si="460"/>
        <v>0</v>
      </c>
      <c r="AV1530" s="146">
        <f>IFERROR(VLOOKUP(J1530,Maksājumu_pieprasījumu_iesn.!G:BL,57,0),0)</f>
        <v>0</v>
      </c>
      <c r="AW1530" s="139">
        <f t="shared" si="462"/>
        <v>0</v>
      </c>
      <c r="AX1530" s="358"/>
      <c r="AY1530" s="358"/>
      <c r="AZ1530" s="358"/>
      <c r="BA1530" s="360"/>
      <c r="BB1530" s="358"/>
      <c r="BC1530" s="358"/>
      <c r="BD1530" s="358"/>
      <c r="BE1530" s="358"/>
      <c r="BF1530" s="358"/>
      <c r="BG1530" s="358"/>
      <c r="BH1530" s="360"/>
      <c r="BI1530" s="360"/>
      <c r="BJ1530" s="360"/>
      <c r="BK1530" s="360"/>
      <c r="BL1530" s="360"/>
      <c r="BM1530" s="360"/>
      <c r="BN1530" s="360"/>
    </row>
    <row r="1531" spans="1:66" s="91" customFormat="1" ht="25.5" hidden="1" customHeight="1" outlineLevel="1" x14ac:dyDescent="0.2">
      <c r="A1531" s="150" t="s">
        <v>2279</v>
      </c>
      <c r="B1531" s="355" t="s">
        <v>448</v>
      </c>
      <c r="C1531" s="355" t="s">
        <v>2524</v>
      </c>
      <c r="D1531" s="356" t="s">
        <v>2525</v>
      </c>
      <c r="E1531" s="114">
        <v>2</v>
      </c>
      <c r="F1531" s="114" t="s">
        <v>210</v>
      </c>
      <c r="G1531" s="114" t="s">
        <v>5</v>
      </c>
      <c r="H1531" s="114" t="s">
        <v>3</v>
      </c>
      <c r="I1531" s="114"/>
      <c r="J1531" s="114"/>
      <c r="K1531" s="356" t="s">
        <v>2618</v>
      </c>
      <c r="L1531" s="356"/>
      <c r="M1531" s="356"/>
      <c r="N1531" s="356"/>
      <c r="O1531" s="357">
        <v>43465</v>
      </c>
      <c r="P1531" s="357"/>
      <c r="Q1531" s="357"/>
      <c r="R1531" s="357"/>
      <c r="S1531" s="117"/>
      <c r="T1531" s="117"/>
      <c r="U1531" s="358">
        <v>0</v>
      </c>
      <c r="V1531" s="358">
        <v>0</v>
      </c>
      <c r="W1531" s="358">
        <v>0</v>
      </c>
      <c r="X1531" s="358">
        <f t="shared" si="464"/>
        <v>0</v>
      </c>
      <c r="Y1531" s="358">
        <v>0</v>
      </c>
      <c r="Z1531" s="358">
        <v>0</v>
      </c>
      <c r="AA1531" s="358">
        <v>0</v>
      </c>
      <c r="AB1531" s="358">
        <v>0</v>
      </c>
      <c r="AC1531" s="358">
        <v>0</v>
      </c>
      <c r="AD1531" s="358">
        <v>0</v>
      </c>
      <c r="AE1531" s="358">
        <v>0</v>
      </c>
      <c r="AF1531" s="358">
        <v>0</v>
      </c>
      <c r="AG1531" s="358">
        <v>0</v>
      </c>
      <c r="AH1531" s="358">
        <v>0</v>
      </c>
      <c r="AI1531" s="358">
        <v>0</v>
      </c>
      <c r="AJ1531" s="358">
        <v>0</v>
      </c>
      <c r="AK1531" s="358">
        <f t="shared" si="465"/>
        <v>0</v>
      </c>
      <c r="AL1531" s="358">
        <v>0</v>
      </c>
      <c r="AM1531" s="358">
        <v>0</v>
      </c>
      <c r="AN1531" s="358">
        <v>0</v>
      </c>
      <c r="AO1531" s="358">
        <v>0</v>
      </c>
      <c r="AP1531" s="358">
        <v>0</v>
      </c>
      <c r="AQ1531" s="358">
        <v>0</v>
      </c>
      <c r="AR1531" s="358">
        <v>0</v>
      </c>
      <c r="AS1531" s="358">
        <f t="shared" si="466"/>
        <v>0</v>
      </c>
      <c r="AT1531" s="145">
        <v>0</v>
      </c>
      <c r="AU1531" s="139">
        <f t="shared" si="460"/>
        <v>0</v>
      </c>
      <c r="AV1531" s="146">
        <f>IFERROR(VLOOKUP(J1531,Maksājumu_pieprasījumu_iesn.!G:BL,57,0),0)</f>
        <v>0</v>
      </c>
      <c r="AW1531" s="139">
        <f t="shared" si="462"/>
        <v>0</v>
      </c>
      <c r="AX1531" s="358"/>
      <c r="AY1531" s="358"/>
      <c r="AZ1531" s="358"/>
      <c r="BA1531" s="360"/>
      <c r="BB1531" s="358"/>
      <c r="BC1531" s="358"/>
      <c r="BD1531" s="358"/>
      <c r="BE1531" s="358"/>
      <c r="BF1531" s="358"/>
      <c r="BG1531" s="358"/>
      <c r="BH1531" s="360"/>
      <c r="BI1531" s="360"/>
      <c r="BJ1531" s="360"/>
      <c r="BK1531" s="360"/>
      <c r="BL1531" s="360"/>
      <c r="BM1531" s="360"/>
      <c r="BN1531" s="360"/>
    </row>
    <row r="1532" spans="1:66" s="91" customFormat="1" ht="25.5" hidden="1" customHeight="1" outlineLevel="1" x14ac:dyDescent="0.2">
      <c r="A1532" s="150" t="s">
        <v>2279</v>
      </c>
      <c r="B1532" s="355" t="s">
        <v>448</v>
      </c>
      <c r="C1532" s="355" t="s">
        <v>2524</v>
      </c>
      <c r="D1532" s="356" t="s">
        <v>2525</v>
      </c>
      <c r="E1532" s="114">
        <v>2</v>
      </c>
      <c r="F1532" s="114" t="s">
        <v>210</v>
      </c>
      <c r="G1532" s="114" t="s">
        <v>5</v>
      </c>
      <c r="H1532" s="114" t="s">
        <v>3</v>
      </c>
      <c r="I1532" s="114"/>
      <c r="J1532" s="114"/>
      <c r="K1532" s="356" t="s">
        <v>2619</v>
      </c>
      <c r="L1532" s="356"/>
      <c r="M1532" s="356"/>
      <c r="N1532" s="356"/>
      <c r="O1532" s="357">
        <v>43465</v>
      </c>
      <c r="P1532" s="357"/>
      <c r="Q1532" s="357"/>
      <c r="R1532" s="357"/>
      <c r="S1532" s="117"/>
      <c r="T1532" s="117"/>
      <c r="U1532" s="358">
        <v>0</v>
      </c>
      <c r="V1532" s="358">
        <v>0</v>
      </c>
      <c r="W1532" s="358">
        <v>0</v>
      </c>
      <c r="X1532" s="358">
        <f t="shared" si="464"/>
        <v>0</v>
      </c>
      <c r="Y1532" s="358">
        <v>0</v>
      </c>
      <c r="Z1532" s="358">
        <v>0</v>
      </c>
      <c r="AA1532" s="358">
        <v>0</v>
      </c>
      <c r="AB1532" s="358">
        <v>0</v>
      </c>
      <c r="AC1532" s="358">
        <v>0</v>
      </c>
      <c r="AD1532" s="358">
        <v>0</v>
      </c>
      <c r="AE1532" s="358">
        <v>0</v>
      </c>
      <c r="AF1532" s="358">
        <v>0</v>
      </c>
      <c r="AG1532" s="358">
        <v>0</v>
      </c>
      <c r="AH1532" s="358">
        <v>0</v>
      </c>
      <c r="AI1532" s="358">
        <v>0</v>
      </c>
      <c r="AJ1532" s="358">
        <v>0</v>
      </c>
      <c r="AK1532" s="358">
        <f t="shared" si="465"/>
        <v>0</v>
      </c>
      <c r="AL1532" s="358">
        <v>0</v>
      </c>
      <c r="AM1532" s="358">
        <v>0</v>
      </c>
      <c r="AN1532" s="358">
        <v>0</v>
      </c>
      <c r="AO1532" s="358">
        <v>0</v>
      </c>
      <c r="AP1532" s="358">
        <v>0</v>
      </c>
      <c r="AQ1532" s="358">
        <v>0</v>
      </c>
      <c r="AR1532" s="358">
        <v>0</v>
      </c>
      <c r="AS1532" s="358">
        <f t="shared" si="466"/>
        <v>0</v>
      </c>
      <c r="AT1532" s="145">
        <v>0</v>
      </c>
      <c r="AU1532" s="139">
        <f t="shared" si="460"/>
        <v>0</v>
      </c>
      <c r="AV1532" s="146">
        <f>IFERROR(VLOOKUP(J1532,Maksājumu_pieprasījumu_iesn.!G:BL,57,0),0)</f>
        <v>0</v>
      </c>
      <c r="AW1532" s="139">
        <f t="shared" si="462"/>
        <v>0</v>
      </c>
      <c r="AX1532" s="358"/>
      <c r="AY1532" s="358"/>
      <c r="AZ1532" s="358"/>
      <c r="BA1532" s="360"/>
      <c r="BB1532" s="358"/>
      <c r="BC1532" s="358"/>
      <c r="BD1532" s="358"/>
      <c r="BE1532" s="358"/>
      <c r="BF1532" s="358"/>
      <c r="BG1532" s="358"/>
      <c r="BH1532" s="360"/>
      <c r="BI1532" s="360"/>
      <c r="BJ1532" s="360"/>
      <c r="BK1532" s="360"/>
      <c r="BL1532" s="360"/>
      <c r="BM1532" s="360"/>
      <c r="BN1532" s="360"/>
    </row>
    <row r="1533" spans="1:66" s="91" customFormat="1" ht="25.5" hidden="1" customHeight="1" outlineLevel="1" x14ac:dyDescent="0.2">
      <c r="A1533" s="150" t="s">
        <v>2279</v>
      </c>
      <c r="B1533" s="355" t="s">
        <v>448</v>
      </c>
      <c r="C1533" s="355" t="s">
        <v>2524</v>
      </c>
      <c r="D1533" s="356" t="s">
        <v>2525</v>
      </c>
      <c r="E1533" s="114">
        <v>2</v>
      </c>
      <c r="F1533" s="114" t="s">
        <v>210</v>
      </c>
      <c r="G1533" s="114" t="s">
        <v>5</v>
      </c>
      <c r="H1533" s="114" t="s">
        <v>3</v>
      </c>
      <c r="I1533" s="114"/>
      <c r="J1533" s="114"/>
      <c r="K1533" s="356" t="s">
        <v>2620</v>
      </c>
      <c r="L1533" s="356"/>
      <c r="M1533" s="356"/>
      <c r="N1533" s="356"/>
      <c r="O1533" s="357">
        <v>43465</v>
      </c>
      <c r="P1533" s="357"/>
      <c r="Q1533" s="357"/>
      <c r="R1533" s="357"/>
      <c r="S1533" s="117"/>
      <c r="T1533" s="117"/>
      <c r="U1533" s="358">
        <v>0</v>
      </c>
      <c r="V1533" s="358">
        <v>0</v>
      </c>
      <c r="W1533" s="358">
        <v>0</v>
      </c>
      <c r="X1533" s="358">
        <f t="shared" si="464"/>
        <v>0</v>
      </c>
      <c r="Y1533" s="358">
        <v>0</v>
      </c>
      <c r="Z1533" s="358">
        <v>0</v>
      </c>
      <c r="AA1533" s="358">
        <v>0</v>
      </c>
      <c r="AB1533" s="358">
        <v>0</v>
      </c>
      <c r="AC1533" s="358">
        <v>0</v>
      </c>
      <c r="AD1533" s="358">
        <v>0</v>
      </c>
      <c r="AE1533" s="358">
        <v>0</v>
      </c>
      <c r="AF1533" s="358">
        <v>0</v>
      </c>
      <c r="AG1533" s="358">
        <v>0</v>
      </c>
      <c r="AH1533" s="358">
        <v>0</v>
      </c>
      <c r="AI1533" s="358">
        <v>0</v>
      </c>
      <c r="AJ1533" s="358">
        <v>0</v>
      </c>
      <c r="AK1533" s="358">
        <f t="shared" si="465"/>
        <v>0</v>
      </c>
      <c r="AL1533" s="358">
        <v>0</v>
      </c>
      <c r="AM1533" s="358">
        <v>0</v>
      </c>
      <c r="AN1533" s="358">
        <v>0</v>
      </c>
      <c r="AO1533" s="358">
        <v>0</v>
      </c>
      <c r="AP1533" s="358">
        <v>0</v>
      </c>
      <c r="AQ1533" s="358">
        <v>0</v>
      </c>
      <c r="AR1533" s="358">
        <v>0</v>
      </c>
      <c r="AS1533" s="358">
        <f t="shared" si="466"/>
        <v>0</v>
      </c>
      <c r="AT1533" s="145">
        <v>0</v>
      </c>
      <c r="AU1533" s="139">
        <f t="shared" si="460"/>
        <v>0</v>
      </c>
      <c r="AV1533" s="146">
        <f>IFERROR(VLOOKUP(J1533,Maksājumu_pieprasījumu_iesn.!G:BL,57,0),0)</f>
        <v>0</v>
      </c>
      <c r="AW1533" s="139">
        <f t="shared" si="462"/>
        <v>0</v>
      </c>
      <c r="AX1533" s="358"/>
      <c r="AY1533" s="358"/>
      <c r="AZ1533" s="358"/>
      <c r="BA1533" s="360"/>
      <c r="BB1533" s="358"/>
      <c r="BC1533" s="358"/>
      <c r="BD1533" s="358"/>
      <c r="BE1533" s="358"/>
      <c r="BF1533" s="358"/>
      <c r="BG1533" s="358"/>
      <c r="BH1533" s="360"/>
      <c r="BI1533" s="360"/>
      <c r="BJ1533" s="360"/>
      <c r="BK1533" s="360"/>
      <c r="BL1533" s="360"/>
      <c r="BM1533" s="360"/>
      <c r="BN1533" s="360"/>
    </row>
    <row r="1534" spans="1:66" s="91" customFormat="1" ht="25.5" hidden="1" customHeight="1" outlineLevel="1" x14ac:dyDescent="0.2">
      <c r="A1534" s="150" t="s">
        <v>2279</v>
      </c>
      <c r="B1534" s="355" t="s">
        <v>448</v>
      </c>
      <c r="C1534" s="355" t="s">
        <v>2524</v>
      </c>
      <c r="D1534" s="356" t="s">
        <v>2525</v>
      </c>
      <c r="E1534" s="114">
        <v>2</v>
      </c>
      <c r="F1534" s="114" t="s">
        <v>210</v>
      </c>
      <c r="G1534" s="114" t="s">
        <v>5</v>
      </c>
      <c r="H1534" s="114" t="s">
        <v>3</v>
      </c>
      <c r="I1534" s="114"/>
      <c r="J1534" s="114"/>
      <c r="K1534" s="356" t="s">
        <v>2621</v>
      </c>
      <c r="L1534" s="356"/>
      <c r="M1534" s="356"/>
      <c r="N1534" s="356"/>
      <c r="O1534" s="357">
        <v>43465</v>
      </c>
      <c r="P1534" s="357"/>
      <c r="Q1534" s="357"/>
      <c r="R1534" s="357"/>
      <c r="S1534" s="117"/>
      <c r="T1534" s="117"/>
      <c r="U1534" s="358">
        <v>0</v>
      </c>
      <c r="V1534" s="358">
        <v>0</v>
      </c>
      <c r="W1534" s="358">
        <v>0</v>
      </c>
      <c r="X1534" s="358">
        <f t="shared" si="464"/>
        <v>0</v>
      </c>
      <c r="Y1534" s="358">
        <v>0</v>
      </c>
      <c r="Z1534" s="358">
        <v>0</v>
      </c>
      <c r="AA1534" s="358">
        <v>0</v>
      </c>
      <c r="AB1534" s="358">
        <v>0</v>
      </c>
      <c r="AC1534" s="358">
        <v>0</v>
      </c>
      <c r="AD1534" s="358">
        <v>0</v>
      </c>
      <c r="AE1534" s="358">
        <v>0</v>
      </c>
      <c r="AF1534" s="358">
        <v>0</v>
      </c>
      <c r="AG1534" s="358">
        <v>0</v>
      </c>
      <c r="AH1534" s="358">
        <v>0</v>
      </c>
      <c r="AI1534" s="358">
        <v>0</v>
      </c>
      <c r="AJ1534" s="358">
        <v>0</v>
      </c>
      <c r="AK1534" s="358">
        <f t="shared" si="465"/>
        <v>0</v>
      </c>
      <c r="AL1534" s="358">
        <v>0</v>
      </c>
      <c r="AM1534" s="358">
        <v>0</v>
      </c>
      <c r="AN1534" s="358">
        <v>0</v>
      </c>
      <c r="AO1534" s="358">
        <v>0</v>
      </c>
      <c r="AP1534" s="358">
        <v>0</v>
      </c>
      <c r="AQ1534" s="358">
        <v>0</v>
      </c>
      <c r="AR1534" s="358">
        <v>0</v>
      </c>
      <c r="AS1534" s="358">
        <f t="shared" si="466"/>
        <v>0</v>
      </c>
      <c r="AT1534" s="145">
        <v>0</v>
      </c>
      <c r="AU1534" s="139">
        <f t="shared" si="460"/>
        <v>0</v>
      </c>
      <c r="AV1534" s="146">
        <f>IFERROR(VLOOKUP(J1534,Maksājumu_pieprasījumu_iesn.!G:BL,57,0),0)</f>
        <v>0</v>
      </c>
      <c r="AW1534" s="139">
        <f t="shared" si="462"/>
        <v>0</v>
      </c>
      <c r="AX1534" s="358"/>
      <c r="AY1534" s="358"/>
      <c r="AZ1534" s="358"/>
      <c r="BA1534" s="360"/>
      <c r="BB1534" s="358"/>
      <c r="BC1534" s="358"/>
      <c r="BD1534" s="358"/>
      <c r="BE1534" s="358"/>
      <c r="BF1534" s="358"/>
      <c r="BG1534" s="358"/>
      <c r="BH1534" s="360"/>
      <c r="BI1534" s="360"/>
      <c r="BJ1534" s="360"/>
      <c r="BK1534" s="360"/>
      <c r="BL1534" s="360"/>
      <c r="BM1534" s="360"/>
      <c r="BN1534" s="360"/>
    </row>
    <row r="1535" spans="1:66" s="91" customFormat="1" ht="25.5" hidden="1" customHeight="1" outlineLevel="1" x14ac:dyDescent="0.2">
      <c r="A1535" s="150" t="s">
        <v>2279</v>
      </c>
      <c r="B1535" s="355" t="s">
        <v>448</v>
      </c>
      <c r="C1535" s="355" t="s">
        <v>2524</v>
      </c>
      <c r="D1535" s="356" t="s">
        <v>2525</v>
      </c>
      <c r="E1535" s="114">
        <v>2</v>
      </c>
      <c r="F1535" s="114" t="s">
        <v>210</v>
      </c>
      <c r="G1535" s="114" t="s">
        <v>5</v>
      </c>
      <c r="H1535" s="114" t="s">
        <v>3</v>
      </c>
      <c r="I1535" s="114"/>
      <c r="J1535" s="114"/>
      <c r="K1535" s="356" t="s">
        <v>2622</v>
      </c>
      <c r="L1535" s="356"/>
      <c r="M1535" s="356"/>
      <c r="N1535" s="356"/>
      <c r="O1535" s="357">
        <v>43465</v>
      </c>
      <c r="P1535" s="357"/>
      <c r="Q1535" s="357"/>
      <c r="R1535" s="357"/>
      <c r="S1535" s="117"/>
      <c r="T1535" s="117"/>
      <c r="U1535" s="358">
        <v>0</v>
      </c>
      <c r="V1535" s="358">
        <v>0</v>
      </c>
      <c r="W1535" s="358">
        <v>0</v>
      </c>
      <c r="X1535" s="358">
        <f t="shared" si="464"/>
        <v>0</v>
      </c>
      <c r="Y1535" s="358">
        <v>0</v>
      </c>
      <c r="Z1535" s="358">
        <v>0</v>
      </c>
      <c r="AA1535" s="358">
        <v>0</v>
      </c>
      <c r="AB1535" s="358">
        <v>0</v>
      </c>
      <c r="AC1535" s="358">
        <v>0</v>
      </c>
      <c r="AD1535" s="358">
        <v>0</v>
      </c>
      <c r="AE1535" s="358">
        <v>0</v>
      </c>
      <c r="AF1535" s="358">
        <v>0</v>
      </c>
      <c r="AG1535" s="358">
        <v>0</v>
      </c>
      <c r="AH1535" s="358">
        <v>0</v>
      </c>
      <c r="AI1535" s="358">
        <v>0</v>
      </c>
      <c r="AJ1535" s="358">
        <v>0</v>
      </c>
      <c r="AK1535" s="358">
        <f t="shared" si="465"/>
        <v>0</v>
      </c>
      <c r="AL1535" s="358">
        <v>0</v>
      </c>
      <c r="AM1535" s="358">
        <v>0</v>
      </c>
      <c r="AN1535" s="358">
        <v>0</v>
      </c>
      <c r="AO1535" s="358">
        <v>0</v>
      </c>
      <c r="AP1535" s="358">
        <v>0</v>
      </c>
      <c r="AQ1535" s="358">
        <v>0</v>
      </c>
      <c r="AR1535" s="358">
        <v>0</v>
      </c>
      <c r="AS1535" s="358">
        <f t="shared" si="466"/>
        <v>0</v>
      </c>
      <c r="AT1535" s="145">
        <v>0</v>
      </c>
      <c r="AU1535" s="139">
        <f t="shared" ref="AU1535:AU1599" si="467">AS1535-AT1535</f>
        <v>0</v>
      </c>
      <c r="AV1535" s="146">
        <f>IFERROR(VLOOKUP(J1535,Maksājumu_pieprasījumu_iesn.!G:BL,57,0),0)</f>
        <v>0</v>
      </c>
      <c r="AW1535" s="139">
        <f t="shared" si="462"/>
        <v>0</v>
      </c>
      <c r="AX1535" s="358"/>
      <c r="AY1535" s="358"/>
      <c r="AZ1535" s="358"/>
      <c r="BA1535" s="360"/>
      <c r="BB1535" s="358"/>
      <c r="BC1535" s="358"/>
      <c r="BD1535" s="358"/>
      <c r="BE1535" s="358"/>
      <c r="BF1535" s="358"/>
      <c r="BG1535" s="358"/>
      <c r="BH1535" s="360"/>
      <c r="BI1535" s="360"/>
      <c r="BJ1535" s="360"/>
      <c r="BK1535" s="360"/>
      <c r="BL1535" s="360"/>
      <c r="BM1535" s="360"/>
      <c r="BN1535" s="360"/>
    </row>
    <row r="1536" spans="1:66" s="91" customFormat="1" ht="25.5" hidden="1" customHeight="1" outlineLevel="1" x14ac:dyDescent="0.2">
      <c r="A1536" s="150" t="s">
        <v>2279</v>
      </c>
      <c r="B1536" s="355" t="s">
        <v>448</v>
      </c>
      <c r="C1536" s="355" t="s">
        <v>2524</v>
      </c>
      <c r="D1536" s="356" t="s">
        <v>2525</v>
      </c>
      <c r="E1536" s="114">
        <v>2</v>
      </c>
      <c r="F1536" s="114" t="s">
        <v>210</v>
      </c>
      <c r="G1536" s="114" t="s">
        <v>5</v>
      </c>
      <c r="H1536" s="114" t="s">
        <v>3</v>
      </c>
      <c r="I1536" s="114"/>
      <c r="J1536" s="114"/>
      <c r="K1536" s="356" t="s">
        <v>2623</v>
      </c>
      <c r="L1536" s="356"/>
      <c r="M1536" s="356"/>
      <c r="N1536" s="356"/>
      <c r="O1536" s="357">
        <v>43465</v>
      </c>
      <c r="P1536" s="357"/>
      <c r="Q1536" s="357"/>
      <c r="R1536" s="357"/>
      <c r="S1536" s="117"/>
      <c r="T1536" s="117"/>
      <c r="U1536" s="358">
        <v>0</v>
      </c>
      <c r="V1536" s="358">
        <v>0</v>
      </c>
      <c r="W1536" s="358">
        <v>0</v>
      </c>
      <c r="X1536" s="358">
        <f t="shared" si="464"/>
        <v>0</v>
      </c>
      <c r="Y1536" s="358">
        <v>0</v>
      </c>
      <c r="Z1536" s="358">
        <v>0</v>
      </c>
      <c r="AA1536" s="358">
        <v>0</v>
      </c>
      <c r="AB1536" s="358">
        <v>0</v>
      </c>
      <c r="AC1536" s="358">
        <v>0</v>
      </c>
      <c r="AD1536" s="358">
        <v>0</v>
      </c>
      <c r="AE1536" s="358">
        <v>0</v>
      </c>
      <c r="AF1536" s="358">
        <v>0</v>
      </c>
      <c r="AG1536" s="358">
        <v>0</v>
      </c>
      <c r="AH1536" s="358">
        <v>0</v>
      </c>
      <c r="AI1536" s="358">
        <v>0</v>
      </c>
      <c r="AJ1536" s="358">
        <v>0</v>
      </c>
      <c r="AK1536" s="358">
        <f t="shared" si="465"/>
        <v>0</v>
      </c>
      <c r="AL1536" s="358">
        <v>0</v>
      </c>
      <c r="AM1536" s="358">
        <v>0</v>
      </c>
      <c r="AN1536" s="358">
        <v>0</v>
      </c>
      <c r="AO1536" s="358">
        <v>0</v>
      </c>
      <c r="AP1536" s="358">
        <v>0</v>
      </c>
      <c r="AQ1536" s="358">
        <v>0</v>
      </c>
      <c r="AR1536" s="358">
        <v>0</v>
      </c>
      <c r="AS1536" s="358">
        <f t="shared" si="466"/>
        <v>0</v>
      </c>
      <c r="AT1536" s="145">
        <v>0</v>
      </c>
      <c r="AU1536" s="139">
        <f t="shared" si="467"/>
        <v>0</v>
      </c>
      <c r="AV1536" s="146">
        <f>IFERROR(VLOOKUP(J1536,Maksājumu_pieprasījumu_iesn.!G:BL,57,0),0)</f>
        <v>0</v>
      </c>
      <c r="AW1536" s="139">
        <f t="shared" si="462"/>
        <v>0</v>
      </c>
      <c r="AX1536" s="358"/>
      <c r="AY1536" s="358"/>
      <c r="AZ1536" s="358"/>
      <c r="BA1536" s="360"/>
      <c r="BB1536" s="358"/>
      <c r="BC1536" s="358"/>
      <c r="BD1536" s="358"/>
      <c r="BE1536" s="358"/>
      <c r="BF1536" s="358"/>
      <c r="BG1536" s="358"/>
      <c r="BH1536" s="360"/>
      <c r="BI1536" s="360"/>
      <c r="BJ1536" s="360"/>
      <c r="BK1536" s="360"/>
      <c r="BL1536" s="360"/>
      <c r="BM1536" s="360"/>
      <c r="BN1536" s="360"/>
    </row>
    <row r="1537" spans="1:66" s="91" customFormat="1" ht="25.5" hidden="1" customHeight="1" outlineLevel="1" x14ac:dyDescent="0.2">
      <c r="A1537" s="150" t="s">
        <v>2279</v>
      </c>
      <c r="B1537" s="355" t="s">
        <v>448</v>
      </c>
      <c r="C1537" s="355" t="s">
        <v>2524</v>
      </c>
      <c r="D1537" s="356" t="s">
        <v>2525</v>
      </c>
      <c r="E1537" s="114">
        <v>2</v>
      </c>
      <c r="F1537" s="114" t="s">
        <v>210</v>
      </c>
      <c r="G1537" s="114" t="s">
        <v>5</v>
      </c>
      <c r="H1537" s="114" t="s">
        <v>3</v>
      </c>
      <c r="I1537" s="114"/>
      <c r="J1537" s="114"/>
      <c r="K1537" s="356" t="s">
        <v>2624</v>
      </c>
      <c r="L1537" s="356"/>
      <c r="M1537" s="356"/>
      <c r="N1537" s="356"/>
      <c r="O1537" s="357">
        <v>43465</v>
      </c>
      <c r="P1537" s="357"/>
      <c r="Q1537" s="357"/>
      <c r="R1537" s="357"/>
      <c r="S1537" s="117"/>
      <c r="T1537" s="117"/>
      <c r="U1537" s="358">
        <v>0</v>
      </c>
      <c r="V1537" s="358">
        <v>0</v>
      </c>
      <c r="W1537" s="358">
        <v>0</v>
      </c>
      <c r="X1537" s="358">
        <f t="shared" si="464"/>
        <v>0</v>
      </c>
      <c r="Y1537" s="358">
        <v>0</v>
      </c>
      <c r="Z1537" s="358">
        <v>0</v>
      </c>
      <c r="AA1537" s="358">
        <v>0</v>
      </c>
      <c r="AB1537" s="358">
        <v>0</v>
      </c>
      <c r="AC1537" s="358">
        <v>0</v>
      </c>
      <c r="AD1537" s="358">
        <v>0</v>
      </c>
      <c r="AE1537" s="358">
        <v>0</v>
      </c>
      <c r="AF1537" s="358">
        <v>0</v>
      </c>
      <c r="AG1537" s="358">
        <v>0</v>
      </c>
      <c r="AH1537" s="358">
        <v>0</v>
      </c>
      <c r="AI1537" s="358">
        <v>0</v>
      </c>
      <c r="AJ1537" s="358">
        <v>0</v>
      </c>
      <c r="AK1537" s="358">
        <f t="shared" si="465"/>
        <v>0</v>
      </c>
      <c r="AL1537" s="358">
        <v>0</v>
      </c>
      <c r="AM1537" s="358">
        <v>0</v>
      </c>
      <c r="AN1537" s="358">
        <v>0</v>
      </c>
      <c r="AO1537" s="358">
        <v>0</v>
      </c>
      <c r="AP1537" s="358">
        <v>0</v>
      </c>
      <c r="AQ1537" s="358">
        <v>0</v>
      </c>
      <c r="AR1537" s="358">
        <v>0</v>
      </c>
      <c r="AS1537" s="358">
        <f t="shared" si="466"/>
        <v>0</v>
      </c>
      <c r="AT1537" s="145">
        <v>0</v>
      </c>
      <c r="AU1537" s="139">
        <f t="shared" si="467"/>
        <v>0</v>
      </c>
      <c r="AV1537" s="146">
        <f>IFERROR(VLOOKUP(J1537,Maksājumu_pieprasījumu_iesn.!G:BL,57,0),0)</f>
        <v>0</v>
      </c>
      <c r="AW1537" s="139">
        <f t="shared" si="462"/>
        <v>0</v>
      </c>
      <c r="AX1537" s="358"/>
      <c r="AY1537" s="358"/>
      <c r="AZ1537" s="358"/>
      <c r="BA1537" s="360"/>
      <c r="BB1537" s="358"/>
      <c r="BC1537" s="358"/>
      <c r="BD1537" s="358"/>
      <c r="BE1537" s="358"/>
      <c r="BF1537" s="358"/>
      <c r="BG1537" s="358"/>
      <c r="BH1537" s="360"/>
      <c r="BI1537" s="360"/>
      <c r="BJ1537" s="360"/>
      <c r="BK1537" s="360"/>
      <c r="BL1537" s="360"/>
      <c r="BM1537" s="360"/>
      <c r="BN1537" s="360"/>
    </row>
    <row r="1538" spans="1:66" s="91" customFormat="1" ht="25.5" hidden="1" customHeight="1" outlineLevel="1" x14ac:dyDescent="0.2">
      <c r="A1538" s="150" t="s">
        <v>2279</v>
      </c>
      <c r="B1538" s="355" t="s">
        <v>448</v>
      </c>
      <c r="C1538" s="355" t="s">
        <v>2524</v>
      </c>
      <c r="D1538" s="356" t="s">
        <v>2525</v>
      </c>
      <c r="E1538" s="114">
        <v>2</v>
      </c>
      <c r="F1538" s="114" t="s">
        <v>210</v>
      </c>
      <c r="G1538" s="114" t="s">
        <v>5</v>
      </c>
      <c r="H1538" s="114" t="s">
        <v>3</v>
      </c>
      <c r="I1538" s="114"/>
      <c r="J1538" s="114"/>
      <c r="K1538" s="356" t="s">
        <v>2625</v>
      </c>
      <c r="L1538" s="356"/>
      <c r="M1538" s="356"/>
      <c r="N1538" s="356"/>
      <c r="O1538" s="357">
        <v>43465</v>
      </c>
      <c r="P1538" s="357"/>
      <c r="Q1538" s="357"/>
      <c r="R1538" s="357"/>
      <c r="S1538" s="117"/>
      <c r="T1538" s="117"/>
      <c r="U1538" s="358">
        <v>0</v>
      </c>
      <c r="V1538" s="358">
        <v>0</v>
      </c>
      <c r="W1538" s="358">
        <v>0</v>
      </c>
      <c r="X1538" s="358">
        <f t="shared" si="464"/>
        <v>0</v>
      </c>
      <c r="Y1538" s="358">
        <v>0</v>
      </c>
      <c r="Z1538" s="358">
        <v>0</v>
      </c>
      <c r="AA1538" s="358">
        <v>0</v>
      </c>
      <c r="AB1538" s="358">
        <v>0</v>
      </c>
      <c r="AC1538" s="358">
        <v>0</v>
      </c>
      <c r="AD1538" s="358">
        <v>0</v>
      </c>
      <c r="AE1538" s="358">
        <v>0</v>
      </c>
      <c r="AF1538" s="358">
        <v>0</v>
      </c>
      <c r="AG1538" s="358">
        <v>0</v>
      </c>
      <c r="AH1538" s="358">
        <v>0</v>
      </c>
      <c r="AI1538" s="358">
        <v>0</v>
      </c>
      <c r="AJ1538" s="358">
        <v>0</v>
      </c>
      <c r="AK1538" s="358">
        <f t="shared" si="465"/>
        <v>0</v>
      </c>
      <c r="AL1538" s="358">
        <v>0</v>
      </c>
      <c r="AM1538" s="358">
        <v>0</v>
      </c>
      <c r="AN1538" s="358">
        <v>0</v>
      </c>
      <c r="AO1538" s="358">
        <v>0</v>
      </c>
      <c r="AP1538" s="358">
        <v>0</v>
      </c>
      <c r="AQ1538" s="358">
        <v>0</v>
      </c>
      <c r="AR1538" s="358">
        <v>0</v>
      </c>
      <c r="AS1538" s="358">
        <f t="shared" si="466"/>
        <v>0</v>
      </c>
      <c r="AT1538" s="145">
        <v>0</v>
      </c>
      <c r="AU1538" s="139">
        <f t="shared" si="467"/>
        <v>0</v>
      </c>
      <c r="AV1538" s="146">
        <f>IFERROR(VLOOKUP(J1538,Maksājumu_pieprasījumu_iesn.!G:BL,57,0),0)</f>
        <v>0</v>
      </c>
      <c r="AW1538" s="139">
        <f t="shared" si="462"/>
        <v>0</v>
      </c>
      <c r="AX1538" s="358"/>
      <c r="AY1538" s="358"/>
      <c r="AZ1538" s="358"/>
      <c r="BA1538" s="360"/>
      <c r="BB1538" s="358"/>
      <c r="BC1538" s="358"/>
      <c r="BD1538" s="358"/>
      <c r="BE1538" s="358"/>
      <c r="BF1538" s="358"/>
      <c r="BG1538" s="358"/>
      <c r="BH1538" s="360"/>
      <c r="BI1538" s="360"/>
      <c r="BJ1538" s="360"/>
      <c r="BK1538" s="360"/>
      <c r="BL1538" s="360"/>
      <c r="BM1538" s="360"/>
      <c r="BN1538" s="360"/>
    </row>
    <row r="1539" spans="1:66" s="91" customFormat="1" ht="25.5" hidden="1" customHeight="1" outlineLevel="1" x14ac:dyDescent="0.2">
      <c r="A1539" s="150" t="s">
        <v>2279</v>
      </c>
      <c r="B1539" s="355" t="s">
        <v>448</v>
      </c>
      <c r="C1539" s="355" t="s">
        <v>2524</v>
      </c>
      <c r="D1539" s="356" t="s">
        <v>2525</v>
      </c>
      <c r="E1539" s="114">
        <v>2</v>
      </c>
      <c r="F1539" s="114" t="s">
        <v>210</v>
      </c>
      <c r="G1539" s="114" t="s">
        <v>5</v>
      </c>
      <c r="H1539" s="114" t="s">
        <v>3</v>
      </c>
      <c r="I1539" s="114"/>
      <c r="J1539" s="114"/>
      <c r="K1539" s="356" t="s">
        <v>2626</v>
      </c>
      <c r="L1539" s="356"/>
      <c r="M1539" s="356"/>
      <c r="N1539" s="356"/>
      <c r="O1539" s="357">
        <v>43465</v>
      </c>
      <c r="P1539" s="357"/>
      <c r="Q1539" s="357"/>
      <c r="R1539" s="357"/>
      <c r="S1539" s="117"/>
      <c r="T1539" s="117"/>
      <c r="U1539" s="358">
        <v>0</v>
      </c>
      <c r="V1539" s="358">
        <v>0</v>
      </c>
      <c r="W1539" s="358">
        <v>0</v>
      </c>
      <c r="X1539" s="358">
        <f t="shared" si="464"/>
        <v>0</v>
      </c>
      <c r="Y1539" s="358">
        <v>0</v>
      </c>
      <c r="Z1539" s="358">
        <v>0</v>
      </c>
      <c r="AA1539" s="358">
        <v>0</v>
      </c>
      <c r="AB1539" s="358">
        <v>0</v>
      </c>
      <c r="AC1539" s="358">
        <v>0</v>
      </c>
      <c r="AD1539" s="358">
        <v>0</v>
      </c>
      <c r="AE1539" s="358">
        <v>0</v>
      </c>
      <c r="AF1539" s="358">
        <v>0</v>
      </c>
      <c r="AG1539" s="358">
        <v>0</v>
      </c>
      <c r="AH1539" s="358">
        <v>0</v>
      </c>
      <c r="AI1539" s="358">
        <v>0</v>
      </c>
      <c r="AJ1539" s="358">
        <v>0</v>
      </c>
      <c r="AK1539" s="358">
        <f t="shared" si="465"/>
        <v>0</v>
      </c>
      <c r="AL1539" s="358">
        <v>0</v>
      </c>
      <c r="AM1539" s="358">
        <v>0</v>
      </c>
      <c r="AN1539" s="358">
        <v>0</v>
      </c>
      <c r="AO1539" s="358">
        <v>0</v>
      </c>
      <c r="AP1539" s="358">
        <v>0</v>
      </c>
      <c r="AQ1539" s="358">
        <v>0</v>
      </c>
      <c r="AR1539" s="358">
        <v>0</v>
      </c>
      <c r="AS1539" s="358">
        <f t="shared" si="466"/>
        <v>0</v>
      </c>
      <c r="AT1539" s="145">
        <v>0</v>
      </c>
      <c r="AU1539" s="139">
        <f t="shared" si="467"/>
        <v>0</v>
      </c>
      <c r="AV1539" s="146">
        <f>IFERROR(VLOOKUP(J1539,Maksājumu_pieprasījumu_iesn.!G:BL,57,0),0)</f>
        <v>0</v>
      </c>
      <c r="AW1539" s="139">
        <f t="shared" si="462"/>
        <v>0</v>
      </c>
      <c r="AX1539" s="358"/>
      <c r="AY1539" s="358"/>
      <c r="AZ1539" s="358"/>
      <c r="BA1539" s="360"/>
      <c r="BB1539" s="358"/>
      <c r="BC1539" s="358"/>
      <c r="BD1539" s="358"/>
      <c r="BE1539" s="358"/>
      <c r="BF1539" s="358"/>
      <c r="BG1539" s="358"/>
      <c r="BH1539" s="360"/>
      <c r="BI1539" s="360"/>
      <c r="BJ1539" s="360"/>
      <c r="BK1539" s="360"/>
      <c r="BL1539" s="360"/>
      <c r="BM1539" s="360"/>
      <c r="BN1539" s="360"/>
    </row>
    <row r="1540" spans="1:66" s="91" customFormat="1" ht="25.5" hidden="1" customHeight="1" outlineLevel="1" x14ac:dyDescent="0.2">
      <c r="A1540" s="150" t="s">
        <v>2279</v>
      </c>
      <c r="B1540" s="355" t="s">
        <v>448</v>
      </c>
      <c r="C1540" s="355" t="s">
        <v>2524</v>
      </c>
      <c r="D1540" s="356" t="s">
        <v>2525</v>
      </c>
      <c r="E1540" s="114">
        <v>2</v>
      </c>
      <c r="F1540" s="114" t="s">
        <v>210</v>
      </c>
      <c r="G1540" s="114" t="s">
        <v>5</v>
      </c>
      <c r="H1540" s="114" t="s">
        <v>3</v>
      </c>
      <c r="I1540" s="114"/>
      <c r="J1540" s="114"/>
      <c r="K1540" s="356" t="s">
        <v>2627</v>
      </c>
      <c r="L1540" s="356"/>
      <c r="M1540" s="356"/>
      <c r="N1540" s="356"/>
      <c r="O1540" s="357">
        <v>43465</v>
      </c>
      <c r="P1540" s="357"/>
      <c r="Q1540" s="357"/>
      <c r="R1540" s="357"/>
      <c r="S1540" s="117"/>
      <c r="T1540" s="117"/>
      <c r="U1540" s="358">
        <v>0</v>
      </c>
      <c r="V1540" s="358">
        <v>0</v>
      </c>
      <c r="W1540" s="358">
        <v>0</v>
      </c>
      <c r="X1540" s="358">
        <f t="shared" si="464"/>
        <v>0</v>
      </c>
      <c r="Y1540" s="358">
        <v>0</v>
      </c>
      <c r="Z1540" s="358">
        <v>0</v>
      </c>
      <c r="AA1540" s="358">
        <v>0</v>
      </c>
      <c r="AB1540" s="358">
        <v>0</v>
      </c>
      <c r="AC1540" s="358">
        <v>0</v>
      </c>
      <c r="AD1540" s="358">
        <v>0</v>
      </c>
      <c r="AE1540" s="358">
        <v>0</v>
      </c>
      <c r="AF1540" s="358">
        <v>0</v>
      </c>
      <c r="AG1540" s="358">
        <v>0</v>
      </c>
      <c r="AH1540" s="358">
        <v>0</v>
      </c>
      <c r="AI1540" s="358">
        <v>0</v>
      </c>
      <c r="AJ1540" s="358">
        <v>0</v>
      </c>
      <c r="AK1540" s="358">
        <f t="shared" ref="AK1540:AK1550" si="468">SUM(Y1540:AJ1540)</f>
        <v>0</v>
      </c>
      <c r="AL1540" s="358">
        <v>0</v>
      </c>
      <c r="AM1540" s="358">
        <v>0</v>
      </c>
      <c r="AN1540" s="358">
        <v>0</v>
      </c>
      <c r="AO1540" s="358">
        <v>0</v>
      </c>
      <c r="AP1540" s="358">
        <v>0</v>
      </c>
      <c r="AQ1540" s="358">
        <v>0</v>
      </c>
      <c r="AR1540" s="358">
        <v>0</v>
      </c>
      <c r="AS1540" s="358">
        <f t="shared" si="466"/>
        <v>0</v>
      </c>
      <c r="AT1540" s="145">
        <v>0</v>
      </c>
      <c r="AU1540" s="139">
        <f t="shared" si="467"/>
        <v>0</v>
      </c>
      <c r="AV1540" s="146">
        <f>IFERROR(VLOOKUP(J1540,Maksājumu_pieprasījumu_iesn.!G:BL,57,0),0)</f>
        <v>0</v>
      </c>
      <c r="AW1540" s="139">
        <f t="shared" si="462"/>
        <v>0</v>
      </c>
      <c r="AX1540" s="358"/>
      <c r="AY1540" s="358"/>
      <c r="AZ1540" s="358"/>
      <c r="BA1540" s="360"/>
      <c r="BB1540" s="358"/>
      <c r="BC1540" s="358"/>
      <c r="BD1540" s="358"/>
      <c r="BE1540" s="358"/>
      <c r="BF1540" s="358"/>
      <c r="BG1540" s="358"/>
      <c r="BH1540" s="360"/>
      <c r="BI1540" s="360"/>
      <c r="BJ1540" s="360"/>
      <c r="BK1540" s="360"/>
      <c r="BL1540" s="360"/>
      <c r="BM1540" s="360"/>
      <c r="BN1540" s="360"/>
    </row>
    <row r="1541" spans="1:66" s="91" customFormat="1" ht="25.5" hidden="1" customHeight="1" outlineLevel="1" x14ac:dyDescent="0.2">
      <c r="A1541" s="150" t="s">
        <v>2279</v>
      </c>
      <c r="B1541" s="355" t="s">
        <v>448</v>
      </c>
      <c r="C1541" s="355" t="s">
        <v>2524</v>
      </c>
      <c r="D1541" s="356" t="s">
        <v>2525</v>
      </c>
      <c r="E1541" s="114">
        <v>2</v>
      </c>
      <c r="F1541" s="114" t="s">
        <v>210</v>
      </c>
      <c r="G1541" s="114" t="s">
        <v>5</v>
      </c>
      <c r="H1541" s="114" t="s">
        <v>3</v>
      </c>
      <c r="I1541" s="114"/>
      <c r="J1541" s="114"/>
      <c r="K1541" s="356" t="s">
        <v>2628</v>
      </c>
      <c r="L1541" s="356"/>
      <c r="M1541" s="356"/>
      <c r="N1541" s="356"/>
      <c r="O1541" s="357">
        <v>43465</v>
      </c>
      <c r="P1541" s="357"/>
      <c r="Q1541" s="357"/>
      <c r="R1541" s="357"/>
      <c r="S1541" s="117"/>
      <c r="T1541" s="117"/>
      <c r="U1541" s="358">
        <v>0</v>
      </c>
      <c r="V1541" s="358">
        <v>0</v>
      </c>
      <c r="W1541" s="358">
        <v>0</v>
      </c>
      <c r="X1541" s="358">
        <f t="shared" si="464"/>
        <v>0</v>
      </c>
      <c r="Y1541" s="358">
        <v>0</v>
      </c>
      <c r="Z1541" s="358">
        <v>0</v>
      </c>
      <c r="AA1541" s="358">
        <v>0</v>
      </c>
      <c r="AB1541" s="358">
        <v>0</v>
      </c>
      <c r="AC1541" s="358">
        <v>0</v>
      </c>
      <c r="AD1541" s="358">
        <v>0</v>
      </c>
      <c r="AE1541" s="358">
        <v>0</v>
      </c>
      <c r="AF1541" s="358">
        <v>0</v>
      </c>
      <c r="AG1541" s="358">
        <v>0</v>
      </c>
      <c r="AH1541" s="358">
        <v>0</v>
      </c>
      <c r="AI1541" s="358">
        <v>0</v>
      </c>
      <c r="AJ1541" s="358">
        <v>0</v>
      </c>
      <c r="AK1541" s="358">
        <f t="shared" si="468"/>
        <v>0</v>
      </c>
      <c r="AL1541" s="358">
        <v>0</v>
      </c>
      <c r="AM1541" s="358">
        <v>0</v>
      </c>
      <c r="AN1541" s="358">
        <v>0</v>
      </c>
      <c r="AO1541" s="358">
        <v>0</v>
      </c>
      <c r="AP1541" s="358">
        <v>0</v>
      </c>
      <c r="AQ1541" s="358">
        <v>0</v>
      </c>
      <c r="AR1541" s="358">
        <v>0</v>
      </c>
      <c r="AS1541" s="358">
        <f t="shared" si="466"/>
        <v>0</v>
      </c>
      <c r="AT1541" s="145">
        <v>0</v>
      </c>
      <c r="AU1541" s="139">
        <f t="shared" si="467"/>
        <v>0</v>
      </c>
      <c r="AV1541" s="146">
        <f>IFERROR(VLOOKUP(J1541,Maksājumu_pieprasījumu_iesn.!G:BL,57,0),0)</f>
        <v>0</v>
      </c>
      <c r="AW1541" s="139">
        <f t="shared" si="462"/>
        <v>0</v>
      </c>
      <c r="AX1541" s="358"/>
      <c r="AY1541" s="358"/>
      <c r="AZ1541" s="358"/>
      <c r="BA1541" s="360"/>
      <c r="BB1541" s="358"/>
      <c r="BC1541" s="358"/>
      <c r="BD1541" s="358"/>
      <c r="BE1541" s="358"/>
      <c r="BF1541" s="358"/>
      <c r="BG1541" s="358"/>
      <c r="BH1541" s="360"/>
      <c r="BI1541" s="360"/>
      <c r="BJ1541" s="360"/>
      <c r="BK1541" s="360"/>
      <c r="BL1541" s="360"/>
      <c r="BM1541" s="360"/>
      <c r="BN1541" s="360"/>
    </row>
    <row r="1542" spans="1:66" s="91" customFormat="1" ht="25.5" hidden="1" customHeight="1" outlineLevel="1" x14ac:dyDescent="0.2">
      <c r="A1542" s="150" t="s">
        <v>2279</v>
      </c>
      <c r="B1542" s="355" t="s">
        <v>448</v>
      </c>
      <c r="C1542" s="355" t="s">
        <v>2524</v>
      </c>
      <c r="D1542" s="356" t="s">
        <v>2525</v>
      </c>
      <c r="E1542" s="114">
        <v>2</v>
      </c>
      <c r="F1542" s="114" t="s">
        <v>210</v>
      </c>
      <c r="G1542" s="114" t="s">
        <v>5</v>
      </c>
      <c r="H1542" s="114" t="s">
        <v>3</v>
      </c>
      <c r="I1542" s="114"/>
      <c r="J1542" s="114"/>
      <c r="K1542" s="356" t="s">
        <v>2629</v>
      </c>
      <c r="L1542" s="356"/>
      <c r="M1542" s="356"/>
      <c r="N1542" s="356"/>
      <c r="O1542" s="357">
        <v>43465</v>
      </c>
      <c r="P1542" s="357"/>
      <c r="Q1542" s="357"/>
      <c r="R1542" s="357"/>
      <c r="S1542" s="117"/>
      <c r="T1542" s="117"/>
      <c r="U1542" s="358">
        <v>0</v>
      </c>
      <c r="V1542" s="358">
        <v>0</v>
      </c>
      <c r="W1542" s="358">
        <v>0</v>
      </c>
      <c r="X1542" s="358">
        <f t="shared" si="464"/>
        <v>0</v>
      </c>
      <c r="Y1542" s="358">
        <v>0</v>
      </c>
      <c r="Z1542" s="358">
        <v>0</v>
      </c>
      <c r="AA1542" s="358">
        <v>0</v>
      </c>
      <c r="AB1542" s="358">
        <v>0</v>
      </c>
      <c r="AC1542" s="358">
        <v>0</v>
      </c>
      <c r="AD1542" s="358">
        <v>0</v>
      </c>
      <c r="AE1542" s="358">
        <v>0</v>
      </c>
      <c r="AF1542" s="358">
        <v>0</v>
      </c>
      <c r="AG1542" s="358">
        <v>0</v>
      </c>
      <c r="AH1542" s="358">
        <v>0</v>
      </c>
      <c r="AI1542" s="358">
        <v>0</v>
      </c>
      <c r="AJ1542" s="358">
        <v>0</v>
      </c>
      <c r="AK1542" s="358">
        <f t="shared" si="468"/>
        <v>0</v>
      </c>
      <c r="AL1542" s="358">
        <v>0</v>
      </c>
      <c r="AM1542" s="358">
        <v>0</v>
      </c>
      <c r="AN1542" s="358">
        <v>0</v>
      </c>
      <c r="AO1542" s="358">
        <v>0</v>
      </c>
      <c r="AP1542" s="358">
        <v>0</v>
      </c>
      <c r="AQ1542" s="358">
        <v>0</v>
      </c>
      <c r="AR1542" s="358">
        <v>0</v>
      </c>
      <c r="AS1542" s="358">
        <f t="shared" si="466"/>
        <v>0</v>
      </c>
      <c r="AT1542" s="145">
        <v>0</v>
      </c>
      <c r="AU1542" s="139">
        <f t="shared" si="467"/>
        <v>0</v>
      </c>
      <c r="AV1542" s="146">
        <f>IFERROR(VLOOKUP(J1542,Maksājumu_pieprasījumu_iesn.!G:BL,57,0),0)</f>
        <v>0</v>
      </c>
      <c r="AW1542" s="139">
        <f t="shared" si="462"/>
        <v>0</v>
      </c>
      <c r="AX1542" s="358"/>
      <c r="AY1542" s="358"/>
      <c r="AZ1542" s="358"/>
      <c r="BA1542" s="360"/>
      <c r="BB1542" s="358"/>
      <c r="BC1542" s="358"/>
      <c r="BD1542" s="358"/>
      <c r="BE1542" s="358"/>
      <c r="BF1542" s="358"/>
      <c r="BG1542" s="358"/>
      <c r="BH1542" s="360"/>
      <c r="BI1542" s="360"/>
      <c r="BJ1542" s="360"/>
      <c r="BK1542" s="360"/>
      <c r="BL1542" s="360"/>
      <c r="BM1542" s="360"/>
      <c r="BN1542" s="360"/>
    </row>
    <row r="1543" spans="1:66" s="91" customFormat="1" ht="25.5" hidden="1" customHeight="1" outlineLevel="1" x14ac:dyDescent="0.2">
      <c r="A1543" s="150" t="s">
        <v>2279</v>
      </c>
      <c r="B1543" s="355" t="s">
        <v>448</v>
      </c>
      <c r="C1543" s="355" t="s">
        <v>2524</v>
      </c>
      <c r="D1543" s="356" t="s">
        <v>2525</v>
      </c>
      <c r="E1543" s="114">
        <v>2</v>
      </c>
      <c r="F1543" s="114" t="s">
        <v>210</v>
      </c>
      <c r="G1543" s="114" t="s">
        <v>5</v>
      </c>
      <c r="H1543" s="114" t="s">
        <v>3</v>
      </c>
      <c r="I1543" s="114"/>
      <c r="J1543" s="114"/>
      <c r="K1543" s="356" t="s">
        <v>2630</v>
      </c>
      <c r="L1543" s="356"/>
      <c r="M1543" s="356"/>
      <c r="N1543" s="356"/>
      <c r="O1543" s="357">
        <v>43465</v>
      </c>
      <c r="P1543" s="357"/>
      <c r="Q1543" s="357"/>
      <c r="R1543" s="357"/>
      <c r="S1543" s="117"/>
      <c r="T1543" s="117"/>
      <c r="U1543" s="358">
        <v>0</v>
      </c>
      <c r="V1543" s="358">
        <v>0</v>
      </c>
      <c r="W1543" s="358">
        <v>0</v>
      </c>
      <c r="X1543" s="358">
        <f t="shared" si="464"/>
        <v>0</v>
      </c>
      <c r="Y1543" s="358">
        <v>0</v>
      </c>
      <c r="Z1543" s="358">
        <v>0</v>
      </c>
      <c r="AA1543" s="358">
        <v>0</v>
      </c>
      <c r="AB1543" s="358">
        <v>0</v>
      </c>
      <c r="AC1543" s="358">
        <v>0</v>
      </c>
      <c r="AD1543" s="358">
        <v>0</v>
      </c>
      <c r="AE1543" s="358">
        <v>0</v>
      </c>
      <c r="AF1543" s="358">
        <v>0</v>
      </c>
      <c r="AG1543" s="358">
        <v>0</v>
      </c>
      <c r="AH1543" s="358">
        <v>0</v>
      </c>
      <c r="AI1543" s="358">
        <v>0</v>
      </c>
      <c r="AJ1543" s="358">
        <v>0</v>
      </c>
      <c r="AK1543" s="358">
        <f t="shared" si="468"/>
        <v>0</v>
      </c>
      <c r="AL1543" s="358">
        <v>0</v>
      </c>
      <c r="AM1543" s="358">
        <v>0</v>
      </c>
      <c r="AN1543" s="358">
        <v>0</v>
      </c>
      <c r="AO1543" s="358">
        <v>0</v>
      </c>
      <c r="AP1543" s="358">
        <v>0</v>
      </c>
      <c r="AQ1543" s="358">
        <v>0</v>
      </c>
      <c r="AR1543" s="358">
        <v>0</v>
      </c>
      <c r="AS1543" s="358">
        <f t="shared" si="466"/>
        <v>0</v>
      </c>
      <c r="AT1543" s="145">
        <v>0</v>
      </c>
      <c r="AU1543" s="139">
        <f t="shared" si="467"/>
        <v>0</v>
      </c>
      <c r="AV1543" s="146">
        <f>IFERROR(VLOOKUP(J1543,Maksājumu_pieprasījumu_iesn.!G:BL,57,0),0)</f>
        <v>0</v>
      </c>
      <c r="AW1543" s="139">
        <f t="shared" si="462"/>
        <v>0</v>
      </c>
      <c r="AX1543" s="358"/>
      <c r="AY1543" s="358"/>
      <c r="AZ1543" s="358"/>
      <c r="BA1543" s="360"/>
      <c r="BB1543" s="358"/>
      <c r="BC1543" s="358"/>
      <c r="BD1543" s="358"/>
      <c r="BE1543" s="358"/>
      <c r="BF1543" s="358"/>
      <c r="BG1543" s="358"/>
      <c r="BH1543" s="360"/>
      <c r="BI1543" s="360"/>
      <c r="BJ1543" s="360"/>
      <c r="BK1543" s="360"/>
      <c r="BL1543" s="360"/>
      <c r="BM1543" s="360"/>
      <c r="BN1543" s="360"/>
    </row>
    <row r="1544" spans="1:66" s="91" customFormat="1" ht="25.5" hidden="1" customHeight="1" outlineLevel="1" x14ac:dyDescent="0.2">
      <c r="A1544" s="150" t="s">
        <v>2279</v>
      </c>
      <c r="B1544" s="355" t="s">
        <v>448</v>
      </c>
      <c r="C1544" s="355" t="s">
        <v>2524</v>
      </c>
      <c r="D1544" s="356" t="s">
        <v>2525</v>
      </c>
      <c r="E1544" s="114">
        <v>2</v>
      </c>
      <c r="F1544" s="114" t="s">
        <v>210</v>
      </c>
      <c r="G1544" s="114" t="s">
        <v>5</v>
      </c>
      <c r="H1544" s="114" t="s">
        <v>3</v>
      </c>
      <c r="I1544" s="114"/>
      <c r="J1544" s="114"/>
      <c r="K1544" s="356" t="s">
        <v>2631</v>
      </c>
      <c r="L1544" s="356"/>
      <c r="M1544" s="356"/>
      <c r="N1544" s="356"/>
      <c r="O1544" s="357">
        <v>43465</v>
      </c>
      <c r="P1544" s="357"/>
      <c r="Q1544" s="357"/>
      <c r="R1544" s="357"/>
      <c r="S1544" s="117"/>
      <c r="T1544" s="117"/>
      <c r="U1544" s="358">
        <v>0</v>
      </c>
      <c r="V1544" s="358">
        <v>0</v>
      </c>
      <c r="W1544" s="358">
        <v>0</v>
      </c>
      <c r="X1544" s="358">
        <f t="shared" si="464"/>
        <v>0</v>
      </c>
      <c r="Y1544" s="358">
        <v>0</v>
      </c>
      <c r="Z1544" s="358">
        <v>0</v>
      </c>
      <c r="AA1544" s="358">
        <v>0</v>
      </c>
      <c r="AB1544" s="358">
        <v>0</v>
      </c>
      <c r="AC1544" s="358">
        <v>0</v>
      </c>
      <c r="AD1544" s="358">
        <v>0</v>
      </c>
      <c r="AE1544" s="358">
        <v>0</v>
      </c>
      <c r="AF1544" s="358">
        <v>0</v>
      </c>
      <c r="AG1544" s="358">
        <v>0</v>
      </c>
      <c r="AH1544" s="358">
        <v>0</v>
      </c>
      <c r="AI1544" s="358">
        <v>0</v>
      </c>
      <c r="AJ1544" s="358">
        <v>0</v>
      </c>
      <c r="AK1544" s="358">
        <f t="shared" si="468"/>
        <v>0</v>
      </c>
      <c r="AL1544" s="358">
        <v>0</v>
      </c>
      <c r="AM1544" s="358">
        <v>0</v>
      </c>
      <c r="AN1544" s="358">
        <v>0</v>
      </c>
      <c r="AO1544" s="358">
        <v>0</v>
      </c>
      <c r="AP1544" s="358">
        <v>0</v>
      </c>
      <c r="AQ1544" s="358">
        <v>0</v>
      </c>
      <c r="AR1544" s="358">
        <v>0</v>
      </c>
      <c r="AS1544" s="358">
        <f t="shared" si="466"/>
        <v>0</v>
      </c>
      <c r="AT1544" s="145">
        <v>0</v>
      </c>
      <c r="AU1544" s="139">
        <f t="shared" si="467"/>
        <v>0</v>
      </c>
      <c r="AV1544" s="146">
        <f>IFERROR(VLOOKUP(J1544,Maksājumu_pieprasījumu_iesn.!G:BL,57,0),0)</f>
        <v>0</v>
      </c>
      <c r="AW1544" s="139">
        <f t="shared" si="462"/>
        <v>0</v>
      </c>
      <c r="AX1544" s="358"/>
      <c r="AY1544" s="358"/>
      <c r="AZ1544" s="358"/>
      <c r="BA1544" s="360"/>
      <c r="BB1544" s="358"/>
      <c r="BC1544" s="358"/>
      <c r="BD1544" s="358"/>
      <c r="BE1544" s="358"/>
      <c r="BF1544" s="358"/>
      <c r="BG1544" s="358"/>
      <c r="BH1544" s="360"/>
      <c r="BI1544" s="360"/>
      <c r="BJ1544" s="360"/>
      <c r="BK1544" s="360"/>
      <c r="BL1544" s="360"/>
      <c r="BM1544" s="360"/>
      <c r="BN1544" s="360"/>
    </row>
    <row r="1545" spans="1:66" s="91" customFormat="1" ht="25.5" hidden="1" customHeight="1" outlineLevel="1" x14ac:dyDescent="0.2">
      <c r="A1545" s="150" t="s">
        <v>2279</v>
      </c>
      <c r="B1545" s="355" t="s">
        <v>448</v>
      </c>
      <c r="C1545" s="355" t="s">
        <v>2524</v>
      </c>
      <c r="D1545" s="356" t="s">
        <v>2525</v>
      </c>
      <c r="E1545" s="114">
        <v>2</v>
      </c>
      <c r="F1545" s="114" t="s">
        <v>210</v>
      </c>
      <c r="G1545" s="114" t="s">
        <v>5</v>
      </c>
      <c r="H1545" s="114" t="s">
        <v>3</v>
      </c>
      <c r="I1545" s="114"/>
      <c r="J1545" s="114"/>
      <c r="K1545" s="356" t="s">
        <v>2632</v>
      </c>
      <c r="L1545" s="356"/>
      <c r="M1545" s="356"/>
      <c r="N1545" s="356"/>
      <c r="O1545" s="357">
        <v>43465</v>
      </c>
      <c r="P1545" s="357"/>
      <c r="Q1545" s="357"/>
      <c r="R1545" s="357"/>
      <c r="S1545" s="117"/>
      <c r="T1545" s="117"/>
      <c r="U1545" s="358">
        <v>0</v>
      </c>
      <c r="V1545" s="358">
        <v>0</v>
      </c>
      <c r="W1545" s="358">
        <v>0</v>
      </c>
      <c r="X1545" s="358">
        <f t="shared" si="464"/>
        <v>0</v>
      </c>
      <c r="Y1545" s="358">
        <v>0</v>
      </c>
      <c r="Z1545" s="358">
        <v>0</v>
      </c>
      <c r="AA1545" s="358">
        <v>0</v>
      </c>
      <c r="AB1545" s="358">
        <v>0</v>
      </c>
      <c r="AC1545" s="358">
        <v>0</v>
      </c>
      <c r="AD1545" s="358">
        <v>0</v>
      </c>
      <c r="AE1545" s="358">
        <v>0</v>
      </c>
      <c r="AF1545" s="358">
        <v>0</v>
      </c>
      <c r="AG1545" s="358">
        <v>0</v>
      </c>
      <c r="AH1545" s="358">
        <v>0</v>
      </c>
      <c r="AI1545" s="358">
        <v>0</v>
      </c>
      <c r="AJ1545" s="358">
        <v>0</v>
      </c>
      <c r="AK1545" s="358">
        <f t="shared" si="468"/>
        <v>0</v>
      </c>
      <c r="AL1545" s="358">
        <v>0</v>
      </c>
      <c r="AM1545" s="358">
        <v>0</v>
      </c>
      <c r="AN1545" s="358">
        <v>0</v>
      </c>
      <c r="AO1545" s="358">
        <v>0</v>
      </c>
      <c r="AP1545" s="358">
        <v>0</v>
      </c>
      <c r="AQ1545" s="358">
        <v>0</v>
      </c>
      <c r="AR1545" s="358">
        <v>0</v>
      </c>
      <c r="AS1545" s="358">
        <f t="shared" si="466"/>
        <v>0</v>
      </c>
      <c r="AT1545" s="145">
        <v>0</v>
      </c>
      <c r="AU1545" s="139">
        <f t="shared" si="467"/>
        <v>0</v>
      </c>
      <c r="AV1545" s="146">
        <f>IFERROR(VLOOKUP(J1545,Maksājumu_pieprasījumu_iesn.!G:BL,57,0),0)</f>
        <v>0</v>
      </c>
      <c r="AW1545" s="139">
        <f t="shared" si="462"/>
        <v>0</v>
      </c>
      <c r="AX1545" s="358"/>
      <c r="AY1545" s="358"/>
      <c r="AZ1545" s="358"/>
      <c r="BA1545" s="360"/>
      <c r="BB1545" s="358"/>
      <c r="BC1545" s="358"/>
      <c r="BD1545" s="358"/>
      <c r="BE1545" s="358"/>
      <c r="BF1545" s="358"/>
      <c r="BG1545" s="358"/>
      <c r="BH1545" s="360"/>
      <c r="BI1545" s="360"/>
      <c r="BJ1545" s="360"/>
      <c r="BK1545" s="360"/>
      <c r="BL1545" s="360"/>
      <c r="BM1545" s="360"/>
      <c r="BN1545" s="360"/>
    </row>
    <row r="1546" spans="1:66" s="91" customFormat="1" ht="25.5" hidden="1" customHeight="1" outlineLevel="1" x14ac:dyDescent="0.2">
      <c r="A1546" s="150" t="s">
        <v>2279</v>
      </c>
      <c r="B1546" s="355" t="s">
        <v>448</v>
      </c>
      <c r="C1546" s="355" t="s">
        <v>2524</v>
      </c>
      <c r="D1546" s="356" t="s">
        <v>2525</v>
      </c>
      <c r="E1546" s="114">
        <v>2</v>
      </c>
      <c r="F1546" s="114" t="s">
        <v>210</v>
      </c>
      <c r="G1546" s="114" t="s">
        <v>5</v>
      </c>
      <c r="H1546" s="114" t="s">
        <v>3</v>
      </c>
      <c r="I1546" s="114"/>
      <c r="J1546" s="114"/>
      <c r="K1546" s="356" t="s">
        <v>2633</v>
      </c>
      <c r="L1546" s="356"/>
      <c r="M1546" s="356"/>
      <c r="N1546" s="356"/>
      <c r="O1546" s="357">
        <v>43465</v>
      </c>
      <c r="P1546" s="357"/>
      <c r="Q1546" s="357"/>
      <c r="R1546" s="357"/>
      <c r="S1546" s="117"/>
      <c r="T1546" s="117"/>
      <c r="U1546" s="358">
        <v>0</v>
      </c>
      <c r="V1546" s="358">
        <v>0</v>
      </c>
      <c r="W1546" s="358">
        <v>0</v>
      </c>
      <c r="X1546" s="358">
        <f t="shared" si="464"/>
        <v>0</v>
      </c>
      <c r="Y1546" s="358">
        <v>0</v>
      </c>
      <c r="Z1546" s="358">
        <v>0</v>
      </c>
      <c r="AA1546" s="358">
        <v>0</v>
      </c>
      <c r="AB1546" s="358">
        <v>0</v>
      </c>
      <c r="AC1546" s="358">
        <v>0</v>
      </c>
      <c r="AD1546" s="358">
        <v>0</v>
      </c>
      <c r="AE1546" s="358">
        <v>0</v>
      </c>
      <c r="AF1546" s="358">
        <v>0</v>
      </c>
      <c r="AG1546" s="358">
        <v>0</v>
      </c>
      <c r="AH1546" s="358">
        <v>0</v>
      </c>
      <c r="AI1546" s="358">
        <v>0</v>
      </c>
      <c r="AJ1546" s="358">
        <v>0</v>
      </c>
      <c r="AK1546" s="358">
        <f t="shared" si="468"/>
        <v>0</v>
      </c>
      <c r="AL1546" s="358">
        <v>0</v>
      </c>
      <c r="AM1546" s="358">
        <v>0</v>
      </c>
      <c r="AN1546" s="358">
        <v>0</v>
      </c>
      <c r="AO1546" s="358">
        <v>0</v>
      </c>
      <c r="AP1546" s="358">
        <v>0</v>
      </c>
      <c r="AQ1546" s="358">
        <v>0</v>
      </c>
      <c r="AR1546" s="358">
        <v>0</v>
      </c>
      <c r="AS1546" s="358">
        <f t="shared" si="466"/>
        <v>0</v>
      </c>
      <c r="AT1546" s="145">
        <v>0</v>
      </c>
      <c r="AU1546" s="139">
        <f t="shared" si="467"/>
        <v>0</v>
      </c>
      <c r="AV1546" s="146">
        <f>IFERROR(VLOOKUP(J1546,Maksājumu_pieprasījumu_iesn.!G:BL,57,0),0)</f>
        <v>0</v>
      </c>
      <c r="AW1546" s="139">
        <f t="shared" si="462"/>
        <v>0</v>
      </c>
      <c r="AX1546" s="358"/>
      <c r="AY1546" s="358"/>
      <c r="AZ1546" s="358"/>
      <c r="BA1546" s="360"/>
      <c r="BB1546" s="358"/>
      <c r="BC1546" s="358"/>
      <c r="BD1546" s="358"/>
      <c r="BE1546" s="358"/>
      <c r="BF1546" s="358"/>
      <c r="BG1546" s="358"/>
      <c r="BH1546" s="360"/>
      <c r="BI1546" s="360"/>
      <c r="BJ1546" s="360"/>
      <c r="BK1546" s="360"/>
      <c r="BL1546" s="360"/>
      <c r="BM1546" s="360"/>
      <c r="BN1546" s="360"/>
    </row>
    <row r="1547" spans="1:66" s="91" customFormat="1" ht="25.5" hidden="1" customHeight="1" outlineLevel="1" x14ac:dyDescent="0.2">
      <c r="A1547" s="150" t="s">
        <v>2279</v>
      </c>
      <c r="B1547" s="355" t="s">
        <v>448</v>
      </c>
      <c r="C1547" s="355" t="s">
        <v>2524</v>
      </c>
      <c r="D1547" s="356" t="s">
        <v>2525</v>
      </c>
      <c r="E1547" s="114">
        <v>2</v>
      </c>
      <c r="F1547" s="114" t="s">
        <v>210</v>
      </c>
      <c r="G1547" s="114" t="s">
        <v>5</v>
      </c>
      <c r="H1547" s="114" t="s">
        <v>3</v>
      </c>
      <c r="I1547" s="114"/>
      <c r="J1547" s="114"/>
      <c r="K1547" s="356" t="s">
        <v>2634</v>
      </c>
      <c r="L1547" s="356"/>
      <c r="M1547" s="356"/>
      <c r="N1547" s="356"/>
      <c r="O1547" s="357">
        <v>43465</v>
      </c>
      <c r="P1547" s="357"/>
      <c r="Q1547" s="357"/>
      <c r="R1547" s="357"/>
      <c r="S1547" s="117"/>
      <c r="T1547" s="117"/>
      <c r="U1547" s="358">
        <v>0</v>
      </c>
      <c r="V1547" s="358">
        <v>0</v>
      </c>
      <c r="W1547" s="358">
        <v>0</v>
      </c>
      <c r="X1547" s="358">
        <f t="shared" si="464"/>
        <v>0</v>
      </c>
      <c r="Y1547" s="358">
        <v>0</v>
      </c>
      <c r="Z1547" s="358">
        <v>0</v>
      </c>
      <c r="AA1547" s="358">
        <v>0</v>
      </c>
      <c r="AB1547" s="358">
        <v>0</v>
      </c>
      <c r="AC1547" s="358">
        <v>0</v>
      </c>
      <c r="AD1547" s="358">
        <v>0</v>
      </c>
      <c r="AE1547" s="358">
        <v>0</v>
      </c>
      <c r="AF1547" s="358">
        <v>0</v>
      </c>
      <c r="AG1547" s="358">
        <v>0</v>
      </c>
      <c r="AH1547" s="358">
        <v>0</v>
      </c>
      <c r="AI1547" s="358">
        <v>0</v>
      </c>
      <c r="AJ1547" s="358">
        <v>0</v>
      </c>
      <c r="AK1547" s="358">
        <f t="shared" si="468"/>
        <v>0</v>
      </c>
      <c r="AL1547" s="358">
        <v>0</v>
      </c>
      <c r="AM1547" s="358">
        <v>0</v>
      </c>
      <c r="AN1547" s="358">
        <v>0</v>
      </c>
      <c r="AO1547" s="358">
        <v>0</v>
      </c>
      <c r="AP1547" s="358">
        <v>0</v>
      </c>
      <c r="AQ1547" s="358">
        <v>0</v>
      </c>
      <c r="AR1547" s="358">
        <v>0</v>
      </c>
      <c r="AS1547" s="358">
        <f t="shared" si="466"/>
        <v>0</v>
      </c>
      <c r="AT1547" s="145">
        <v>0</v>
      </c>
      <c r="AU1547" s="139">
        <f t="shared" si="467"/>
        <v>0</v>
      </c>
      <c r="AV1547" s="146">
        <f>IFERROR(VLOOKUP(J1547,Maksājumu_pieprasījumu_iesn.!G:BL,57,0),0)</f>
        <v>0</v>
      </c>
      <c r="AW1547" s="139">
        <f t="shared" si="462"/>
        <v>0</v>
      </c>
      <c r="AX1547" s="358"/>
      <c r="AY1547" s="358"/>
      <c r="AZ1547" s="358"/>
      <c r="BA1547" s="360"/>
      <c r="BB1547" s="358"/>
      <c r="BC1547" s="358"/>
      <c r="BD1547" s="358"/>
      <c r="BE1547" s="358"/>
      <c r="BF1547" s="358"/>
      <c r="BG1547" s="358"/>
      <c r="BH1547" s="360"/>
      <c r="BI1547" s="360"/>
      <c r="BJ1547" s="360"/>
      <c r="BK1547" s="360"/>
      <c r="BL1547" s="360"/>
      <c r="BM1547" s="360"/>
      <c r="BN1547" s="360"/>
    </row>
    <row r="1548" spans="1:66" s="91" customFormat="1" ht="25.5" hidden="1" customHeight="1" outlineLevel="1" x14ac:dyDescent="0.2">
      <c r="A1548" s="150" t="s">
        <v>2279</v>
      </c>
      <c r="B1548" s="355" t="s">
        <v>448</v>
      </c>
      <c r="C1548" s="355" t="s">
        <v>2524</v>
      </c>
      <c r="D1548" s="356" t="s">
        <v>2525</v>
      </c>
      <c r="E1548" s="114">
        <v>2</v>
      </c>
      <c r="F1548" s="114" t="s">
        <v>210</v>
      </c>
      <c r="G1548" s="114" t="s">
        <v>5</v>
      </c>
      <c r="H1548" s="114" t="s">
        <v>3</v>
      </c>
      <c r="I1548" s="114"/>
      <c r="J1548" s="114"/>
      <c r="K1548" s="356" t="s">
        <v>2635</v>
      </c>
      <c r="L1548" s="356"/>
      <c r="M1548" s="356"/>
      <c r="N1548" s="356"/>
      <c r="O1548" s="357">
        <v>43465</v>
      </c>
      <c r="P1548" s="357"/>
      <c r="Q1548" s="357"/>
      <c r="R1548" s="357"/>
      <c r="S1548" s="117"/>
      <c r="T1548" s="117"/>
      <c r="U1548" s="358">
        <v>0</v>
      </c>
      <c r="V1548" s="358">
        <v>0</v>
      </c>
      <c r="W1548" s="358">
        <v>0</v>
      </c>
      <c r="X1548" s="358">
        <f t="shared" si="464"/>
        <v>0</v>
      </c>
      <c r="Y1548" s="358">
        <v>0</v>
      </c>
      <c r="Z1548" s="358">
        <v>0</v>
      </c>
      <c r="AA1548" s="358">
        <v>0</v>
      </c>
      <c r="AB1548" s="358">
        <v>0</v>
      </c>
      <c r="AC1548" s="358">
        <v>0</v>
      </c>
      <c r="AD1548" s="358">
        <v>0</v>
      </c>
      <c r="AE1548" s="358">
        <v>0</v>
      </c>
      <c r="AF1548" s="358">
        <v>0</v>
      </c>
      <c r="AG1548" s="358">
        <v>0</v>
      </c>
      <c r="AH1548" s="358">
        <v>0</v>
      </c>
      <c r="AI1548" s="358">
        <v>0</v>
      </c>
      <c r="AJ1548" s="358">
        <v>0</v>
      </c>
      <c r="AK1548" s="358">
        <f t="shared" si="468"/>
        <v>0</v>
      </c>
      <c r="AL1548" s="358">
        <v>0</v>
      </c>
      <c r="AM1548" s="358">
        <v>0</v>
      </c>
      <c r="AN1548" s="358">
        <v>0</v>
      </c>
      <c r="AO1548" s="358">
        <v>0</v>
      </c>
      <c r="AP1548" s="358">
        <v>0</v>
      </c>
      <c r="AQ1548" s="358">
        <v>0</v>
      </c>
      <c r="AR1548" s="358">
        <v>0</v>
      </c>
      <c r="AS1548" s="358">
        <f t="shared" si="466"/>
        <v>0</v>
      </c>
      <c r="AT1548" s="145">
        <v>0</v>
      </c>
      <c r="AU1548" s="139">
        <f t="shared" si="467"/>
        <v>0</v>
      </c>
      <c r="AV1548" s="146">
        <f>IFERROR(VLOOKUP(J1548,Maksājumu_pieprasījumu_iesn.!G:BL,57,0),0)</f>
        <v>0</v>
      </c>
      <c r="AW1548" s="139">
        <f t="shared" si="462"/>
        <v>0</v>
      </c>
      <c r="AX1548" s="358"/>
      <c r="AY1548" s="358"/>
      <c r="AZ1548" s="358"/>
      <c r="BA1548" s="360"/>
      <c r="BB1548" s="358"/>
      <c r="BC1548" s="358"/>
      <c r="BD1548" s="358"/>
      <c r="BE1548" s="358"/>
      <c r="BF1548" s="358"/>
      <c r="BG1548" s="358"/>
      <c r="BH1548" s="360"/>
      <c r="BI1548" s="360"/>
      <c r="BJ1548" s="360"/>
      <c r="BK1548" s="360"/>
      <c r="BL1548" s="360"/>
      <c r="BM1548" s="360"/>
      <c r="BN1548" s="360"/>
    </row>
    <row r="1549" spans="1:66" s="91" customFormat="1" ht="25.5" hidden="1" customHeight="1" outlineLevel="1" x14ac:dyDescent="0.2">
      <c r="A1549" s="150" t="s">
        <v>2279</v>
      </c>
      <c r="B1549" s="355" t="s">
        <v>448</v>
      </c>
      <c r="C1549" s="355" t="s">
        <v>2524</v>
      </c>
      <c r="D1549" s="356" t="s">
        <v>2525</v>
      </c>
      <c r="E1549" s="114">
        <v>2</v>
      </c>
      <c r="F1549" s="114" t="s">
        <v>210</v>
      </c>
      <c r="G1549" s="114" t="s">
        <v>5</v>
      </c>
      <c r="H1549" s="114" t="s">
        <v>3</v>
      </c>
      <c r="I1549" s="114"/>
      <c r="J1549" s="114"/>
      <c r="K1549" s="356" t="s">
        <v>2636</v>
      </c>
      <c r="L1549" s="356"/>
      <c r="M1549" s="356"/>
      <c r="N1549" s="356"/>
      <c r="O1549" s="357">
        <v>43465</v>
      </c>
      <c r="P1549" s="357"/>
      <c r="Q1549" s="357"/>
      <c r="R1549" s="357"/>
      <c r="S1549" s="117"/>
      <c r="T1549" s="117"/>
      <c r="U1549" s="358">
        <v>0</v>
      </c>
      <c r="V1549" s="358">
        <v>0</v>
      </c>
      <c r="W1549" s="358">
        <v>0</v>
      </c>
      <c r="X1549" s="358">
        <f t="shared" si="464"/>
        <v>0</v>
      </c>
      <c r="Y1549" s="358">
        <v>0</v>
      </c>
      <c r="Z1549" s="358">
        <v>0</v>
      </c>
      <c r="AA1549" s="358">
        <v>0</v>
      </c>
      <c r="AB1549" s="358">
        <v>0</v>
      </c>
      <c r="AC1549" s="358">
        <v>0</v>
      </c>
      <c r="AD1549" s="358">
        <v>0</v>
      </c>
      <c r="AE1549" s="358">
        <v>0</v>
      </c>
      <c r="AF1549" s="358">
        <v>0</v>
      </c>
      <c r="AG1549" s="358">
        <v>0</v>
      </c>
      <c r="AH1549" s="358">
        <v>0</v>
      </c>
      <c r="AI1549" s="358">
        <v>0</v>
      </c>
      <c r="AJ1549" s="358">
        <v>0</v>
      </c>
      <c r="AK1549" s="358">
        <f t="shared" si="468"/>
        <v>0</v>
      </c>
      <c r="AL1549" s="358">
        <v>0</v>
      </c>
      <c r="AM1549" s="358">
        <v>0</v>
      </c>
      <c r="AN1549" s="358">
        <v>0</v>
      </c>
      <c r="AO1549" s="358">
        <v>0</v>
      </c>
      <c r="AP1549" s="358">
        <v>0</v>
      </c>
      <c r="AQ1549" s="358">
        <v>0</v>
      </c>
      <c r="AR1549" s="358">
        <v>0</v>
      </c>
      <c r="AS1549" s="358">
        <f t="shared" si="466"/>
        <v>0</v>
      </c>
      <c r="AT1549" s="145">
        <v>0</v>
      </c>
      <c r="AU1549" s="139">
        <f t="shared" si="467"/>
        <v>0</v>
      </c>
      <c r="AV1549" s="146">
        <f>IFERROR(VLOOKUP(J1549,Maksājumu_pieprasījumu_iesn.!G:BL,57,0),0)</f>
        <v>0</v>
      </c>
      <c r="AW1549" s="139">
        <f t="shared" si="462"/>
        <v>0</v>
      </c>
      <c r="AX1549" s="358"/>
      <c r="AY1549" s="358"/>
      <c r="AZ1549" s="358"/>
      <c r="BA1549" s="360"/>
      <c r="BB1549" s="358"/>
      <c r="BC1549" s="358"/>
      <c r="BD1549" s="358"/>
      <c r="BE1549" s="358"/>
      <c r="BF1549" s="358"/>
      <c r="BG1549" s="358"/>
      <c r="BH1549" s="360"/>
      <c r="BI1549" s="360"/>
      <c r="BJ1549" s="360"/>
      <c r="BK1549" s="360"/>
      <c r="BL1549" s="360"/>
      <c r="BM1549" s="360"/>
      <c r="BN1549" s="360"/>
    </row>
    <row r="1550" spans="1:66" s="91" customFormat="1" ht="25.5" hidden="1" customHeight="1" outlineLevel="1" x14ac:dyDescent="0.2">
      <c r="A1550" s="150" t="s">
        <v>2279</v>
      </c>
      <c r="B1550" s="355" t="s">
        <v>448</v>
      </c>
      <c r="C1550" s="355" t="s">
        <v>2524</v>
      </c>
      <c r="D1550" s="356" t="s">
        <v>2525</v>
      </c>
      <c r="E1550" s="114">
        <v>2</v>
      </c>
      <c r="F1550" s="114" t="s">
        <v>210</v>
      </c>
      <c r="G1550" s="114" t="s">
        <v>5</v>
      </c>
      <c r="H1550" s="114" t="s">
        <v>3</v>
      </c>
      <c r="I1550" s="114"/>
      <c r="J1550" s="114"/>
      <c r="K1550" s="356" t="s">
        <v>2637</v>
      </c>
      <c r="L1550" s="356"/>
      <c r="M1550" s="356"/>
      <c r="N1550" s="356"/>
      <c r="O1550" s="357">
        <v>43465</v>
      </c>
      <c r="P1550" s="357"/>
      <c r="Q1550" s="357"/>
      <c r="R1550" s="357"/>
      <c r="S1550" s="117"/>
      <c r="T1550" s="117"/>
      <c r="U1550" s="358">
        <v>0</v>
      </c>
      <c r="V1550" s="358">
        <v>0</v>
      </c>
      <c r="W1550" s="358">
        <v>0</v>
      </c>
      <c r="X1550" s="358">
        <f>W1550+V1550+U1550</f>
        <v>0</v>
      </c>
      <c r="Y1550" s="358">
        <v>0</v>
      </c>
      <c r="Z1550" s="358">
        <v>0</v>
      </c>
      <c r="AA1550" s="358">
        <v>0</v>
      </c>
      <c r="AB1550" s="358">
        <v>0</v>
      </c>
      <c r="AC1550" s="358">
        <v>0</v>
      </c>
      <c r="AD1550" s="358">
        <v>0</v>
      </c>
      <c r="AE1550" s="358">
        <v>0</v>
      </c>
      <c r="AF1550" s="358">
        <v>0</v>
      </c>
      <c r="AG1550" s="358">
        <v>0</v>
      </c>
      <c r="AH1550" s="358">
        <v>0</v>
      </c>
      <c r="AI1550" s="358">
        <v>0</v>
      </c>
      <c r="AJ1550" s="358">
        <v>0</v>
      </c>
      <c r="AK1550" s="358">
        <f t="shared" si="468"/>
        <v>0</v>
      </c>
      <c r="AL1550" s="358">
        <v>0</v>
      </c>
      <c r="AM1550" s="358">
        <v>0</v>
      </c>
      <c r="AN1550" s="358">
        <v>0</v>
      </c>
      <c r="AO1550" s="358">
        <v>0</v>
      </c>
      <c r="AP1550" s="358">
        <v>0</v>
      </c>
      <c r="AQ1550" s="358">
        <v>0</v>
      </c>
      <c r="AR1550" s="358">
        <v>0</v>
      </c>
      <c r="AS1550" s="358">
        <f t="shared" si="466"/>
        <v>0</v>
      </c>
      <c r="AT1550" s="145">
        <v>0</v>
      </c>
      <c r="AU1550" s="139">
        <f t="shared" si="467"/>
        <v>0</v>
      </c>
      <c r="AV1550" s="146">
        <f>IFERROR(VLOOKUP(J1550,Maksājumu_pieprasījumu_iesn.!G:BL,57,0),0)</f>
        <v>0</v>
      </c>
      <c r="AW1550" s="139">
        <f t="shared" si="462"/>
        <v>0</v>
      </c>
      <c r="AX1550" s="358"/>
      <c r="AY1550" s="358"/>
      <c r="AZ1550" s="358"/>
      <c r="BA1550" s="360"/>
      <c r="BB1550" s="358"/>
      <c r="BC1550" s="358"/>
      <c r="BD1550" s="358"/>
      <c r="BE1550" s="358"/>
      <c r="BF1550" s="358"/>
      <c r="BG1550" s="358"/>
      <c r="BH1550" s="360"/>
      <c r="BI1550" s="360"/>
      <c r="BJ1550" s="360"/>
      <c r="BK1550" s="360"/>
      <c r="BL1550" s="360"/>
      <c r="BM1550" s="360"/>
      <c r="BN1550" s="360"/>
    </row>
    <row r="1551" spans="1:66" s="91" customFormat="1" ht="63.75" hidden="1" customHeight="1" x14ac:dyDescent="0.2">
      <c r="A1551" s="131" t="s">
        <v>2279</v>
      </c>
      <c r="B1551" s="132" t="s">
        <v>448</v>
      </c>
      <c r="C1551" s="132" t="s">
        <v>449</v>
      </c>
      <c r="D1551" s="133" t="s">
        <v>607</v>
      </c>
      <c r="E1551" s="22" t="s">
        <v>3</v>
      </c>
      <c r="F1551" s="22" t="s">
        <v>210</v>
      </c>
      <c r="G1551" s="22" t="s">
        <v>5</v>
      </c>
      <c r="H1551" s="22" t="s">
        <v>3</v>
      </c>
      <c r="I1551" s="22" t="s">
        <v>1022</v>
      </c>
      <c r="J1551" s="134" t="s">
        <v>1026</v>
      </c>
      <c r="K1551" s="133"/>
      <c r="L1551" s="133"/>
      <c r="M1551" s="133"/>
      <c r="N1551" s="133"/>
      <c r="O1551" s="135"/>
      <c r="P1551" s="135"/>
      <c r="Q1551" s="135"/>
      <c r="R1551" s="135"/>
      <c r="S1551" s="136">
        <v>3465513</v>
      </c>
      <c r="T1551" s="136">
        <v>0</v>
      </c>
      <c r="U1551" s="137">
        <f>SUM(U1552)</f>
        <v>0</v>
      </c>
      <c r="V1551" s="137">
        <f>SUM(V1552)</f>
        <v>0</v>
      </c>
      <c r="W1551" s="137">
        <f>SUM(W1552)</f>
        <v>7770.17</v>
      </c>
      <c r="X1551" s="138">
        <f>U1551+V1551+W1551</f>
        <v>7770.17</v>
      </c>
      <c r="Y1551" s="137">
        <f t="shared" ref="Y1551:AR1551" si="469">SUM(Y1552)</f>
        <v>22502.37</v>
      </c>
      <c r="Z1551" s="137">
        <f t="shared" si="469"/>
        <v>0</v>
      </c>
      <c r="AA1551" s="137">
        <f t="shared" si="469"/>
        <v>0</v>
      </c>
      <c r="AB1551" s="137">
        <f t="shared" si="469"/>
        <v>29663.95</v>
      </c>
      <c r="AC1551" s="137">
        <f t="shared" si="469"/>
        <v>0</v>
      </c>
      <c r="AD1551" s="137">
        <f t="shared" si="469"/>
        <v>0</v>
      </c>
      <c r="AE1551" s="137">
        <f t="shared" si="469"/>
        <v>259607.65</v>
      </c>
      <c r="AF1551" s="137">
        <f t="shared" si="469"/>
        <v>0</v>
      </c>
      <c r="AG1551" s="137">
        <f t="shared" si="469"/>
        <v>0</v>
      </c>
      <c r="AH1551" s="137">
        <f t="shared" si="469"/>
        <v>8857.65</v>
      </c>
      <c r="AI1551" s="137">
        <f t="shared" si="469"/>
        <v>0</v>
      </c>
      <c r="AJ1551" s="137">
        <f t="shared" si="469"/>
        <v>0</v>
      </c>
      <c r="AK1551" s="137">
        <f t="shared" si="469"/>
        <v>320631.62</v>
      </c>
      <c r="AL1551" s="137">
        <f t="shared" si="469"/>
        <v>2238773.7199999997</v>
      </c>
      <c r="AM1551" s="137">
        <f t="shared" si="469"/>
        <v>898337.49</v>
      </c>
      <c r="AN1551" s="137">
        <f t="shared" si="469"/>
        <v>0</v>
      </c>
      <c r="AO1551" s="137">
        <f t="shared" si="469"/>
        <v>0</v>
      </c>
      <c r="AP1551" s="137">
        <f t="shared" si="469"/>
        <v>0</v>
      </c>
      <c r="AQ1551" s="137">
        <f t="shared" si="469"/>
        <v>0</v>
      </c>
      <c r="AR1551" s="137">
        <f t="shared" si="469"/>
        <v>0</v>
      </c>
      <c r="AS1551" s="137">
        <f t="shared" si="466"/>
        <v>3465513</v>
      </c>
      <c r="AT1551" s="137">
        <f>SUM(AT1552)</f>
        <v>0</v>
      </c>
      <c r="AU1551" s="139">
        <f t="shared" si="467"/>
        <v>3465513</v>
      </c>
      <c r="AV1551" s="146">
        <f>IFERROR(VLOOKUP(J1551,Maksājumu_pieprasījumu_iesn.!G:BL,57,0),0)</f>
        <v>0</v>
      </c>
      <c r="AW1551" s="139">
        <f t="shared" si="462"/>
        <v>-3465513</v>
      </c>
      <c r="AX1551" s="140">
        <f>S1551-T1551-AU1551</f>
        <v>0</v>
      </c>
      <c r="AY1551" s="137"/>
      <c r="AZ1551" s="137"/>
      <c r="BA1551" s="138"/>
      <c r="BB1551" s="140"/>
      <c r="BC1551" s="140">
        <f>X1551+AK1551+AL1551/2</f>
        <v>1447788.65</v>
      </c>
      <c r="BD1551" s="140"/>
      <c r="BE1551" s="140">
        <f>BC1551/0.85</f>
        <v>1703280.7647058822</v>
      </c>
      <c r="BF1551" s="137"/>
      <c r="BG1551" s="137"/>
      <c r="BH1551" s="138">
        <v>6646.15</v>
      </c>
      <c r="BI1551" s="138">
        <v>659.51</v>
      </c>
      <c r="BJ1551" s="138"/>
      <c r="BK1551" s="138"/>
      <c r="BL1551" s="138">
        <v>317369.59999999998</v>
      </c>
      <c r="BM1551" s="138"/>
      <c r="BN1551" s="138"/>
    </row>
    <row r="1552" spans="1:66" ht="63.75" hidden="1" customHeight="1" x14ac:dyDescent="0.2">
      <c r="A1552" s="142" t="s">
        <v>2279</v>
      </c>
      <c r="B1552" s="18" t="s">
        <v>448</v>
      </c>
      <c r="C1552" s="18" t="s">
        <v>449</v>
      </c>
      <c r="D1552" s="19" t="s">
        <v>607</v>
      </c>
      <c r="E1552" s="18" t="s">
        <v>3</v>
      </c>
      <c r="F1552" s="18" t="s">
        <v>210</v>
      </c>
      <c r="G1552" s="18" t="s">
        <v>5</v>
      </c>
      <c r="H1552" s="18" t="s">
        <v>3</v>
      </c>
      <c r="I1552" s="18"/>
      <c r="J1552" s="18" t="s">
        <v>450</v>
      </c>
      <c r="K1552" s="19" t="s">
        <v>358</v>
      </c>
      <c r="L1552" s="19"/>
      <c r="M1552" s="19"/>
      <c r="N1552" s="19" t="s">
        <v>451</v>
      </c>
      <c r="O1552" s="143"/>
      <c r="P1552" s="143"/>
      <c r="Q1552" s="143"/>
      <c r="R1552" s="143">
        <v>42570</v>
      </c>
      <c r="S1552" s="144">
        <v>3465513</v>
      </c>
      <c r="T1552" s="144">
        <v>0</v>
      </c>
      <c r="U1552" s="145">
        <v>0</v>
      </c>
      <c r="V1552" s="145">
        <v>0</v>
      </c>
      <c r="W1552" s="145">
        <v>7770.17</v>
      </c>
      <c r="X1552" s="145">
        <f>W1552+V1552+U1552</f>
        <v>7770.17</v>
      </c>
      <c r="Y1552" s="145">
        <v>22502.37</v>
      </c>
      <c r="Z1552" s="145">
        <v>0</v>
      </c>
      <c r="AA1552" s="145">
        <v>0</v>
      </c>
      <c r="AB1552" s="145">
        <v>29663.95</v>
      </c>
      <c r="AC1552" s="145">
        <v>0</v>
      </c>
      <c r="AD1552" s="166">
        <v>0</v>
      </c>
      <c r="AE1552" s="166">
        <v>259607.65</v>
      </c>
      <c r="AF1552" s="145">
        <v>0</v>
      </c>
      <c r="AG1552" s="145">
        <v>0</v>
      </c>
      <c r="AH1552" s="145">
        <v>8857.65</v>
      </c>
      <c r="AI1552" s="145">
        <v>0</v>
      </c>
      <c r="AJ1552" s="145">
        <v>0</v>
      </c>
      <c r="AK1552" s="145">
        <f>SUM(Y1552:AJ1552)</f>
        <v>320631.62</v>
      </c>
      <c r="AL1552" s="145">
        <v>2238773.7199999997</v>
      </c>
      <c r="AM1552" s="145">
        <v>898337.49</v>
      </c>
      <c r="AN1552" s="145">
        <v>0</v>
      </c>
      <c r="AO1552" s="145">
        <v>0</v>
      </c>
      <c r="AP1552" s="145">
        <v>0</v>
      </c>
      <c r="AQ1552" s="145">
        <v>0</v>
      </c>
      <c r="AR1552" s="145">
        <v>0</v>
      </c>
      <c r="AS1552" s="144">
        <f t="shared" si="466"/>
        <v>3465513</v>
      </c>
      <c r="AT1552" s="144">
        <v>0</v>
      </c>
      <c r="AU1552" s="146">
        <f t="shared" si="467"/>
        <v>3465513</v>
      </c>
      <c r="AV1552" s="146" t="str">
        <f>IFERROR(VLOOKUP(J1552,Maksājumu_pieprasījumu_iesn.!G:BL,57,0),0)</f>
        <v>Aizkavējusies 9.1.4.2.pasākuma “Funkcionēšanas novērtēšanas un asistīvo tehnoloģiju (tehnisko palīglīdzekļu) apmaiņas sistēmas izveide un ieviešana” ieviešana, kas ir priekšnoteikums šī pasākuma uzsākšanai. "Vaivari"  līdz 31.08.2017. jāiesniedz Centrālai finanšu un līgumu aģentūrai grozījumi projektā.  Papildus procesus ietekmē Labklājības ministrijas stingrāka iesaiste, pirms iepirkumu sludināšanas izskatot / skaņojot dokumentāciju.  31.08.2017. finansējuma saņēmējs ir iesniedzis grozījumus saistītājā projektā 9.1.4.2. pasākuma ietvaros, pagarinot projekta īstenošanas termiņu  no 48 mēnešiem uz 74 mēnešiem, tiek iekļauta informācija par veicamajām darbībām projekta finansējuma saņēmēja maiņas gadījumā (atbilstoši Ministru kabineta noteikumu Nr.601 grozījumu projektam).  Finansējuma saņēmējs nav iesniedzis grozījumus projektā 9.3.1.2/16/I/001 nepietiekamas projekta vadības kapacitātes dēļ (attiecīgajam projektam nav projekta vadītāja).</v>
      </c>
      <c r="AW1552" s="139" t="e">
        <f t="shared" ref="AW1552:AW1615" si="470">AV1552-AU1552</f>
        <v>#VALUE!</v>
      </c>
      <c r="AX1552" s="147">
        <f>S1552-T1552-(AS1552-AT1552)</f>
        <v>0</v>
      </c>
      <c r="AY1552" s="147"/>
      <c r="AZ1552" s="147"/>
      <c r="BA1552" s="149" t="s">
        <v>2638</v>
      </c>
      <c r="BB1552" s="144"/>
      <c r="BC1552" s="144"/>
      <c r="BD1552" s="144"/>
      <c r="BE1552" s="144"/>
      <c r="BF1552" s="144"/>
      <c r="BG1552" s="144"/>
      <c r="BH1552" s="149"/>
      <c r="BI1552" s="149"/>
      <c r="BJ1552" s="149"/>
      <c r="BK1552" s="149"/>
      <c r="BL1552" s="149"/>
      <c r="BM1552" s="149"/>
      <c r="BN1552" s="149"/>
    </row>
    <row r="1553" spans="1:66" ht="63.75" hidden="1" customHeight="1" x14ac:dyDescent="0.2">
      <c r="A1553" s="142" t="s">
        <v>2279</v>
      </c>
      <c r="B1553" s="18" t="s">
        <v>448</v>
      </c>
      <c r="C1553" s="18" t="s">
        <v>449</v>
      </c>
      <c r="D1553" s="19" t="s">
        <v>607</v>
      </c>
      <c r="E1553" s="18" t="s">
        <v>3</v>
      </c>
      <c r="F1553" s="18" t="s">
        <v>210</v>
      </c>
      <c r="G1553" s="18" t="s">
        <v>5</v>
      </c>
      <c r="H1553" s="18" t="s">
        <v>3</v>
      </c>
      <c r="I1553" s="18"/>
      <c r="J1553" s="18" t="s">
        <v>450</v>
      </c>
      <c r="K1553" s="19" t="s">
        <v>358</v>
      </c>
      <c r="L1553" s="19"/>
      <c r="M1553" s="19"/>
      <c r="N1553" s="19" t="s">
        <v>451</v>
      </c>
      <c r="O1553" s="143" t="s">
        <v>880</v>
      </c>
      <c r="P1553" s="143"/>
      <c r="Q1553" s="143"/>
      <c r="R1553" s="143"/>
      <c r="S1553" s="144"/>
      <c r="T1553" s="144"/>
      <c r="U1553" s="145"/>
      <c r="V1553" s="145"/>
      <c r="W1553" s="145">
        <v>26812.400000000001</v>
      </c>
      <c r="X1553" s="145">
        <f>W1553+V1553+U1553</f>
        <v>26812.400000000001</v>
      </c>
      <c r="Y1553" s="145"/>
      <c r="Z1553" s="145"/>
      <c r="AA1553" s="145"/>
      <c r="AB1553" s="145"/>
      <c r="AC1553" s="145"/>
      <c r="AD1553" s="145">
        <v>332350</v>
      </c>
      <c r="AE1553" s="145"/>
      <c r="AF1553" s="145"/>
      <c r="AG1553" s="145"/>
      <c r="AH1553" s="145"/>
      <c r="AI1553" s="145">
        <v>680491.3</v>
      </c>
      <c r="AJ1553" s="145"/>
      <c r="AK1553" s="145">
        <f>SUM(Y1553:AJ1553)</f>
        <v>1012841.3</v>
      </c>
      <c r="AL1553" s="145"/>
      <c r="AM1553" s="145"/>
      <c r="AN1553" s="145"/>
      <c r="AO1553" s="145"/>
      <c r="AP1553" s="145"/>
      <c r="AQ1553" s="145"/>
      <c r="AR1553" s="145"/>
      <c r="AS1553" s="86"/>
      <c r="AT1553" s="144">
        <f>U1553+V1553+W1553+AK1553+AL1553+AM1553+AN1553+AO1553+AP1553+AQ1553+AR1553</f>
        <v>1039653.7000000001</v>
      </c>
      <c r="AU1553" s="146"/>
      <c r="AV1553" s="146" t="str">
        <f>IFERROR(VLOOKUP(J1553,Maksājumu_pieprasījumu_iesn.!G:BL,57,0),0)</f>
        <v>Aizkavējusies 9.1.4.2.pasākuma “Funkcionēšanas novērtēšanas un asistīvo tehnoloģiju (tehnisko palīglīdzekļu) apmaiņas sistēmas izveide un ieviešana” ieviešana, kas ir priekšnoteikums šī pasākuma uzsākšanai. "Vaivari"  līdz 31.08.2017. jāiesniedz Centrālai finanšu un līgumu aģentūrai grozījumi projektā.  Papildus procesus ietekmē Labklājības ministrijas stingrāka iesaiste, pirms iepirkumu sludināšanas izskatot / skaņojot dokumentāciju.  31.08.2017. finansējuma saņēmējs ir iesniedzis grozījumus saistītājā projektā 9.1.4.2. pasākuma ietvaros, pagarinot projekta īstenošanas termiņu  no 48 mēnešiem uz 74 mēnešiem, tiek iekļauta informācija par veicamajām darbībām projekta finansējuma saņēmēja maiņas gadījumā (atbilstoši Ministru kabineta noteikumu Nr.601 grozījumu projektam).  Finansējuma saņēmējs nav iesniedzis grozījumus projektā 9.3.1.2/16/I/001 nepietiekamas projekta vadības kapacitātes dēļ (attiecīgajam projektam nav projekta vadītāja).</v>
      </c>
      <c r="AW1553" s="139" t="e">
        <f t="shared" si="470"/>
        <v>#VALUE!</v>
      </c>
      <c r="AX1553" s="147"/>
      <c r="AY1553" s="147"/>
      <c r="AZ1553" s="147"/>
      <c r="BA1553" s="149"/>
      <c r="BB1553" s="144"/>
      <c r="BC1553" s="144"/>
      <c r="BD1553" s="144"/>
      <c r="BE1553" s="144"/>
      <c r="BF1553" s="144"/>
      <c r="BG1553" s="144"/>
      <c r="BH1553" s="149"/>
      <c r="BI1553" s="149"/>
      <c r="BJ1553" s="149"/>
      <c r="BK1553" s="149"/>
      <c r="BL1553" s="149"/>
      <c r="BM1553" s="149"/>
      <c r="BN1553" s="149"/>
    </row>
    <row r="1554" spans="1:66" s="91" customFormat="1" ht="25.5" hidden="1" x14ac:dyDescent="0.2">
      <c r="A1554" s="127" t="s">
        <v>2279</v>
      </c>
      <c r="B1554" s="127" t="s">
        <v>2639</v>
      </c>
      <c r="C1554" s="127" t="s">
        <v>1023</v>
      </c>
      <c r="D1554" s="128" t="s">
        <v>2640</v>
      </c>
      <c r="E1554" s="127"/>
      <c r="F1554" s="127"/>
      <c r="G1554" s="127" t="s">
        <v>5</v>
      </c>
      <c r="H1554" s="127"/>
      <c r="I1554" s="127"/>
      <c r="J1554" s="127"/>
      <c r="K1554" s="128"/>
      <c r="L1554" s="128"/>
      <c r="M1554" s="128"/>
      <c r="N1554" s="128"/>
      <c r="O1554" s="163"/>
      <c r="P1554" s="163"/>
      <c r="Q1554" s="163"/>
      <c r="R1554" s="163"/>
      <c r="S1554" s="164">
        <f>S1555+S1568+S1570</f>
        <v>152136253</v>
      </c>
      <c r="T1554" s="164">
        <f>T1555+T1568+T1570</f>
        <v>9279588</v>
      </c>
      <c r="U1554" s="164">
        <f>U1555+U1568+U1570</f>
        <v>0</v>
      </c>
      <c r="V1554" s="164">
        <f>V1555+V1568+V1570</f>
        <v>0</v>
      </c>
      <c r="W1554" s="164">
        <f>W1555+W1568+W1570</f>
        <v>0</v>
      </c>
      <c r="X1554" s="129">
        <f>U1554+V1554+W1554</f>
        <v>0</v>
      </c>
      <c r="Y1554" s="164">
        <f t="shared" ref="Y1554:AT1554" si="471">Y1555+Y1568+Y1570</f>
        <v>0</v>
      </c>
      <c r="Z1554" s="164">
        <f t="shared" si="471"/>
        <v>0</v>
      </c>
      <c r="AA1554" s="164">
        <f t="shared" si="471"/>
        <v>0</v>
      </c>
      <c r="AB1554" s="164">
        <f t="shared" si="471"/>
        <v>0</v>
      </c>
      <c r="AC1554" s="164">
        <f t="shared" si="471"/>
        <v>0</v>
      </c>
      <c r="AD1554" s="164">
        <f t="shared" si="471"/>
        <v>0</v>
      </c>
      <c r="AE1554" s="164">
        <f t="shared" si="471"/>
        <v>0</v>
      </c>
      <c r="AF1554" s="164">
        <f t="shared" si="471"/>
        <v>0</v>
      </c>
      <c r="AG1554" s="164">
        <f t="shared" si="471"/>
        <v>0</v>
      </c>
      <c r="AH1554" s="164">
        <f t="shared" si="471"/>
        <v>495216.76</v>
      </c>
      <c r="AI1554" s="164">
        <f t="shared" si="471"/>
        <v>0</v>
      </c>
      <c r="AJ1554" s="164">
        <f t="shared" si="471"/>
        <v>184319.6586583023</v>
      </c>
      <c r="AK1554" s="164">
        <f t="shared" si="471"/>
        <v>679536.41865830228</v>
      </c>
      <c r="AL1554" s="164">
        <f t="shared" si="471"/>
        <v>32289844.49861978</v>
      </c>
      <c r="AM1554" s="164">
        <f t="shared" si="471"/>
        <v>23302951.660930827</v>
      </c>
      <c r="AN1554" s="164">
        <f t="shared" si="471"/>
        <v>22125455.639069177</v>
      </c>
      <c r="AO1554" s="164">
        <f t="shared" si="471"/>
        <v>19696592.100000001</v>
      </c>
      <c r="AP1554" s="164">
        <f t="shared" si="471"/>
        <v>28208839.050000001</v>
      </c>
      <c r="AQ1554" s="164">
        <f t="shared" si="471"/>
        <v>7969269.5</v>
      </c>
      <c r="AR1554" s="164">
        <f t="shared" si="471"/>
        <v>604649.75</v>
      </c>
      <c r="AS1554" s="164">
        <f t="shared" si="471"/>
        <v>134877138.6172781</v>
      </c>
      <c r="AT1554" s="164">
        <f t="shared" si="471"/>
        <v>0</v>
      </c>
      <c r="AU1554" s="183">
        <f t="shared" si="467"/>
        <v>134877138.6172781</v>
      </c>
      <c r="AV1554" s="146">
        <f>IFERROR(VLOOKUP(J1554,Maksājumu_pieprasījumu_iesn.!G:BL,57,0),0)</f>
        <v>0</v>
      </c>
      <c r="AW1554" s="139">
        <f t="shared" si="470"/>
        <v>-134877138.6172781</v>
      </c>
      <c r="AX1554" s="164">
        <f>AX1555+AX1568+AX1570</f>
        <v>7979526.3827219158</v>
      </c>
      <c r="AY1554" s="164">
        <f>AY1555+AY1568+AY1570</f>
        <v>7979526</v>
      </c>
      <c r="AZ1554" s="164"/>
      <c r="BA1554" s="164"/>
      <c r="BB1554" s="164">
        <f>BB1555+BB1568+BB1570</f>
        <v>0</v>
      </c>
      <c r="BC1554" s="164">
        <f>BC1555+BC1568+BC1570</f>
        <v>16824458.667968191</v>
      </c>
      <c r="BD1554" s="164">
        <f>BC1554*0.86</f>
        <v>14469034.454452645</v>
      </c>
      <c r="BE1554" s="129">
        <f>BD1554/0.85</f>
        <v>17022393.475826643</v>
      </c>
      <c r="BF1554" s="164">
        <f>BF1555+BF1568+BF1570</f>
        <v>0</v>
      </c>
      <c r="BG1554" s="164">
        <f>BG1555+BG1568+BG1570</f>
        <v>0</v>
      </c>
      <c r="BH1554" s="129">
        <f>BH1555+BH1568+BH1570</f>
        <v>0</v>
      </c>
      <c r="BI1554" s="129">
        <f>BI1555+BI1568+BI1570</f>
        <v>4664624.2672499996</v>
      </c>
      <c r="BJ1554" s="129">
        <f>AK1554*0.86</f>
        <v>584401.32004614</v>
      </c>
      <c r="BK1554" s="129">
        <f>BJ1554-BI1554</f>
        <v>-4080222.9472038597</v>
      </c>
      <c r="BL1554" s="129">
        <f>BL1555+BL1568+BL1570</f>
        <v>20548023.187465001</v>
      </c>
      <c r="BM1554" s="129">
        <f>AL1554*0.86</f>
        <v>27769266.26881301</v>
      </c>
      <c r="BN1554" s="129">
        <f>BM1554-BL1554</f>
        <v>7221243.0813480094</v>
      </c>
    </row>
    <row r="1555" spans="1:66" s="91" customFormat="1" ht="25.5" hidden="1" customHeight="1" x14ac:dyDescent="0.2">
      <c r="A1555" s="131" t="s">
        <v>2279</v>
      </c>
      <c r="B1555" s="132" t="s">
        <v>2639</v>
      </c>
      <c r="C1555" s="132" t="s">
        <v>2641</v>
      </c>
      <c r="D1555" s="133" t="s">
        <v>2640</v>
      </c>
      <c r="E1555" s="22" t="s">
        <v>2642</v>
      </c>
      <c r="F1555" s="22" t="s">
        <v>402</v>
      </c>
      <c r="G1555" s="22" t="s">
        <v>5</v>
      </c>
      <c r="H1555" s="22" t="s">
        <v>3</v>
      </c>
      <c r="I1555" s="22" t="s">
        <v>1022</v>
      </c>
      <c r="J1555" s="134" t="s">
        <v>1026</v>
      </c>
      <c r="K1555" s="133"/>
      <c r="L1555" s="133"/>
      <c r="M1555" s="133"/>
      <c r="N1555" s="133"/>
      <c r="O1555" s="135"/>
      <c r="P1555" s="135"/>
      <c r="Q1555" s="135"/>
      <c r="R1555" s="135"/>
      <c r="S1555" s="136">
        <v>70542521</v>
      </c>
      <c r="T1555" s="136">
        <v>0</v>
      </c>
      <c r="U1555" s="137">
        <f>SUM(U1556:U1567)</f>
        <v>0</v>
      </c>
      <c r="V1555" s="137">
        <f>SUM(V1556:V1567)</f>
        <v>0</v>
      </c>
      <c r="W1555" s="137">
        <f>SUM(W1556:W1567)</f>
        <v>0</v>
      </c>
      <c r="X1555" s="138">
        <f>U1555+V1555+W1555</f>
        <v>0</v>
      </c>
      <c r="Y1555" s="137">
        <f t="shared" ref="Y1555:AR1555" si="472">SUM(Y1556:Y1567)</f>
        <v>0</v>
      </c>
      <c r="Z1555" s="137">
        <f t="shared" si="472"/>
        <v>0</v>
      </c>
      <c r="AA1555" s="137">
        <f t="shared" si="472"/>
        <v>0</v>
      </c>
      <c r="AB1555" s="137">
        <f t="shared" si="472"/>
        <v>0</v>
      </c>
      <c r="AC1555" s="137">
        <f t="shared" si="472"/>
        <v>0</v>
      </c>
      <c r="AD1555" s="137">
        <f t="shared" si="472"/>
        <v>0</v>
      </c>
      <c r="AE1555" s="137">
        <f t="shared" si="472"/>
        <v>0</v>
      </c>
      <c r="AF1555" s="137">
        <f t="shared" si="472"/>
        <v>0</v>
      </c>
      <c r="AG1555" s="137">
        <f t="shared" si="472"/>
        <v>0</v>
      </c>
      <c r="AH1555" s="137">
        <f t="shared" si="472"/>
        <v>495216.76</v>
      </c>
      <c r="AI1555" s="137">
        <f t="shared" si="472"/>
        <v>0</v>
      </c>
      <c r="AJ1555" s="137">
        <f t="shared" si="472"/>
        <v>0</v>
      </c>
      <c r="AK1555" s="137">
        <f t="shared" si="472"/>
        <v>495216.76</v>
      </c>
      <c r="AL1555" s="137">
        <f>SUM(AL1556:AL1567)</f>
        <v>30772129.839999996</v>
      </c>
      <c r="AM1555" s="137">
        <f t="shared" si="472"/>
        <v>17787644.430000003</v>
      </c>
      <c r="AN1555" s="137">
        <f t="shared" si="472"/>
        <v>10108923.619999999</v>
      </c>
      <c r="AO1555" s="137">
        <f t="shared" si="472"/>
        <v>5372465.0999999996</v>
      </c>
      <c r="AP1555" s="137">
        <f t="shared" si="472"/>
        <v>6006140.5499999998</v>
      </c>
      <c r="AQ1555" s="137">
        <f t="shared" si="472"/>
        <v>0</v>
      </c>
      <c r="AR1555" s="137">
        <f t="shared" si="472"/>
        <v>0</v>
      </c>
      <c r="AS1555" s="137">
        <f t="shared" ref="AS1555:AS1571" si="473">U1555+V1555+W1555+AK1555+AL1555+AM1555+AN1555+AO1555+AP1555+AQ1555+AR1555</f>
        <v>70542520.299999997</v>
      </c>
      <c r="AT1555" s="137">
        <f>SUM(AT1556:AT1567)</f>
        <v>0</v>
      </c>
      <c r="AU1555" s="139">
        <f t="shared" si="467"/>
        <v>70542520.299999997</v>
      </c>
      <c r="AV1555" s="146">
        <f>IFERROR(VLOOKUP(J1555,Maksājumu_pieprasījumu_iesn.!G:BL,57,0),0)</f>
        <v>0</v>
      </c>
      <c r="AW1555" s="139">
        <f t="shared" si="470"/>
        <v>-70542520.299999997</v>
      </c>
      <c r="AX1555" s="140">
        <f>S1555-T1555-AU1555</f>
        <v>0.70000000298023224</v>
      </c>
      <c r="AY1555" s="137"/>
      <c r="AZ1555" s="137"/>
      <c r="BA1555" s="138"/>
      <c r="BB1555" s="140"/>
      <c r="BC1555" s="140">
        <f>X1555+AK1555+AL1555/2</f>
        <v>15881281.679999998</v>
      </c>
      <c r="BD1555" s="140"/>
      <c r="BE1555" s="140">
        <f>BC1555/0.85</f>
        <v>18683860.799999997</v>
      </c>
      <c r="BF1555" s="137"/>
      <c r="BG1555" s="137"/>
      <c r="BH1555" s="138">
        <v>0</v>
      </c>
      <c r="BI1555" s="138">
        <v>4664624.2672499996</v>
      </c>
      <c r="BJ1555" s="138"/>
      <c r="BK1555" s="138"/>
      <c r="BL1555" s="138">
        <v>20548023.187465001</v>
      </c>
      <c r="BM1555" s="138"/>
      <c r="BN1555" s="138"/>
    </row>
    <row r="1556" spans="1:66" s="91" customFormat="1" ht="25.5" hidden="1" customHeight="1" x14ac:dyDescent="0.2">
      <c r="A1556" s="150" t="s">
        <v>2279</v>
      </c>
      <c r="B1556" s="18" t="s">
        <v>2639</v>
      </c>
      <c r="C1556" s="18" t="s">
        <v>2641</v>
      </c>
      <c r="D1556" s="19" t="s">
        <v>2640</v>
      </c>
      <c r="E1556" s="55" t="s">
        <v>2642</v>
      </c>
      <c r="F1556" s="55" t="s">
        <v>402</v>
      </c>
      <c r="G1556" s="55" t="s">
        <v>5</v>
      </c>
      <c r="H1556" s="55" t="s">
        <v>3</v>
      </c>
      <c r="I1556" s="55"/>
      <c r="J1556" s="55"/>
      <c r="K1556" s="344" t="s">
        <v>2643</v>
      </c>
      <c r="L1556" s="344"/>
      <c r="M1556" s="19"/>
      <c r="N1556" s="344" t="s">
        <v>2644</v>
      </c>
      <c r="O1556" s="151">
        <v>42884</v>
      </c>
      <c r="P1556" s="151"/>
      <c r="Q1556" s="151"/>
      <c r="R1556" s="151"/>
      <c r="S1556" s="152">
        <v>15205196.949999999</v>
      </c>
      <c r="T1556" s="152"/>
      <c r="U1556" s="145">
        <v>0</v>
      </c>
      <c r="V1556" s="145">
        <v>0</v>
      </c>
      <c r="W1556" s="145">
        <v>0</v>
      </c>
      <c r="X1556" s="145">
        <f t="shared" ref="X1556:X1566" si="474">W1556+V1556+U1556</f>
        <v>0</v>
      </c>
      <c r="Y1556" s="145">
        <v>0</v>
      </c>
      <c r="Z1556" s="145">
        <v>0</v>
      </c>
      <c r="AA1556" s="145">
        <v>0</v>
      </c>
      <c r="AB1556" s="145">
        <v>0</v>
      </c>
      <c r="AC1556" s="145">
        <v>0</v>
      </c>
      <c r="AD1556" s="145">
        <v>0</v>
      </c>
      <c r="AE1556" s="145">
        <v>0</v>
      </c>
      <c r="AF1556" s="145">
        <v>0</v>
      </c>
      <c r="AG1556" s="145">
        <v>0</v>
      </c>
      <c r="AH1556" s="145">
        <v>0</v>
      </c>
      <c r="AI1556" s="145">
        <v>0</v>
      </c>
      <c r="AJ1556" s="145">
        <v>0</v>
      </c>
      <c r="AK1556" s="145">
        <f t="shared" ref="AK1556:AK1567" si="475">SUM(Y1556:AJ1556)</f>
        <v>0</v>
      </c>
      <c r="AL1556" s="145">
        <v>4451227.97</v>
      </c>
      <c r="AM1556" s="145">
        <v>3161147.47</v>
      </c>
      <c r="AN1556" s="145">
        <v>2392779.86</v>
      </c>
      <c r="AO1556" s="145">
        <v>2392864.86</v>
      </c>
      <c r="AP1556" s="145">
        <v>2807176.79</v>
      </c>
      <c r="AQ1556" s="145">
        <v>0</v>
      </c>
      <c r="AR1556" s="145">
        <v>0</v>
      </c>
      <c r="AS1556" s="145">
        <f t="shared" si="473"/>
        <v>15205196.949999999</v>
      </c>
      <c r="AT1556" s="145"/>
      <c r="AU1556" s="139">
        <f t="shared" si="467"/>
        <v>15205196.949999999</v>
      </c>
      <c r="AV1556" s="146">
        <f>IFERROR(VLOOKUP(J1556,Maksājumu_pieprasījumu_iesn.!G:BL,57,0),0)</f>
        <v>0</v>
      </c>
      <c r="AW1556" s="139">
        <f t="shared" si="470"/>
        <v>-15205196.949999999</v>
      </c>
      <c r="AX1556" s="153">
        <f t="shared" ref="AX1556:AX1567" si="476">S1556-T1556-(AS1556-AT1556)</f>
        <v>0</v>
      </c>
      <c r="AY1556" s="153"/>
      <c r="AZ1556" s="153"/>
      <c r="BA1556" s="138"/>
      <c r="BB1556" s="145"/>
      <c r="BC1556" s="145"/>
      <c r="BD1556" s="145"/>
      <c r="BE1556" s="145"/>
      <c r="BF1556" s="145"/>
      <c r="BG1556" s="145"/>
      <c r="BH1556" s="138"/>
      <c r="BI1556" s="138"/>
      <c r="BJ1556" s="138"/>
      <c r="BK1556" s="138"/>
      <c r="BL1556" s="138"/>
      <c r="BM1556" s="138"/>
      <c r="BN1556" s="138"/>
    </row>
    <row r="1557" spans="1:66" s="91" customFormat="1" ht="25.5" hidden="1" customHeight="1" x14ac:dyDescent="0.2">
      <c r="A1557" s="150" t="s">
        <v>2279</v>
      </c>
      <c r="B1557" s="18" t="s">
        <v>2639</v>
      </c>
      <c r="C1557" s="18" t="s">
        <v>2641</v>
      </c>
      <c r="D1557" s="19" t="s">
        <v>2640</v>
      </c>
      <c r="E1557" s="55" t="s">
        <v>2642</v>
      </c>
      <c r="F1557" s="55" t="s">
        <v>402</v>
      </c>
      <c r="G1557" s="55" t="s">
        <v>5</v>
      </c>
      <c r="H1557" s="55" t="s">
        <v>3</v>
      </c>
      <c r="I1557" s="55"/>
      <c r="J1557" s="55"/>
      <c r="K1557" s="344" t="s">
        <v>2645</v>
      </c>
      <c r="L1557" s="344"/>
      <c r="M1557" s="19"/>
      <c r="N1557" s="344" t="s">
        <v>2646</v>
      </c>
      <c r="O1557" s="151">
        <v>42884</v>
      </c>
      <c r="P1557" s="151"/>
      <c r="Q1557" s="151"/>
      <c r="R1557" s="151"/>
      <c r="S1557" s="152">
        <v>9483571.5500000007</v>
      </c>
      <c r="T1557" s="152"/>
      <c r="U1557" s="145">
        <v>0</v>
      </c>
      <c r="V1557" s="145">
        <v>0</v>
      </c>
      <c r="W1557" s="145">
        <v>0</v>
      </c>
      <c r="X1557" s="145">
        <f t="shared" si="474"/>
        <v>0</v>
      </c>
      <c r="Y1557" s="145">
        <v>0</v>
      </c>
      <c r="Z1557" s="145">
        <v>0</v>
      </c>
      <c r="AA1557" s="145">
        <v>0</v>
      </c>
      <c r="AB1557" s="145">
        <v>0</v>
      </c>
      <c r="AC1557" s="145">
        <v>0</v>
      </c>
      <c r="AD1557" s="145">
        <v>0</v>
      </c>
      <c r="AE1557" s="145">
        <v>0</v>
      </c>
      <c r="AF1557" s="145">
        <v>0</v>
      </c>
      <c r="AG1557" s="145">
        <v>0</v>
      </c>
      <c r="AH1557" s="145">
        <v>0</v>
      </c>
      <c r="AI1557" s="145">
        <v>0</v>
      </c>
      <c r="AJ1557" s="145">
        <v>0</v>
      </c>
      <c r="AK1557" s="145">
        <f t="shared" si="475"/>
        <v>0</v>
      </c>
      <c r="AL1557" s="145">
        <v>3465679.36</v>
      </c>
      <c r="AM1557" s="145">
        <v>4843034.2300000004</v>
      </c>
      <c r="AN1557" s="145">
        <v>1174857.96</v>
      </c>
      <c r="AO1557" s="145">
        <v>0</v>
      </c>
      <c r="AP1557" s="145">
        <v>0</v>
      </c>
      <c r="AQ1557" s="145">
        <v>0</v>
      </c>
      <c r="AR1557" s="145">
        <v>0</v>
      </c>
      <c r="AS1557" s="145">
        <f t="shared" si="473"/>
        <v>9483571.5500000007</v>
      </c>
      <c r="AT1557" s="145"/>
      <c r="AU1557" s="139">
        <f t="shared" si="467"/>
        <v>9483571.5500000007</v>
      </c>
      <c r="AV1557" s="146">
        <f>IFERROR(VLOOKUP(J1557,Maksājumu_pieprasījumu_iesn.!G:BL,57,0),0)</f>
        <v>0</v>
      </c>
      <c r="AW1557" s="139">
        <f t="shared" si="470"/>
        <v>-9483571.5500000007</v>
      </c>
      <c r="AX1557" s="153">
        <f t="shared" si="476"/>
        <v>0</v>
      </c>
      <c r="AY1557" s="153"/>
      <c r="AZ1557" s="153"/>
      <c r="BA1557" s="138"/>
      <c r="BB1557" s="145"/>
      <c r="BC1557" s="145"/>
      <c r="BD1557" s="145"/>
      <c r="BE1557" s="145"/>
      <c r="BF1557" s="145"/>
      <c r="BG1557" s="145"/>
      <c r="BH1557" s="138"/>
      <c r="BI1557" s="138"/>
      <c r="BJ1557" s="138"/>
      <c r="BK1557" s="138"/>
      <c r="BL1557" s="138"/>
      <c r="BM1557" s="138"/>
      <c r="BN1557" s="138"/>
    </row>
    <row r="1558" spans="1:66" s="91" customFormat="1" ht="25.5" hidden="1" customHeight="1" x14ac:dyDescent="0.2">
      <c r="A1558" s="150" t="s">
        <v>2279</v>
      </c>
      <c r="B1558" s="18" t="s">
        <v>2639</v>
      </c>
      <c r="C1558" s="18" t="s">
        <v>2641</v>
      </c>
      <c r="D1558" s="19" t="s">
        <v>2640</v>
      </c>
      <c r="E1558" s="55" t="s">
        <v>2642</v>
      </c>
      <c r="F1558" s="55" t="s">
        <v>402</v>
      </c>
      <c r="G1558" s="55" t="s">
        <v>5</v>
      </c>
      <c r="H1558" s="55" t="s">
        <v>3</v>
      </c>
      <c r="I1558" s="55"/>
      <c r="J1558" s="55"/>
      <c r="K1558" s="344" t="s">
        <v>2647</v>
      </c>
      <c r="L1558" s="344"/>
      <c r="M1558" s="19"/>
      <c r="N1558" s="344" t="s">
        <v>2648</v>
      </c>
      <c r="O1558" s="151">
        <v>42884</v>
      </c>
      <c r="P1558" s="151"/>
      <c r="Q1558" s="151"/>
      <c r="R1558" s="151"/>
      <c r="S1558" s="152">
        <v>1520519.9500000002</v>
      </c>
      <c r="T1558" s="152"/>
      <c r="U1558" s="145">
        <v>0</v>
      </c>
      <c r="V1558" s="145">
        <v>0</v>
      </c>
      <c r="W1558" s="145">
        <v>0</v>
      </c>
      <c r="X1558" s="145">
        <f t="shared" si="474"/>
        <v>0</v>
      </c>
      <c r="Y1558" s="145">
        <v>0</v>
      </c>
      <c r="Z1558" s="145">
        <v>0</v>
      </c>
      <c r="AA1558" s="145">
        <v>0</v>
      </c>
      <c r="AB1558" s="145">
        <v>0</v>
      </c>
      <c r="AC1558" s="145">
        <v>0</v>
      </c>
      <c r="AD1558" s="145">
        <v>0</v>
      </c>
      <c r="AE1558" s="145">
        <v>0</v>
      </c>
      <c r="AF1558" s="145">
        <v>0</v>
      </c>
      <c r="AG1558" s="145">
        <v>0</v>
      </c>
      <c r="AH1558" s="145">
        <v>0</v>
      </c>
      <c r="AI1558" s="145">
        <v>0</v>
      </c>
      <c r="AJ1558" s="145">
        <v>0</v>
      </c>
      <c r="AK1558" s="145">
        <f t="shared" si="475"/>
        <v>0</v>
      </c>
      <c r="AL1558" s="145">
        <v>566542</v>
      </c>
      <c r="AM1558" s="145">
        <v>505347.64</v>
      </c>
      <c r="AN1558" s="145">
        <v>448630.31</v>
      </c>
      <c r="AO1558" s="145">
        <v>0</v>
      </c>
      <c r="AP1558" s="145">
        <v>0</v>
      </c>
      <c r="AQ1558" s="145">
        <v>0</v>
      </c>
      <c r="AR1558" s="145">
        <v>0</v>
      </c>
      <c r="AS1558" s="145">
        <f t="shared" si="473"/>
        <v>1520519.9500000002</v>
      </c>
      <c r="AT1558" s="145"/>
      <c r="AU1558" s="139">
        <f t="shared" si="467"/>
        <v>1520519.9500000002</v>
      </c>
      <c r="AV1558" s="146">
        <f>IFERROR(VLOOKUP(J1558,Maksājumu_pieprasījumu_iesn.!G:BL,57,0),0)</f>
        <v>0</v>
      </c>
      <c r="AW1558" s="139">
        <f t="shared" si="470"/>
        <v>-1520519.9500000002</v>
      </c>
      <c r="AX1558" s="153">
        <f t="shared" si="476"/>
        <v>0</v>
      </c>
      <c r="AY1558" s="153"/>
      <c r="AZ1558" s="153"/>
      <c r="BA1558" s="138"/>
      <c r="BB1558" s="145"/>
      <c r="BC1558" s="145"/>
      <c r="BD1558" s="145"/>
      <c r="BE1558" s="145"/>
      <c r="BF1558" s="145"/>
      <c r="BG1558" s="145"/>
      <c r="BH1558" s="138"/>
      <c r="BI1558" s="138"/>
      <c r="BJ1558" s="138"/>
      <c r="BK1558" s="138"/>
      <c r="BL1558" s="138"/>
      <c r="BM1558" s="138"/>
      <c r="BN1558" s="138"/>
    </row>
    <row r="1559" spans="1:66" s="91" customFormat="1" ht="25.5" hidden="1" customHeight="1" x14ac:dyDescent="0.2">
      <c r="A1559" s="150" t="s">
        <v>2279</v>
      </c>
      <c r="B1559" s="18" t="s">
        <v>2639</v>
      </c>
      <c r="C1559" s="18" t="s">
        <v>2641</v>
      </c>
      <c r="D1559" s="19" t="s">
        <v>2640</v>
      </c>
      <c r="E1559" s="55" t="s">
        <v>2642</v>
      </c>
      <c r="F1559" s="55" t="s">
        <v>402</v>
      </c>
      <c r="G1559" s="55" t="s">
        <v>5</v>
      </c>
      <c r="H1559" s="55" t="s">
        <v>3</v>
      </c>
      <c r="I1559" s="55"/>
      <c r="J1559" s="55"/>
      <c r="K1559" s="344" t="s">
        <v>2649</v>
      </c>
      <c r="L1559" s="344"/>
      <c r="M1559" s="19"/>
      <c r="N1559" s="344" t="s">
        <v>2650</v>
      </c>
      <c r="O1559" s="151">
        <v>42884</v>
      </c>
      <c r="P1559" s="151"/>
      <c r="Q1559" s="151"/>
      <c r="R1559" s="151"/>
      <c r="S1559" s="152">
        <v>996987.95</v>
      </c>
      <c r="T1559" s="152"/>
      <c r="U1559" s="145">
        <v>0</v>
      </c>
      <c r="V1559" s="145">
        <v>0</v>
      </c>
      <c r="W1559" s="145">
        <v>0</v>
      </c>
      <c r="X1559" s="145">
        <f t="shared" si="474"/>
        <v>0</v>
      </c>
      <c r="Y1559" s="145">
        <v>0</v>
      </c>
      <c r="Z1559" s="145">
        <v>0</v>
      </c>
      <c r="AA1559" s="145">
        <v>0</v>
      </c>
      <c r="AB1559" s="145">
        <v>0</v>
      </c>
      <c r="AC1559" s="145">
        <v>0</v>
      </c>
      <c r="AD1559" s="145">
        <v>0</v>
      </c>
      <c r="AE1559" s="145">
        <v>0</v>
      </c>
      <c r="AF1559" s="145">
        <v>0</v>
      </c>
      <c r="AG1559" s="145">
        <v>0</v>
      </c>
      <c r="AH1559" s="145">
        <v>0</v>
      </c>
      <c r="AI1559" s="145">
        <v>0</v>
      </c>
      <c r="AJ1559" s="145">
        <v>0</v>
      </c>
      <c r="AK1559" s="145">
        <f t="shared" si="475"/>
        <v>0</v>
      </c>
      <c r="AL1559" s="145">
        <v>996987.95000000007</v>
      </c>
      <c r="AM1559" s="145">
        <v>0</v>
      </c>
      <c r="AN1559" s="145">
        <v>0</v>
      </c>
      <c r="AO1559" s="145">
        <v>0</v>
      </c>
      <c r="AP1559" s="145">
        <v>0</v>
      </c>
      <c r="AQ1559" s="145">
        <v>0</v>
      </c>
      <c r="AR1559" s="145">
        <v>0</v>
      </c>
      <c r="AS1559" s="145">
        <f t="shared" si="473"/>
        <v>996987.95000000007</v>
      </c>
      <c r="AT1559" s="145"/>
      <c r="AU1559" s="139">
        <f t="shared" si="467"/>
        <v>996987.95000000007</v>
      </c>
      <c r="AV1559" s="146">
        <f>IFERROR(VLOOKUP(J1559,Maksājumu_pieprasījumu_iesn.!G:BL,57,0),0)</f>
        <v>0</v>
      </c>
      <c r="AW1559" s="139">
        <f t="shared" si="470"/>
        <v>-996987.95000000007</v>
      </c>
      <c r="AX1559" s="153">
        <f t="shared" si="476"/>
        <v>0</v>
      </c>
      <c r="AY1559" s="153"/>
      <c r="AZ1559" s="153"/>
      <c r="BA1559" s="138"/>
      <c r="BB1559" s="145"/>
      <c r="BC1559" s="145"/>
      <c r="BD1559" s="145"/>
      <c r="BE1559" s="145"/>
      <c r="BF1559" s="145"/>
      <c r="BG1559" s="145"/>
      <c r="BH1559" s="138"/>
      <c r="BI1559" s="138"/>
      <c r="BJ1559" s="138"/>
      <c r="BK1559" s="138"/>
      <c r="BL1559" s="138"/>
      <c r="BM1559" s="138"/>
      <c r="BN1559" s="138"/>
    </row>
    <row r="1560" spans="1:66" s="91" customFormat="1" ht="38.25" hidden="1" customHeight="1" x14ac:dyDescent="0.2">
      <c r="A1560" s="150" t="s">
        <v>2279</v>
      </c>
      <c r="B1560" s="18" t="s">
        <v>2639</v>
      </c>
      <c r="C1560" s="18" t="s">
        <v>2641</v>
      </c>
      <c r="D1560" s="19" t="s">
        <v>2640</v>
      </c>
      <c r="E1560" s="55" t="s">
        <v>2642</v>
      </c>
      <c r="F1560" s="55" t="s">
        <v>402</v>
      </c>
      <c r="G1560" s="55" t="s">
        <v>5</v>
      </c>
      <c r="H1560" s="55" t="s">
        <v>3</v>
      </c>
      <c r="I1560" s="55"/>
      <c r="J1560" s="55"/>
      <c r="K1560" s="344" t="s">
        <v>2651</v>
      </c>
      <c r="L1560" s="344"/>
      <c r="M1560" s="19"/>
      <c r="N1560" s="344" t="s">
        <v>2652</v>
      </c>
      <c r="O1560" s="151">
        <v>42884</v>
      </c>
      <c r="P1560" s="151"/>
      <c r="Q1560" s="151"/>
      <c r="R1560" s="151"/>
      <c r="S1560" s="152">
        <v>1520519.9500000002</v>
      </c>
      <c r="T1560" s="152"/>
      <c r="U1560" s="145">
        <v>0</v>
      </c>
      <c r="V1560" s="145">
        <v>0</v>
      </c>
      <c r="W1560" s="145">
        <v>0</v>
      </c>
      <c r="X1560" s="145">
        <f t="shared" si="474"/>
        <v>0</v>
      </c>
      <c r="Y1560" s="145">
        <v>0</v>
      </c>
      <c r="Z1560" s="145">
        <v>0</v>
      </c>
      <c r="AA1560" s="145">
        <v>0</v>
      </c>
      <c r="AB1560" s="145">
        <v>0</v>
      </c>
      <c r="AC1560" s="145">
        <v>0</v>
      </c>
      <c r="AD1560" s="145">
        <v>0</v>
      </c>
      <c r="AE1560" s="145">
        <v>0</v>
      </c>
      <c r="AF1560" s="145">
        <v>0</v>
      </c>
      <c r="AG1560" s="145">
        <v>0</v>
      </c>
      <c r="AH1560" s="145">
        <v>42304.5</v>
      </c>
      <c r="AI1560" s="145">
        <v>0</v>
      </c>
      <c r="AJ1560" s="145">
        <v>0</v>
      </c>
      <c r="AK1560" s="145">
        <f t="shared" si="475"/>
        <v>42304.5</v>
      </c>
      <c r="AL1560" s="145">
        <v>1478215.45</v>
      </c>
      <c r="AM1560" s="145">
        <v>0</v>
      </c>
      <c r="AN1560" s="145">
        <v>0</v>
      </c>
      <c r="AO1560" s="145">
        <v>0</v>
      </c>
      <c r="AP1560" s="145">
        <v>0</v>
      </c>
      <c r="AQ1560" s="145">
        <v>0</v>
      </c>
      <c r="AR1560" s="145">
        <v>0</v>
      </c>
      <c r="AS1560" s="145">
        <f t="shared" si="473"/>
        <v>1520519.95</v>
      </c>
      <c r="AT1560" s="145"/>
      <c r="AU1560" s="139">
        <f t="shared" si="467"/>
        <v>1520519.95</v>
      </c>
      <c r="AV1560" s="146">
        <f>IFERROR(VLOOKUP(J1560,Maksājumu_pieprasījumu_iesn.!G:BL,57,0),0)</f>
        <v>0</v>
      </c>
      <c r="AW1560" s="139">
        <f t="shared" si="470"/>
        <v>-1520519.95</v>
      </c>
      <c r="AX1560" s="153">
        <f t="shared" si="476"/>
        <v>0</v>
      </c>
      <c r="AY1560" s="153"/>
      <c r="AZ1560" s="153"/>
      <c r="BA1560" s="138"/>
      <c r="BB1560" s="145"/>
      <c r="BC1560" s="145"/>
      <c r="BD1560" s="145"/>
      <c r="BE1560" s="145"/>
      <c r="BF1560" s="145"/>
      <c r="BG1560" s="145"/>
      <c r="BH1560" s="138"/>
      <c r="BI1560" s="138"/>
      <c r="BJ1560" s="138"/>
      <c r="BK1560" s="138"/>
      <c r="BL1560" s="138"/>
      <c r="BM1560" s="138"/>
      <c r="BN1560" s="138"/>
    </row>
    <row r="1561" spans="1:66" s="91" customFormat="1" ht="25.5" hidden="1" customHeight="1" x14ac:dyDescent="0.2">
      <c r="A1561" s="150" t="s">
        <v>2279</v>
      </c>
      <c r="B1561" s="18" t="s">
        <v>2639</v>
      </c>
      <c r="C1561" s="18" t="s">
        <v>2641</v>
      </c>
      <c r="D1561" s="19" t="s">
        <v>2640</v>
      </c>
      <c r="E1561" s="55" t="s">
        <v>2642</v>
      </c>
      <c r="F1561" s="55" t="s">
        <v>402</v>
      </c>
      <c r="G1561" s="55" t="s">
        <v>5</v>
      </c>
      <c r="H1561" s="55" t="s">
        <v>3</v>
      </c>
      <c r="I1561" s="55"/>
      <c r="J1561" s="55"/>
      <c r="K1561" s="344" t="s">
        <v>2653</v>
      </c>
      <c r="L1561" s="344"/>
      <c r="M1561" s="19"/>
      <c r="N1561" s="344" t="s">
        <v>2654</v>
      </c>
      <c r="O1561" s="151">
        <v>42884</v>
      </c>
      <c r="P1561" s="151"/>
      <c r="Q1561" s="151"/>
      <c r="R1561" s="151"/>
      <c r="S1561" s="152">
        <v>12094373.751</v>
      </c>
      <c r="T1561" s="152"/>
      <c r="U1561" s="145">
        <v>0</v>
      </c>
      <c r="V1561" s="145">
        <v>0</v>
      </c>
      <c r="W1561" s="145">
        <v>0</v>
      </c>
      <c r="X1561" s="145">
        <f t="shared" si="474"/>
        <v>0</v>
      </c>
      <c r="Y1561" s="145">
        <v>0</v>
      </c>
      <c r="Z1561" s="145">
        <v>0</v>
      </c>
      <c r="AA1561" s="145">
        <v>0</v>
      </c>
      <c r="AB1561" s="145">
        <v>0</v>
      </c>
      <c r="AC1561" s="145">
        <v>0</v>
      </c>
      <c r="AD1561" s="145">
        <v>0</v>
      </c>
      <c r="AE1561" s="145">
        <v>0</v>
      </c>
      <c r="AF1561" s="145">
        <v>0</v>
      </c>
      <c r="AG1561" s="145">
        <v>0</v>
      </c>
      <c r="AH1561" s="145">
        <v>77337.13</v>
      </c>
      <c r="AI1561" s="145">
        <v>0</v>
      </c>
      <c r="AJ1561" s="145">
        <v>0</v>
      </c>
      <c r="AK1561" s="145">
        <f t="shared" si="475"/>
        <v>77337.13</v>
      </c>
      <c r="AL1561" s="145">
        <v>1853609.28</v>
      </c>
      <c r="AM1561" s="145">
        <v>2007100</v>
      </c>
      <c r="AN1561" s="145">
        <v>2416375</v>
      </c>
      <c r="AO1561" s="145">
        <v>2559600</v>
      </c>
      <c r="AP1561" s="145">
        <v>3180352.34</v>
      </c>
      <c r="AQ1561" s="145">
        <v>0</v>
      </c>
      <c r="AR1561" s="145">
        <v>0</v>
      </c>
      <c r="AS1561" s="145">
        <f t="shared" si="473"/>
        <v>12094373.75</v>
      </c>
      <c r="AT1561" s="145"/>
      <c r="AU1561" s="139">
        <f t="shared" si="467"/>
        <v>12094373.75</v>
      </c>
      <c r="AV1561" s="146">
        <f>IFERROR(VLOOKUP(J1561,Maksājumu_pieprasījumu_iesn.!G:BL,57,0),0)</f>
        <v>0</v>
      </c>
      <c r="AW1561" s="139">
        <f t="shared" si="470"/>
        <v>-12094373.75</v>
      </c>
      <c r="AX1561" s="153">
        <f t="shared" si="476"/>
        <v>1.0000001639127731E-3</v>
      </c>
      <c r="AY1561" s="153"/>
      <c r="AZ1561" s="153"/>
      <c r="BA1561" s="138"/>
      <c r="BB1561" s="145"/>
      <c r="BC1561" s="145"/>
      <c r="BD1561" s="145"/>
      <c r="BE1561" s="145"/>
      <c r="BF1561" s="145"/>
      <c r="BG1561" s="145"/>
      <c r="BH1561" s="138"/>
      <c r="BI1561" s="138"/>
      <c r="BJ1561" s="138"/>
      <c r="BK1561" s="138"/>
      <c r="BL1561" s="138"/>
      <c r="BM1561" s="138"/>
      <c r="BN1561" s="138"/>
    </row>
    <row r="1562" spans="1:66" s="91" customFormat="1" ht="25.5" hidden="1" customHeight="1" x14ac:dyDescent="0.2">
      <c r="A1562" s="150" t="s">
        <v>2279</v>
      </c>
      <c r="B1562" s="18" t="s">
        <v>2639</v>
      </c>
      <c r="C1562" s="18" t="s">
        <v>2641</v>
      </c>
      <c r="D1562" s="19" t="s">
        <v>2640</v>
      </c>
      <c r="E1562" s="55" t="s">
        <v>2642</v>
      </c>
      <c r="F1562" s="55" t="s">
        <v>402</v>
      </c>
      <c r="G1562" s="55" t="s">
        <v>5</v>
      </c>
      <c r="H1562" s="55" t="s">
        <v>3</v>
      </c>
      <c r="I1562" s="55"/>
      <c r="J1562" s="55"/>
      <c r="K1562" s="19" t="s">
        <v>2655</v>
      </c>
      <c r="L1562" s="19"/>
      <c r="M1562" s="19"/>
      <c r="N1562" s="19" t="s">
        <v>2656</v>
      </c>
      <c r="O1562" s="151">
        <v>42884</v>
      </c>
      <c r="P1562" s="151"/>
      <c r="Q1562" s="151"/>
      <c r="R1562" s="151"/>
      <c r="S1562" s="152">
        <v>6520112</v>
      </c>
      <c r="T1562" s="152"/>
      <c r="U1562" s="145">
        <v>0</v>
      </c>
      <c r="V1562" s="145">
        <v>0</v>
      </c>
      <c r="W1562" s="145">
        <v>0</v>
      </c>
      <c r="X1562" s="145">
        <f t="shared" si="474"/>
        <v>0</v>
      </c>
      <c r="Y1562" s="145">
        <v>0</v>
      </c>
      <c r="Z1562" s="145">
        <v>0</v>
      </c>
      <c r="AA1562" s="145">
        <v>0</v>
      </c>
      <c r="AB1562" s="145">
        <v>0</v>
      </c>
      <c r="AC1562" s="145">
        <v>0</v>
      </c>
      <c r="AD1562" s="145">
        <v>0</v>
      </c>
      <c r="AE1562" s="145">
        <v>0</v>
      </c>
      <c r="AF1562" s="145">
        <v>0</v>
      </c>
      <c r="AG1562" s="145">
        <v>0</v>
      </c>
      <c r="AH1562" s="145">
        <v>0</v>
      </c>
      <c r="AI1562" s="145">
        <v>0</v>
      </c>
      <c r="AJ1562" s="145">
        <v>0</v>
      </c>
      <c r="AK1562" s="145">
        <f t="shared" si="475"/>
        <v>0</v>
      </c>
      <c r="AL1562" s="145">
        <v>6075649</v>
      </c>
      <c r="AM1562" s="145">
        <v>444463.3</v>
      </c>
      <c r="AN1562" s="145">
        <v>0</v>
      </c>
      <c r="AO1562" s="145">
        <v>0</v>
      </c>
      <c r="AP1562" s="145">
        <v>0</v>
      </c>
      <c r="AQ1562" s="145">
        <v>0</v>
      </c>
      <c r="AR1562" s="145">
        <v>0</v>
      </c>
      <c r="AS1562" s="145">
        <f t="shared" si="473"/>
        <v>6520112.2999999998</v>
      </c>
      <c r="AT1562" s="145"/>
      <c r="AU1562" s="139">
        <f t="shared" si="467"/>
        <v>6520112.2999999998</v>
      </c>
      <c r="AV1562" s="146">
        <f>IFERROR(VLOOKUP(J1562,Maksājumu_pieprasījumu_iesn.!G:BL,57,0),0)</f>
        <v>0</v>
      </c>
      <c r="AW1562" s="139">
        <f t="shared" si="470"/>
        <v>-6520112.2999999998</v>
      </c>
      <c r="AX1562" s="153">
        <f t="shared" si="476"/>
        <v>-0.29999999981373549</v>
      </c>
      <c r="AY1562" s="153"/>
      <c r="AZ1562" s="153"/>
      <c r="BA1562" s="138"/>
      <c r="BB1562" s="145"/>
      <c r="BC1562" s="145"/>
      <c r="BD1562" s="145"/>
      <c r="BE1562" s="145"/>
      <c r="BF1562" s="145"/>
      <c r="BG1562" s="145"/>
      <c r="BH1562" s="138"/>
      <c r="BI1562" s="138"/>
      <c r="BJ1562" s="138"/>
      <c r="BK1562" s="138"/>
      <c r="BL1562" s="138"/>
      <c r="BM1562" s="138"/>
      <c r="BN1562" s="138"/>
    </row>
    <row r="1563" spans="1:66" s="91" customFormat="1" ht="25.5" hidden="1" customHeight="1" x14ac:dyDescent="0.2">
      <c r="A1563" s="150" t="s">
        <v>2279</v>
      </c>
      <c r="B1563" s="18" t="s">
        <v>2639</v>
      </c>
      <c r="C1563" s="18" t="s">
        <v>2641</v>
      </c>
      <c r="D1563" s="19" t="s">
        <v>2640</v>
      </c>
      <c r="E1563" s="55" t="s">
        <v>2642</v>
      </c>
      <c r="F1563" s="55" t="s">
        <v>402</v>
      </c>
      <c r="G1563" s="55" t="s">
        <v>5</v>
      </c>
      <c r="H1563" s="55" t="s">
        <v>3</v>
      </c>
      <c r="I1563" s="55"/>
      <c r="J1563" s="55"/>
      <c r="K1563" s="344" t="s">
        <v>2657</v>
      </c>
      <c r="L1563" s="344"/>
      <c r="M1563" s="19"/>
      <c r="N1563" s="344" t="s">
        <v>2658</v>
      </c>
      <c r="O1563" s="151">
        <v>42884</v>
      </c>
      <c r="P1563" s="151"/>
      <c r="Q1563" s="151"/>
      <c r="R1563" s="151"/>
      <c r="S1563" s="152">
        <v>8362328.9000000004</v>
      </c>
      <c r="T1563" s="152"/>
      <c r="U1563" s="145">
        <v>0</v>
      </c>
      <c r="V1563" s="145">
        <v>0</v>
      </c>
      <c r="W1563" s="145">
        <v>0</v>
      </c>
      <c r="X1563" s="145">
        <f t="shared" si="474"/>
        <v>0</v>
      </c>
      <c r="Y1563" s="145">
        <v>0</v>
      </c>
      <c r="Z1563" s="145">
        <v>0</v>
      </c>
      <c r="AA1563" s="145">
        <v>0</v>
      </c>
      <c r="AB1563" s="145">
        <v>0</v>
      </c>
      <c r="AC1563" s="145">
        <v>0</v>
      </c>
      <c r="AD1563" s="145">
        <v>0</v>
      </c>
      <c r="AE1563" s="145">
        <v>0</v>
      </c>
      <c r="AF1563" s="145">
        <v>0</v>
      </c>
      <c r="AG1563" s="145">
        <v>0</v>
      </c>
      <c r="AH1563" s="145">
        <v>18579.59</v>
      </c>
      <c r="AI1563" s="145">
        <v>0</v>
      </c>
      <c r="AJ1563" s="145">
        <v>0</v>
      </c>
      <c r="AK1563" s="145">
        <f t="shared" si="475"/>
        <v>18579.59</v>
      </c>
      <c r="AL1563" s="145">
        <v>3247000.91</v>
      </c>
      <c r="AM1563" s="145">
        <v>3601094.49</v>
      </c>
      <c r="AN1563" s="145">
        <v>1495653.9100000001</v>
      </c>
      <c r="AO1563" s="145">
        <v>0</v>
      </c>
      <c r="AP1563" s="145">
        <v>0</v>
      </c>
      <c r="AQ1563" s="145">
        <v>0</v>
      </c>
      <c r="AR1563" s="145">
        <v>0</v>
      </c>
      <c r="AS1563" s="145">
        <f t="shared" si="473"/>
        <v>8362328.9000000004</v>
      </c>
      <c r="AT1563" s="145"/>
      <c r="AU1563" s="139">
        <f t="shared" si="467"/>
        <v>8362328.9000000004</v>
      </c>
      <c r="AV1563" s="146">
        <f>IFERROR(VLOOKUP(J1563,Maksājumu_pieprasījumu_iesn.!G:BL,57,0),0)</f>
        <v>0</v>
      </c>
      <c r="AW1563" s="139">
        <f t="shared" si="470"/>
        <v>-8362328.9000000004</v>
      </c>
      <c r="AX1563" s="153">
        <f t="shared" si="476"/>
        <v>0</v>
      </c>
      <c r="AY1563" s="153"/>
      <c r="AZ1563" s="153"/>
      <c r="BA1563" s="138"/>
      <c r="BB1563" s="145"/>
      <c r="BC1563" s="145"/>
      <c r="BD1563" s="145"/>
      <c r="BE1563" s="145"/>
      <c r="BF1563" s="145"/>
      <c r="BG1563" s="145"/>
      <c r="BH1563" s="138"/>
      <c r="BI1563" s="138"/>
      <c r="BJ1563" s="138"/>
      <c r="BK1563" s="138"/>
      <c r="BL1563" s="138"/>
      <c r="BM1563" s="138"/>
      <c r="BN1563" s="138"/>
    </row>
    <row r="1564" spans="1:66" s="91" customFormat="1" ht="25.5" hidden="1" customHeight="1" x14ac:dyDescent="0.2">
      <c r="A1564" s="150" t="s">
        <v>2279</v>
      </c>
      <c r="B1564" s="18" t="s">
        <v>2639</v>
      </c>
      <c r="C1564" s="18" t="s">
        <v>2641</v>
      </c>
      <c r="D1564" s="19" t="s">
        <v>2640</v>
      </c>
      <c r="E1564" s="55" t="s">
        <v>2642</v>
      </c>
      <c r="F1564" s="55" t="s">
        <v>402</v>
      </c>
      <c r="G1564" s="55" t="s">
        <v>5</v>
      </c>
      <c r="H1564" s="55" t="s">
        <v>3</v>
      </c>
      <c r="I1564" s="55"/>
      <c r="J1564" s="55"/>
      <c r="K1564" s="344" t="s">
        <v>2659</v>
      </c>
      <c r="L1564" s="344"/>
      <c r="M1564" s="19"/>
      <c r="N1564" s="19" t="s">
        <v>2660</v>
      </c>
      <c r="O1564" s="151">
        <v>42884</v>
      </c>
      <c r="P1564" s="151"/>
      <c r="Q1564" s="151"/>
      <c r="R1564" s="151"/>
      <c r="S1564" s="152">
        <v>1824623.6</v>
      </c>
      <c r="T1564" s="152"/>
      <c r="U1564" s="145">
        <v>0</v>
      </c>
      <c r="V1564" s="145">
        <v>0</v>
      </c>
      <c r="W1564" s="145">
        <v>0</v>
      </c>
      <c r="X1564" s="145">
        <f t="shared" si="474"/>
        <v>0</v>
      </c>
      <c r="Y1564" s="145">
        <v>0</v>
      </c>
      <c r="Z1564" s="145">
        <v>0</v>
      </c>
      <c r="AA1564" s="145">
        <v>0</v>
      </c>
      <c r="AB1564" s="145">
        <v>0</v>
      </c>
      <c r="AC1564" s="145">
        <v>0</v>
      </c>
      <c r="AD1564" s="145">
        <v>0</v>
      </c>
      <c r="AE1564" s="145">
        <v>0</v>
      </c>
      <c r="AF1564" s="145">
        <v>0</v>
      </c>
      <c r="AG1564" s="145">
        <v>0</v>
      </c>
      <c r="AH1564" s="145">
        <v>79842.460000000006</v>
      </c>
      <c r="AI1564" s="145">
        <v>0</v>
      </c>
      <c r="AJ1564" s="145">
        <v>0</v>
      </c>
      <c r="AK1564" s="145">
        <f t="shared" si="475"/>
        <v>79842.460000000006</v>
      </c>
      <c r="AL1564" s="145">
        <v>1744781.1400000001</v>
      </c>
      <c r="AM1564" s="145">
        <v>0</v>
      </c>
      <c r="AN1564" s="145">
        <v>0</v>
      </c>
      <c r="AO1564" s="145">
        <v>0</v>
      </c>
      <c r="AP1564" s="145">
        <v>0</v>
      </c>
      <c r="AQ1564" s="145">
        <v>0</v>
      </c>
      <c r="AR1564" s="145">
        <v>0</v>
      </c>
      <c r="AS1564" s="145">
        <f t="shared" si="473"/>
        <v>1824623.6</v>
      </c>
      <c r="AT1564" s="145"/>
      <c r="AU1564" s="139">
        <f t="shared" si="467"/>
        <v>1824623.6</v>
      </c>
      <c r="AV1564" s="146">
        <f>IFERROR(VLOOKUP(J1564,Maksājumu_pieprasījumu_iesn.!G:BL,57,0),0)</f>
        <v>0</v>
      </c>
      <c r="AW1564" s="139">
        <f t="shared" si="470"/>
        <v>-1824623.6</v>
      </c>
      <c r="AX1564" s="153">
        <f t="shared" si="476"/>
        <v>0</v>
      </c>
      <c r="AY1564" s="153"/>
      <c r="AZ1564" s="153"/>
      <c r="BA1564" s="138"/>
      <c r="BB1564" s="145"/>
      <c r="BC1564" s="145"/>
      <c r="BD1564" s="145"/>
      <c r="BE1564" s="145"/>
      <c r="BF1564" s="145"/>
      <c r="BG1564" s="145"/>
      <c r="BH1564" s="138"/>
      <c r="BI1564" s="138"/>
      <c r="BJ1564" s="138"/>
      <c r="BK1564" s="138"/>
      <c r="BL1564" s="138"/>
      <c r="BM1564" s="138"/>
      <c r="BN1564" s="138"/>
    </row>
    <row r="1565" spans="1:66" s="91" customFormat="1" ht="25.5" hidden="1" customHeight="1" x14ac:dyDescent="0.2">
      <c r="A1565" s="150" t="s">
        <v>2279</v>
      </c>
      <c r="B1565" s="18" t="s">
        <v>2639</v>
      </c>
      <c r="C1565" s="18" t="s">
        <v>2641</v>
      </c>
      <c r="D1565" s="19" t="s">
        <v>2640</v>
      </c>
      <c r="E1565" s="55" t="s">
        <v>2642</v>
      </c>
      <c r="F1565" s="55" t="s">
        <v>402</v>
      </c>
      <c r="G1565" s="55" t="s">
        <v>5</v>
      </c>
      <c r="H1565" s="55" t="s">
        <v>3</v>
      </c>
      <c r="I1565" s="55"/>
      <c r="J1565" s="55"/>
      <c r="K1565" s="344" t="s">
        <v>2661</v>
      </c>
      <c r="L1565" s="344"/>
      <c r="M1565" s="19"/>
      <c r="N1565" s="344" t="s">
        <v>2662</v>
      </c>
      <c r="O1565" s="151">
        <v>42884</v>
      </c>
      <c r="P1565" s="151"/>
      <c r="Q1565" s="151"/>
      <c r="R1565" s="151"/>
      <c r="S1565" s="152">
        <v>5381785.2000000002</v>
      </c>
      <c r="T1565" s="152"/>
      <c r="U1565" s="145">
        <v>0</v>
      </c>
      <c r="V1565" s="145">
        <v>0</v>
      </c>
      <c r="W1565" s="145">
        <v>0</v>
      </c>
      <c r="X1565" s="145">
        <f t="shared" si="474"/>
        <v>0</v>
      </c>
      <c r="Y1565" s="145">
        <v>0</v>
      </c>
      <c r="Z1565" s="145">
        <v>0</v>
      </c>
      <c r="AA1565" s="145">
        <v>0</v>
      </c>
      <c r="AB1565" s="145">
        <v>0</v>
      </c>
      <c r="AC1565" s="145">
        <v>0</v>
      </c>
      <c r="AD1565" s="145">
        <v>0</v>
      </c>
      <c r="AE1565" s="145">
        <v>0</v>
      </c>
      <c r="AF1565" s="145">
        <v>0</v>
      </c>
      <c r="AG1565" s="145">
        <v>0</v>
      </c>
      <c r="AH1565" s="145">
        <v>149827.97</v>
      </c>
      <c r="AI1565" s="145">
        <v>0</v>
      </c>
      <c r="AJ1565" s="145">
        <v>0</v>
      </c>
      <c r="AK1565" s="145">
        <f t="shared" si="475"/>
        <v>149827.97</v>
      </c>
      <c r="AL1565" s="145">
        <v>3832250.7199999997</v>
      </c>
      <c r="AM1565" s="145">
        <v>1269665.6200000001</v>
      </c>
      <c r="AN1565" s="145">
        <v>130040.89</v>
      </c>
      <c r="AO1565" s="145">
        <v>0</v>
      </c>
      <c r="AP1565" s="145">
        <v>0</v>
      </c>
      <c r="AQ1565" s="145">
        <v>0</v>
      </c>
      <c r="AR1565" s="145">
        <v>0</v>
      </c>
      <c r="AS1565" s="145">
        <f t="shared" si="473"/>
        <v>5381785.2000000002</v>
      </c>
      <c r="AT1565" s="145"/>
      <c r="AU1565" s="139">
        <f t="shared" si="467"/>
        <v>5381785.2000000002</v>
      </c>
      <c r="AV1565" s="146">
        <f>IFERROR(VLOOKUP(J1565,Maksājumu_pieprasījumu_iesn.!G:BL,57,0),0)</f>
        <v>0</v>
      </c>
      <c r="AW1565" s="139">
        <f t="shared" si="470"/>
        <v>-5381785.2000000002</v>
      </c>
      <c r="AX1565" s="153">
        <f t="shared" si="476"/>
        <v>0</v>
      </c>
      <c r="AY1565" s="153"/>
      <c r="AZ1565" s="153"/>
      <c r="BA1565" s="138"/>
      <c r="BB1565" s="145"/>
      <c r="BC1565" s="145"/>
      <c r="BD1565" s="145"/>
      <c r="BE1565" s="145"/>
      <c r="BF1565" s="145"/>
      <c r="BG1565" s="145"/>
      <c r="BH1565" s="138"/>
      <c r="BI1565" s="138"/>
      <c r="BJ1565" s="138"/>
      <c r="BK1565" s="138"/>
      <c r="BL1565" s="138"/>
      <c r="BM1565" s="138"/>
      <c r="BN1565" s="138"/>
    </row>
    <row r="1566" spans="1:66" s="91" customFormat="1" ht="25.5" hidden="1" customHeight="1" x14ac:dyDescent="0.2">
      <c r="A1566" s="150" t="s">
        <v>2279</v>
      </c>
      <c r="B1566" s="18" t="s">
        <v>2639</v>
      </c>
      <c r="C1566" s="18" t="s">
        <v>2641</v>
      </c>
      <c r="D1566" s="19" t="s">
        <v>2640</v>
      </c>
      <c r="E1566" s="55" t="s">
        <v>2642</v>
      </c>
      <c r="F1566" s="55" t="s">
        <v>402</v>
      </c>
      <c r="G1566" s="55" t="s">
        <v>5</v>
      </c>
      <c r="H1566" s="55" t="s">
        <v>3</v>
      </c>
      <c r="I1566" s="55"/>
      <c r="J1566" s="55"/>
      <c r="K1566" s="344" t="s">
        <v>2663</v>
      </c>
      <c r="L1566" s="344"/>
      <c r="M1566" s="19"/>
      <c r="N1566" s="344" t="s">
        <v>2664</v>
      </c>
      <c r="O1566" s="151">
        <v>42884</v>
      </c>
      <c r="P1566" s="151"/>
      <c r="Q1566" s="151"/>
      <c r="R1566" s="151"/>
      <c r="S1566" s="152">
        <v>4258423.5</v>
      </c>
      <c r="T1566" s="152"/>
      <c r="U1566" s="145">
        <v>0</v>
      </c>
      <c r="V1566" s="145">
        <v>0</v>
      </c>
      <c r="W1566" s="145">
        <v>0</v>
      </c>
      <c r="X1566" s="145">
        <f t="shared" si="474"/>
        <v>0</v>
      </c>
      <c r="Y1566" s="145">
        <v>0</v>
      </c>
      <c r="Z1566" s="145">
        <v>0</v>
      </c>
      <c r="AA1566" s="145">
        <v>0</v>
      </c>
      <c r="AB1566" s="145">
        <v>0</v>
      </c>
      <c r="AC1566" s="145">
        <v>0</v>
      </c>
      <c r="AD1566" s="145">
        <v>0</v>
      </c>
      <c r="AE1566" s="145">
        <v>0</v>
      </c>
      <c r="AF1566" s="145">
        <v>0</v>
      </c>
      <c r="AG1566" s="145">
        <v>0</v>
      </c>
      <c r="AH1566" s="145">
        <v>0</v>
      </c>
      <c r="AI1566" s="145">
        <v>0</v>
      </c>
      <c r="AJ1566" s="145">
        <v>0</v>
      </c>
      <c r="AK1566" s="145">
        <f t="shared" si="475"/>
        <v>0</v>
      </c>
      <c r="AL1566" s="145">
        <v>1744625</v>
      </c>
      <c r="AM1566" s="145">
        <v>933682.5</v>
      </c>
      <c r="AN1566" s="145">
        <v>1580116</v>
      </c>
      <c r="AO1566" s="145">
        <v>0</v>
      </c>
      <c r="AP1566" s="145">
        <v>0</v>
      </c>
      <c r="AQ1566" s="145">
        <v>0</v>
      </c>
      <c r="AR1566" s="145">
        <v>0</v>
      </c>
      <c r="AS1566" s="145">
        <f t="shared" si="473"/>
        <v>4258423.5</v>
      </c>
      <c r="AT1566" s="145"/>
      <c r="AU1566" s="139">
        <f t="shared" si="467"/>
        <v>4258423.5</v>
      </c>
      <c r="AV1566" s="146">
        <f>IFERROR(VLOOKUP(J1566,Maksājumu_pieprasījumu_iesn.!G:BL,57,0),0)</f>
        <v>0</v>
      </c>
      <c r="AW1566" s="139">
        <f t="shared" si="470"/>
        <v>-4258423.5</v>
      </c>
      <c r="AX1566" s="153">
        <f t="shared" si="476"/>
        <v>0</v>
      </c>
      <c r="AY1566" s="153"/>
      <c r="AZ1566" s="153"/>
      <c r="BA1566" s="138"/>
      <c r="BB1566" s="145"/>
      <c r="BC1566" s="145"/>
      <c r="BD1566" s="145"/>
      <c r="BE1566" s="145"/>
      <c r="BF1566" s="145"/>
      <c r="BG1566" s="145"/>
      <c r="BH1566" s="138"/>
      <c r="BI1566" s="138"/>
      <c r="BJ1566" s="138"/>
      <c r="BK1566" s="138"/>
      <c r="BL1566" s="138"/>
      <c r="BM1566" s="138"/>
      <c r="BN1566" s="138"/>
    </row>
    <row r="1567" spans="1:66" s="91" customFormat="1" ht="25.5" hidden="1" customHeight="1" x14ac:dyDescent="0.2">
      <c r="A1567" s="150" t="s">
        <v>2279</v>
      </c>
      <c r="B1567" s="18" t="s">
        <v>2639</v>
      </c>
      <c r="C1567" s="18" t="s">
        <v>2641</v>
      </c>
      <c r="D1567" s="19" t="s">
        <v>2640</v>
      </c>
      <c r="E1567" s="55" t="s">
        <v>2642</v>
      </c>
      <c r="F1567" s="55" t="s">
        <v>402</v>
      </c>
      <c r="G1567" s="55" t="s">
        <v>5</v>
      </c>
      <c r="H1567" s="55" t="s">
        <v>3</v>
      </c>
      <c r="I1567" s="55"/>
      <c r="J1567" s="55"/>
      <c r="K1567" s="344" t="s">
        <v>2665</v>
      </c>
      <c r="L1567" s="344"/>
      <c r="M1567" s="19"/>
      <c r="N1567" s="344" t="s">
        <v>2666</v>
      </c>
      <c r="O1567" s="151">
        <v>42884</v>
      </c>
      <c r="P1567" s="151"/>
      <c r="Q1567" s="151"/>
      <c r="R1567" s="151"/>
      <c r="S1567" s="152">
        <v>3374076.7019999996</v>
      </c>
      <c r="T1567" s="152"/>
      <c r="U1567" s="145">
        <v>0</v>
      </c>
      <c r="V1567" s="145">
        <v>0</v>
      </c>
      <c r="W1567" s="145">
        <v>0</v>
      </c>
      <c r="X1567" s="145">
        <f>W1567+V1567+U1567</f>
        <v>0</v>
      </c>
      <c r="Y1567" s="145">
        <v>0</v>
      </c>
      <c r="Z1567" s="145">
        <v>0</v>
      </c>
      <c r="AA1567" s="145">
        <v>0</v>
      </c>
      <c r="AB1567" s="145">
        <v>0</v>
      </c>
      <c r="AC1567" s="145">
        <v>0</v>
      </c>
      <c r="AD1567" s="145">
        <v>0</v>
      </c>
      <c r="AE1567" s="145">
        <v>0</v>
      </c>
      <c r="AF1567" s="145">
        <v>0</v>
      </c>
      <c r="AG1567" s="145">
        <v>0</v>
      </c>
      <c r="AH1567" s="145">
        <v>127325.11</v>
      </c>
      <c r="AI1567" s="145">
        <v>0</v>
      </c>
      <c r="AJ1567" s="145">
        <v>0</v>
      </c>
      <c r="AK1567" s="145">
        <f t="shared" si="475"/>
        <v>127325.11</v>
      </c>
      <c r="AL1567" s="145">
        <v>1315561.06</v>
      </c>
      <c r="AM1567" s="145">
        <v>1022109.18</v>
      </c>
      <c r="AN1567" s="145">
        <v>470469.69</v>
      </c>
      <c r="AO1567" s="145">
        <v>420000.24</v>
      </c>
      <c r="AP1567" s="145">
        <v>18611.419999999998</v>
      </c>
      <c r="AQ1567" s="145">
        <v>0</v>
      </c>
      <c r="AR1567" s="145">
        <v>0</v>
      </c>
      <c r="AS1567" s="145">
        <f t="shared" si="473"/>
        <v>3374076.7</v>
      </c>
      <c r="AT1567" s="145"/>
      <c r="AU1567" s="139">
        <f t="shared" si="467"/>
        <v>3374076.7</v>
      </c>
      <c r="AV1567" s="146">
        <f>IFERROR(VLOOKUP(J1567,Maksājumu_pieprasījumu_iesn.!G:BL,57,0),0)</f>
        <v>0</v>
      </c>
      <c r="AW1567" s="139">
        <f t="shared" si="470"/>
        <v>-3374076.7</v>
      </c>
      <c r="AX1567" s="153">
        <f t="shared" si="476"/>
        <v>1.9999993965029716E-3</v>
      </c>
      <c r="AY1567" s="153"/>
      <c r="AZ1567" s="153"/>
      <c r="BA1567" s="138"/>
      <c r="BB1567" s="145"/>
      <c r="BC1567" s="145"/>
      <c r="BD1567" s="145"/>
      <c r="BE1567" s="145"/>
      <c r="BF1567" s="145"/>
      <c r="BG1567" s="145"/>
      <c r="BH1567" s="138"/>
      <c r="BI1567" s="138"/>
      <c r="BJ1567" s="138"/>
      <c r="BK1567" s="138"/>
      <c r="BL1567" s="138"/>
      <c r="BM1567" s="138"/>
      <c r="BN1567" s="138"/>
    </row>
    <row r="1568" spans="1:66" s="91" customFormat="1" ht="25.5" hidden="1" customHeight="1" x14ac:dyDescent="0.2">
      <c r="A1568" s="131" t="s">
        <v>2279</v>
      </c>
      <c r="B1568" s="132" t="s">
        <v>2639</v>
      </c>
      <c r="C1568" s="132" t="s">
        <v>2641</v>
      </c>
      <c r="D1568" s="133" t="s">
        <v>2640</v>
      </c>
      <c r="E1568" s="22" t="s">
        <v>2667</v>
      </c>
      <c r="F1568" s="22" t="s">
        <v>402</v>
      </c>
      <c r="G1568" s="22" t="s">
        <v>5</v>
      </c>
      <c r="H1568" s="22" t="s">
        <v>3</v>
      </c>
      <c r="I1568" s="22" t="s">
        <v>1022</v>
      </c>
      <c r="J1568" s="134" t="s">
        <v>1026</v>
      </c>
      <c r="K1568" s="133"/>
      <c r="L1568" s="133"/>
      <c r="M1568" s="133"/>
      <c r="N1568" s="133"/>
      <c r="O1568" s="135"/>
      <c r="P1568" s="135"/>
      <c r="Q1568" s="135"/>
      <c r="R1568" s="135"/>
      <c r="S1568" s="136">
        <v>64334618</v>
      </c>
      <c r="T1568" s="136">
        <v>0</v>
      </c>
      <c r="U1568" s="137">
        <f>SUM(U1569)</f>
        <v>0</v>
      </c>
      <c r="V1568" s="137">
        <f>SUM(V1569)</f>
        <v>0</v>
      </c>
      <c r="W1568" s="137">
        <f>SUM(W1569)</f>
        <v>0</v>
      </c>
      <c r="X1568" s="138">
        <f>U1568+V1568+W1568</f>
        <v>0</v>
      </c>
      <c r="Y1568" s="137">
        <f t="shared" ref="Y1568:AQ1568" si="477">SUM(Y1569)</f>
        <v>0</v>
      </c>
      <c r="Z1568" s="137">
        <f t="shared" si="477"/>
        <v>0</v>
      </c>
      <c r="AA1568" s="137">
        <f t="shared" si="477"/>
        <v>0</v>
      </c>
      <c r="AB1568" s="137">
        <f t="shared" si="477"/>
        <v>0</v>
      </c>
      <c r="AC1568" s="137">
        <f t="shared" si="477"/>
        <v>0</v>
      </c>
      <c r="AD1568" s="137">
        <f t="shared" si="477"/>
        <v>0</v>
      </c>
      <c r="AE1568" s="137">
        <f t="shared" si="477"/>
        <v>0</v>
      </c>
      <c r="AF1568" s="137">
        <f t="shared" si="477"/>
        <v>0</v>
      </c>
      <c r="AG1568" s="137">
        <f t="shared" si="477"/>
        <v>0</v>
      </c>
      <c r="AH1568" s="137">
        <f t="shared" si="477"/>
        <v>0</v>
      </c>
      <c r="AI1568" s="137">
        <f t="shared" si="477"/>
        <v>0</v>
      </c>
      <c r="AJ1568" s="137">
        <f t="shared" si="477"/>
        <v>184319.6586583023</v>
      </c>
      <c r="AK1568" s="137">
        <f>SUM(AK1569)</f>
        <v>184319.6586583023</v>
      </c>
      <c r="AL1568" s="137">
        <f t="shared" si="477"/>
        <v>1517714.6586197841</v>
      </c>
      <c r="AM1568" s="137">
        <f t="shared" si="477"/>
        <v>5515307.2309308238</v>
      </c>
      <c r="AN1568" s="137">
        <f t="shared" si="477"/>
        <v>12016532.019069176</v>
      </c>
      <c r="AO1568" s="137">
        <f t="shared" si="477"/>
        <v>14324127</v>
      </c>
      <c r="AP1568" s="137">
        <f t="shared" si="477"/>
        <v>22202698.5</v>
      </c>
      <c r="AQ1568" s="137">
        <f t="shared" si="477"/>
        <v>7969269.5</v>
      </c>
      <c r="AR1568" s="137">
        <f>SUM(AR1569)</f>
        <v>604649.75</v>
      </c>
      <c r="AS1568" s="137">
        <f t="shared" si="473"/>
        <v>64334618.317278087</v>
      </c>
      <c r="AT1568" s="137"/>
      <c r="AU1568" s="139">
        <f t="shared" si="467"/>
        <v>64334618.317278087</v>
      </c>
      <c r="AV1568" s="146">
        <f>IFERROR(VLOOKUP(J1568,Maksājumu_pieprasījumu_iesn.!G:BL,57,0),0)</f>
        <v>0</v>
      </c>
      <c r="AW1568" s="139">
        <f t="shared" si="470"/>
        <v>-64334618.317278087</v>
      </c>
      <c r="AX1568" s="140">
        <f>S1568-T1568-AU1568</f>
        <v>-0.31727808713912964</v>
      </c>
      <c r="AY1568" s="137">
        <f>AY1569</f>
        <v>0</v>
      </c>
      <c r="AZ1568" s="137"/>
      <c r="BA1568" s="138"/>
      <c r="BB1568" s="140"/>
      <c r="BC1568" s="140">
        <f>X1568+AK1568+AL1568/2</f>
        <v>943176.9879681943</v>
      </c>
      <c r="BD1568" s="140"/>
      <c r="BE1568" s="140">
        <f>BC1568/0.85</f>
        <v>1109619.9858449346</v>
      </c>
      <c r="BF1568" s="137"/>
      <c r="BG1568" s="137"/>
      <c r="BH1568" s="138">
        <v>0</v>
      </c>
      <c r="BI1568" s="138">
        <v>0</v>
      </c>
      <c r="BJ1568" s="138"/>
      <c r="BK1568" s="138"/>
      <c r="BL1568" s="138">
        <v>0</v>
      </c>
      <c r="BM1568" s="138"/>
      <c r="BN1568" s="138"/>
    </row>
    <row r="1569" spans="1:66" s="91" customFormat="1" ht="25.5" hidden="1" customHeight="1" x14ac:dyDescent="0.2">
      <c r="A1569" s="150" t="s">
        <v>2279</v>
      </c>
      <c r="B1569" s="18" t="s">
        <v>2639</v>
      </c>
      <c r="C1569" s="18" t="s">
        <v>2641</v>
      </c>
      <c r="D1569" s="19" t="s">
        <v>2640</v>
      </c>
      <c r="E1569" s="55" t="s">
        <v>2667</v>
      </c>
      <c r="F1569" s="55" t="s">
        <v>402</v>
      </c>
      <c r="G1569" s="55" t="s">
        <v>5</v>
      </c>
      <c r="H1569" s="55" t="s">
        <v>3</v>
      </c>
      <c r="I1569" s="55"/>
      <c r="J1569" s="55"/>
      <c r="K1569" s="19" t="s">
        <v>2668</v>
      </c>
      <c r="L1569" s="19"/>
      <c r="M1569" s="19"/>
      <c r="N1569" s="19" t="s">
        <v>2669</v>
      </c>
      <c r="O1569" s="151">
        <v>42943</v>
      </c>
      <c r="P1569" s="151"/>
      <c r="Q1569" s="151"/>
      <c r="R1569" s="151"/>
      <c r="S1569" s="152">
        <v>64334618</v>
      </c>
      <c r="T1569" s="152"/>
      <c r="U1569" s="145">
        <v>0</v>
      </c>
      <c r="V1569" s="145">
        <v>0</v>
      </c>
      <c r="W1569" s="145">
        <v>0</v>
      </c>
      <c r="X1569" s="145">
        <f>W1569+V1569+U1569</f>
        <v>0</v>
      </c>
      <c r="Y1569" s="145">
        <v>0</v>
      </c>
      <c r="Z1569" s="145">
        <v>0</v>
      </c>
      <c r="AA1569" s="145">
        <v>0</v>
      </c>
      <c r="AB1569" s="145">
        <v>0</v>
      </c>
      <c r="AC1569" s="145">
        <v>0</v>
      </c>
      <c r="AD1569" s="145">
        <v>0</v>
      </c>
      <c r="AE1569" s="145">
        <v>0</v>
      </c>
      <c r="AF1569" s="145">
        <v>0</v>
      </c>
      <c r="AG1569" s="145">
        <v>0</v>
      </c>
      <c r="AH1569" s="145">
        <v>0</v>
      </c>
      <c r="AI1569" s="145">
        <v>0</v>
      </c>
      <c r="AJ1569" s="145">
        <v>184319.6586583023</v>
      </c>
      <c r="AK1569" s="145">
        <f>SUM(Y1569:AJ1569)</f>
        <v>184319.6586583023</v>
      </c>
      <c r="AL1569" s="145">
        <v>1517714.6586197841</v>
      </c>
      <c r="AM1569" s="145">
        <v>5515307.2309308238</v>
      </c>
      <c r="AN1569" s="145">
        <v>12016532.019069176</v>
      </c>
      <c r="AO1569" s="145">
        <v>14324127</v>
      </c>
      <c r="AP1569" s="145">
        <v>22202698.5</v>
      </c>
      <c r="AQ1569" s="145">
        <v>7969269.5</v>
      </c>
      <c r="AR1569" s="145">
        <v>604649.75</v>
      </c>
      <c r="AS1569" s="145">
        <f t="shared" si="473"/>
        <v>64334618.317278087</v>
      </c>
      <c r="AT1569" s="145"/>
      <c r="AU1569" s="139">
        <f t="shared" si="467"/>
        <v>64334618.317278087</v>
      </c>
      <c r="AV1569" s="146">
        <f>IFERROR(VLOOKUP(J1569,Maksājumu_pieprasījumu_iesn.!G:BL,57,0),0)</f>
        <v>0</v>
      </c>
      <c r="AW1569" s="139">
        <f t="shared" si="470"/>
        <v>-64334618.317278087</v>
      </c>
      <c r="AX1569" s="153">
        <f>S1569-T1569-(AS1569-AT1569)</f>
        <v>-0.31727808713912964</v>
      </c>
      <c r="AY1569" s="153"/>
      <c r="AZ1569" s="153"/>
      <c r="BA1569" s="138"/>
      <c r="BB1569" s="145"/>
      <c r="BC1569" s="145"/>
      <c r="BD1569" s="145"/>
      <c r="BE1569" s="145"/>
      <c r="BF1569" s="145"/>
      <c r="BG1569" s="145"/>
      <c r="BH1569" s="138"/>
      <c r="BI1569" s="138"/>
      <c r="BJ1569" s="138"/>
      <c r="BK1569" s="138"/>
      <c r="BL1569" s="138"/>
      <c r="BM1569" s="138"/>
      <c r="BN1569" s="138"/>
    </row>
    <row r="1570" spans="1:66" s="91" customFormat="1" ht="25.5" hidden="1" customHeight="1" x14ac:dyDescent="0.2">
      <c r="A1570" s="131" t="s">
        <v>2279</v>
      </c>
      <c r="B1570" s="132" t="s">
        <v>2639</v>
      </c>
      <c r="C1570" s="132" t="s">
        <v>2641</v>
      </c>
      <c r="D1570" s="133" t="s">
        <v>2640</v>
      </c>
      <c r="E1570" s="22" t="s">
        <v>2194</v>
      </c>
      <c r="F1570" s="22" t="s">
        <v>402</v>
      </c>
      <c r="G1570" s="22" t="s">
        <v>5</v>
      </c>
      <c r="H1570" s="22" t="s">
        <v>3</v>
      </c>
      <c r="I1570" s="22" t="s">
        <v>1022</v>
      </c>
      <c r="J1570" s="134" t="s">
        <v>1026</v>
      </c>
      <c r="K1570" s="133"/>
      <c r="L1570" s="133"/>
      <c r="M1570" s="133"/>
      <c r="N1570" s="133"/>
      <c r="O1570" s="135"/>
      <c r="P1570" s="135"/>
      <c r="Q1570" s="135"/>
      <c r="R1570" s="135"/>
      <c r="S1570" s="136">
        <v>17259114</v>
      </c>
      <c r="T1570" s="136">
        <v>9279588</v>
      </c>
      <c r="U1570" s="137">
        <f>SUM(U1571)</f>
        <v>0</v>
      </c>
      <c r="V1570" s="137">
        <f>SUM(V1571)</f>
        <v>0</v>
      </c>
      <c r="W1570" s="137">
        <f>SUM(W1571)</f>
        <v>0</v>
      </c>
      <c r="X1570" s="138">
        <f>U1570+V1570+W1570</f>
        <v>0</v>
      </c>
      <c r="Y1570" s="137">
        <f t="shared" ref="Y1570:AR1570" si="478">SUM(Y1571)</f>
        <v>0</v>
      </c>
      <c r="Z1570" s="137">
        <f t="shared" si="478"/>
        <v>0</v>
      </c>
      <c r="AA1570" s="137">
        <f t="shared" si="478"/>
        <v>0</v>
      </c>
      <c r="AB1570" s="137">
        <f t="shared" si="478"/>
        <v>0</v>
      </c>
      <c r="AC1570" s="137">
        <f t="shared" si="478"/>
        <v>0</v>
      </c>
      <c r="AD1570" s="137">
        <f t="shared" si="478"/>
        <v>0</v>
      </c>
      <c r="AE1570" s="137">
        <f t="shared" si="478"/>
        <v>0</v>
      </c>
      <c r="AF1570" s="137">
        <f t="shared" si="478"/>
        <v>0</v>
      </c>
      <c r="AG1570" s="137">
        <f t="shared" si="478"/>
        <v>0</v>
      </c>
      <c r="AH1570" s="137">
        <f t="shared" si="478"/>
        <v>0</v>
      </c>
      <c r="AI1570" s="137">
        <f t="shared" si="478"/>
        <v>0</v>
      </c>
      <c r="AJ1570" s="137">
        <f t="shared" si="478"/>
        <v>0</v>
      </c>
      <c r="AK1570" s="137">
        <f t="shared" si="478"/>
        <v>0</v>
      </c>
      <c r="AL1570" s="137">
        <f>SUM(AL1571)</f>
        <v>0</v>
      </c>
      <c r="AM1570" s="137">
        <f t="shared" si="478"/>
        <v>0</v>
      </c>
      <c r="AN1570" s="137">
        <f t="shared" si="478"/>
        <v>0</v>
      </c>
      <c r="AO1570" s="137">
        <f t="shared" si="478"/>
        <v>0</v>
      </c>
      <c r="AP1570" s="137">
        <f t="shared" si="478"/>
        <v>0</v>
      </c>
      <c r="AQ1570" s="137">
        <f t="shared" si="478"/>
        <v>0</v>
      </c>
      <c r="AR1570" s="137">
        <f t="shared" si="478"/>
        <v>0</v>
      </c>
      <c r="AS1570" s="137">
        <f t="shared" si="473"/>
        <v>0</v>
      </c>
      <c r="AT1570" s="137">
        <f>AT1571</f>
        <v>0</v>
      </c>
      <c r="AU1570" s="139">
        <f t="shared" si="467"/>
        <v>0</v>
      </c>
      <c r="AV1570" s="146">
        <f>IFERROR(VLOOKUP(J1570,Maksājumu_pieprasījumu_iesn.!G:BL,57,0),0)</f>
        <v>0</v>
      </c>
      <c r="AW1570" s="139">
        <f t="shared" si="470"/>
        <v>0</v>
      </c>
      <c r="AX1570" s="140">
        <f>S1570-T1570-AU1570</f>
        <v>7979526</v>
      </c>
      <c r="AY1570" s="137">
        <v>7979526</v>
      </c>
      <c r="AZ1570" s="137"/>
      <c r="BA1570" s="138" t="s">
        <v>2526</v>
      </c>
      <c r="BB1570" s="140"/>
      <c r="BC1570" s="140">
        <f>X1570+AK1570+AL1570/2</f>
        <v>0</v>
      </c>
      <c r="BD1570" s="140"/>
      <c r="BE1570" s="140">
        <f>BC1570/0.85</f>
        <v>0</v>
      </c>
      <c r="BF1570" s="137"/>
      <c r="BG1570" s="137"/>
      <c r="BH1570" s="138">
        <v>0</v>
      </c>
      <c r="BI1570" s="138">
        <v>0</v>
      </c>
      <c r="BJ1570" s="138"/>
      <c r="BK1570" s="138"/>
      <c r="BL1570" s="138">
        <v>0</v>
      </c>
      <c r="BM1570" s="138"/>
      <c r="BN1570" s="138"/>
    </row>
    <row r="1571" spans="1:66" s="91" customFormat="1" ht="25.5" hidden="1" customHeight="1" x14ac:dyDescent="0.2">
      <c r="A1571" s="150" t="s">
        <v>2279</v>
      </c>
      <c r="B1571" s="355" t="s">
        <v>2639</v>
      </c>
      <c r="C1571" s="355" t="s">
        <v>2641</v>
      </c>
      <c r="D1571" s="356" t="s">
        <v>2640</v>
      </c>
      <c r="E1571" s="114" t="s">
        <v>2194</v>
      </c>
      <c r="F1571" s="114" t="s">
        <v>402</v>
      </c>
      <c r="G1571" s="114" t="s">
        <v>5</v>
      </c>
      <c r="H1571" s="114" t="s">
        <v>3</v>
      </c>
      <c r="I1571" s="114"/>
      <c r="J1571" s="114"/>
      <c r="K1571" s="356"/>
      <c r="L1571" s="356"/>
      <c r="M1571" s="356"/>
      <c r="N1571" s="356"/>
      <c r="O1571" s="357"/>
      <c r="P1571" s="357"/>
      <c r="Q1571" s="357"/>
      <c r="R1571" s="357"/>
      <c r="S1571" s="117"/>
      <c r="T1571" s="117"/>
      <c r="U1571" s="358">
        <v>0</v>
      </c>
      <c r="V1571" s="358">
        <v>0</v>
      </c>
      <c r="W1571" s="358">
        <v>0</v>
      </c>
      <c r="X1571" s="358">
        <f>W1571+V1571+U1571</f>
        <v>0</v>
      </c>
      <c r="Y1571" s="358">
        <v>0</v>
      </c>
      <c r="Z1571" s="358">
        <v>0</v>
      </c>
      <c r="AA1571" s="358">
        <v>0</v>
      </c>
      <c r="AB1571" s="358">
        <v>0</v>
      </c>
      <c r="AC1571" s="358">
        <v>0</v>
      </c>
      <c r="AD1571" s="358">
        <v>0</v>
      </c>
      <c r="AE1571" s="358">
        <v>0</v>
      </c>
      <c r="AF1571" s="358">
        <v>0</v>
      </c>
      <c r="AG1571" s="358">
        <v>0</v>
      </c>
      <c r="AH1571" s="358">
        <v>0</v>
      </c>
      <c r="AI1571" s="358">
        <v>0</v>
      </c>
      <c r="AJ1571" s="358">
        <v>0</v>
      </c>
      <c r="AK1571" s="358">
        <f>SUM(Y1571:AJ1571)</f>
        <v>0</v>
      </c>
      <c r="AL1571" s="358">
        <v>0</v>
      </c>
      <c r="AM1571" s="358">
        <v>0</v>
      </c>
      <c r="AN1571" s="358">
        <v>0</v>
      </c>
      <c r="AO1571" s="358">
        <v>0</v>
      </c>
      <c r="AP1571" s="358">
        <v>0</v>
      </c>
      <c r="AQ1571" s="358">
        <v>0</v>
      </c>
      <c r="AR1571" s="358">
        <v>0</v>
      </c>
      <c r="AS1571" s="358">
        <f t="shared" si="473"/>
        <v>0</v>
      </c>
      <c r="AT1571" s="358">
        <v>0</v>
      </c>
      <c r="AU1571" s="139">
        <f t="shared" si="467"/>
        <v>0</v>
      </c>
      <c r="AV1571" s="146">
        <f>IFERROR(VLOOKUP(J1571,Maksājumu_pieprasījumu_iesn.!G:BL,57,0),0)</f>
        <v>0</v>
      </c>
      <c r="AW1571" s="139">
        <f t="shared" si="470"/>
        <v>0</v>
      </c>
      <c r="AX1571" s="358"/>
      <c r="AY1571" s="358"/>
      <c r="AZ1571" s="358"/>
      <c r="BA1571" s="360"/>
      <c r="BB1571" s="358"/>
      <c r="BC1571" s="358"/>
      <c r="BD1571" s="358"/>
      <c r="BE1571" s="358"/>
      <c r="BF1571" s="358"/>
      <c r="BG1571" s="358"/>
      <c r="BH1571" s="360"/>
      <c r="BI1571" s="360"/>
      <c r="BJ1571" s="360"/>
      <c r="BK1571" s="360"/>
      <c r="BL1571" s="360"/>
      <c r="BM1571" s="360"/>
      <c r="BN1571" s="360"/>
    </row>
    <row r="1572" spans="1:66" s="91" customFormat="1" ht="12.75" hidden="1" customHeight="1" x14ac:dyDescent="0.2">
      <c r="A1572" s="190" t="s">
        <v>2670</v>
      </c>
      <c r="B1572" s="120" t="s">
        <v>1020</v>
      </c>
      <c r="C1572" s="121" t="s">
        <v>77</v>
      </c>
      <c r="D1572" s="122" t="s">
        <v>2671</v>
      </c>
      <c r="E1572" s="121"/>
      <c r="F1572" s="121"/>
      <c r="G1572" s="121" t="s">
        <v>77</v>
      </c>
      <c r="H1572" s="121"/>
      <c r="I1572" s="121"/>
      <c r="J1572" s="123"/>
      <c r="K1572" s="191"/>
      <c r="L1572" s="191"/>
      <c r="M1572" s="191"/>
      <c r="N1572" s="191"/>
      <c r="O1572" s="192"/>
      <c r="P1572" s="192"/>
      <c r="Q1572" s="192"/>
      <c r="R1572" s="192"/>
      <c r="S1572" s="179">
        <f>S1573+S1578</f>
        <v>21420040</v>
      </c>
      <c r="T1572" s="179">
        <f>T1573+T1578</f>
        <v>0</v>
      </c>
      <c r="U1572" s="179">
        <f>U1573+U1578</f>
        <v>0</v>
      </c>
      <c r="V1572" s="179">
        <f>V1573+V1578</f>
        <v>0</v>
      </c>
      <c r="W1572" s="179">
        <f>W1573+W1578</f>
        <v>236700.41</v>
      </c>
      <c r="X1572" s="125">
        <f>U1572+V1572+W1572</f>
        <v>236700.41</v>
      </c>
      <c r="Y1572" s="179">
        <f t="shared" ref="Y1572:AT1572" si="479">Y1573+Y1578</f>
        <v>170113.56999999998</v>
      </c>
      <c r="Z1572" s="179">
        <f t="shared" si="479"/>
        <v>10941.4</v>
      </c>
      <c r="AA1572" s="179">
        <f t="shared" si="479"/>
        <v>0</v>
      </c>
      <c r="AB1572" s="179">
        <f t="shared" si="479"/>
        <v>272283.55000000005</v>
      </c>
      <c r="AC1572" s="179">
        <f t="shared" si="479"/>
        <v>8245</v>
      </c>
      <c r="AD1572" s="179">
        <f t="shared" si="479"/>
        <v>0</v>
      </c>
      <c r="AE1572" s="179">
        <f t="shared" si="479"/>
        <v>418262.36</v>
      </c>
      <c r="AF1572" s="179">
        <f t="shared" si="479"/>
        <v>8160</v>
      </c>
      <c r="AG1572" s="179">
        <f t="shared" si="479"/>
        <v>0</v>
      </c>
      <c r="AH1572" s="179">
        <f t="shared" si="479"/>
        <v>523884.09</v>
      </c>
      <c r="AI1572" s="179">
        <f t="shared" si="479"/>
        <v>8500</v>
      </c>
      <c r="AJ1572" s="179">
        <f t="shared" si="479"/>
        <v>0</v>
      </c>
      <c r="AK1572" s="179">
        <f>AK1573+AK1578</f>
        <v>1420389.97</v>
      </c>
      <c r="AL1572" s="179">
        <f t="shared" si="479"/>
        <v>2952362.5</v>
      </c>
      <c r="AM1572" s="179">
        <f t="shared" si="479"/>
        <v>985282.83</v>
      </c>
      <c r="AN1572" s="179">
        <f t="shared" si="479"/>
        <v>0</v>
      </c>
      <c r="AO1572" s="179">
        <f t="shared" si="479"/>
        <v>0</v>
      </c>
      <c r="AP1572" s="179">
        <f t="shared" si="479"/>
        <v>0</v>
      </c>
      <c r="AQ1572" s="179">
        <f t="shared" si="479"/>
        <v>0</v>
      </c>
      <c r="AR1572" s="179">
        <f t="shared" si="479"/>
        <v>0</v>
      </c>
      <c r="AS1572" s="179">
        <f>AS1573+AS1578</f>
        <v>5594735.71</v>
      </c>
      <c r="AT1572" s="179">
        <f t="shared" si="479"/>
        <v>0</v>
      </c>
      <c r="AU1572" s="351">
        <f>AS1572-AT1572</f>
        <v>5594735.71</v>
      </c>
      <c r="AV1572" s="146">
        <f>IFERROR(VLOOKUP(J1572,Maksājumu_pieprasījumu_iesn.!G:BL,57,0),0)</f>
        <v>0</v>
      </c>
      <c r="AW1572" s="139">
        <f t="shared" si="470"/>
        <v>-5594735.71</v>
      </c>
      <c r="AX1572" s="179">
        <f>AX1573+AX1578</f>
        <v>15825304.289999999</v>
      </c>
      <c r="AY1572" s="179">
        <f>AY1573+AY1578</f>
        <v>15825305</v>
      </c>
      <c r="AZ1572" s="179"/>
      <c r="BA1572" s="179"/>
      <c r="BB1572" s="179"/>
      <c r="BC1572" s="125"/>
      <c r="BD1572" s="179">
        <v>0</v>
      </c>
      <c r="BE1572" s="179">
        <f>BE1573+BE1578</f>
        <v>3581758.7963529415</v>
      </c>
      <c r="BF1572" s="125"/>
      <c r="BG1572" s="179">
        <f t="shared" ref="BG1572:BN1572" si="480">BG1573+BG1578</f>
        <v>0</v>
      </c>
      <c r="BH1572" s="125">
        <f t="shared" si="480"/>
        <v>236546.25</v>
      </c>
      <c r="BI1572" s="125">
        <f t="shared" si="480"/>
        <v>1541079</v>
      </c>
      <c r="BJ1572" s="125">
        <f>BJ1573+BJ1578</f>
        <v>1420389.97</v>
      </c>
      <c r="BK1572" s="125">
        <f>BK1573+BK1578</f>
        <v>20209.429999999935</v>
      </c>
      <c r="BL1572" s="125">
        <f t="shared" si="480"/>
        <v>5277374.92</v>
      </c>
      <c r="BM1572" s="125">
        <f t="shared" si="480"/>
        <v>839614.04420000012</v>
      </c>
      <c r="BN1572" s="125">
        <f t="shared" si="480"/>
        <v>-697741.87579999981</v>
      </c>
    </row>
    <row r="1573" spans="1:66" s="91" customFormat="1" ht="25.5" hidden="1" x14ac:dyDescent="0.2">
      <c r="A1573" s="127" t="s">
        <v>2670</v>
      </c>
      <c r="B1573" s="163" t="s">
        <v>452</v>
      </c>
      <c r="C1573" s="127" t="s">
        <v>1023</v>
      </c>
      <c r="D1573" s="128" t="s">
        <v>608</v>
      </c>
      <c r="E1573" s="127"/>
      <c r="F1573" s="127"/>
      <c r="G1573" s="127" t="s">
        <v>77</v>
      </c>
      <c r="H1573" s="127"/>
      <c r="I1573" s="127"/>
      <c r="J1573" s="127"/>
      <c r="K1573" s="128"/>
      <c r="L1573" s="128"/>
      <c r="M1573" s="128"/>
      <c r="N1573" s="128"/>
      <c r="O1573" s="163"/>
      <c r="P1573" s="163"/>
      <c r="Q1573" s="163"/>
      <c r="R1573" s="163"/>
      <c r="S1573" s="164">
        <f t="shared" ref="S1573:AT1573" si="481">S1574+S1576</f>
        <v>15300000</v>
      </c>
      <c r="T1573" s="164">
        <f t="shared" si="481"/>
        <v>0</v>
      </c>
      <c r="U1573" s="164">
        <f t="shared" si="481"/>
        <v>0</v>
      </c>
      <c r="V1573" s="164">
        <f t="shared" si="481"/>
        <v>0</v>
      </c>
      <c r="W1573" s="164">
        <f t="shared" si="481"/>
        <v>5037.17</v>
      </c>
      <c r="X1573" s="164">
        <f t="shared" si="481"/>
        <v>5037.17</v>
      </c>
      <c r="Y1573" s="164">
        <f t="shared" si="481"/>
        <v>16094.52</v>
      </c>
      <c r="Z1573" s="164">
        <f t="shared" si="481"/>
        <v>0</v>
      </c>
      <c r="AA1573" s="164">
        <f t="shared" si="481"/>
        <v>0</v>
      </c>
      <c r="AB1573" s="164">
        <f t="shared" si="481"/>
        <v>106250</v>
      </c>
      <c r="AC1573" s="164">
        <f t="shared" si="481"/>
        <v>0</v>
      </c>
      <c r="AD1573" s="164">
        <f t="shared" si="481"/>
        <v>0</v>
      </c>
      <c r="AE1573" s="164">
        <f t="shared" si="481"/>
        <v>212500</v>
      </c>
      <c r="AF1573" s="164">
        <f t="shared" si="481"/>
        <v>0</v>
      </c>
      <c r="AG1573" s="164">
        <f t="shared" si="481"/>
        <v>0</v>
      </c>
      <c r="AH1573" s="164">
        <f t="shared" si="481"/>
        <v>284201.02</v>
      </c>
      <c r="AI1573" s="164">
        <f t="shared" si="481"/>
        <v>0</v>
      </c>
      <c r="AJ1573" s="164">
        <f t="shared" si="481"/>
        <v>0</v>
      </c>
      <c r="AK1573" s="164">
        <f t="shared" si="481"/>
        <v>619045.54</v>
      </c>
      <c r="AL1573" s="164">
        <f t="shared" si="481"/>
        <v>2059156.07</v>
      </c>
      <c r="AM1573" s="164">
        <f t="shared" si="481"/>
        <v>655922.47</v>
      </c>
      <c r="AN1573" s="164">
        <f t="shared" si="481"/>
        <v>0</v>
      </c>
      <c r="AO1573" s="164">
        <f t="shared" si="481"/>
        <v>0</v>
      </c>
      <c r="AP1573" s="164">
        <f t="shared" si="481"/>
        <v>0</v>
      </c>
      <c r="AQ1573" s="164">
        <f t="shared" si="481"/>
        <v>0</v>
      </c>
      <c r="AR1573" s="164">
        <f t="shared" si="481"/>
        <v>0</v>
      </c>
      <c r="AS1573" s="164">
        <f t="shared" si="481"/>
        <v>3339161.25</v>
      </c>
      <c r="AT1573" s="164">
        <f t="shared" si="481"/>
        <v>0</v>
      </c>
      <c r="AU1573" s="183">
        <f t="shared" si="467"/>
        <v>3339161.25</v>
      </c>
      <c r="AV1573" s="146">
        <f>IFERROR(VLOOKUP(J1573,Maksājumu_pieprasījumu_iesn.!G:BL,57,0),0)</f>
        <v>0</v>
      </c>
      <c r="AW1573" s="139">
        <f t="shared" si="470"/>
        <v>-3339161.25</v>
      </c>
      <c r="AX1573" s="164">
        <f>AX1574+AX1576</f>
        <v>11960838.75</v>
      </c>
      <c r="AY1573" s="164">
        <f>AY1574+AY1576</f>
        <v>11960839</v>
      </c>
      <c r="AZ1573" s="164"/>
      <c r="BA1573" s="164"/>
      <c r="BB1573" s="164">
        <f t="shared" ref="BB1573:BN1573" si="482">BB1574+BB1576</f>
        <v>0</v>
      </c>
      <c r="BC1573" s="164">
        <f t="shared" si="482"/>
        <v>1653660.7450000001</v>
      </c>
      <c r="BD1573" s="164">
        <f t="shared" si="482"/>
        <v>0</v>
      </c>
      <c r="BE1573" s="164">
        <f t="shared" si="482"/>
        <v>1945483.229411765</v>
      </c>
      <c r="BF1573" s="164">
        <f t="shared" si="482"/>
        <v>0</v>
      </c>
      <c r="BG1573" s="164">
        <f t="shared" si="482"/>
        <v>0</v>
      </c>
      <c r="BH1573" s="164">
        <f t="shared" si="482"/>
        <v>5037.17</v>
      </c>
      <c r="BI1573" s="164">
        <f t="shared" si="482"/>
        <v>759944</v>
      </c>
      <c r="BJ1573" s="164">
        <f>AK1573</f>
        <v>619045.54</v>
      </c>
      <c r="BK1573" s="164">
        <f t="shared" si="482"/>
        <v>0</v>
      </c>
      <c r="BL1573" s="164">
        <f t="shared" si="482"/>
        <v>3740019</v>
      </c>
      <c r="BM1573" s="164">
        <f t="shared" si="482"/>
        <v>0</v>
      </c>
      <c r="BN1573" s="164">
        <f t="shared" si="482"/>
        <v>0</v>
      </c>
    </row>
    <row r="1574" spans="1:66" s="91" customFormat="1" ht="114.75" hidden="1" customHeight="1" x14ac:dyDescent="0.2">
      <c r="A1574" s="131" t="s">
        <v>2670</v>
      </c>
      <c r="B1574" s="132" t="s">
        <v>452</v>
      </c>
      <c r="C1574" s="132" t="s">
        <v>453</v>
      </c>
      <c r="D1574" s="133" t="s">
        <v>608</v>
      </c>
      <c r="E1574" s="22">
        <v>1</v>
      </c>
      <c r="F1574" s="22" t="s">
        <v>454</v>
      </c>
      <c r="G1574" s="22" t="s">
        <v>77</v>
      </c>
      <c r="H1574" s="22" t="s">
        <v>3</v>
      </c>
      <c r="I1574" s="22" t="s">
        <v>1022</v>
      </c>
      <c r="J1574" s="134" t="s">
        <v>1026</v>
      </c>
      <c r="K1574" s="133"/>
      <c r="L1574" s="133"/>
      <c r="M1574" s="133"/>
      <c r="N1574" s="133"/>
      <c r="O1574" s="135"/>
      <c r="P1574" s="135"/>
      <c r="Q1574" s="135"/>
      <c r="R1574" s="135"/>
      <c r="S1574" s="136">
        <v>4505000</v>
      </c>
      <c r="T1574" s="136">
        <v>0</v>
      </c>
      <c r="U1574" s="137">
        <f>SUM(U1575)</f>
        <v>0</v>
      </c>
      <c r="V1574" s="137">
        <f>SUM(V1575)</f>
        <v>0</v>
      </c>
      <c r="W1574" s="137">
        <f>SUM(W1575)</f>
        <v>5037.17</v>
      </c>
      <c r="X1574" s="138">
        <f>U1574+V1574+W1574</f>
        <v>5037.17</v>
      </c>
      <c r="Y1574" s="137">
        <f t="shared" ref="Y1574:AR1574" si="483">SUM(Y1575)</f>
        <v>16094.52</v>
      </c>
      <c r="Z1574" s="137">
        <f t="shared" si="483"/>
        <v>0</v>
      </c>
      <c r="AA1574" s="137">
        <f t="shared" si="483"/>
        <v>0</v>
      </c>
      <c r="AB1574" s="137">
        <f t="shared" si="483"/>
        <v>106250</v>
      </c>
      <c r="AC1574" s="137">
        <f t="shared" si="483"/>
        <v>0</v>
      </c>
      <c r="AD1574" s="137">
        <f t="shared" si="483"/>
        <v>0</v>
      </c>
      <c r="AE1574" s="137">
        <f t="shared" si="483"/>
        <v>212500</v>
      </c>
      <c r="AF1574" s="137">
        <f t="shared" si="483"/>
        <v>0</v>
      </c>
      <c r="AG1574" s="137">
        <f t="shared" si="483"/>
        <v>0</v>
      </c>
      <c r="AH1574" s="137">
        <f t="shared" si="483"/>
        <v>284201.02</v>
      </c>
      <c r="AI1574" s="137">
        <f t="shared" si="483"/>
        <v>0</v>
      </c>
      <c r="AJ1574" s="137">
        <f t="shared" si="483"/>
        <v>0</v>
      </c>
      <c r="AK1574" s="137">
        <f t="shared" si="483"/>
        <v>619045.54</v>
      </c>
      <c r="AL1574" s="137">
        <f t="shared" si="483"/>
        <v>2059156.07</v>
      </c>
      <c r="AM1574" s="137">
        <f t="shared" si="483"/>
        <v>655922.47</v>
      </c>
      <c r="AN1574" s="137">
        <f t="shared" si="483"/>
        <v>0</v>
      </c>
      <c r="AO1574" s="137">
        <f t="shared" si="483"/>
        <v>0</v>
      </c>
      <c r="AP1574" s="137">
        <f t="shared" si="483"/>
        <v>0</v>
      </c>
      <c r="AQ1574" s="137">
        <f t="shared" si="483"/>
        <v>0</v>
      </c>
      <c r="AR1574" s="137">
        <f t="shared" si="483"/>
        <v>0</v>
      </c>
      <c r="AS1574" s="137">
        <f>U1574+V1574+W1574+AK1574+AL1574+AM1574+AN1574+AO1574+AP1574+AQ1574+AR1574</f>
        <v>3339161.25</v>
      </c>
      <c r="AT1574" s="137">
        <f>AT1575</f>
        <v>0</v>
      </c>
      <c r="AU1574" s="139">
        <f t="shared" si="467"/>
        <v>3339161.25</v>
      </c>
      <c r="AV1574" s="146">
        <f>IFERROR(VLOOKUP(J1574,Maksājumu_pieprasījumu_iesn.!G:BL,57,0),0)</f>
        <v>0</v>
      </c>
      <c r="AW1574" s="139">
        <f t="shared" si="470"/>
        <v>-3339161.25</v>
      </c>
      <c r="AX1574" s="140">
        <f>S1574-T1574-AU1574</f>
        <v>1165838.75</v>
      </c>
      <c r="AY1574" s="137">
        <v>1165839</v>
      </c>
      <c r="AZ1574" s="137"/>
      <c r="BA1574" s="138" t="s">
        <v>2672</v>
      </c>
      <c r="BB1574" s="140"/>
      <c r="BC1574" s="140">
        <f>X1574+AK1574+AL1574/2</f>
        <v>1653660.7450000001</v>
      </c>
      <c r="BD1574" s="140"/>
      <c r="BE1574" s="140">
        <f>BC1574/0.85</f>
        <v>1945483.229411765</v>
      </c>
      <c r="BF1574" s="137"/>
      <c r="BG1574" s="137"/>
      <c r="BH1574" s="138">
        <v>5037.17</v>
      </c>
      <c r="BI1574" s="138">
        <v>759944</v>
      </c>
      <c r="BJ1574" s="138"/>
      <c r="BK1574" s="138"/>
      <c r="BL1574" s="138">
        <v>3740019</v>
      </c>
      <c r="BM1574" s="138"/>
      <c r="BN1574" s="138"/>
    </row>
    <row r="1575" spans="1:66" ht="51" hidden="1" customHeight="1" x14ac:dyDescent="0.2">
      <c r="A1575" s="142" t="s">
        <v>2670</v>
      </c>
      <c r="B1575" s="18" t="s">
        <v>452</v>
      </c>
      <c r="C1575" s="18" t="s">
        <v>453</v>
      </c>
      <c r="D1575" s="19" t="s">
        <v>608</v>
      </c>
      <c r="E1575" s="18">
        <v>1</v>
      </c>
      <c r="F1575" s="18" t="s">
        <v>454</v>
      </c>
      <c r="G1575" s="18" t="s">
        <v>77</v>
      </c>
      <c r="H1575" s="18" t="s">
        <v>3</v>
      </c>
      <c r="I1575" s="18"/>
      <c r="J1575" s="18" t="s">
        <v>455</v>
      </c>
      <c r="K1575" s="19" t="s">
        <v>456</v>
      </c>
      <c r="L1575" s="19"/>
      <c r="M1575" s="19"/>
      <c r="N1575" s="19" t="s">
        <v>457</v>
      </c>
      <c r="O1575" s="143"/>
      <c r="P1575" s="143"/>
      <c r="Q1575" s="143"/>
      <c r="R1575" s="143">
        <v>42360</v>
      </c>
      <c r="S1575" s="144">
        <v>3339161.25</v>
      </c>
      <c r="T1575" s="144"/>
      <c r="U1575" s="145">
        <v>0</v>
      </c>
      <c r="V1575" s="145">
        <v>0</v>
      </c>
      <c r="W1575" s="145">
        <v>5037.17</v>
      </c>
      <c r="X1575" s="145">
        <f>W1575+V1575+U1575</f>
        <v>5037.17</v>
      </c>
      <c r="Y1575" s="145">
        <v>16094.52</v>
      </c>
      <c r="Z1575" s="145">
        <v>0</v>
      </c>
      <c r="AA1575" s="145">
        <v>0</v>
      </c>
      <c r="AB1575" s="145">
        <v>106250</v>
      </c>
      <c r="AC1575" s="145">
        <v>0</v>
      </c>
      <c r="AD1575" s="166">
        <v>0</v>
      </c>
      <c r="AE1575" s="166">
        <v>212500</v>
      </c>
      <c r="AF1575" s="145">
        <v>0</v>
      </c>
      <c r="AG1575" s="145">
        <v>0</v>
      </c>
      <c r="AH1575" s="145">
        <v>284201.02</v>
      </c>
      <c r="AI1575" s="145">
        <v>0</v>
      </c>
      <c r="AJ1575" s="145">
        <v>0</v>
      </c>
      <c r="AK1575" s="145">
        <f>SUM(Y1575:AJ1575)</f>
        <v>619045.54</v>
      </c>
      <c r="AL1575" s="145">
        <v>2059156.07</v>
      </c>
      <c r="AM1575" s="145">
        <v>655922.47</v>
      </c>
      <c r="AN1575" s="145">
        <v>0</v>
      </c>
      <c r="AO1575" s="145">
        <v>0</v>
      </c>
      <c r="AP1575" s="145">
        <v>0</v>
      </c>
      <c r="AQ1575" s="145">
        <v>0</v>
      </c>
      <c r="AR1575" s="145">
        <v>0</v>
      </c>
      <c r="AS1575" s="144">
        <f>U1575+V1575+W1575+AK1575+AL1575+AM1575+AN1575+AO1575+AP1575+AQ1575+AR1575</f>
        <v>3339161.25</v>
      </c>
      <c r="AT1575" s="144"/>
      <c r="AU1575" s="146">
        <f t="shared" si="467"/>
        <v>3339161.25</v>
      </c>
      <c r="AV1575" s="146" t="str">
        <f>IFERROR(VLOOKUP(J1575,Maksājumu_pieprasījumu_iesn.!G:BL,57,0),0)</f>
        <v xml:space="preserve">Atbilstoši aktualizētajam iepirkumu plānam samazinātas 2017.gada 2. pusgada un 2018.gada 1. ceturkšņa maksājuma pieprasījumu summas, bet palielināts noslēguma pieprasījums, kuru plāno iesniegt 2019.gada janvārī. </v>
      </c>
      <c r="AW1575" s="139" t="e">
        <f t="shared" si="470"/>
        <v>#VALUE!</v>
      </c>
      <c r="AX1575" s="147"/>
      <c r="AY1575" s="147"/>
      <c r="AZ1575" s="147"/>
      <c r="BA1575" s="165"/>
      <c r="BB1575" s="144"/>
      <c r="BC1575" s="144"/>
      <c r="BD1575" s="144"/>
      <c r="BE1575" s="144"/>
      <c r="BF1575" s="144"/>
      <c r="BG1575" s="144"/>
      <c r="BH1575" s="149"/>
      <c r="BI1575" s="149"/>
      <c r="BJ1575" s="149"/>
      <c r="BK1575" s="149"/>
      <c r="BL1575" s="149"/>
      <c r="BM1575" s="149"/>
      <c r="BN1575" s="149"/>
    </row>
    <row r="1576" spans="1:66" s="91" customFormat="1" ht="25.5" hidden="1" customHeight="1" x14ac:dyDescent="0.2">
      <c r="A1576" s="131" t="s">
        <v>2670</v>
      </c>
      <c r="B1576" s="132" t="s">
        <v>452</v>
      </c>
      <c r="C1576" s="132" t="s">
        <v>453</v>
      </c>
      <c r="D1576" s="133" t="s">
        <v>608</v>
      </c>
      <c r="E1576" s="22">
        <v>2</v>
      </c>
      <c r="F1576" s="22" t="s">
        <v>454</v>
      </c>
      <c r="G1576" s="22" t="s">
        <v>77</v>
      </c>
      <c r="H1576" s="22" t="s">
        <v>3</v>
      </c>
      <c r="I1576" s="22" t="s">
        <v>1022</v>
      </c>
      <c r="J1576" s="134" t="s">
        <v>1026</v>
      </c>
      <c r="K1576" s="133"/>
      <c r="L1576" s="133"/>
      <c r="M1576" s="133"/>
      <c r="N1576" s="133"/>
      <c r="O1576" s="135"/>
      <c r="P1576" s="135"/>
      <c r="Q1576" s="135"/>
      <c r="R1576" s="135"/>
      <c r="S1576" s="136">
        <v>10795000</v>
      </c>
      <c r="T1576" s="136">
        <v>0</v>
      </c>
      <c r="U1576" s="137">
        <f>SUM(U1577)</f>
        <v>0</v>
      </c>
      <c r="V1576" s="137">
        <f>SUM(V1577)</f>
        <v>0</v>
      </c>
      <c r="W1576" s="137">
        <f>SUM(W1577)</f>
        <v>0</v>
      </c>
      <c r="X1576" s="138">
        <f>U1576+V1576+W1576</f>
        <v>0</v>
      </c>
      <c r="Y1576" s="137">
        <f t="shared" ref="Y1576:AR1576" si="484">SUM(Y1577)</f>
        <v>0</v>
      </c>
      <c r="Z1576" s="137">
        <f t="shared" si="484"/>
        <v>0</v>
      </c>
      <c r="AA1576" s="137">
        <f t="shared" si="484"/>
        <v>0</v>
      </c>
      <c r="AB1576" s="137">
        <f t="shared" si="484"/>
        <v>0</v>
      </c>
      <c r="AC1576" s="137">
        <f t="shared" si="484"/>
        <v>0</v>
      </c>
      <c r="AD1576" s="137">
        <f t="shared" si="484"/>
        <v>0</v>
      </c>
      <c r="AE1576" s="137">
        <f t="shared" si="484"/>
        <v>0</v>
      </c>
      <c r="AF1576" s="137">
        <f t="shared" si="484"/>
        <v>0</v>
      </c>
      <c r="AG1576" s="137">
        <f t="shared" si="484"/>
        <v>0</v>
      </c>
      <c r="AH1576" s="137">
        <f t="shared" si="484"/>
        <v>0</v>
      </c>
      <c r="AI1576" s="137">
        <f t="shared" si="484"/>
        <v>0</v>
      </c>
      <c r="AJ1576" s="137">
        <f t="shared" si="484"/>
        <v>0</v>
      </c>
      <c r="AK1576" s="137">
        <f t="shared" si="484"/>
        <v>0</v>
      </c>
      <c r="AL1576" s="137">
        <f t="shared" si="484"/>
        <v>0</v>
      </c>
      <c r="AM1576" s="137">
        <f t="shared" si="484"/>
        <v>0</v>
      </c>
      <c r="AN1576" s="137">
        <f t="shared" si="484"/>
        <v>0</v>
      </c>
      <c r="AO1576" s="137">
        <f t="shared" si="484"/>
        <v>0</v>
      </c>
      <c r="AP1576" s="137">
        <f t="shared" si="484"/>
        <v>0</v>
      </c>
      <c r="AQ1576" s="137">
        <f t="shared" si="484"/>
        <v>0</v>
      </c>
      <c r="AR1576" s="137">
        <f t="shared" si="484"/>
        <v>0</v>
      </c>
      <c r="AS1576" s="137">
        <f>U1576+V1576+W1576+AK1576+AL1576+AM1576+AN1576+AO1576+AP1576+AQ1576+AR1576</f>
        <v>0</v>
      </c>
      <c r="AT1576" s="137">
        <f>AT1577</f>
        <v>0</v>
      </c>
      <c r="AU1576" s="139">
        <f t="shared" si="467"/>
        <v>0</v>
      </c>
      <c r="AV1576" s="146">
        <f>IFERROR(VLOOKUP(J1576,Maksājumu_pieprasījumu_iesn.!G:BL,57,0),0)</f>
        <v>0</v>
      </c>
      <c r="AW1576" s="139">
        <f t="shared" si="470"/>
        <v>0</v>
      </c>
      <c r="AX1576" s="140">
        <f>S1576-T1576-AU1576</f>
        <v>10795000</v>
      </c>
      <c r="AY1576" s="140">
        <f>AX1576</f>
        <v>10795000</v>
      </c>
      <c r="AZ1576" s="140"/>
      <c r="BA1576" s="138" t="s">
        <v>2673</v>
      </c>
      <c r="BB1576" s="140"/>
      <c r="BC1576" s="140">
        <f>X1576+AK1576+AL1576/2</f>
        <v>0</v>
      </c>
      <c r="BD1576" s="140"/>
      <c r="BE1576" s="140">
        <f>BC1576/0.85</f>
        <v>0</v>
      </c>
      <c r="BF1576" s="137"/>
      <c r="BG1576" s="137"/>
      <c r="BH1576" s="138">
        <v>0</v>
      </c>
      <c r="BI1576" s="138">
        <v>0</v>
      </c>
      <c r="BJ1576" s="138"/>
      <c r="BK1576" s="138"/>
      <c r="BL1576" s="138">
        <v>0</v>
      </c>
      <c r="BM1576" s="138"/>
      <c r="BN1576" s="138"/>
    </row>
    <row r="1577" spans="1:66" s="91" customFormat="1" ht="25.5" hidden="1" customHeight="1" x14ac:dyDescent="0.2">
      <c r="A1577" s="150" t="s">
        <v>2670</v>
      </c>
      <c r="B1577" s="18" t="s">
        <v>452</v>
      </c>
      <c r="C1577" s="18" t="s">
        <v>453</v>
      </c>
      <c r="D1577" s="19" t="s">
        <v>608</v>
      </c>
      <c r="E1577" s="55">
        <v>2</v>
      </c>
      <c r="F1577" s="55" t="s">
        <v>454</v>
      </c>
      <c r="G1577" s="55" t="s">
        <v>77</v>
      </c>
      <c r="H1577" s="55" t="s">
        <v>3</v>
      </c>
      <c r="I1577" s="55"/>
      <c r="J1577" s="55"/>
      <c r="K1577" s="19" t="s">
        <v>456</v>
      </c>
      <c r="L1577" s="19"/>
      <c r="M1577" s="19"/>
      <c r="N1577" s="19"/>
      <c r="O1577" s="151"/>
      <c r="P1577" s="151"/>
      <c r="Q1577" s="151"/>
      <c r="R1577" s="151"/>
      <c r="S1577" s="152"/>
      <c r="T1577" s="152"/>
      <c r="U1577" s="145">
        <v>0</v>
      </c>
      <c r="V1577" s="145">
        <v>0</v>
      </c>
      <c r="W1577" s="145">
        <v>0</v>
      </c>
      <c r="X1577" s="145">
        <f>W1577+V1577+U1577</f>
        <v>0</v>
      </c>
      <c r="Y1577" s="145">
        <v>0</v>
      </c>
      <c r="Z1577" s="145">
        <v>0</v>
      </c>
      <c r="AA1577" s="145">
        <v>0</v>
      </c>
      <c r="AB1577" s="145">
        <v>0</v>
      </c>
      <c r="AC1577" s="145">
        <v>0</v>
      </c>
      <c r="AD1577" s="145">
        <v>0</v>
      </c>
      <c r="AE1577" s="145">
        <v>0</v>
      </c>
      <c r="AF1577" s="145">
        <v>0</v>
      </c>
      <c r="AG1577" s="145">
        <v>0</v>
      </c>
      <c r="AH1577" s="145">
        <v>0</v>
      </c>
      <c r="AI1577" s="145">
        <v>0</v>
      </c>
      <c r="AJ1577" s="145">
        <v>0</v>
      </c>
      <c r="AK1577" s="145">
        <f>SUM(Y1577:AJ1577)</f>
        <v>0</v>
      </c>
      <c r="AL1577" s="145">
        <v>0</v>
      </c>
      <c r="AM1577" s="145">
        <v>0</v>
      </c>
      <c r="AN1577" s="145">
        <v>0</v>
      </c>
      <c r="AO1577" s="145">
        <v>0</v>
      </c>
      <c r="AP1577" s="145">
        <v>0</v>
      </c>
      <c r="AQ1577" s="145">
        <v>0</v>
      </c>
      <c r="AR1577" s="145">
        <v>0</v>
      </c>
      <c r="AS1577" s="145">
        <f>U1577+V1577+W1577+AK1577+AL1577+AM1577+AN1577+AO1577+AP1577+AQ1577+AR1577</f>
        <v>0</v>
      </c>
      <c r="AT1577" s="145"/>
      <c r="AU1577" s="139">
        <f t="shared" si="467"/>
        <v>0</v>
      </c>
      <c r="AV1577" s="146">
        <f>IFERROR(VLOOKUP(J1577,Maksājumu_pieprasījumu_iesn.!G:BL,57,0),0)</f>
        <v>0</v>
      </c>
      <c r="AW1577" s="139">
        <f t="shared" si="470"/>
        <v>0</v>
      </c>
      <c r="AX1577" s="153"/>
      <c r="AY1577" s="153"/>
      <c r="AZ1577" s="153"/>
      <c r="BA1577" s="136"/>
      <c r="BB1577" s="145"/>
      <c r="BC1577" s="145"/>
      <c r="BD1577" s="145"/>
      <c r="BE1577" s="145"/>
      <c r="BF1577" s="145"/>
      <c r="BG1577" s="145"/>
      <c r="BH1577" s="138"/>
      <c r="BI1577" s="138"/>
      <c r="BJ1577" s="138"/>
      <c r="BK1577" s="138"/>
      <c r="BL1577" s="138"/>
      <c r="BM1577" s="138"/>
      <c r="BN1577" s="138"/>
    </row>
    <row r="1578" spans="1:66" s="91" customFormat="1" ht="25.5" hidden="1" x14ac:dyDescent="0.2">
      <c r="A1578" s="127" t="s">
        <v>2670</v>
      </c>
      <c r="B1578" s="127" t="s">
        <v>458</v>
      </c>
      <c r="C1578" s="127" t="s">
        <v>1023</v>
      </c>
      <c r="D1578" s="128" t="s">
        <v>609</v>
      </c>
      <c r="E1578" s="127"/>
      <c r="F1578" s="127"/>
      <c r="G1578" s="127" t="s">
        <v>77</v>
      </c>
      <c r="H1578" s="127"/>
      <c r="I1578" s="127"/>
      <c r="J1578" s="127"/>
      <c r="K1578" s="128"/>
      <c r="L1578" s="128"/>
      <c r="M1578" s="128"/>
      <c r="N1578" s="128"/>
      <c r="O1578" s="163"/>
      <c r="P1578" s="163"/>
      <c r="Q1578" s="163"/>
      <c r="R1578" s="163"/>
      <c r="S1578" s="164">
        <f>S1579+S1591</f>
        <v>6120040</v>
      </c>
      <c r="T1578" s="164">
        <f>T1579+T1591</f>
        <v>0</v>
      </c>
      <c r="U1578" s="164">
        <f>U1579+U1591</f>
        <v>0</v>
      </c>
      <c r="V1578" s="164">
        <f>V1579+V1591</f>
        <v>0</v>
      </c>
      <c r="W1578" s="164">
        <f>W1579+W1591</f>
        <v>231663.24</v>
      </c>
      <c r="X1578" s="129">
        <f>U1578+V1578+W1578</f>
        <v>231663.24</v>
      </c>
      <c r="Y1578" s="164">
        <f t="shared" ref="Y1578:AT1578" si="485">Y1579+Y1591</f>
        <v>154019.04999999999</v>
      </c>
      <c r="Z1578" s="164">
        <f t="shared" si="485"/>
        <v>10941.4</v>
      </c>
      <c r="AA1578" s="164">
        <f t="shared" si="485"/>
        <v>0</v>
      </c>
      <c r="AB1578" s="164">
        <f t="shared" si="485"/>
        <v>166033.55000000002</v>
      </c>
      <c r="AC1578" s="164">
        <f t="shared" si="485"/>
        <v>8245</v>
      </c>
      <c r="AD1578" s="164">
        <f t="shared" si="485"/>
        <v>0</v>
      </c>
      <c r="AE1578" s="164">
        <f t="shared" si="485"/>
        <v>205762.36000000002</v>
      </c>
      <c r="AF1578" s="164">
        <f t="shared" si="485"/>
        <v>8160</v>
      </c>
      <c r="AG1578" s="164">
        <f t="shared" si="485"/>
        <v>0</v>
      </c>
      <c r="AH1578" s="164">
        <f t="shared" si="485"/>
        <v>239683.07</v>
      </c>
      <c r="AI1578" s="164">
        <f t="shared" si="485"/>
        <v>8500</v>
      </c>
      <c r="AJ1578" s="164">
        <f t="shared" si="485"/>
        <v>0</v>
      </c>
      <c r="AK1578" s="164">
        <f>AK1579+AK1591</f>
        <v>801344.42999999993</v>
      </c>
      <c r="AL1578" s="164">
        <f t="shared" si="485"/>
        <v>893206.43000000017</v>
      </c>
      <c r="AM1578" s="164">
        <f t="shared" si="485"/>
        <v>329360.36</v>
      </c>
      <c r="AN1578" s="164">
        <f t="shared" si="485"/>
        <v>0</v>
      </c>
      <c r="AO1578" s="164">
        <f t="shared" si="485"/>
        <v>0</v>
      </c>
      <c r="AP1578" s="164">
        <f t="shared" si="485"/>
        <v>0</v>
      </c>
      <c r="AQ1578" s="164">
        <f t="shared" si="485"/>
        <v>0</v>
      </c>
      <c r="AR1578" s="164">
        <f t="shared" si="485"/>
        <v>0</v>
      </c>
      <c r="AS1578" s="164">
        <f>AS1579+AS1591</f>
        <v>2255574.46</v>
      </c>
      <c r="AT1578" s="164">
        <f t="shared" si="485"/>
        <v>0</v>
      </c>
      <c r="AU1578" s="183">
        <f>AS1578-AT1578</f>
        <v>2255574.46</v>
      </c>
      <c r="AV1578" s="146">
        <f>IFERROR(VLOOKUP(J1578,Maksājumu_pieprasījumu_iesn.!G:BL,57,0),0)</f>
        <v>0</v>
      </c>
      <c r="AW1578" s="139">
        <f t="shared" si="470"/>
        <v>-2255574.46</v>
      </c>
      <c r="AX1578" s="164">
        <f>AX1579+AX1591</f>
        <v>3864465.54</v>
      </c>
      <c r="AY1578" s="164">
        <f>AY1579+AY1591</f>
        <v>3864466</v>
      </c>
      <c r="AZ1578" s="164"/>
      <c r="BA1578" s="164"/>
      <c r="BB1578" s="164">
        <f>BB1579+BB1591</f>
        <v>0</v>
      </c>
      <c r="BC1578" s="164">
        <f>BC1579+BC1591</f>
        <v>1479610.885</v>
      </c>
      <c r="BD1578" s="164">
        <f>BC1578*0.94</f>
        <v>1390834.2319</v>
      </c>
      <c r="BE1578" s="129">
        <f>BD1578/0.85</f>
        <v>1636275.5669411765</v>
      </c>
      <c r="BF1578" s="164">
        <f>BF1579+BF1591</f>
        <v>0</v>
      </c>
      <c r="BG1578" s="164">
        <f>BG1579+BG1591</f>
        <v>0</v>
      </c>
      <c r="BH1578" s="129">
        <f>BH1579+BH1591</f>
        <v>231509.08</v>
      </c>
      <c r="BI1578" s="129">
        <f>BI1579+BI1591</f>
        <v>781135</v>
      </c>
      <c r="BJ1578" s="129">
        <f>AK1578</f>
        <v>801344.42999999993</v>
      </c>
      <c r="BK1578" s="129">
        <f>BJ1578-BI1578</f>
        <v>20209.429999999935</v>
      </c>
      <c r="BL1578" s="129">
        <f>BL1579+BL1591</f>
        <v>1537355.92</v>
      </c>
      <c r="BM1578" s="129">
        <f>AL1578*0.94</f>
        <v>839614.04420000012</v>
      </c>
      <c r="BN1578" s="129">
        <f>BM1578-BL1578</f>
        <v>-697741.87579999981</v>
      </c>
    </row>
    <row r="1579" spans="1:66" s="91" customFormat="1" ht="140.25" hidden="1" customHeight="1" x14ac:dyDescent="0.2">
      <c r="A1579" s="131" t="s">
        <v>2670</v>
      </c>
      <c r="B1579" s="132" t="s">
        <v>458</v>
      </c>
      <c r="C1579" s="132" t="s">
        <v>459</v>
      </c>
      <c r="D1579" s="133" t="s">
        <v>609</v>
      </c>
      <c r="E1579" s="22">
        <v>1</v>
      </c>
      <c r="F1579" s="22" t="s">
        <v>454</v>
      </c>
      <c r="G1579" s="22" t="s">
        <v>77</v>
      </c>
      <c r="H1579" s="22" t="s">
        <v>3</v>
      </c>
      <c r="I1579" s="22" t="s">
        <v>1022</v>
      </c>
      <c r="J1579" s="134" t="s">
        <v>1026</v>
      </c>
      <c r="K1579" s="133"/>
      <c r="L1579" s="133"/>
      <c r="M1579" s="133"/>
      <c r="N1579" s="133"/>
      <c r="O1579" s="135"/>
      <c r="P1579" s="135"/>
      <c r="Q1579" s="135"/>
      <c r="R1579" s="135"/>
      <c r="S1579" s="136">
        <v>2550000</v>
      </c>
      <c r="T1579" s="136">
        <v>0</v>
      </c>
      <c r="U1579" s="137">
        <f>SUM(U1580:U1590)</f>
        <v>0</v>
      </c>
      <c r="V1579" s="137">
        <f>SUM(V1580:V1590)</f>
        <v>0</v>
      </c>
      <c r="W1579" s="137">
        <f>SUM(W1580:W1590)</f>
        <v>231663.24</v>
      </c>
      <c r="X1579" s="138">
        <f>U1579+V1579+W1579</f>
        <v>231663.24</v>
      </c>
      <c r="Y1579" s="137">
        <f t="shared" ref="Y1579:AR1579" si="486">SUM(Y1580:Y1590)</f>
        <v>154019.04999999999</v>
      </c>
      <c r="Z1579" s="137">
        <f t="shared" si="486"/>
        <v>10941.4</v>
      </c>
      <c r="AA1579" s="137">
        <f t="shared" si="486"/>
        <v>0</v>
      </c>
      <c r="AB1579" s="137">
        <f t="shared" si="486"/>
        <v>166033.55000000002</v>
      </c>
      <c r="AC1579" s="137">
        <f t="shared" si="486"/>
        <v>8245</v>
      </c>
      <c r="AD1579" s="137">
        <f t="shared" si="486"/>
        <v>0</v>
      </c>
      <c r="AE1579" s="137">
        <f t="shared" si="486"/>
        <v>205762.36000000002</v>
      </c>
      <c r="AF1579" s="137">
        <f t="shared" si="486"/>
        <v>8160</v>
      </c>
      <c r="AG1579" s="137">
        <f t="shared" si="486"/>
        <v>0</v>
      </c>
      <c r="AH1579" s="137">
        <f t="shared" si="486"/>
        <v>239683.07</v>
      </c>
      <c r="AI1579" s="137">
        <f t="shared" si="486"/>
        <v>8500</v>
      </c>
      <c r="AJ1579" s="137">
        <f t="shared" si="486"/>
        <v>0</v>
      </c>
      <c r="AK1579" s="137">
        <f>SUM(AK1580:AK1590)</f>
        <v>801344.42999999993</v>
      </c>
      <c r="AL1579" s="137">
        <f t="shared" si="486"/>
        <v>893206.43000000017</v>
      </c>
      <c r="AM1579" s="137">
        <f t="shared" si="486"/>
        <v>329360.36</v>
      </c>
      <c r="AN1579" s="137">
        <f t="shared" si="486"/>
        <v>0</v>
      </c>
      <c r="AO1579" s="137">
        <f t="shared" si="486"/>
        <v>0</v>
      </c>
      <c r="AP1579" s="137">
        <f t="shared" si="486"/>
        <v>0</v>
      </c>
      <c r="AQ1579" s="137">
        <f t="shared" si="486"/>
        <v>0</v>
      </c>
      <c r="AR1579" s="137">
        <f t="shared" si="486"/>
        <v>0</v>
      </c>
      <c r="AS1579" s="137">
        <f t="shared" ref="AS1579:AS1602" si="487">U1579+V1579+W1579+AK1579+AL1579+AM1579+AN1579+AO1579+AP1579+AQ1579+AR1579</f>
        <v>2255574.46</v>
      </c>
      <c r="AT1579" s="137">
        <f>SUM(AT1580:AT1590)</f>
        <v>0</v>
      </c>
      <c r="AU1579" s="139">
        <f>AS1579-AT1579</f>
        <v>2255574.46</v>
      </c>
      <c r="AV1579" s="146">
        <f>IFERROR(VLOOKUP(J1579,Maksājumu_pieprasījumu_iesn.!G:BL,57,0),0)</f>
        <v>0</v>
      </c>
      <c r="AW1579" s="139">
        <f t="shared" si="470"/>
        <v>-2255574.46</v>
      </c>
      <c r="AX1579" s="140">
        <f>S1579-T1579-AU1579</f>
        <v>294425.54000000004</v>
      </c>
      <c r="AY1579" s="137">
        <v>294426</v>
      </c>
      <c r="AZ1579" s="137"/>
      <c r="BA1579" s="138" t="s">
        <v>2674</v>
      </c>
      <c r="BB1579" s="140"/>
      <c r="BC1579" s="140">
        <f>X1579+AK1579+AL1579/2</f>
        <v>1479610.885</v>
      </c>
      <c r="BD1579" s="140"/>
      <c r="BE1579" s="140">
        <f>BC1579/0.85</f>
        <v>1740718.6882352941</v>
      </c>
      <c r="BF1579" s="137"/>
      <c r="BG1579" s="137"/>
      <c r="BH1579" s="138">
        <v>231509.08</v>
      </c>
      <c r="BI1579" s="138">
        <v>781135</v>
      </c>
      <c r="BJ1579" s="138"/>
      <c r="BK1579" s="138"/>
      <c r="BL1579" s="138">
        <v>1537355.92</v>
      </c>
      <c r="BM1579" s="138"/>
      <c r="BN1579" s="138"/>
    </row>
    <row r="1580" spans="1:66" ht="51" hidden="1" customHeight="1" x14ac:dyDescent="0.2">
      <c r="A1580" s="142" t="s">
        <v>2670</v>
      </c>
      <c r="B1580" s="18" t="s">
        <v>458</v>
      </c>
      <c r="C1580" s="18" t="s">
        <v>459</v>
      </c>
      <c r="D1580" s="19" t="s">
        <v>609</v>
      </c>
      <c r="E1580" s="18">
        <v>1</v>
      </c>
      <c r="F1580" s="18" t="s">
        <v>454</v>
      </c>
      <c r="G1580" s="18" t="s">
        <v>77</v>
      </c>
      <c r="H1580" s="18" t="s">
        <v>3</v>
      </c>
      <c r="I1580" s="18"/>
      <c r="J1580" s="18" t="s">
        <v>460</v>
      </c>
      <c r="K1580" s="19" t="s">
        <v>461</v>
      </c>
      <c r="L1580" s="19"/>
      <c r="M1580" s="19"/>
      <c r="N1580" s="19" t="s">
        <v>462</v>
      </c>
      <c r="O1580" s="143"/>
      <c r="P1580" s="143"/>
      <c r="Q1580" s="143"/>
      <c r="R1580" s="143">
        <v>42342</v>
      </c>
      <c r="S1580" s="144">
        <v>818550</v>
      </c>
      <c r="T1580" s="144"/>
      <c r="U1580" s="145">
        <v>0</v>
      </c>
      <c r="V1580" s="145">
        <v>0</v>
      </c>
      <c r="W1580" s="145">
        <v>87962.67</v>
      </c>
      <c r="X1580" s="145">
        <f t="shared" ref="X1580:X1590" si="488">W1580+V1580+U1580</f>
        <v>87962.67</v>
      </c>
      <c r="Y1580" s="145">
        <v>39545.31</v>
      </c>
      <c r="Z1580" s="145">
        <v>0</v>
      </c>
      <c r="AA1580" s="145">
        <v>0</v>
      </c>
      <c r="AB1580" s="145">
        <v>32172.5</v>
      </c>
      <c r="AC1580" s="145">
        <v>0</v>
      </c>
      <c r="AD1580" s="166">
        <v>0</v>
      </c>
      <c r="AE1580" s="166">
        <v>37901.5</v>
      </c>
      <c r="AF1580" s="145">
        <v>0</v>
      </c>
      <c r="AG1580" s="145">
        <v>0</v>
      </c>
      <c r="AH1580" s="145">
        <v>56423</v>
      </c>
      <c r="AI1580" s="145">
        <v>0</v>
      </c>
      <c r="AJ1580" s="145">
        <v>0</v>
      </c>
      <c r="AK1580" s="145">
        <f t="shared" ref="AK1580:AK1590" si="489">SUM(Y1580:AJ1580)</f>
        <v>166042.31</v>
      </c>
      <c r="AL1580" s="145">
        <v>342296.38</v>
      </c>
      <c r="AM1580" s="145">
        <v>104523.64</v>
      </c>
      <c r="AN1580" s="145">
        <v>0</v>
      </c>
      <c r="AO1580" s="145">
        <v>0</v>
      </c>
      <c r="AP1580" s="145">
        <v>0</v>
      </c>
      <c r="AQ1580" s="145">
        <v>0</v>
      </c>
      <c r="AR1580" s="145">
        <v>0</v>
      </c>
      <c r="AS1580" s="144">
        <f t="shared" si="487"/>
        <v>700825</v>
      </c>
      <c r="AT1580" s="144"/>
      <c r="AU1580" s="146">
        <f t="shared" si="467"/>
        <v>700825</v>
      </c>
      <c r="AV1580" s="146">
        <f>IFERROR(VLOOKUP(J1580,Maksājumu_pieprasījumu_iesn.!G:BL,57,0),0)</f>
        <v>0</v>
      </c>
      <c r="AW1580" s="139">
        <f t="shared" si="470"/>
        <v>-700825</v>
      </c>
      <c r="AX1580" s="147"/>
      <c r="AY1580" s="147"/>
      <c r="AZ1580" s="147"/>
      <c r="BA1580" s="165"/>
      <c r="BB1580" s="144"/>
      <c r="BC1580" s="144"/>
      <c r="BD1580" s="144"/>
      <c r="BE1580" s="144"/>
      <c r="BF1580" s="144"/>
      <c r="BG1580" s="144"/>
      <c r="BH1580" s="149"/>
      <c r="BI1580" s="149"/>
      <c r="BJ1580" s="149"/>
      <c r="BK1580" s="149"/>
      <c r="BL1580" s="149"/>
      <c r="BM1580" s="149"/>
      <c r="BN1580" s="149"/>
    </row>
    <row r="1581" spans="1:66" ht="51" hidden="1" customHeight="1" x14ac:dyDescent="0.2">
      <c r="A1581" s="142" t="s">
        <v>2670</v>
      </c>
      <c r="B1581" s="18" t="s">
        <v>458</v>
      </c>
      <c r="C1581" s="18" t="s">
        <v>459</v>
      </c>
      <c r="D1581" s="19" t="s">
        <v>609</v>
      </c>
      <c r="E1581" s="18">
        <v>1</v>
      </c>
      <c r="F1581" s="18" t="s">
        <v>454</v>
      </c>
      <c r="G1581" s="18" t="s">
        <v>77</v>
      </c>
      <c r="H1581" s="18" t="s">
        <v>3</v>
      </c>
      <c r="I1581" s="18"/>
      <c r="J1581" s="18" t="s">
        <v>463</v>
      </c>
      <c r="K1581" s="19" t="s">
        <v>84</v>
      </c>
      <c r="L1581" s="19"/>
      <c r="M1581" s="19"/>
      <c r="N1581" s="19" t="s">
        <v>464</v>
      </c>
      <c r="O1581" s="143"/>
      <c r="P1581" s="143"/>
      <c r="Q1581" s="143"/>
      <c r="R1581" s="143">
        <v>42367</v>
      </c>
      <c r="S1581" s="144">
        <v>21250</v>
      </c>
      <c r="T1581" s="144"/>
      <c r="U1581" s="145">
        <v>0</v>
      </c>
      <c r="V1581" s="145">
        <v>0</v>
      </c>
      <c r="W1581" s="145">
        <v>4254.6000000000004</v>
      </c>
      <c r="X1581" s="145">
        <f t="shared" si="488"/>
        <v>4254.6000000000004</v>
      </c>
      <c r="Y1581" s="145">
        <v>3101.69</v>
      </c>
      <c r="Z1581" s="145">
        <v>0</v>
      </c>
      <c r="AA1581" s="145">
        <v>0</v>
      </c>
      <c r="AB1581" s="145">
        <v>1360</v>
      </c>
      <c r="AC1581" s="145">
        <v>0</v>
      </c>
      <c r="AD1581" s="166">
        <v>0</v>
      </c>
      <c r="AE1581" s="166">
        <v>850</v>
      </c>
      <c r="AF1581" s="145">
        <v>0</v>
      </c>
      <c r="AG1581" s="145">
        <v>0</v>
      </c>
      <c r="AH1581" s="145">
        <v>2975</v>
      </c>
      <c r="AI1581" s="145">
        <v>0</v>
      </c>
      <c r="AJ1581" s="145">
        <v>0</v>
      </c>
      <c r="AK1581" s="145">
        <f t="shared" si="489"/>
        <v>8286.69</v>
      </c>
      <c r="AL1581" s="145">
        <v>2248.71</v>
      </c>
      <c r="AM1581" s="145">
        <v>6460</v>
      </c>
      <c r="AN1581" s="145">
        <v>0</v>
      </c>
      <c r="AO1581" s="145">
        <v>0</v>
      </c>
      <c r="AP1581" s="145">
        <v>0</v>
      </c>
      <c r="AQ1581" s="145">
        <v>0</v>
      </c>
      <c r="AR1581" s="145">
        <v>0</v>
      </c>
      <c r="AS1581" s="144">
        <f t="shared" si="487"/>
        <v>21250</v>
      </c>
      <c r="AT1581" s="144"/>
      <c r="AU1581" s="146">
        <f t="shared" si="467"/>
        <v>21250</v>
      </c>
      <c r="AV1581" s="146">
        <f>IFERROR(VLOOKUP(J1581,Maksājumu_pieprasījumu_iesn.!G:BL,57,0),0)</f>
        <v>0</v>
      </c>
      <c r="AW1581" s="139">
        <f t="shared" si="470"/>
        <v>-21250</v>
      </c>
      <c r="AX1581" s="147"/>
      <c r="AY1581" s="147"/>
      <c r="AZ1581" s="147"/>
      <c r="BA1581" s="165"/>
      <c r="BB1581" s="144"/>
      <c r="BC1581" s="144"/>
      <c r="BD1581" s="144"/>
      <c r="BE1581" s="144"/>
      <c r="BF1581" s="144"/>
      <c r="BG1581" s="144"/>
      <c r="BH1581" s="149"/>
      <c r="BI1581" s="149"/>
      <c r="BJ1581" s="149"/>
      <c r="BK1581" s="149"/>
      <c r="BL1581" s="149"/>
      <c r="BM1581" s="149"/>
      <c r="BN1581" s="149"/>
    </row>
    <row r="1582" spans="1:66" ht="51" hidden="1" customHeight="1" x14ac:dyDescent="0.2">
      <c r="A1582" s="142" t="s">
        <v>2670</v>
      </c>
      <c r="B1582" s="18" t="s">
        <v>458</v>
      </c>
      <c r="C1582" s="18" t="s">
        <v>459</v>
      </c>
      <c r="D1582" s="19" t="s">
        <v>609</v>
      </c>
      <c r="E1582" s="18">
        <v>1</v>
      </c>
      <c r="F1582" s="18" t="s">
        <v>454</v>
      </c>
      <c r="G1582" s="18" t="s">
        <v>77</v>
      </c>
      <c r="H1582" s="18" t="s">
        <v>3</v>
      </c>
      <c r="I1582" s="18"/>
      <c r="J1582" s="18" t="s">
        <v>465</v>
      </c>
      <c r="K1582" s="19" t="s">
        <v>456</v>
      </c>
      <c r="L1582" s="19"/>
      <c r="M1582" s="19"/>
      <c r="N1582" s="19" t="s">
        <v>466</v>
      </c>
      <c r="O1582" s="143"/>
      <c r="P1582" s="143"/>
      <c r="Q1582" s="143"/>
      <c r="R1582" s="143">
        <v>42360</v>
      </c>
      <c r="S1582" s="144">
        <v>243955.1</v>
      </c>
      <c r="T1582" s="144"/>
      <c r="U1582" s="145">
        <v>0</v>
      </c>
      <c r="V1582" s="145">
        <v>0</v>
      </c>
      <c r="W1582" s="145">
        <v>29521.570000000003</v>
      </c>
      <c r="X1582" s="145">
        <f t="shared" si="488"/>
        <v>29521.570000000003</v>
      </c>
      <c r="Y1582" s="145">
        <v>51786.65</v>
      </c>
      <c r="Z1582" s="145">
        <v>0</v>
      </c>
      <c r="AA1582" s="145">
        <v>0</v>
      </c>
      <c r="AB1582" s="145">
        <v>32048.63</v>
      </c>
      <c r="AC1582" s="145">
        <v>0</v>
      </c>
      <c r="AD1582" s="166">
        <v>0</v>
      </c>
      <c r="AE1582" s="166">
        <v>18673.650000000001</v>
      </c>
      <c r="AF1582" s="145">
        <v>0</v>
      </c>
      <c r="AG1582" s="145">
        <v>0</v>
      </c>
      <c r="AH1582" s="145">
        <v>18673.650000000001</v>
      </c>
      <c r="AI1582" s="145">
        <v>0</v>
      </c>
      <c r="AJ1582" s="145">
        <v>0</v>
      </c>
      <c r="AK1582" s="145">
        <f t="shared" si="489"/>
        <v>121182.57999999999</v>
      </c>
      <c r="AL1582" s="145">
        <v>74606.640000000014</v>
      </c>
      <c r="AM1582" s="145">
        <v>18644.310000000001</v>
      </c>
      <c r="AN1582" s="145">
        <v>0</v>
      </c>
      <c r="AO1582" s="145">
        <v>0</v>
      </c>
      <c r="AP1582" s="145">
        <v>0</v>
      </c>
      <c r="AQ1582" s="145">
        <v>0</v>
      </c>
      <c r="AR1582" s="145">
        <v>0</v>
      </c>
      <c r="AS1582" s="144">
        <f t="shared" si="487"/>
        <v>243955.1</v>
      </c>
      <c r="AT1582" s="144"/>
      <c r="AU1582" s="146">
        <f t="shared" si="467"/>
        <v>243955.1</v>
      </c>
      <c r="AV1582" s="146">
        <f>IFERROR(VLOOKUP(J1582,Maksājumu_pieprasījumu_iesn.!G:BL,57,0),0)</f>
        <v>0</v>
      </c>
      <c r="AW1582" s="139">
        <f t="shared" si="470"/>
        <v>-243955.1</v>
      </c>
      <c r="AX1582" s="147"/>
      <c r="AY1582" s="147"/>
      <c r="AZ1582" s="147"/>
      <c r="BA1582" s="165"/>
      <c r="BB1582" s="144"/>
      <c r="BC1582" s="144"/>
      <c r="BD1582" s="144"/>
      <c r="BE1582" s="144"/>
      <c r="BF1582" s="144"/>
      <c r="BG1582" s="144"/>
      <c r="BH1582" s="149"/>
      <c r="BI1582" s="149"/>
      <c r="BJ1582" s="149"/>
      <c r="BK1582" s="149"/>
      <c r="BL1582" s="149"/>
      <c r="BM1582" s="149"/>
      <c r="BN1582" s="149"/>
    </row>
    <row r="1583" spans="1:66" ht="51" hidden="1" customHeight="1" x14ac:dyDescent="0.2">
      <c r="A1583" s="142" t="s">
        <v>2670</v>
      </c>
      <c r="B1583" s="18" t="s">
        <v>458</v>
      </c>
      <c r="C1583" s="18" t="s">
        <v>459</v>
      </c>
      <c r="D1583" s="19" t="s">
        <v>609</v>
      </c>
      <c r="E1583" s="18">
        <v>1</v>
      </c>
      <c r="F1583" s="18" t="s">
        <v>454</v>
      </c>
      <c r="G1583" s="18" t="s">
        <v>77</v>
      </c>
      <c r="H1583" s="18" t="s">
        <v>3</v>
      </c>
      <c r="I1583" s="18"/>
      <c r="J1583" s="18" t="s">
        <v>467</v>
      </c>
      <c r="K1583" s="19" t="s">
        <v>468</v>
      </c>
      <c r="L1583" s="19"/>
      <c r="M1583" s="19"/>
      <c r="N1583" s="19" t="s">
        <v>469</v>
      </c>
      <c r="O1583" s="143"/>
      <c r="P1583" s="143"/>
      <c r="Q1583" s="143"/>
      <c r="R1583" s="143">
        <v>42384</v>
      </c>
      <c r="S1583" s="144">
        <v>28645</v>
      </c>
      <c r="T1583" s="144"/>
      <c r="U1583" s="145">
        <v>0</v>
      </c>
      <c r="V1583" s="145">
        <v>0</v>
      </c>
      <c r="W1583" s="145">
        <v>5968.66</v>
      </c>
      <c r="X1583" s="145">
        <f t="shared" si="488"/>
        <v>5968.66</v>
      </c>
      <c r="Y1583" s="145">
        <v>2534.79</v>
      </c>
      <c r="Z1583" s="145">
        <v>0</v>
      </c>
      <c r="AA1583" s="145">
        <v>0</v>
      </c>
      <c r="AB1583" s="145">
        <v>1784.01</v>
      </c>
      <c r="AC1583" s="145">
        <v>0</v>
      </c>
      <c r="AD1583" s="166">
        <v>0</v>
      </c>
      <c r="AE1583" s="166">
        <v>2387.0500000000002</v>
      </c>
      <c r="AF1583" s="145">
        <v>0</v>
      </c>
      <c r="AG1583" s="145">
        <v>0</v>
      </c>
      <c r="AH1583" s="145">
        <v>2387.0500000000002</v>
      </c>
      <c r="AI1583" s="145">
        <v>0</v>
      </c>
      <c r="AJ1583" s="145">
        <v>0</v>
      </c>
      <c r="AK1583" s="145">
        <f t="shared" si="489"/>
        <v>9092.9000000000015</v>
      </c>
      <c r="AL1583" s="145">
        <v>9548.2000000000007</v>
      </c>
      <c r="AM1583" s="145">
        <v>4026.19</v>
      </c>
      <c r="AN1583" s="145">
        <v>0</v>
      </c>
      <c r="AO1583" s="145">
        <v>0</v>
      </c>
      <c r="AP1583" s="145">
        <v>0</v>
      </c>
      <c r="AQ1583" s="145">
        <v>0</v>
      </c>
      <c r="AR1583" s="145">
        <v>0</v>
      </c>
      <c r="AS1583" s="144">
        <f t="shared" si="487"/>
        <v>28635.95</v>
      </c>
      <c r="AT1583" s="144"/>
      <c r="AU1583" s="146">
        <f t="shared" si="467"/>
        <v>28635.95</v>
      </c>
      <c r="AV1583" s="146">
        <f>IFERROR(VLOOKUP(J1583,Maksājumu_pieprasījumu_iesn.!G:BL,57,0),0)</f>
        <v>0</v>
      </c>
      <c r="AW1583" s="139">
        <f t="shared" si="470"/>
        <v>-28635.95</v>
      </c>
      <c r="AX1583" s="147"/>
      <c r="AY1583" s="147"/>
      <c r="AZ1583" s="147"/>
      <c r="BA1583" s="165"/>
      <c r="BB1583" s="144"/>
      <c r="BC1583" s="144"/>
      <c r="BD1583" s="144"/>
      <c r="BE1583" s="144"/>
      <c r="BF1583" s="144"/>
      <c r="BG1583" s="144"/>
      <c r="BH1583" s="149"/>
      <c r="BI1583" s="149"/>
      <c r="BJ1583" s="149"/>
      <c r="BK1583" s="149"/>
      <c r="BL1583" s="149"/>
      <c r="BM1583" s="149"/>
      <c r="BN1583" s="149"/>
    </row>
    <row r="1584" spans="1:66" ht="51" hidden="1" customHeight="1" x14ac:dyDescent="0.2">
      <c r="A1584" s="142" t="s">
        <v>2670</v>
      </c>
      <c r="B1584" s="18" t="s">
        <v>458</v>
      </c>
      <c r="C1584" s="18" t="s">
        <v>459</v>
      </c>
      <c r="D1584" s="19" t="s">
        <v>609</v>
      </c>
      <c r="E1584" s="18">
        <v>1</v>
      </c>
      <c r="F1584" s="18" t="s">
        <v>454</v>
      </c>
      <c r="G1584" s="18" t="s">
        <v>77</v>
      </c>
      <c r="H1584" s="18" t="s">
        <v>3</v>
      </c>
      <c r="I1584" s="18"/>
      <c r="J1584" s="18" t="s">
        <v>470</v>
      </c>
      <c r="K1584" s="19" t="s">
        <v>409</v>
      </c>
      <c r="L1584" s="19"/>
      <c r="M1584" s="19"/>
      <c r="N1584" s="19" t="s">
        <v>471</v>
      </c>
      <c r="O1584" s="143"/>
      <c r="P1584" s="143"/>
      <c r="Q1584" s="143"/>
      <c r="R1584" s="143">
        <v>42377</v>
      </c>
      <c r="S1584" s="144">
        <v>94188.2</v>
      </c>
      <c r="T1584" s="144"/>
      <c r="U1584" s="145">
        <v>0</v>
      </c>
      <c r="V1584" s="145">
        <v>0</v>
      </c>
      <c r="W1584" s="145">
        <v>4401.16</v>
      </c>
      <c r="X1584" s="145">
        <f t="shared" si="488"/>
        <v>4401.16</v>
      </c>
      <c r="Y1584" s="145">
        <v>10239.4</v>
      </c>
      <c r="Z1584" s="145">
        <v>0</v>
      </c>
      <c r="AA1584" s="145">
        <v>0</v>
      </c>
      <c r="AB1584" s="145">
        <v>9312.6</v>
      </c>
      <c r="AC1584" s="145">
        <v>0</v>
      </c>
      <c r="AD1584" s="166">
        <v>0</v>
      </c>
      <c r="AE1584" s="166">
        <v>7670.4</v>
      </c>
      <c r="AF1584" s="145">
        <v>0</v>
      </c>
      <c r="AG1584" s="145">
        <v>0</v>
      </c>
      <c r="AH1584" s="145">
        <v>8662.35</v>
      </c>
      <c r="AI1584" s="145">
        <v>0</v>
      </c>
      <c r="AJ1584" s="145">
        <v>0</v>
      </c>
      <c r="AK1584" s="145">
        <f t="shared" si="489"/>
        <v>35884.75</v>
      </c>
      <c r="AL1584" s="145">
        <v>41431.06</v>
      </c>
      <c r="AM1584" s="145">
        <v>12471.23</v>
      </c>
      <c r="AN1584" s="145">
        <v>0</v>
      </c>
      <c r="AO1584" s="145">
        <v>0</v>
      </c>
      <c r="AP1584" s="145">
        <v>0</v>
      </c>
      <c r="AQ1584" s="145">
        <v>0</v>
      </c>
      <c r="AR1584" s="145">
        <v>0</v>
      </c>
      <c r="AS1584" s="144">
        <f t="shared" si="487"/>
        <v>94188.2</v>
      </c>
      <c r="AT1584" s="144"/>
      <c r="AU1584" s="146">
        <f t="shared" si="467"/>
        <v>94188.2</v>
      </c>
      <c r="AV1584" s="146">
        <f>IFERROR(VLOOKUP(J1584,Maksājumu_pieprasījumu_iesn.!G:BL,57,0),0)</f>
        <v>0</v>
      </c>
      <c r="AW1584" s="139">
        <f t="shared" si="470"/>
        <v>-94188.2</v>
      </c>
      <c r="AX1584" s="147"/>
      <c r="AY1584" s="147"/>
      <c r="AZ1584" s="147"/>
      <c r="BA1584" s="165"/>
      <c r="BB1584" s="144"/>
      <c r="BC1584" s="144"/>
      <c r="BD1584" s="144"/>
      <c r="BE1584" s="144"/>
      <c r="BF1584" s="144"/>
      <c r="BG1584" s="144"/>
      <c r="BH1584" s="149"/>
      <c r="BI1584" s="149"/>
      <c r="BJ1584" s="149"/>
      <c r="BK1584" s="149"/>
      <c r="BL1584" s="149"/>
      <c r="BM1584" s="149"/>
      <c r="BN1584" s="149"/>
    </row>
    <row r="1585" spans="1:66" ht="51" hidden="1" customHeight="1" x14ac:dyDescent="0.2">
      <c r="A1585" s="142" t="s">
        <v>2670</v>
      </c>
      <c r="B1585" s="18" t="s">
        <v>458</v>
      </c>
      <c r="C1585" s="18" t="s">
        <v>459</v>
      </c>
      <c r="D1585" s="19" t="s">
        <v>609</v>
      </c>
      <c r="E1585" s="18">
        <v>1</v>
      </c>
      <c r="F1585" s="18" t="s">
        <v>454</v>
      </c>
      <c r="G1585" s="18" t="s">
        <v>77</v>
      </c>
      <c r="H1585" s="18" t="s">
        <v>3</v>
      </c>
      <c r="I1585" s="18"/>
      <c r="J1585" s="18" t="s">
        <v>472</v>
      </c>
      <c r="K1585" s="19" t="s">
        <v>311</v>
      </c>
      <c r="L1585" s="19"/>
      <c r="M1585" s="19"/>
      <c r="N1585" s="19" t="s">
        <v>473</v>
      </c>
      <c r="O1585" s="143"/>
      <c r="P1585" s="143"/>
      <c r="Q1585" s="143"/>
      <c r="R1585" s="143">
        <v>42376</v>
      </c>
      <c r="S1585" s="144">
        <v>170000</v>
      </c>
      <c r="T1585" s="144"/>
      <c r="U1585" s="145">
        <v>0</v>
      </c>
      <c r="V1585" s="145">
        <v>0</v>
      </c>
      <c r="W1585" s="145">
        <v>21275.440000000002</v>
      </c>
      <c r="X1585" s="145">
        <f t="shared" si="488"/>
        <v>21275.440000000002</v>
      </c>
      <c r="Y1585" s="145">
        <v>7492.66</v>
      </c>
      <c r="Z1585" s="145">
        <v>0</v>
      </c>
      <c r="AA1585" s="145">
        <v>0</v>
      </c>
      <c r="AB1585" s="145">
        <v>12227.25</v>
      </c>
      <c r="AC1585" s="145">
        <v>0</v>
      </c>
      <c r="AD1585" s="166">
        <v>0</v>
      </c>
      <c r="AE1585" s="166">
        <v>15727.55</v>
      </c>
      <c r="AF1585" s="145">
        <v>0</v>
      </c>
      <c r="AG1585" s="145">
        <v>0</v>
      </c>
      <c r="AH1585" s="145">
        <v>15728.4</v>
      </c>
      <c r="AI1585" s="145">
        <v>0</v>
      </c>
      <c r="AJ1585" s="145">
        <v>0</v>
      </c>
      <c r="AK1585" s="145">
        <f t="shared" si="489"/>
        <v>51175.86</v>
      </c>
      <c r="AL1585" s="145">
        <v>81619.55</v>
      </c>
      <c r="AM1585" s="145">
        <v>15929.15</v>
      </c>
      <c r="AN1585" s="145">
        <v>0</v>
      </c>
      <c r="AO1585" s="145">
        <v>0</v>
      </c>
      <c r="AP1585" s="145">
        <v>0</v>
      </c>
      <c r="AQ1585" s="145">
        <v>0</v>
      </c>
      <c r="AR1585" s="145">
        <v>0</v>
      </c>
      <c r="AS1585" s="144">
        <f t="shared" si="487"/>
        <v>170000</v>
      </c>
      <c r="AT1585" s="144"/>
      <c r="AU1585" s="146">
        <f t="shared" si="467"/>
        <v>170000</v>
      </c>
      <c r="AV1585" s="146">
        <f>IFERROR(VLOOKUP(J1585,Maksājumu_pieprasījumu_iesn.!G:BL,57,0),0)</f>
        <v>0</v>
      </c>
      <c r="AW1585" s="139">
        <f t="shared" si="470"/>
        <v>-170000</v>
      </c>
      <c r="AX1585" s="147"/>
      <c r="AY1585" s="147"/>
      <c r="AZ1585" s="147"/>
      <c r="BA1585" s="165"/>
      <c r="BB1585" s="144"/>
      <c r="BC1585" s="144"/>
      <c r="BD1585" s="144"/>
      <c r="BE1585" s="144"/>
      <c r="BF1585" s="144"/>
      <c r="BG1585" s="144"/>
      <c r="BH1585" s="149"/>
      <c r="BI1585" s="149"/>
      <c r="BJ1585" s="149"/>
      <c r="BK1585" s="149"/>
      <c r="BL1585" s="149"/>
      <c r="BM1585" s="149"/>
      <c r="BN1585" s="149"/>
    </row>
    <row r="1586" spans="1:66" ht="38.25" hidden="1" customHeight="1" x14ac:dyDescent="0.2">
      <c r="A1586" s="142" t="s">
        <v>2670</v>
      </c>
      <c r="B1586" s="18" t="s">
        <v>458</v>
      </c>
      <c r="C1586" s="18" t="s">
        <v>459</v>
      </c>
      <c r="D1586" s="19" t="s">
        <v>609</v>
      </c>
      <c r="E1586" s="18">
        <v>1</v>
      </c>
      <c r="F1586" s="18" t="s">
        <v>454</v>
      </c>
      <c r="G1586" s="18" t="s">
        <v>77</v>
      </c>
      <c r="H1586" s="18" t="s">
        <v>3</v>
      </c>
      <c r="I1586" s="18"/>
      <c r="J1586" s="18" t="s">
        <v>474</v>
      </c>
      <c r="K1586" s="19" t="s">
        <v>13</v>
      </c>
      <c r="L1586" s="19"/>
      <c r="M1586" s="19"/>
      <c r="N1586" s="19" t="s">
        <v>475</v>
      </c>
      <c r="O1586" s="143"/>
      <c r="P1586" s="143"/>
      <c r="Q1586" s="143"/>
      <c r="R1586" s="143">
        <v>42367</v>
      </c>
      <c r="S1586" s="144">
        <v>99693.95</v>
      </c>
      <c r="T1586" s="144"/>
      <c r="U1586" s="145">
        <v>0</v>
      </c>
      <c r="V1586" s="145">
        <v>0</v>
      </c>
      <c r="W1586" s="145">
        <v>24363.08</v>
      </c>
      <c r="X1586" s="145">
        <f t="shared" si="488"/>
        <v>24363.08</v>
      </c>
      <c r="Y1586" s="145">
        <v>0</v>
      </c>
      <c r="Z1586" s="145">
        <v>10941.4</v>
      </c>
      <c r="AA1586" s="145">
        <v>0</v>
      </c>
      <c r="AB1586" s="145">
        <v>0</v>
      </c>
      <c r="AC1586" s="145">
        <v>8245</v>
      </c>
      <c r="AD1586" s="145">
        <v>0</v>
      </c>
      <c r="AE1586" s="145">
        <v>0</v>
      </c>
      <c r="AF1586" s="420">
        <v>8160</v>
      </c>
      <c r="AG1586" s="145">
        <v>0</v>
      </c>
      <c r="AH1586" s="145">
        <v>0</v>
      </c>
      <c r="AI1586" s="145">
        <v>8500</v>
      </c>
      <c r="AJ1586" s="145">
        <v>0</v>
      </c>
      <c r="AK1586" s="145">
        <f t="shared" si="489"/>
        <v>35846.400000000001</v>
      </c>
      <c r="AL1586" s="145">
        <v>28301.599999999999</v>
      </c>
      <c r="AM1586" s="145">
        <v>11182.87</v>
      </c>
      <c r="AN1586" s="145">
        <v>0</v>
      </c>
      <c r="AO1586" s="145">
        <v>0</v>
      </c>
      <c r="AP1586" s="145">
        <v>0</v>
      </c>
      <c r="AQ1586" s="145">
        <v>0</v>
      </c>
      <c r="AR1586" s="145">
        <v>0</v>
      </c>
      <c r="AS1586" s="144">
        <f t="shared" si="487"/>
        <v>99693.95</v>
      </c>
      <c r="AT1586" s="144"/>
      <c r="AU1586" s="146">
        <f>AS1586-AT1586</f>
        <v>99693.95</v>
      </c>
      <c r="AV1586" s="146">
        <f>IFERROR(VLOOKUP(J1586,Maksājumu_pieprasījumu_iesn.!G:BL,57,0),0)</f>
        <v>0</v>
      </c>
      <c r="AW1586" s="139">
        <f t="shared" si="470"/>
        <v>-99693.95</v>
      </c>
      <c r="AX1586" s="147"/>
      <c r="AY1586" s="147"/>
      <c r="AZ1586" s="147"/>
      <c r="BA1586" s="165"/>
      <c r="BB1586" s="144"/>
      <c r="BC1586" s="144"/>
      <c r="BD1586" s="144"/>
      <c r="BE1586" s="144"/>
      <c r="BF1586" s="144"/>
      <c r="BG1586" s="144"/>
      <c r="BH1586" s="149"/>
      <c r="BI1586" s="149"/>
      <c r="BJ1586" s="149"/>
      <c r="BK1586" s="149"/>
      <c r="BL1586" s="149"/>
      <c r="BM1586" s="149"/>
      <c r="BN1586" s="149"/>
    </row>
    <row r="1587" spans="1:66" ht="38.25" hidden="1" customHeight="1" x14ac:dyDescent="0.2">
      <c r="A1587" s="142" t="s">
        <v>2670</v>
      </c>
      <c r="B1587" s="18" t="s">
        <v>458</v>
      </c>
      <c r="C1587" s="18" t="s">
        <v>459</v>
      </c>
      <c r="D1587" s="19" t="s">
        <v>609</v>
      </c>
      <c r="E1587" s="18">
        <v>1</v>
      </c>
      <c r="F1587" s="18" t="s">
        <v>454</v>
      </c>
      <c r="G1587" s="18" t="s">
        <v>77</v>
      </c>
      <c r="H1587" s="18" t="s">
        <v>3</v>
      </c>
      <c r="I1587" s="18"/>
      <c r="J1587" s="18" t="s">
        <v>476</v>
      </c>
      <c r="K1587" s="19" t="s">
        <v>477</v>
      </c>
      <c r="L1587" s="19"/>
      <c r="M1587" s="19"/>
      <c r="N1587" s="19" t="s">
        <v>478</v>
      </c>
      <c r="O1587" s="143"/>
      <c r="P1587" s="143"/>
      <c r="Q1587" s="143"/>
      <c r="R1587" s="143">
        <v>42366</v>
      </c>
      <c r="S1587" s="144">
        <v>157958.9</v>
      </c>
      <c r="T1587" s="144"/>
      <c r="U1587" s="145">
        <v>0</v>
      </c>
      <c r="V1587" s="145">
        <v>0</v>
      </c>
      <c r="W1587" s="145">
        <v>11355.95</v>
      </c>
      <c r="X1587" s="145">
        <f t="shared" si="488"/>
        <v>11355.95</v>
      </c>
      <c r="Y1587" s="145">
        <v>6195.79</v>
      </c>
      <c r="Z1587" s="145">
        <v>0</v>
      </c>
      <c r="AA1587" s="145">
        <v>0</v>
      </c>
      <c r="AB1587" s="145">
        <v>20332.68</v>
      </c>
      <c r="AC1587" s="145">
        <v>0</v>
      </c>
      <c r="AD1587" s="166">
        <v>0</v>
      </c>
      <c r="AE1587" s="166">
        <v>44394.45</v>
      </c>
      <c r="AF1587" s="145">
        <v>0</v>
      </c>
      <c r="AG1587" s="145">
        <v>0</v>
      </c>
      <c r="AH1587" s="145">
        <v>10660.49</v>
      </c>
      <c r="AI1587" s="145">
        <v>0</v>
      </c>
      <c r="AJ1587" s="145">
        <v>0</v>
      </c>
      <c r="AK1587" s="145">
        <f t="shared" si="489"/>
        <v>81583.41</v>
      </c>
      <c r="AL1587" s="145">
        <v>49164.68</v>
      </c>
      <c r="AM1587" s="145">
        <v>15854.86</v>
      </c>
      <c r="AN1587" s="145">
        <v>0</v>
      </c>
      <c r="AO1587" s="145">
        <v>0</v>
      </c>
      <c r="AP1587" s="145">
        <v>0</v>
      </c>
      <c r="AQ1587" s="145">
        <v>0</v>
      </c>
      <c r="AR1587" s="145">
        <v>0</v>
      </c>
      <c r="AS1587" s="144">
        <f t="shared" si="487"/>
        <v>157958.90000000002</v>
      </c>
      <c r="AT1587" s="144"/>
      <c r="AU1587" s="146">
        <f t="shared" si="467"/>
        <v>157958.90000000002</v>
      </c>
      <c r="AV1587" s="146">
        <f>IFERROR(VLOOKUP(J1587,Maksājumu_pieprasījumu_iesn.!G:BL,57,0),0)</f>
        <v>0</v>
      </c>
      <c r="AW1587" s="139">
        <f t="shared" si="470"/>
        <v>-157958.90000000002</v>
      </c>
      <c r="AX1587" s="147"/>
      <c r="AY1587" s="147"/>
      <c r="AZ1587" s="147"/>
      <c r="BA1587" s="165"/>
      <c r="BB1587" s="144"/>
      <c r="BC1587" s="144"/>
      <c r="BD1587" s="144"/>
      <c r="BE1587" s="144"/>
      <c r="BF1587" s="144"/>
      <c r="BG1587" s="144"/>
      <c r="BH1587" s="149"/>
      <c r="BI1587" s="149"/>
      <c r="BJ1587" s="149"/>
      <c r="BK1587" s="149"/>
      <c r="BL1587" s="149"/>
      <c r="BM1587" s="149"/>
      <c r="BN1587" s="149"/>
    </row>
    <row r="1588" spans="1:66" ht="38.25" hidden="1" customHeight="1" x14ac:dyDescent="0.2">
      <c r="A1588" s="142" t="s">
        <v>2670</v>
      </c>
      <c r="B1588" s="18" t="s">
        <v>458</v>
      </c>
      <c r="C1588" s="18" t="s">
        <v>459</v>
      </c>
      <c r="D1588" s="19" t="s">
        <v>609</v>
      </c>
      <c r="E1588" s="18">
        <v>1</v>
      </c>
      <c r="F1588" s="18" t="s">
        <v>454</v>
      </c>
      <c r="G1588" s="18" t="s">
        <v>77</v>
      </c>
      <c r="H1588" s="18" t="s">
        <v>3</v>
      </c>
      <c r="I1588" s="18"/>
      <c r="J1588" s="18" t="s">
        <v>479</v>
      </c>
      <c r="K1588" s="19" t="s">
        <v>40</v>
      </c>
      <c r="L1588" s="19"/>
      <c r="M1588" s="19"/>
      <c r="N1588" s="19" t="s">
        <v>480</v>
      </c>
      <c r="O1588" s="143"/>
      <c r="P1588" s="143"/>
      <c r="Q1588" s="143"/>
      <c r="R1588" s="143">
        <v>42401</v>
      </c>
      <c r="S1588" s="144">
        <v>368347.5</v>
      </c>
      <c r="T1588" s="144"/>
      <c r="U1588" s="145">
        <v>0</v>
      </c>
      <c r="V1588" s="145">
        <v>0</v>
      </c>
      <c r="W1588" s="145">
        <v>15106.58</v>
      </c>
      <c r="X1588" s="145">
        <f t="shared" si="488"/>
        <v>15106.58</v>
      </c>
      <c r="Y1588" s="145">
        <v>15300.7</v>
      </c>
      <c r="Z1588" s="145">
        <v>0</v>
      </c>
      <c r="AA1588" s="145">
        <v>0</v>
      </c>
      <c r="AB1588" s="145">
        <v>13991.61</v>
      </c>
      <c r="AC1588" s="145">
        <v>0</v>
      </c>
      <c r="AD1588" s="166">
        <v>0</v>
      </c>
      <c r="AE1588" s="166">
        <v>35723.370000000003</v>
      </c>
      <c r="AF1588" s="145">
        <v>0</v>
      </c>
      <c r="AG1588" s="145">
        <v>0</v>
      </c>
      <c r="AH1588" s="145">
        <v>90147.42</v>
      </c>
      <c r="AI1588" s="145">
        <v>0</v>
      </c>
      <c r="AJ1588" s="145">
        <v>0</v>
      </c>
      <c r="AK1588" s="145">
        <f t="shared" si="489"/>
        <v>155163.1</v>
      </c>
      <c r="AL1588" s="145">
        <v>107916.65</v>
      </c>
      <c r="AM1588" s="145">
        <v>90161.17</v>
      </c>
      <c r="AN1588" s="145">
        <v>0</v>
      </c>
      <c r="AO1588" s="145">
        <v>0</v>
      </c>
      <c r="AP1588" s="145">
        <v>0</v>
      </c>
      <c r="AQ1588" s="145">
        <v>0</v>
      </c>
      <c r="AR1588" s="145">
        <v>0</v>
      </c>
      <c r="AS1588" s="144">
        <f t="shared" si="487"/>
        <v>368347.49999999994</v>
      </c>
      <c r="AT1588" s="144"/>
      <c r="AU1588" s="146">
        <f t="shared" si="467"/>
        <v>368347.49999999994</v>
      </c>
      <c r="AV1588" s="146">
        <f>IFERROR(VLOOKUP(J1588,Maksājumu_pieprasījumu_iesn.!G:BL,57,0),0)</f>
        <v>0</v>
      </c>
      <c r="AW1588" s="139">
        <f t="shared" si="470"/>
        <v>-368347.49999999994</v>
      </c>
      <c r="AX1588" s="147"/>
      <c r="AY1588" s="147"/>
      <c r="AZ1588" s="147"/>
      <c r="BA1588" s="165"/>
      <c r="BB1588" s="144"/>
      <c r="BC1588" s="144"/>
      <c r="BD1588" s="144"/>
      <c r="BE1588" s="144"/>
      <c r="BF1588" s="144"/>
      <c r="BG1588" s="144"/>
      <c r="BH1588" s="149"/>
      <c r="BI1588" s="149"/>
      <c r="BJ1588" s="149"/>
      <c r="BK1588" s="149"/>
      <c r="BL1588" s="149"/>
      <c r="BM1588" s="149"/>
      <c r="BN1588" s="149"/>
    </row>
    <row r="1589" spans="1:66" ht="63.75" hidden="1" customHeight="1" x14ac:dyDescent="0.2">
      <c r="A1589" s="142" t="s">
        <v>2670</v>
      </c>
      <c r="B1589" s="18" t="s">
        <v>458</v>
      </c>
      <c r="C1589" s="18" t="s">
        <v>459</v>
      </c>
      <c r="D1589" s="19" t="s">
        <v>609</v>
      </c>
      <c r="E1589" s="18">
        <v>1</v>
      </c>
      <c r="F1589" s="18" t="s">
        <v>454</v>
      </c>
      <c r="G1589" s="18" t="s">
        <v>77</v>
      </c>
      <c r="H1589" s="18" t="s">
        <v>3</v>
      </c>
      <c r="I1589" s="18"/>
      <c r="J1589" s="18" t="s">
        <v>481</v>
      </c>
      <c r="K1589" s="19" t="s">
        <v>98</v>
      </c>
      <c r="L1589" s="19"/>
      <c r="M1589" s="19"/>
      <c r="N1589" s="19" t="s">
        <v>482</v>
      </c>
      <c r="O1589" s="143"/>
      <c r="P1589" s="143"/>
      <c r="Q1589" s="143"/>
      <c r="R1589" s="143">
        <v>42368</v>
      </c>
      <c r="S1589" s="144">
        <v>85000</v>
      </c>
      <c r="T1589" s="144"/>
      <c r="U1589" s="145">
        <v>0</v>
      </c>
      <c r="V1589" s="145">
        <v>0</v>
      </c>
      <c r="W1589" s="145">
        <v>10820.23</v>
      </c>
      <c r="X1589" s="145">
        <f t="shared" si="488"/>
        <v>10820.23</v>
      </c>
      <c r="Y1589" s="145">
        <v>9042.5</v>
      </c>
      <c r="Z1589" s="145">
        <v>0</v>
      </c>
      <c r="AA1589" s="145">
        <v>0</v>
      </c>
      <c r="AB1589" s="145">
        <v>4384.17</v>
      </c>
      <c r="AC1589" s="145">
        <v>0</v>
      </c>
      <c r="AD1589" s="166">
        <v>0</v>
      </c>
      <c r="AE1589" s="166">
        <v>7337.04</v>
      </c>
      <c r="AF1589" s="145">
        <v>0</v>
      </c>
      <c r="AG1589" s="145">
        <v>0</v>
      </c>
      <c r="AH1589" s="145">
        <v>7337.04</v>
      </c>
      <c r="AI1589" s="145">
        <v>0</v>
      </c>
      <c r="AJ1589" s="145">
        <v>0</v>
      </c>
      <c r="AK1589" s="145">
        <f t="shared" si="489"/>
        <v>28100.75</v>
      </c>
      <c r="AL1589" s="145">
        <v>29348.16</v>
      </c>
      <c r="AM1589" s="145">
        <v>16730.86</v>
      </c>
      <c r="AN1589" s="145">
        <v>0</v>
      </c>
      <c r="AO1589" s="145">
        <v>0</v>
      </c>
      <c r="AP1589" s="145">
        <v>0</v>
      </c>
      <c r="AQ1589" s="145">
        <v>0</v>
      </c>
      <c r="AR1589" s="145">
        <v>0</v>
      </c>
      <c r="AS1589" s="144">
        <f t="shared" si="487"/>
        <v>85000</v>
      </c>
      <c r="AT1589" s="144"/>
      <c r="AU1589" s="146">
        <f t="shared" si="467"/>
        <v>85000</v>
      </c>
      <c r="AV1589" s="146">
        <f>IFERROR(VLOOKUP(J1589,Maksājumu_pieprasījumu_iesn.!G:BL,57,0),0)</f>
        <v>0</v>
      </c>
      <c r="AW1589" s="139">
        <f t="shared" si="470"/>
        <v>-85000</v>
      </c>
      <c r="AX1589" s="147"/>
      <c r="AY1589" s="147"/>
      <c r="AZ1589" s="147"/>
      <c r="BA1589" s="165"/>
      <c r="BB1589" s="144"/>
      <c r="BC1589" s="144"/>
      <c r="BD1589" s="144"/>
      <c r="BE1589" s="144"/>
      <c r="BF1589" s="144"/>
      <c r="BG1589" s="144"/>
      <c r="BH1589" s="149"/>
      <c r="BI1589" s="149"/>
      <c r="BJ1589" s="149"/>
      <c r="BK1589" s="149"/>
      <c r="BL1589" s="149"/>
      <c r="BM1589" s="149"/>
      <c r="BN1589" s="149"/>
    </row>
    <row r="1590" spans="1:66" ht="63.75" hidden="1" customHeight="1" x14ac:dyDescent="0.2">
      <c r="A1590" s="142" t="s">
        <v>2670</v>
      </c>
      <c r="B1590" s="18" t="s">
        <v>458</v>
      </c>
      <c r="C1590" s="18" t="s">
        <v>459</v>
      </c>
      <c r="D1590" s="19" t="s">
        <v>609</v>
      </c>
      <c r="E1590" s="18">
        <v>1</v>
      </c>
      <c r="F1590" s="18" t="s">
        <v>454</v>
      </c>
      <c r="G1590" s="18" t="s">
        <v>77</v>
      </c>
      <c r="H1590" s="18" t="s">
        <v>3</v>
      </c>
      <c r="I1590" s="18"/>
      <c r="J1590" s="18" t="s">
        <v>483</v>
      </c>
      <c r="K1590" s="19" t="s">
        <v>37</v>
      </c>
      <c r="L1590" s="19"/>
      <c r="M1590" s="19"/>
      <c r="N1590" s="19" t="s">
        <v>484</v>
      </c>
      <c r="O1590" s="143"/>
      <c r="P1590" s="143"/>
      <c r="Q1590" s="143"/>
      <c r="R1590" s="143">
        <v>42367</v>
      </c>
      <c r="S1590" s="144">
        <v>285719.84999999998</v>
      </c>
      <c r="T1590" s="144"/>
      <c r="U1590" s="145">
        <v>0</v>
      </c>
      <c r="V1590" s="145">
        <v>0</v>
      </c>
      <c r="W1590" s="145">
        <v>16633.3</v>
      </c>
      <c r="X1590" s="145">
        <f t="shared" si="488"/>
        <v>16633.3</v>
      </c>
      <c r="Y1590" s="145">
        <v>8779.56</v>
      </c>
      <c r="Z1590" s="145">
        <v>0</v>
      </c>
      <c r="AA1590" s="145">
        <v>0</v>
      </c>
      <c r="AB1590" s="145">
        <v>38420.1</v>
      </c>
      <c r="AC1590" s="145">
        <v>0</v>
      </c>
      <c r="AD1590" s="166">
        <v>0</v>
      </c>
      <c r="AE1590" s="166">
        <v>35097.35</v>
      </c>
      <c r="AF1590" s="145">
        <v>0</v>
      </c>
      <c r="AG1590" s="145">
        <v>0</v>
      </c>
      <c r="AH1590" s="145">
        <v>26688.67</v>
      </c>
      <c r="AI1590" s="145">
        <v>0</v>
      </c>
      <c r="AJ1590" s="145">
        <v>0</v>
      </c>
      <c r="AK1590" s="145">
        <f t="shared" si="489"/>
        <v>108985.68</v>
      </c>
      <c r="AL1590" s="145">
        <v>126724.79999999999</v>
      </c>
      <c r="AM1590" s="145">
        <v>33376.080000000002</v>
      </c>
      <c r="AN1590" s="145">
        <v>0</v>
      </c>
      <c r="AO1590" s="145">
        <v>0</v>
      </c>
      <c r="AP1590" s="145">
        <v>0</v>
      </c>
      <c r="AQ1590" s="145">
        <v>0</v>
      </c>
      <c r="AR1590" s="145">
        <v>0</v>
      </c>
      <c r="AS1590" s="144">
        <f t="shared" si="487"/>
        <v>285719.86</v>
      </c>
      <c r="AT1590" s="144"/>
      <c r="AU1590" s="146">
        <f t="shared" si="467"/>
        <v>285719.86</v>
      </c>
      <c r="AV1590" s="146">
        <f>IFERROR(VLOOKUP(J1590,Maksājumu_pieprasījumu_iesn.!G:BL,57,0),0)</f>
        <v>0</v>
      </c>
      <c r="AW1590" s="139">
        <f t="shared" si="470"/>
        <v>-285719.86</v>
      </c>
      <c r="AX1590" s="147"/>
      <c r="AY1590" s="147"/>
      <c r="AZ1590" s="147"/>
      <c r="BA1590" s="165"/>
      <c r="BB1590" s="144"/>
      <c r="BC1590" s="144"/>
      <c r="BD1590" s="144"/>
      <c r="BE1590" s="144"/>
      <c r="BF1590" s="144"/>
      <c r="BG1590" s="144"/>
      <c r="BH1590" s="149"/>
      <c r="BI1590" s="149"/>
      <c r="BJ1590" s="149"/>
      <c r="BK1590" s="149"/>
      <c r="BL1590" s="149"/>
      <c r="BM1590" s="149"/>
      <c r="BN1590" s="149"/>
    </row>
    <row r="1591" spans="1:66" s="91" customFormat="1" ht="25.5" hidden="1" customHeight="1" x14ac:dyDescent="0.2">
      <c r="A1591" s="131" t="s">
        <v>2670</v>
      </c>
      <c r="B1591" s="132" t="s">
        <v>458</v>
      </c>
      <c r="C1591" s="132" t="s">
        <v>459</v>
      </c>
      <c r="D1591" s="133" t="s">
        <v>609</v>
      </c>
      <c r="E1591" s="22">
        <v>2</v>
      </c>
      <c r="F1591" s="22" t="s">
        <v>454</v>
      </c>
      <c r="G1591" s="22" t="s">
        <v>77</v>
      </c>
      <c r="H1591" s="22" t="s">
        <v>3</v>
      </c>
      <c r="I1591" s="22" t="s">
        <v>1022</v>
      </c>
      <c r="J1591" s="134" t="s">
        <v>1026</v>
      </c>
      <c r="K1591" s="133"/>
      <c r="L1591" s="133"/>
      <c r="M1591" s="133"/>
      <c r="N1591" s="133"/>
      <c r="O1591" s="135"/>
      <c r="P1591" s="135"/>
      <c r="Q1591" s="135"/>
      <c r="R1591" s="135"/>
      <c r="S1591" s="136">
        <v>3570040</v>
      </c>
      <c r="T1591" s="136">
        <v>0</v>
      </c>
      <c r="U1591" s="137">
        <f>SUM(U1592:U1602)</f>
        <v>0</v>
      </c>
      <c r="V1591" s="137">
        <f>SUM(V1592:V1602)</f>
        <v>0</v>
      </c>
      <c r="W1591" s="137">
        <f>SUM(W1592:W1602)</f>
        <v>0</v>
      </c>
      <c r="X1591" s="138">
        <f>U1591+V1591+W1591</f>
        <v>0</v>
      </c>
      <c r="Y1591" s="137">
        <f t="shared" ref="Y1591:AR1591" si="490">SUM(Y1592:Y1602)</f>
        <v>0</v>
      </c>
      <c r="Z1591" s="137">
        <f t="shared" si="490"/>
        <v>0</v>
      </c>
      <c r="AA1591" s="137">
        <f t="shared" si="490"/>
        <v>0</v>
      </c>
      <c r="AB1591" s="137">
        <f t="shared" si="490"/>
        <v>0</v>
      </c>
      <c r="AC1591" s="137">
        <f t="shared" si="490"/>
        <v>0</v>
      </c>
      <c r="AD1591" s="137">
        <f t="shared" si="490"/>
        <v>0</v>
      </c>
      <c r="AE1591" s="137">
        <f t="shared" si="490"/>
        <v>0</v>
      </c>
      <c r="AF1591" s="137">
        <f t="shared" si="490"/>
        <v>0</v>
      </c>
      <c r="AG1591" s="137">
        <f t="shared" si="490"/>
        <v>0</v>
      </c>
      <c r="AH1591" s="137">
        <f t="shared" si="490"/>
        <v>0</v>
      </c>
      <c r="AI1591" s="137">
        <f t="shared" si="490"/>
        <v>0</v>
      </c>
      <c r="AJ1591" s="137">
        <f t="shared" si="490"/>
        <v>0</v>
      </c>
      <c r="AK1591" s="137">
        <f t="shared" si="490"/>
        <v>0</v>
      </c>
      <c r="AL1591" s="137">
        <f t="shared" si="490"/>
        <v>0</v>
      </c>
      <c r="AM1591" s="137">
        <f t="shared" si="490"/>
        <v>0</v>
      </c>
      <c r="AN1591" s="137">
        <f t="shared" si="490"/>
        <v>0</v>
      </c>
      <c r="AO1591" s="137">
        <f t="shared" si="490"/>
        <v>0</v>
      </c>
      <c r="AP1591" s="137">
        <f t="shared" si="490"/>
        <v>0</v>
      </c>
      <c r="AQ1591" s="137">
        <f t="shared" si="490"/>
        <v>0</v>
      </c>
      <c r="AR1591" s="137">
        <f t="shared" si="490"/>
        <v>0</v>
      </c>
      <c r="AS1591" s="137">
        <f t="shared" si="487"/>
        <v>0</v>
      </c>
      <c r="AT1591" s="137">
        <f>SUM(AT1592:AT1602)</f>
        <v>0</v>
      </c>
      <c r="AU1591" s="139">
        <f t="shared" si="467"/>
        <v>0</v>
      </c>
      <c r="AV1591" s="146">
        <f>IFERROR(VLOOKUP(J1591,Maksājumu_pieprasījumu_iesn.!G:BL,57,0),0)</f>
        <v>0</v>
      </c>
      <c r="AW1591" s="139">
        <f t="shared" si="470"/>
        <v>0</v>
      </c>
      <c r="AX1591" s="140">
        <f>S1591-T1591-AU1591</f>
        <v>3570040</v>
      </c>
      <c r="AY1591" s="137">
        <v>3570040</v>
      </c>
      <c r="AZ1591" s="137"/>
      <c r="BA1591" s="138"/>
      <c r="BB1591" s="140"/>
      <c r="BC1591" s="140">
        <f>X1591+AK1591+AL1591/2</f>
        <v>0</v>
      </c>
      <c r="BD1591" s="140"/>
      <c r="BE1591" s="140">
        <f>BC1591/0.85</f>
        <v>0</v>
      </c>
      <c r="BF1591" s="137"/>
      <c r="BG1591" s="137"/>
      <c r="BH1591" s="138">
        <v>0</v>
      </c>
      <c r="BI1591" s="138">
        <v>0</v>
      </c>
      <c r="BJ1591" s="138"/>
      <c r="BK1591" s="138"/>
      <c r="BL1591" s="138">
        <v>0</v>
      </c>
      <c r="BM1591" s="138"/>
      <c r="BN1591" s="138"/>
    </row>
    <row r="1592" spans="1:66" s="91" customFormat="1" ht="25.5" hidden="1" customHeight="1" x14ac:dyDescent="0.2">
      <c r="A1592" s="150" t="s">
        <v>2670</v>
      </c>
      <c r="B1592" s="18" t="s">
        <v>458</v>
      </c>
      <c r="C1592" s="18" t="s">
        <v>459</v>
      </c>
      <c r="D1592" s="19" t="s">
        <v>609</v>
      </c>
      <c r="E1592" s="55">
        <v>2</v>
      </c>
      <c r="F1592" s="55" t="s">
        <v>454</v>
      </c>
      <c r="G1592" s="55" t="s">
        <v>77</v>
      </c>
      <c r="H1592" s="55" t="s">
        <v>3</v>
      </c>
      <c r="I1592" s="55"/>
      <c r="J1592" s="55"/>
      <c r="K1592" s="19" t="s">
        <v>461</v>
      </c>
      <c r="L1592" s="19"/>
      <c r="M1592" s="19"/>
      <c r="N1592" s="19"/>
      <c r="O1592" s="151"/>
      <c r="P1592" s="151"/>
      <c r="Q1592" s="151"/>
      <c r="R1592" s="151"/>
      <c r="S1592" s="152"/>
      <c r="T1592" s="152"/>
      <c r="U1592" s="145">
        <v>0</v>
      </c>
      <c r="V1592" s="145">
        <v>0</v>
      </c>
      <c r="W1592" s="145">
        <v>0</v>
      </c>
      <c r="X1592" s="145">
        <f t="shared" ref="X1592:X1602" si="491">W1592+V1592+U1592</f>
        <v>0</v>
      </c>
      <c r="Y1592" s="145">
        <v>0</v>
      </c>
      <c r="Z1592" s="145">
        <v>0</v>
      </c>
      <c r="AA1592" s="145">
        <v>0</v>
      </c>
      <c r="AB1592" s="145">
        <v>0</v>
      </c>
      <c r="AC1592" s="145">
        <v>0</v>
      </c>
      <c r="AD1592" s="145">
        <v>0</v>
      </c>
      <c r="AE1592" s="145">
        <v>0</v>
      </c>
      <c r="AF1592" s="145">
        <v>0</v>
      </c>
      <c r="AG1592" s="145">
        <v>0</v>
      </c>
      <c r="AH1592" s="145">
        <v>0</v>
      </c>
      <c r="AI1592" s="145">
        <v>0</v>
      </c>
      <c r="AJ1592" s="145">
        <v>0</v>
      </c>
      <c r="AK1592" s="145">
        <f t="shared" ref="AK1592:AK1602" si="492">SUM(Y1592:AJ1592)</f>
        <v>0</v>
      </c>
      <c r="AL1592" s="145">
        <v>0</v>
      </c>
      <c r="AM1592" s="145">
        <v>0</v>
      </c>
      <c r="AN1592" s="145">
        <v>0</v>
      </c>
      <c r="AO1592" s="145">
        <v>0</v>
      </c>
      <c r="AP1592" s="145">
        <v>0</v>
      </c>
      <c r="AQ1592" s="145">
        <v>0</v>
      </c>
      <c r="AR1592" s="145">
        <v>0</v>
      </c>
      <c r="AS1592" s="145">
        <f t="shared" si="487"/>
        <v>0</v>
      </c>
      <c r="AT1592" s="145"/>
      <c r="AU1592" s="139">
        <f t="shared" si="467"/>
        <v>0</v>
      </c>
      <c r="AV1592" s="146">
        <f>IFERROR(VLOOKUP(J1592,Maksājumu_pieprasījumu_iesn.!G:BL,57,0),0)</f>
        <v>0</v>
      </c>
      <c r="AW1592" s="139">
        <f t="shared" si="470"/>
        <v>0</v>
      </c>
      <c r="AX1592" s="153"/>
      <c r="AY1592" s="153"/>
      <c r="AZ1592" s="153"/>
      <c r="BA1592" s="136"/>
      <c r="BB1592" s="145"/>
      <c r="BC1592" s="145"/>
      <c r="BD1592" s="145"/>
      <c r="BE1592" s="145"/>
      <c r="BF1592" s="145"/>
      <c r="BG1592" s="145"/>
      <c r="BH1592" s="138"/>
      <c r="BI1592" s="138"/>
      <c r="BJ1592" s="138"/>
      <c r="BK1592" s="138"/>
      <c r="BL1592" s="138"/>
      <c r="BM1592" s="138"/>
      <c r="BN1592" s="138"/>
    </row>
    <row r="1593" spans="1:66" s="91" customFormat="1" ht="25.5" hidden="1" customHeight="1" x14ac:dyDescent="0.2">
      <c r="A1593" s="150" t="s">
        <v>2670</v>
      </c>
      <c r="B1593" s="18" t="s">
        <v>458</v>
      </c>
      <c r="C1593" s="18" t="s">
        <v>459</v>
      </c>
      <c r="D1593" s="19" t="s">
        <v>609</v>
      </c>
      <c r="E1593" s="55">
        <v>2</v>
      </c>
      <c r="F1593" s="55" t="s">
        <v>454</v>
      </c>
      <c r="G1593" s="55" t="s">
        <v>77</v>
      </c>
      <c r="H1593" s="55" t="s">
        <v>3</v>
      </c>
      <c r="I1593" s="55"/>
      <c r="J1593" s="55"/>
      <c r="K1593" s="19" t="s">
        <v>84</v>
      </c>
      <c r="L1593" s="19"/>
      <c r="M1593" s="19"/>
      <c r="N1593" s="19"/>
      <c r="O1593" s="151"/>
      <c r="P1593" s="151"/>
      <c r="Q1593" s="151"/>
      <c r="R1593" s="151"/>
      <c r="S1593" s="152"/>
      <c r="T1593" s="152"/>
      <c r="U1593" s="145">
        <v>0</v>
      </c>
      <c r="V1593" s="145">
        <v>0</v>
      </c>
      <c r="W1593" s="145">
        <v>0</v>
      </c>
      <c r="X1593" s="145">
        <f t="shared" si="491"/>
        <v>0</v>
      </c>
      <c r="Y1593" s="145">
        <v>0</v>
      </c>
      <c r="Z1593" s="145">
        <v>0</v>
      </c>
      <c r="AA1593" s="145">
        <v>0</v>
      </c>
      <c r="AB1593" s="145">
        <v>0</v>
      </c>
      <c r="AC1593" s="145">
        <v>0</v>
      </c>
      <c r="AD1593" s="145">
        <v>0</v>
      </c>
      <c r="AE1593" s="145">
        <v>0</v>
      </c>
      <c r="AF1593" s="145">
        <v>0</v>
      </c>
      <c r="AG1593" s="145">
        <v>0</v>
      </c>
      <c r="AH1593" s="145">
        <v>0</v>
      </c>
      <c r="AI1593" s="145">
        <v>0</v>
      </c>
      <c r="AJ1593" s="145">
        <v>0</v>
      </c>
      <c r="AK1593" s="145">
        <f t="shared" si="492"/>
        <v>0</v>
      </c>
      <c r="AL1593" s="145">
        <v>0</v>
      </c>
      <c r="AM1593" s="145">
        <v>0</v>
      </c>
      <c r="AN1593" s="145">
        <v>0</v>
      </c>
      <c r="AO1593" s="145">
        <v>0</v>
      </c>
      <c r="AP1593" s="145">
        <v>0</v>
      </c>
      <c r="AQ1593" s="145">
        <v>0</v>
      </c>
      <c r="AR1593" s="145">
        <v>0</v>
      </c>
      <c r="AS1593" s="145">
        <f t="shared" si="487"/>
        <v>0</v>
      </c>
      <c r="AT1593" s="145"/>
      <c r="AU1593" s="139">
        <f t="shared" si="467"/>
        <v>0</v>
      </c>
      <c r="AV1593" s="146">
        <f>IFERROR(VLOOKUP(J1593,Maksājumu_pieprasījumu_iesn.!G:BL,57,0),0)</f>
        <v>0</v>
      </c>
      <c r="AW1593" s="139">
        <f t="shared" si="470"/>
        <v>0</v>
      </c>
      <c r="AX1593" s="153"/>
      <c r="AY1593" s="153"/>
      <c r="AZ1593" s="153"/>
      <c r="BA1593" s="136"/>
      <c r="BB1593" s="145"/>
      <c r="BC1593" s="145"/>
      <c r="BD1593" s="145"/>
      <c r="BE1593" s="145"/>
      <c r="BF1593" s="145"/>
      <c r="BG1593" s="145"/>
      <c r="BH1593" s="138"/>
      <c r="BI1593" s="138"/>
      <c r="BJ1593" s="138"/>
      <c r="BK1593" s="138"/>
      <c r="BL1593" s="138"/>
      <c r="BM1593" s="138"/>
      <c r="BN1593" s="138"/>
    </row>
    <row r="1594" spans="1:66" s="91" customFormat="1" ht="25.5" hidden="1" customHeight="1" x14ac:dyDescent="0.2">
      <c r="A1594" s="150" t="s">
        <v>2670</v>
      </c>
      <c r="B1594" s="18" t="s">
        <v>458</v>
      </c>
      <c r="C1594" s="18" t="s">
        <v>459</v>
      </c>
      <c r="D1594" s="19" t="s">
        <v>609</v>
      </c>
      <c r="E1594" s="55">
        <v>2</v>
      </c>
      <c r="F1594" s="55" t="s">
        <v>454</v>
      </c>
      <c r="G1594" s="55" t="s">
        <v>77</v>
      </c>
      <c r="H1594" s="55" t="s">
        <v>3</v>
      </c>
      <c r="I1594" s="55"/>
      <c r="J1594" s="55"/>
      <c r="K1594" s="19" t="s">
        <v>456</v>
      </c>
      <c r="L1594" s="19"/>
      <c r="M1594" s="19"/>
      <c r="N1594" s="19"/>
      <c r="O1594" s="151"/>
      <c r="P1594" s="151"/>
      <c r="Q1594" s="151"/>
      <c r="R1594" s="151"/>
      <c r="S1594" s="152"/>
      <c r="T1594" s="152"/>
      <c r="U1594" s="145">
        <v>0</v>
      </c>
      <c r="V1594" s="145">
        <v>0</v>
      </c>
      <c r="W1594" s="145">
        <v>0</v>
      </c>
      <c r="X1594" s="145">
        <f t="shared" si="491"/>
        <v>0</v>
      </c>
      <c r="Y1594" s="145">
        <v>0</v>
      </c>
      <c r="Z1594" s="145">
        <v>0</v>
      </c>
      <c r="AA1594" s="145">
        <v>0</v>
      </c>
      <c r="AB1594" s="145">
        <v>0</v>
      </c>
      <c r="AC1594" s="145">
        <v>0</v>
      </c>
      <c r="AD1594" s="145">
        <v>0</v>
      </c>
      <c r="AE1594" s="145">
        <v>0</v>
      </c>
      <c r="AF1594" s="145">
        <v>0</v>
      </c>
      <c r="AG1594" s="145">
        <v>0</v>
      </c>
      <c r="AH1594" s="145">
        <v>0</v>
      </c>
      <c r="AI1594" s="145">
        <v>0</v>
      </c>
      <c r="AJ1594" s="145">
        <v>0</v>
      </c>
      <c r="AK1594" s="145">
        <f t="shared" si="492"/>
        <v>0</v>
      </c>
      <c r="AL1594" s="145">
        <v>0</v>
      </c>
      <c r="AM1594" s="145">
        <v>0</v>
      </c>
      <c r="AN1594" s="145">
        <v>0</v>
      </c>
      <c r="AO1594" s="145">
        <v>0</v>
      </c>
      <c r="AP1594" s="145">
        <v>0</v>
      </c>
      <c r="AQ1594" s="145">
        <v>0</v>
      </c>
      <c r="AR1594" s="145">
        <v>0</v>
      </c>
      <c r="AS1594" s="145">
        <f t="shared" si="487"/>
        <v>0</v>
      </c>
      <c r="AT1594" s="145"/>
      <c r="AU1594" s="139">
        <f t="shared" si="467"/>
        <v>0</v>
      </c>
      <c r="AV1594" s="146">
        <f>IFERROR(VLOOKUP(J1594,Maksājumu_pieprasījumu_iesn.!G:BL,57,0),0)</f>
        <v>0</v>
      </c>
      <c r="AW1594" s="139">
        <f t="shared" si="470"/>
        <v>0</v>
      </c>
      <c r="AX1594" s="153"/>
      <c r="AY1594" s="153"/>
      <c r="AZ1594" s="153"/>
      <c r="BA1594" s="136"/>
      <c r="BB1594" s="145"/>
      <c r="BC1594" s="145"/>
      <c r="BD1594" s="145"/>
      <c r="BE1594" s="145"/>
      <c r="BF1594" s="145"/>
      <c r="BG1594" s="145"/>
      <c r="BH1594" s="138"/>
      <c r="BI1594" s="138"/>
      <c r="BJ1594" s="138"/>
      <c r="BK1594" s="138"/>
      <c r="BL1594" s="138"/>
      <c r="BM1594" s="138"/>
      <c r="BN1594" s="138"/>
    </row>
    <row r="1595" spans="1:66" s="91" customFormat="1" ht="25.5" hidden="1" customHeight="1" x14ac:dyDescent="0.2">
      <c r="A1595" s="150" t="s">
        <v>2670</v>
      </c>
      <c r="B1595" s="18" t="s">
        <v>458</v>
      </c>
      <c r="C1595" s="18" t="s">
        <v>459</v>
      </c>
      <c r="D1595" s="19" t="s">
        <v>609</v>
      </c>
      <c r="E1595" s="55">
        <v>2</v>
      </c>
      <c r="F1595" s="55" t="s">
        <v>454</v>
      </c>
      <c r="G1595" s="55" t="s">
        <v>77</v>
      </c>
      <c r="H1595" s="55" t="s">
        <v>3</v>
      </c>
      <c r="I1595" s="55"/>
      <c r="J1595" s="55"/>
      <c r="K1595" s="19" t="s">
        <v>468</v>
      </c>
      <c r="L1595" s="19"/>
      <c r="M1595" s="19"/>
      <c r="N1595" s="19"/>
      <c r="O1595" s="151"/>
      <c r="P1595" s="151"/>
      <c r="Q1595" s="151"/>
      <c r="R1595" s="151"/>
      <c r="S1595" s="152"/>
      <c r="T1595" s="152"/>
      <c r="U1595" s="145">
        <v>0</v>
      </c>
      <c r="V1595" s="145">
        <v>0</v>
      </c>
      <c r="W1595" s="145">
        <v>0</v>
      </c>
      <c r="X1595" s="145">
        <f t="shared" si="491"/>
        <v>0</v>
      </c>
      <c r="Y1595" s="145">
        <v>0</v>
      </c>
      <c r="Z1595" s="145">
        <v>0</v>
      </c>
      <c r="AA1595" s="145">
        <v>0</v>
      </c>
      <c r="AB1595" s="145">
        <v>0</v>
      </c>
      <c r="AC1595" s="145">
        <v>0</v>
      </c>
      <c r="AD1595" s="145">
        <v>0</v>
      </c>
      <c r="AE1595" s="145">
        <v>0</v>
      </c>
      <c r="AF1595" s="145">
        <v>0</v>
      </c>
      <c r="AG1595" s="145">
        <v>0</v>
      </c>
      <c r="AH1595" s="145">
        <v>0</v>
      </c>
      <c r="AI1595" s="145">
        <v>0</v>
      </c>
      <c r="AJ1595" s="145">
        <v>0</v>
      </c>
      <c r="AK1595" s="145">
        <f t="shared" si="492"/>
        <v>0</v>
      </c>
      <c r="AL1595" s="145">
        <v>0</v>
      </c>
      <c r="AM1595" s="145">
        <v>0</v>
      </c>
      <c r="AN1595" s="145">
        <v>0</v>
      </c>
      <c r="AO1595" s="145">
        <v>0</v>
      </c>
      <c r="AP1595" s="145">
        <v>0</v>
      </c>
      <c r="AQ1595" s="145">
        <v>0</v>
      </c>
      <c r="AR1595" s="145">
        <v>0</v>
      </c>
      <c r="AS1595" s="145">
        <f t="shared" si="487"/>
        <v>0</v>
      </c>
      <c r="AT1595" s="145"/>
      <c r="AU1595" s="139">
        <f t="shared" si="467"/>
        <v>0</v>
      </c>
      <c r="AV1595" s="146">
        <f>IFERROR(VLOOKUP(J1595,Maksājumu_pieprasījumu_iesn.!G:BL,57,0),0)</f>
        <v>0</v>
      </c>
      <c r="AW1595" s="139">
        <f t="shared" si="470"/>
        <v>0</v>
      </c>
      <c r="AX1595" s="153"/>
      <c r="AY1595" s="153"/>
      <c r="AZ1595" s="153"/>
      <c r="BA1595" s="136"/>
      <c r="BB1595" s="145"/>
      <c r="BC1595" s="145"/>
      <c r="BD1595" s="145"/>
      <c r="BE1595" s="145"/>
      <c r="BF1595" s="145"/>
      <c r="BG1595" s="145"/>
      <c r="BH1595" s="138"/>
      <c r="BI1595" s="138"/>
      <c r="BJ1595" s="138"/>
      <c r="BK1595" s="138"/>
      <c r="BL1595" s="138"/>
      <c r="BM1595" s="138"/>
      <c r="BN1595" s="138"/>
    </row>
    <row r="1596" spans="1:66" s="91" customFormat="1" ht="25.5" hidden="1" customHeight="1" x14ac:dyDescent="0.2">
      <c r="A1596" s="150" t="s">
        <v>2670</v>
      </c>
      <c r="B1596" s="18" t="s">
        <v>458</v>
      </c>
      <c r="C1596" s="18" t="s">
        <v>459</v>
      </c>
      <c r="D1596" s="19" t="s">
        <v>609</v>
      </c>
      <c r="E1596" s="55">
        <v>2</v>
      </c>
      <c r="F1596" s="55" t="s">
        <v>454</v>
      </c>
      <c r="G1596" s="55" t="s">
        <v>77</v>
      </c>
      <c r="H1596" s="55" t="s">
        <v>3</v>
      </c>
      <c r="I1596" s="55"/>
      <c r="J1596" s="55"/>
      <c r="K1596" s="19" t="s">
        <v>409</v>
      </c>
      <c r="L1596" s="19"/>
      <c r="M1596" s="19"/>
      <c r="N1596" s="19"/>
      <c r="O1596" s="151"/>
      <c r="P1596" s="151"/>
      <c r="Q1596" s="151"/>
      <c r="R1596" s="151"/>
      <c r="S1596" s="152"/>
      <c r="T1596" s="152"/>
      <c r="U1596" s="145">
        <v>0</v>
      </c>
      <c r="V1596" s="145">
        <v>0</v>
      </c>
      <c r="W1596" s="145">
        <v>0</v>
      </c>
      <c r="X1596" s="145">
        <f t="shared" si="491"/>
        <v>0</v>
      </c>
      <c r="Y1596" s="145">
        <v>0</v>
      </c>
      <c r="Z1596" s="145">
        <v>0</v>
      </c>
      <c r="AA1596" s="145">
        <v>0</v>
      </c>
      <c r="AB1596" s="145">
        <v>0</v>
      </c>
      <c r="AC1596" s="145">
        <v>0</v>
      </c>
      <c r="AD1596" s="145">
        <v>0</v>
      </c>
      <c r="AE1596" s="145">
        <v>0</v>
      </c>
      <c r="AF1596" s="145">
        <v>0</v>
      </c>
      <c r="AG1596" s="145">
        <v>0</v>
      </c>
      <c r="AH1596" s="145">
        <v>0</v>
      </c>
      <c r="AI1596" s="145">
        <v>0</v>
      </c>
      <c r="AJ1596" s="145">
        <v>0</v>
      </c>
      <c r="AK1596" s="145">
        <f t="shared" si="492"/>
        <v>0</v>
      </c>
      <c r="AL1596" s="145">
        <v>0</v>
      </c>
      <c r="AM1596" s="145">
        <v>0</v>
      </c>
      <c r="AN1596" s="145">
        <v>0</v>
      </c>
      <c r="AO1596" s="145">
        <v>0</v>
      </c>
      <c r="AP1596" s="145">
        <v>0</v>
      </c>
      <c r="AQ1596" s="145">
        <v>0</v>
      </c>
      <c r="AR1596" s="145">
        <v>0</v>
      </c>
      <c r="AS1596" s="145">
        <f t="shared" si="487"/>
        <v>0</v>
      </c>
      <c r="AT1596" s="145"/>
      <c r="AU1596" s="139">
        <f t="shared" si="467"/>
        <v>0</v>
      </c>
      <c r="AV1596" s="146">
        <f>IFERROR(VLOOKUP(J1596,Maksājumu_pieprasījumu_iesn.!G:BL,57,0),0)</f>
        <v>0</v>
      </c>
      <c r="AW1596" s="139">
        <f t="shared" si="470"/>
        <v>0</v>
      </c>
      <c r="AX1596" s="153"/>
      <c r="AY1596" s="153"/>
      <c r="AZ1596" s="153"/>
      <c r="BA1596" s="136"/>
      <c r="BB1596" s="145"/>
      <c r="BC1596" s="145"/>
      <c r="BD1596" s="145"/>
      <c r="BE1596" s="145"/>
      <c r="BF1596" s="145"/>
      <c r="BG1596" s="145"/>
      <c r="BH1596" s="138"/>
      <c r="BI1596" s="138"/>
      <c r="BJ1596" s="138"/>
      <c r="BK1596" s="138"/>
      <c r="BL1596" s="138"/>
      <c r="BM1596" s="138"/>
      <c r="BN1596" s="138"/>
    </row>
    <row r="1597" spans="1:66" s="91" customFormat="1" ht="25.5" hidden="1" customHeight="1" x14ac:dyDescent="0.2">
      <c r="A1597" s="150" t="s">
        <v>2670</v>
      </c>
      <c r="B1597" s="18" t="s">
        <v>458</v>
      </c>
      <c r="C1597" s="18" t="s">
        <v>459</v>
      </c>
      <c r="D1597" s="19" t="s">
        <v>609</v>
      </c>
      <c r="E1597" s="55">
        <v>2</v>
      </c>
      <c r="F1597" s="55" t="s">
        <v>454</v>
      </c>
      <c r="G1597" s="55" t="s">
        <v>77</v>
      </c>
      <c r="H1597" s="55" t="s">
        <v>3</v>
      </c>
      <c r="I1597" s="55"/>
      <c r="J1597" s="55"/>
      <c r="K1597" s="19" t="s">
        <v>311</v>
      </c>
      <c r="L1597" s="19"/>
      <c r="M1597" s="19"/>
      <c r="N1597" s="19"/>
      <c r="O1597" s="151"/>
      <c r="P1597" s="151"/>
      <c r="Q1597" s="151"/>
      <c r="R1597" s="151"/>
      <c r="S1597" s="152"/>
      <c r="T1597" s="152"/>
      <c r="U1597" s="145">
        <v>0</v>
      </c>
      <c r="V1597" s="145">
        <v>0</v>
      </c>
      <c r="W1597" s="145">
        <v>0</v>
      </c>
      <c r="X1597" s="145">
        <f t="shared" si="491"/>
        <v>0</v>
      </c>
      <c r="Y1597" s="145">
        <v>0</v>
      </c>
      <c r="Z1597" s="145">
        <v>0</v>
      </c>
      <c r="AA1597" s="145">
        <v>0</v>
      </c>
      <c r="AB1597" s="145">
        <v>0</v>
      </c>
      <c r="AC1597" s="145">
        <v>0</v>
      </c>
      <c r="AD1597" s="145">
        <v>0</v>
      </c>
      <c r="AE1597" s="145">
        <v>0</v>
      </c>
      <c r="AF1597" s="145">
        <v>0</v>
      </c>
      <c r="AG1597" s="145">
        <v>0</v>
      </c>
      <c r="AH1597" s="145">
        <v>0</v>
      </c>
      <c r="AI1597" s="145">
        <v>0</v>
      </c>
      <c r="AJ1597" s="145">
        <v>0</v>
      </c>
      <c r="AK1597" s="145">
        <f t="shared" si="492"/>
        <v>0</v>
      </c>
      <c r="AL1597" s="145">
        <v>0</v>
      </c>
      <c r="AM1597" s="145">
        <v>0</v>
      </c>
      <c r="AN1597" s="145">
        <v>0</v>
      </c>
      <c r="AO1597" s="145">
        <v>0</v>
      </c>
      <c r="AP1597" s="145">
        <v>0</v>
      </c>
      <c r="AQ1597" s="145">
        <v>0</v>
      </c>
      <c r="AR1597" s="145">
        <v>0</v>
      </c>
      <c r="AS1597" s="145">
        <f t="shared" si="487"/>
        <v>0</v>
      </c>
      <c r="AT1597" s="145"/>
      <c r="AU1597" s="139">
        <f t="shared" si="467"/>
        <v>0</v>
      </c>
      <c r="AV1597" s="146">
        <f>IFERROR(VLOOKUP(J1597,Maksājumu_pieprasījumu_iesn.!G:BL,57,0),0)</f>
        <v>0</v>
      </c>
      <c r="AW1597" s="139">
        <f t="shared" si="470"/>
        <v>0</v>
      </c>
      <c r="AX1597" s="153"/>
      <c r="AY1597" s="153"/>
      <c r="AZ1597" s="153"/>
      <c r="BA1597" s="136"/>
      <c r="BB1597" s="145"/>
      <c r="BC1597" s="145"/>
      <c r="BD1597" s="145"/>
      <c r="BE1597" s="145"/>
      <c r="BF1597" s="145"/>
      <c r="BG1597" s="145"/>
      <c r="BH1597" s="138"/>
      <c r="BI1597" s="138"/>
      <c r="BJ1597" s="138"/>
      <c r="BK1597" s="138"/>
      <c r="BL1597" s="138"/>
      <c r="BM1597" s="138"/>
      <c r="BN1597" s="138"/>
    </row>
    <row r="1598" spans="1:66" s="91" customFormat="1" ht="25.5" hidden="1" customHeight="1" x14ac:dyDescent="0.2">
      <c r="A1598" s="150" t="s">
        <v>2670</v>
      </c>
      <c r="B1598" s="18" t="s">
        <v>458</v>
      </c>
      <c r="C1598" s="18" t="s">
        <v>459</v>
      </c>
      <c r="D1598" s="19" t="s">
        <v>609</v>
      </c>
      <c r="E1598" s="55">
        <v>2</v>
      </c>
      <c r="F1598" s="55" t="s">
        <v>454</v>
      </c>
      <c r="G1598" s="55" t="s">
        <v>77</v>
      </c>
      <c r="H1598" s="55" t="s">
        <v>3</v>
      </c>
      <c r="I1598" s="55"/>
      <c r="J1598" s="55"/>
      <c r="K1598" s="19" t="s">
        <v>13</v>
      </c>
      <c r="L1598" s="19"/>
      <c r="M1598" s="19"/>
      <c r="N1598" s="19"/>
      <c r="O1598" s="151"/>
      <c r="P1598" s="151"/>
      <c r="Q1598" s="151"/>
      <c r="R1598" s="151"/>
      <c r="S1598" s="152"/>
      <c r="T1598" s="152"/>
      <c r="U1598" s="145">
        <v>0</v>
      </c>
      <c r="V1598" s="145">
        <v>0</v>
      </c>
      <c r="W1598" s="145">
        <v>0</v>
      </c>
      <c r="X1598" s="145">
        <f t="shared" si="491"/>
        <v>0</v>
      </c>
      <c r="Y1598" s="145">
        <v>0</v>
      </c>
      <c r="Z1598" s="145">
        <v>0</v>
      </c>
      <c r="AA1598" s="145">
        <v>0</v>
      </c>
      <c r="AB1598" s="145">
        <v>0</v>
      </c>
      <c r="AC1598" s="145">
        <v>0</v>
      </c>
      <c r="AD1598" s="145">
        <v>0</v>
      </c>
      <c r="AE1598" s="145">
        <v>0</v>
      </c>
      <c r="AF1598" s="145">
        <v>0</v>
      </c>
      <c r="AG1598" s="145">
        <v>0</v>
      </c>
      <c r="AH1598" s="145">
        <v>0</v>
      </c>
      <c r="AI1598" s="145">
        <v>0</v>
      </c>
      <c r="AJ1598" s="145">
        <v>0</v>
      </c>
      <c r="AK1598" s="145">
        <f t="shared" si="492"/>
        <v>0</v>
      </c>
      <c r="AL1598" s="145">
        <v>0</v>
      </c>
      <c r="AM1598" s="145">
        <v>0</v>
      </c>
      <c r="AN1598" s="145">
        <v>0</v>
      </c>
      <c r="AO1598" s="145">
        <v>0</v>
      </c>
      <c r="AP1598" s="145">
        <v>0</v>
      </c>
      <c r="AQ1598" s="145">
        <v>0</v>
      </c>
      <c r="AR1598" s="145">
        <v>0</v>
      </c>
      <c r="AS1598" s="145">
        <f t="shared" si="487"/>
        <v>0</v>
      </c>
      <c r="AT1598" s="145"/>
      <c r="AU1598" s="139">
        <f t="shared" si="467"/>
        <v>0</v>
      </c>
      <c r="AV1598" s="146">
        <f>IFERROR(VLOOKUP(J1598,Maksājumu_pieprasījumu_iesn.!G:BL,57,0),0)</f>
        <v>0</v>
      </c>
      <c r="AW1598" s="139">
        <f t="shared" si="470"/>
        <v>0</v>
      </c>
      <c r="AX1598" s="153"/>
      <c r="AY1598" s="153"/>
      <c r="AZ1598" s="153"/>
      <c r="BA1598" s="136"/>
      <c r="BB1598" s="145"/>
      <c r="BC1598" s="145"/>
      <c r="BD1598" s="145"/>
      <c r="BE1598" s="145"/>
      <c r="BF1598" s="145"/>
      <c r="BG1598" s="145"/>
      <c r="BH1598" s="138"/>
      <c r="BI1598" s="138"/>
      <c r="BJ1598" s="138"/>
      <c r="BK1598" s="138"/>
      <c r="BL1598" s="138"/>
      <c r="BM1598" s="138"/>
      <c r="BN1598" s="138"/>
    </row>
    <row r="1599" spans="1:66" s="91" customFormat="1" ht="25.5" hidden="1" customHeight="1" x14ac:dyDescent="0.2">
      <c r="A1599" s="150" t="s">
        <v>2670</v>
      </c>
      <c r="B1599" s="18" t="s">
        <v>458</v>
      </c>
      <c r="C1599" s="18" t="s">
        <v>459</v>
      </c>
      <c r="D1599" s="19" t="s">
        <v>609</v>
      </c>
      <c r="E1599" s="55">
        <v>2</v>
      </c>
      <c r="F1599" s="55" t="s">
        <v>454</v>
      </c>
      <c r="G1599" s="55" t="s">
        <v>77</v>
      </c>
      <c r="H1599" s="55" t="s">
        <v>3</v>
      </c>
      <c r="I1599" s="55"/>
      <c r="J1599" s="55"/>
      <c r="K1599" s="19" t="s">
        <v>477</v>
      </c>
      <c r="L1599" s="19"/>
      <c r="M1599" s="19"/>
      <c r="N1599" s="19"/>
      <c r="O1599" s="151"/>
      <c r="P1599" s="151"/>
      <c r="Q1599" s="151"/>
      <c r="R1599" s="151"/>
      <c r="S1599" s="152"/>
      <c r="T1599" s="152"/>
      <c r="U1599" s="145">
        <v>0</v>
      </c>
      <c r="V1599" s="145">
        <v>0</v>
      </c>
      <c r="W1599" s="145">
        <v>0</v>
      </c>
      <c r="X1599" s="145">
        <f t="shared" si="491"/>
        <v>0</v>
      </c>
      <c r="Y1599" s="145">
        <v>0</v>
      </c>
      <c r="Z1599" s="145">
        <v>0</v>
      </c>
      <c r="AA1599" s="145">
        <v>0</v>
      </c>
      <c r="AB1599" s="145">
        <v>0</v>
      </c>
      <c r="AC1599" s="145">
        <v>0</v>
      </c>
      <c r="AD1599" s="145">
        <v>0</v>
      </c>
      <c r="AE1599" s="145">
        <v>0</v>
      </c>
      <c r="AF1599" s="145">
        <v>0</v>
      </c>
      <c r="AG1599" s="145">
        <v>0</v>
      </c>
      <c r="AH1599" s="145">
        <v>0</v>
      </c>
      <c r="AI1599" s="145">
        <v>0</v>
      </c>
      <c r="AJ1599" s="145">
        <v>0</v>
      </c>
      <c r="AK1599" s="145">
        <f t="shared" si="492"/>
        <v>0</v>
      </c>
      <c r="AL1599" s="145">
        <v>0</v>
      </c>
      <c r="AM1599" s="145">
        <v>0</v>
      </c>
      <c r="AN1599" s="145">
        <v>0</v>
      </c>
      <c r="AO1599" s="145">
        <v>0</v>
      </c>
      <c r="AP1599" s="145">
        <v>0</v>
      </c>
      <c r="AQ1599" s="145">
        <v>0</v>
      </c>
      <c r="AR1599" s="145">
        <v>0</v>
      </c>
      <c r="AS1599" s="145">
        <f t="shared" si="487"/>
        <v>0</v>
      </c>
      <c r="AT1599" s="145"/>
      <c r="AU1599" s="139">
        <f t="shared" si="467"/>
        <v>0</v>
      </c>
      <c r="AV1599" s="146">
        <f>IFERROR(VLOOKUP(J1599,Maksājumu_pieprasījumu_iesn.!G:BL,57,0),0)</f>
        <v>0</v>
      </c>
      <c r="AW1599" s="139">
        <f t="shared" si="470"/>
        <v>0</v>
      </c>
      <c r="AX1599" s="153"/>
      <c r="AY1599" s="153"/>
      <c r="AZ1599" s="153"/>
      <c r="BA1599" s="136"/>
      <c r="BB1599" s="145"/>
      <c r="BC1599" s="145"/>
      <c r="BD1599" s="145"/>
      <c r="BE1599" s="145"/>
      <c r="BF1599" s="145"/>
      <c r="BG1599" s="145"/>
      <c r="BH1599" s="138"/>
      <c r="BI1599" s="138"/>
      <c r="BJ1599" s="138"/>
      <c r="BK1599" s="138"/>
      <c r="BL1599" s="138"/>
      <c r="BM1599" s="138"/>
      <c r="BN1599" s="138"/>
    </row>
    <row r="1600" spans="1:66" s="91" customFormat="1" ht="25.5" hidden="1" customHeight="1" x14ac:dyDescent="0.2">
      <c r="A1600" s="150" t="s">
        <v>2670</v>
      </c>
      <c r="B1600" s="18" t="s">
        <v>458</v>
      </c>
      <c r="C1600" s="18" t="s">
        <v>459</v>
      </c>
      <c r="D1600" s="19" t="s">
        <v>609</v>
      </c>
      <c r="E1600" s="55">
        <v>2</v>
      </c>
      <c r="F1600" s="55" t="s">
        <v>454</v>
      </c>
      <c r="G1600" s="55" t="s">
        <v>77</v>
      </c>
      <c r="H1600" s="55" t="s">
        <v>3</v>
      </c>
      <c r="I1600" s="55"/>
      <c r="J1600" s="55"/>
      <c r="K1600" s="19" t="s">
        <v>40</v>
      </c>
      <c r="L1600" s="19"/>
      <c r="M1600" s="19"/>
      <c r="N1600" s="19"/>
      <c r="O1600" s="151"/>
      <c r="P1600" s="151"/>
      <c r="Q1600" s="151"/>
      <c r="R1600" s="151"/>
      <c r="S1600" s="152"/>
      <c r="T1600" s="152"/>
      <c r="U1600" s="145">
        <v>0</v>
      </c>
      <c r="V1600" s="145">
        <v>0</v>
      </c>
      <c r="W1600" s="145">
        <v>0</v>
      </c>
      <c r="X1600" s="145">
        <f t="shared" si="491"/>
        <v>0</v>
      </c>
      <c r="Y1600" s="145">
        <v>0</v>
      </c>
      <c r="Z1600" s="145">
        <v>0</v>
      </c>
      <c r="AA1600" s="145">
        <v>0</v>
      </c>
      <c r="AB1600" s="145">
        <v>0</v>
      </c>
      <c r="AC1600" s="145">
        <v>0</v>
      </c>
      <c r="AD1600" s="145">
        <v>0</v>
      </c>
      <c r="AE1600" s="145">
        <v>0</v>
      </c>
      <c r="AF1600" s="145">
        <v>0</v>
      </c>
      <c r="AG1600" s="145">
        <v>0</v>
      </c>
      <c r="AH1600" s="145">
        <v>0</v>
      </c>
      <c r="AI1600" s="145">
        <v>0</v>
      </c>
      <c r="AJ1600" s="145">
        <v>0</v>
      </c>
      <c r="AK1600" s="145">
        <f t="shared" si="492"/>
        <v>0</v>
      </c>
      <c r="AL1600" s="145">
        <v>0</v>
      </c>
      <c r="AM1600" s="145">
        <v>0</v>
      </c>
      <c r="AN1600" s="145">
        <v>0</v>
      </c>
      <c r="AO1600" s="145">
        <v>0</v>
      </c>
      <c r="AP1600" s="145">
        <v>0</v>
      </c>
      <c r="AQ1600" s="145">
        <v>0</v>
      </c>
      <c r="AR1600" s="145">
        <v>0</v>
      </c>
      <c r="AS1600" s="145">
        <f t="shared" si="487"/>
        <v>0</v>
      </c>
      <c r="AT1600" s="145"/>
      <c r="AU1600" s="139">
        <f t="shared" ref="AU1600:AU1662" si="493">AS1600-AT1600</f>
        <v>0</v>
      </c>
      <c r="AV1600" s="146">
        <f>IFERROR(VLOOKUP(J1600,Maksājumu_pieprasījumu_iesn.!G:BL,57,0),0)</f>
        <v>0</v>
      </c>
      <c r="AW1600" s="139">
        <f t="shared" si="470"/>
        <v>0</v>
      </c>
      <c r="AX1600" s="153"/>
      <c r="AY1600" s="153"/>
      <c r="AZ1600" s="153"/>
      <c r="BA1600" s="136"/>
      <c r="BB1600" s="145"/>
      <c r="BC1600" s="145"/>
      <c r="BD1600" s="145"/>
      <c r="BE1600" s="145"/>
      <c r="BF1600" s="145"/>
      <c r="BG1600" s="145"/>
      <c r="BH1600" s="138"/>
      <c r="BI1600" s="138"/>
      <c r="BJ1600" s="138"/>
      <c r="BK1600" s="138"/>
      <c r="BL1600" s="138"/>
      <c r="BM1600" s="138"/>
      <c r="BN1600" s="138"/>
    </row>
    <row r="1601" spans="1:66" s="91" customFormat="1" ht="25.5" hidden="1" customHeight="1" x14ac:dyDescent="0.2">
      <c r="A1601" s="150" t="s">
        <v>2670</v>
      </c>
      <c r="B1601" s="18" t="s">
        <v>458</v>
      </c>
      <c r="C1601" s="18" t="s">
        <v>459</v>
      </c>
      <c r="D1601" s="19" t="s">
        <v>609</v>
      </c>
      <c r="E1601" s="55">
        <v>2</v>
      </c>
      <c r="F1601" s="55" t="s">
        <v>454</v>
      </c>
      <c r="G1601" s="55" t="s">
        <v>77</v>
      </c>
      <c r="H1601" s="55" t="s">
        <v>3</v>
      </c>
      <c r="I1601" s="55"/>
      <c r="J1601" s="55"/>
      <c r="K1601" s="19" t="s">
        <v>98</v>
      </c>
      <c r="L1601" s="19"/>
      <c r="M1601" s="19"/>
      <c r="N1601" s="19"/>
      <c r="O1601" s="151"/>
      <c r="P1601" s="151"/>
      <c r="Q1601" s="151"/>
      <c r="R1601" s="151"/>
      <c r="S1601" s="152"/>
      <c r="T1601" s="152"/>
      <c r="U1601" s="145">
        <v>0</v>
      </c>
      <c r="V1601" s="145">
        <v>0</v>
      </c>
      <c r="W1601" s="145">
        <v>0</v>
      </c>
      <c r="X1601" s="145">
        <f t="shared" si="491"/>
        <v>0</v>
      </c>
      <c r="Y1601" s="145">
        <v>0</v>
      </c>
      <c r="Z1601" s="145">
        <v>0</v>
      </c>
      <c r="AA1601" s="145">
        <v>0</v>
      </c>
      <c r="AB1601" s="145">
        <v>0</v>
      </c>
      <c r="AC1601" s="145">
        <v>0</v>
      </c>
      <c r="AD1601" s="145">
        <v>0</v>
      </c>
      <c r="AE1601" s="145">
        <v>0</v>
      </c>
      <c r="AF1601" s="145">
        <v>0</v>
      </c>
      <c r="AG1601" s="145">
        <v>0</v>
      </c>
      <c r="AH1601" s="145">
        <v>0</v>
      </c>
      <c r="AI1601" s="145">
        <v>0</v>
      </c>
      <c r="AJ1601" s="145">
        <v>0</v>
      </c>
      <c r="AK1601" s="145">
        <f t="shared" si="492"/>
        <v>0</v>
      </c>
      <c r="AL1601" s="145">
        <v>0</v>
      </c>
      <c r="AM1601" s="145">
        <v>0</v>
      </c>
      <c r="AN1601" s="145">
        <v>0</v>
      </c>
      <c r="AO1601" s="145">
        <v>0</v>
      </c>
      <c r="AP1601" s="145">
        <v>0</v>
      </c>
      <c r="AQ1601" s="145">
        <v>0</v>
      </c>
      <c r="AR1601" s="145">
        <v>0</v>
      </c>
      <c r="AS1601" s="145">
        <f t="shared" si="487"/>
        <v>0</v>
      </c>
      <c r="AT1601" s="145"/>
      <c r="AU1601" s="139">
        <f t="shared" si="493"/>
        <v>0</v>
      </c>
      <c r="AV1601" s="146">
        <f>IFERROR(VLOOKUP(J1601,Maksājumu_pieprasījumu_iesn.!G:BL,57,0),0)</f>
        <v>0</v>
      </c>
      <c r="AW1601" s="139">
        <f t="shared" si="470"/>
        <v>0</v>
      </c>
      <c r="AX1601" s="153"/>
      <c r="AY1601" s="153"/>
      <c r="AZ1601" s="153"/>
      <c r="BA1601" s="136"/>
      <c r="BB1601" s="145"/>
      <c r="BC1601" s="145"/>
      <c r="BD1601" s="145"/>
      <c r="BE1601" s="145"/>
      <c r="BF1601" s="145"/>
      <c r="BG1601" s="145"/>
      <c r="BH1601" s="138"/>
      <c r="BI1601" s="138"/>
      <c r="BJ1601" s="138"/>
      <c r="BK1601" s="138"/>
      <c r="BL1601" s="138"/>
      <c r="BM1601" s="138"/>
      <c r="BN1601" s="138"/>
    </row>
    <row r="1602" spans="1:66" s="91" customFormat="1" ht="38.25" hidden="1" customHeight="1" x14ac:dyDescent="0.2">
      <c r="A1602" s="150" t="s">
        <v>2670</v>
      </c>
      <c r="B1602" s="18" t="s">
        <v>458</v>
      </c>
      <c r="C1602" s="18" t="s">
        <v>459</v>
      </c>
      <c r="D1602" s="19" t="s">
        <v>609</v>
      </c>
      <c r="E1602" s="55">
        <v>2</v>
      </c>
      <c r="F1602" s="55" t="s">
        <v>454</v>
      </c>
      <c r="G1602" s="55" t="s">
        <v>77</v>
      </c>
      <c r="H1602" s="55" t="s">
        <v>3</v>
      </c>
      <c r="I1602" s="55"/>
      <c r="J1602" s="55"/>
      <c r="K1602" s="19" t="s">
        <v>37</v>
      </c>
      <c r="L1602" s="19"/>
      <c r="M1602" s="19"/>
      <c r="N1602" s="19"/>
      <c r="O1602" s="151"/>
      <c r="P1602" s="151"/>
      <c r="Q1602" s="151"/>
      <c r="R1602" s="151"/>
      <c r="S1602" s="152"/>
      <c r="T1602" s="152"/>
      <c r="U1602" s="145">
        <v>0</v>
      </c>
      <c r="V1602" s="145">
        <v>0</v>
      </c>
      <c r="W1602" s="145">
        <v>0</v>
      </c>
      <c r="X1602" s="145">
        <f t="shared" si="491"/>
        <v>0</v>
      </c>
      <c r="Y1602" s="145">
        <v>0</v>
      </c>
      <c r="Z1602" s="145">
        <v>0</v>
      </c>
      <c r="AA1602" s="145">
        <v>0</v>
      </c>
      <c r="AB1602" s="145">
        <v>0</v>
      </c>
      <c r="AC1602" s="145">
        <v>0</v>
      </c>
      <c r="AD1602" s="145">
        <v>0</v>
      </c>
      <c r="AE1602" s="145">
        <v>0</v>
      </c>
      <c r="AF1602" s="145">
        <v>0</v>
      </c>
      <c r="AG1602" s="145">
        <v>0</v>
      </c>
      <c r="AH1602" s="145">
        <v>0</v>
      </c>
      <c r="AI1602" s="145">
        <v>0</v>
      </c>
      <c r="AJ1602" s="145">
        <v>0</v>
      </c>
      <c r="AK1602" s="145">
        <f t="shared" si="492"/>
        <v>0</v>
      </c>
      <c r="AL1602" s="145">
        <v>0</v>
      </c>
      <c r="AM1602" s="145">
        <v>0</v>
      </c>
      <c r="AN1602" s="145">
        <v>0</v>
      </c>
      <c r="AO1602" s="145">
        <v>0</v>
      </c>
      <c r="AP1602" s="145">
        <v>0</v>
      </c>
      <c r="AQ1602" s="145">
        <v>0</v>
      </c>
      <c r="AR1602" s="145">
        <v>0</v>
      </c>
      <c r="AS1602" s="145">
        <f t="shared" si="487"/>
        <v>0</v>
      </c>
      <c r="AT1602" s="145"/>
      <c r="AU1602" s="139">
        <f t="shared" si="493"/>
        <v>0</v>
      </c>
      <c r="AV1602" s="146">
        <f>IFERROR(VLOOKUP(J1602,Maksājumu_pieprasījumu_iesn.!G:BL,57,0),0)</f>
        <v>0</v>
      </c>
      <c r="AW1602" s="139">
        <f t="shared" si="470"/>
        <v>0</v>
      </c>
      <c r="AX1602" s="153"/>
      <c r="AY1602" s="153"/>
      <c r="AZ1602" s="153"/>
      <c r="BA1602" s="136"/>
      <c r="BB1602" s="145"/>
      <c r="BC1602" s="145"/>
      <c r="BD1602" s="145"/>
      <c r="BE1602" s="145"/>
      <c r="BF1602" s="145"/>
      <c r="BG1602" s="145"/>
      <c r="BH1602" s="138"/>
      <c r="BI1602" s="138"/>
      <c r="BJ1602" s="138"/>
      <c r="BK1602" s="138"/>
      <c r="BL1602" s="138"/>
      <c r="BM1602" s="138"/>
      <c r="BN1602" s="138"/>
    </row>
    <row r="1603" spans="1:66" s="91" customFormat="1" ht="12.75" hidden="1" customHeight="1" x14ac:dyDescent="0.2">
      <c r="A1603" s="190" t="s">
        <v>2675</v>
      </c>
      <c r="B1603" s="120" t="s">
        <v>1020</v>
      </c>
      <c r="C1603" s="121" t="s">
        <v>5</v>
      </c>
      <c r="D1603" s="122" t="s">
        <v>2676</v>
      </c>
      <c r="E1603" s="121"/>
      <c r="F1603" s="121"/>
      <c r="G1603" s="121" t="s">
        <v>5</v>
      </c>
      <c r="H1603" s="121"/>
      <c r="I1603" s="121"/>
      <c r="J1603" s="123"/>
      <c r="K1603" s="191"/>
      <c r="L1603" s="191"/>
      <c r="M1603" s="191"/>
      <c r="N1603" s="191"/>
      <c r="O1603" s="192"/>
      <c r="P1603" s="192"/>
      <c r="Q1603" s="192"/>
      <c r="R1603" s="192"/>
      <c r="S1603" s="179">
        <f>S1605+S1627</f>
        <v>39180553</v>
      </c>
      <c r="T1603" s="179">
        <f>T1605+T1627</f>
        <v>0</v>
      </c>
      <c r="U1603" s="179">
        <f>U1605+U1627</f>
        <v>0</v>
      </c>
      <c r="V1603" s="179">
        <f>V1605+V1627</f>
        <v>0</v>
      </c>
      <c r="W1603" s="179">
        <f>W1605+W1627</f>
        <v>4800647.04</v>
      </c>
      <c r="X1603" s="125">
        <f>U1603+V1603+W1603</f>
        <v>4800647.04</v>
      </c>
      <c r="Y1603" s="179">
        <f t="shared" ref="Y1603:AT1603" si="494">Y1605+Y1627</f>
        <v>711082.29</v>
      </c>
      <c r="Z1603" s="179">
        <f t="shared" si="494"/>
        <v>1000109.7200000001</v>
      </c>
      <c r="AA1603" s="179">
        <f t="shared" si="494"/>
        <v>3705.61</v>
      </c>
      <c r="AB1603" s="179">
        <f t="shared" si="494"/>
        <v>680312.40000000014</v>
      </c>
      <c r="AC1603" s="179">
        <f t="shared" si="494"/>
        <v>845465.56</v>
      </c>
      <c r="AD1603" s="179">
        <f t="shared" si="494"/>
        <v>0</v>
      </c>
      <c r="AE1603" s="179">
        <f t="shared" si="494"/>
        <v>764107.93</v>
      </c>
      <c r="AF1603" s="179">
        <f t="shared" si="494"/>
        <v>927688.87</v>
      </c>
      <c r="AG1603" s="179">
        <f t="shared" si="494"/>
        <v>8253.6899999999987</v>
      </c>
      <c r="AH1603" s="179">
        <f t="shared" si="494"/>
        <v>745265.96</v>
      </c>
      <c r="AI1603" s="179">
        <f t="shared" si="494"/>
        <v>955257.2</v>
      </c>
      <c r="AJ1603" s="179">
        <f t="shared" si="494"/>
        <v>1019.83</v>
      </c>
      <c r="AK1603" s="179">
        <f>AK1605+AK1627</f>
        <v>6642269.0600000015</v>
      </c>
      <c r="AL1603" s="179">
        <f t="shared" si="494"/>
        <v>5738527.0600000005</v>
      </c>
      <c r="AM1603" s="179">
        <f t="shared" si="494"/>
        <v>1733067.8799999997</v>
      </c>
      <c r="AN1603" s="179">
        <f t="shared" si="494"/>
        <v>0</v>
      </c>
      <c r="AO1603" s="179">
        <f t="shared" si="494"/>
        <v>0</v>
      </c>
      <c r="AP1603" s="179">
        <f t="shared" si="494"/>
        <v>0</v>
      </c>
      <c r="AQ1603" s="179">
        <f t="shared" si="494"/>
        <v>0</v>
      </c>
      <c r="AR1603" s="179">
        <f t="shared" si="494"/>
        <v>0</v>
      </c>
      <c r="AS1603" s="179">
        <f>AS1605+AS1627</f>
        <v>18914511.040000003</v>
      </c>
      <c r="AT1603" s="179">
        <f t="shared" si="494"/>
        <v>0</v>
      </c>
      <c r="AU1603" s="351">
        <f>AS1603-AT1603</f>
        <v>18914511.040000003</v>
      </c>
      <c r="AV1603" s="146">
        <f>IFERROR(VLOOKUP(J1603,Maksājumu_pieprasījumu_iesn.!G:BL,57,0),0)</f>
        <v>0</v>
      </c>
      <c r="AW1603" s="139">
        <f t="shared" si="470"/>
        <v>-18914511.040000003</v>
      </c>
      <c r="AX1603" s="179">
        <f>S1603-T1603-AT1603-AS1603</f>
        <v>20266041.959999997</v>
      </c>
      <c r="AY1603" s="179">
        <f>AY1604</f>
        <v>20266042</v>
      </c>
      <c r="AZ1603" s="179"/>
      <c r="BA1603" s="179"/>
      <c r="BB1603" s="179"/>
      <c r="BC1603" s="125"/>
      <c r="BD1603" s="179">
        <f>BD1605+BD1627</f>
        <v>0</v>
      </c>
      <c r="BE1603" s="179">
        <f>BE1605+BE1627</f>
        <v>16837858.388235297</v>
      </c>
      <c r="BF1603" s="125"/>
      <c r="BG1603" s="179">
        <f t="shared" ref="BG1603:BN1603" si="495">BG1605+BG1627</f>
        <v>0</v>
      </c>
      <c r="BH1603" s="125">
        <f t="shared" si="495"/>
        <v>4797394.08</v>
      </c>
      <c r="BI1603" s="125">
        <f t="shared" si="495"/>
        <v>5790180</v>
      </c>
      <c r="BJ1603" s="125">
        <f>BJ1604+BJ1627</f>
        <v>6642269.0600000015</v>
      </c>
      <c r="BK1603" s="125">
        <f t="shared" si="495"/>
        <v>0</v>
      </c>
      <c r="BL1603" s="125">
        <f t="shared" si="495"/>
        <v>9002702.9199999999</v>
      </c>
      <c r="BM1603" s="125">
        <f t="shared" si="495"/>
        <v>0</v>
      </c>
      <c r="BN1603" s="125">
        <f t="shared" si="495"/>
        <v>0</v>
      </c>
    </row>
    <row r="1604" spans="1:66" s="91" customFormat="1" ht="38.25" hidden="1" x14ac:dyDescent="0.2">
      <c r="A1604" s="127" t="s">
        <v>2675</v>
      </c>
      <c r="B1604" s="163" t="s">
        <v>485</v>
      </c>
      <c r="C1604" s="127" t="s">
        <v>1023</v>
      </c>
      <c r="D1604" s="128" t="s">
        <v>610</v>
      </c>
      <c r="E1604" s="127"/>
      <c r="F1604" s="127"/>
      <c r="G1604" s="127" t="s">
        <v>5</v>
      </c>
      <c r="H1604" s="127"/>
      <c r="I1604" s="127"/>
      <c r="J1604" s="127"/>
      <c r="K1604" s="128"/>
      <c r="L1604" s="128"/>
      <c r="M1604" s="128"/>
      <c r="N1604" s="128"/>
      <c r="O1604" s="163"/>
      <c r="P1604" s="163"/>
      <c r="Q1604" s="163"/>
      <c r="R1604" s="163"/>
      <c r="S1604" s="164">
        <f>S1605+S1627</f>
        <v>39180553</v>
      </c>
      <c r="T1604" s="164">
        <f>T1605+T1627</f>
        <v>0</v>
      </c>
      <c r="U1604" s="164">
        <f>U1605+U1627</f>
        <v>0</v>
      </c>
      <c r="V1604" s="164">
        <f>V1605+V1627</f>
        <v>0</v>
      </c>
      <c r="W1604" s="164">
        <f>W1605+W1627</f>
        <v>4800647.04</v>
      </c>
      <c r="X1604" s="129">
        <f>U1604+V1604+W1604</f>
        <v>4800647.04</v>
      </c>
      <c r="Y1604" s="164">
        <f t="shared" ref="Y1604:AT1604" si="496">Y1605+Y1627</f>
        <v>711082.29</v>
      </c>
      <c r="Z1604" s="164">
        <f t="shared" si="496"/>
        <v>1000109.7200000001</v>
      </c>
      <c r="AA1604" s="164">
        <f t="shared" si="496"/>
        <v>3705.61</v>
      </c>
      <c r="AB1604" s="164">
        <f t="shared" si="496"/>
        <v>680312.40000000014</v>
      </c>
      <c r="AC1604" s="164">
        <f t="shared" si="496"/>
        <v>845465.56</v>
      </c>
      <c r="AD1604" s="164">
        <f t="shared" si="496"/>
        <v>0</v>
      </c>
      <c r="AE1604" s="164">
        <f t="shared" si="496"/>
        <v>764107.93</v>
      </c>
      <c r="AF1604" s="164">
        <f t="shared" si="496"/>
        <v>927688.87</v>
      </c>
      <c r="AG1604" s="164">
        <f t="shared" si="496"/>
        <v>8253.6899999999987</v>
      </c>
      <c r="AH1604" s="164">
        <f t="shared" si="496"/>
        <v>745265.96</v>
      </c>
      <c r="AI1604" s="164">
        <f t="shared" si="496"/>
        <v>955257.2</v>
      </c>
      <c r="AJ1604" s="164">
        <f t="shared" si="496"/>
        <v>1019.83</v>
      </c>
      <c r="AK1604" s="164">
        <f>AK1605+AK1627</f>
        <v>6642269.0600000015</v>
      </c>
      <c r="AL1604" s="164">
        <f t="shared" si="496"/>
        <v>5738527.0600000005</v>
      </c>
      <c r="AM1604" s="164">
        <f t="shared" si="496"/>
        <v>1733067.8799999997</v>
      </c>
      <c r="AN1604" s="164">
        <f t="shared" si="496"/>
        <v>0</v>
      </c>
      <c r="AO1604" s="164">
        <f t="shared" si="496"/>
        <v>0</v>
      </c>
      <c r="AP1604" s="164">
        <f t="shared" si="496"/>
        <v>0</v>
      </c>
      <c r="AQ1604" s="164">
        <f t="shared" si="496"/>
        <v>0</v>
      </c>
      <c r="AR1604" s="164">
        <f t="shared" si="496"/>
        <v>0</v>
      </c>
      <c r="AS1604" s="164">
        <f>AS1605+AS1627</f>
        <v>18914511.040000003</v>
      </c>
      <c r="AT1604" s="164">
        <f t="shared" si="496"/>
        <v>0</v>
      </c>
      <c r="AU1604" s="183">
        <f>AS1604-AT1604</f>
        <v>18914511.040000003</v>
      </c>
      <c r="AV1604" s="146">
        <f>IFERROR(VLOOKUP(J1604,Maksājumu_pieprasījumu_iesn.!G:BL,57,0),0)</f>
        <v>0</v>
      </c>
      <c r="AW1604" s="139">
        <f t="shared" si="470"/>
        <v>-18914511.040000003</v>
      </c>
      <c r="AX1604" s="164">
        <f>AX1605+AX1627</f>
        <v>20266041.959999997</v>
      </c>
      <c r="AY1604" s="164">
        <f>AY1605+AY1627</f>
        <v>20266042</v>
      </c>
      <c r="AZ1604" s="164"/>
      <c r="BA1604" s="164"/>
      <c r="BB1604" s="164">
        <f>BB1605+BB1627</f>
        <v>0</v>
      </c>
      <c r="BC1604" s="164">
        <f>BC1605+BC1627</f>
        <v>14312179.630000003</v>
      </c>
      <c r="BD1604" s="164"/>
      <c r="BE1604" s="129">
        <f>BD1604/0.85</f>
        <v>0</v>
      </c>
      <c r="BF1604" s="164">
        <f>BF1605+BF1627</f>
        <v>0</v>
      </c>
      <c r="BG1604" s="164">
        <f>BG1605+BG1627</f>
        <v>0</v>
      </c>
      <c r="BH1604" s="129">
        <f>BH1605+BH1627</f>
        <v>4797394.08</v>
      </c>
      <c r="BI1604" s="129">
        <f>BI1605+BI1627</f>
        <v>5790180</v>
      </c>
      <c r="BJ1604" s="129">
        <f>AK1604</f>
        <v>6642269.0600000015</v>
      </c>
      <c r="BK1604" s="129">
        <f>BJ1604-BI1604</f>
        <v>852089.06000000145</v>
      </c>
      <c r="BL1604" s="129">
        <f>BL1605+BL1627</f>
        <v>9002702.9199999999</v>
      </c>
      <c r="BM1604" s="129">
        <f>AL1604</f>
        <v>5738527.0600000005</v>
      </c>
      <c r="BN1604" s="129">
        <f>BM1604-BL1604</f>
        <v>-3264175.8599999994</v>
      </c>
    </row>
    <row r="1605" spans="1:66" s="91" customFormat="1" ht="127.5" hidden="1" customHeight="1" x14ac:dyDescent="0.2">
      <c r="A1605" s="131" t="s">
        <v>2675</v>
      </c>
      <c r="B1605" s="132" t="s">
        <v>485</v>
      </c>
      <c r="C1605" s="132" t="s">
        <v>486</v>
      </c>
      <c r="D1605" s="133" t="s">
        <v>610</v>
      </c>
      <c r="E1605" s="22">
        <v>1</v>
      </c>
      <c r="F1605" s="22" t="s">
        <v>454</v>
      </c>
      <c r="G1605" s="22" t="s">
        <v>5</v>
      </c>
      <c r="H1605" s="22" t="s">
        <v>3</v>
      </c>
      <c r="I1605" s="22" t="s">
        <v>1022</v>
      </c>
      <c r="J1605" s="134" t="s">
        <v>1026</v>
      </c>
      <c r="K1605" s="133"/>
      <c r="L1605" s="133"/>
      <c r="M1605" s="133"/>
      <c r="N1605" s="133"/>
      <c r="O1605" s="135"/>
      <c r="P1605" s="135"/>
      <c r="Q1605" s="135"/>
      <c r="R1605" s="135"/>
      <c r="S1605" s="136">
        <v>19590277</v>
      </c>
      <c r="T1605" s="136">
        <v>0</v>
      </c>
      <c r="U1605" s="137">
        <f>SUM(U1606:U1626)</f>
        <v>0</v>
      </c>
      <c r="V1605" s="137">
        <f>SUM(V1606:V1626)</f>
        <v>0</v>
      </c>
      <c r="W1605" s="137">
        <f>SUM(W1606:W1626)</f>
        <v>4800647.04</v>
      </c>
      <c r="X1605" s="138">
        <f>U1605+V1605+W1605</f>
        <v>4800647.04</v>
      </c>
      <c r="Y1605" s="137">
        <f t="shared" ref="Y1605:AR1605" si="497">SUM(Y1606:Y1626)</f>
        <v>711082.29</v>
      </c>
      <c r="Z1605" s="137">
        <f t="shared" si="497"/>
        <v>1000109.7200000001</v>
      </c>
      <c r="AA1605" s="137">
        <f t="shared" si="497"/>
        <v>3705.61</v>
      </c>
      <c r="AB1605" s="137">
        <f t="shared" si="497"/>
        <v>680312.40000000014</v>
      </c>
      <c r="AC1605" s="137">
        <f t="shared" si="497"/>
        <v>845465.56</v>
      </c>
      <c r="AD1605" s="137">
        <f t="shared" si="497"/>
        <v>0</v>
      </c>
      <c r="AE1605" s="137">
        <f t="shared" si="497"/>
        <v>764107.93</v>
      </c>
      <c r="AF1605" s="137">
        <f t="shared" si="497"/>
        <v>927688.87</v>
      </c>
      <c r="AG1605" s="137">
        <f t="shared" si="497"/>
        <v>8253.6899999999987</v>
      </c>
      <c r="AH1605" s="137">
        <f t="shared" si="497"/>
        <v>745265.96</v>
      </c>
      <c r="AI1605" s="137">
        <f t="shared" si="497"/>
        <v>955257.2</v>
      </c>
      <c r="AJ1605" s="137">
        <f t="shared" si="497"/>
        <v>1019.83</v>
      </c>
      <c r="AK1605" s="137">
        <f>SUM(AK1606:AK1626)</f>
        <v>6642269.0600000015</v>
      </c>
      <c r="AL1605" s="137">
        <f t="shared" si="497"/>
        <v>5738527.0600000005</v>
      </c>
      <c r="AM1605" s="137">
        <f t="shared" si="497"/>
        <v>1733067.8799999997</v>
      </c>
      <c r="AN1605" s="137">
        <f t="shared" si="497"/>
        <v>0</v>
      </c>
      <c r="AO1605" s="137">
        <f t="shared" si="497"/>
        <v>0</v>
      </c>
      <c r="AP1605" s="137">
        <f t="shared" si="497"/>
        <v>0</v>
      </c>
      <c r="AQ1605" s="137">
        <f t="shared" si="497"/>
        <v>0</v>
      </c>
      <c r="AR1605" s="137">
        <f t="shared" si="497"/>
        <v>0</v>
      </c>
      <c r="AS1605" s="137">
        <f t="shared" ref="AS1605:AS1648" si="498">U1605+V1605+W1605+AK1605+AL1605+AM1605+AN1605+AO1605+AP1605+AQ1605+AR1605</f>
        <v>18914511.040000003</v>
      </c>
      <c r="AT1605" s="137">
        <f>SUM(AT1606:AT1626)</f>
        <v>0</v>
      </c>
      <c r="AU1605" s="139">
        <f>AS1605-AT1605</f>
        <v>18914511.040000003</v>
      </c>
      <c r="AV1605" s="146">
        <f>IFERROR(VLOOKUP(J1605,Maksājumu_pieprasījumu_iesn.!G:BL,57,0),0)</f>
        <v>0</v>
      </c>
      <c r="AW1605" s="139">
        <f t="shared" si="470"/>
        <v>-18914511.040000003</v>
      </c>
      <c r="AX1605" s="140">
        <f>S1605-T1605-AU1605</f>
        <v>675765.95999999717</v>
      </c>
      <c r="AY1605" s="137">
        <v>675766</v>
      </c>
      <c r="AZ1605" s="137"/>
      <c r="BA1605" s="138" t="s">
        <v>2674</v>
      </c>
      <c r="BB1605" s="140"/>
      <c r="BC1605" s="140">
        <f>X1605+AK1605+AL1605/2</f>
        <v>14312179.630000003</v>
      </c>
      <c r="BD1605" s="140"/>
      <c r="BE1605" s="140">
        <f>BC1605/0.85</f>
        <v>16837858.388235297</v>
      </c>
      <c r="BF1605" s="137"/>
      <c r="BG1605" s="137"/>
      <c r="BH1605" s="138">
        <v>4797394.08</v>
      </c>
      <c r="BI1605" s="138">
        <v>5790180</v>
      </c>
      <c r="BJ1605" s="138"/>
      <c r="BK1605" s="138"/>
      <c r="BL1605" s="138">
        <v>9002702.9199999999</v>
      </c>
      <c r="BM1605" s="138"/>
      <c r="BN1605" s="138"/>
    </row>
    <row r="1606" spans="1:66" ht="51" hidden="1" customHeight="1" x14ac:dyDescent="0.2">
      <c r="A1606" s="142" t="s">
        <v>2675</v>
      </c>
      <c r="B1606" s="18" t="s">
        <v>485</v>
      </c>
      <c r="C1606" s="18" t="s">
        <v>486</v>
      </c>
      <c r="D1606" s="19" t="s">
        <v>610</v>
      </c>
      <c r="E1606" s="18">
        <v>1</v>
      </c>
      <c r="F1606" s="18" t="s">
        <v>454</v>
      </c>
      <c r="G1606" s="18" t="s">
        <v>5</v>
      </c>
      <c r="H1606" s="18" t="s">
        <v>3</v>
      </c>
      <c r="I1606" s="18"/>
      <c r="J1606" s="18" t="s">
        <v>487</v>
      </c>
      <c r="K1606" s="19" t="s">
        <v>488</v>
      </c>
      <c r="L1606" s="19"/>
      <c r="M1606" s="19"/>
      <c r="N1606" s="19" t="s">
        <v>489</v>
      </c>
      <c r="O1606" s="143"/>
      <c r="P1606" s="143"/>
      <c r="Q1606" s="143"/>
      <c r="R1606" s="143">
        <v>42353</v>
      </c>
      <c r="S1606" s="144">
        <v>39666.1</v>
      </c>
      <c r="T1606" s="144"/>
      <c r="U1606" s="145">
        <v>0</v>
      </c>
      <c r="V1606" s="145">
        <v>0</v>
      </c>
      <c r="W1606" s="145">
        <v>21028.87</v>
      </c>
      <c r="X1606" s="145">
        <f t="shared" ref="X1606:X1626" si="499">W1606+V1606+U1606</f>
        <v>21028.87</v>
      </c>
      <c r="Y1606" s="145">
        <v>3123.19</v>
      </c>
      <c r="Z1606" s="145">
        <v>0</v>
      </c>
      <c r="AA1606" s="145">
        <v>0</v>
      </c>
      <c r="AB1606" s="145">
        <v>3123.19</v>
      </c>
      <c r="AC1606" s="145">
        <v>0</v>
      </c>
      <c r="AD1606" s="166">
        <v>0</v>
      </c>
      <c r="AE1606" s="166">
        <v>3123.19</v>
      </c>
      <c r="AF1606" s="145">
        <v>0</v>
      </c>
      <c r="AG1606" s="145">
        <v>0</v>
      </c>
      <c r="AH1606" s="145">
        <v>3123.19</v>
      </c>
      <c r="AI1606" s="145">
        <v>0</v>
      </c>
      <c r="AJ1606" s="145">
        <v>0</v>
      </c>
      <c r="AK1606" s="145">
        <f t="shared" ref="AK1606:AK1626" si="500">SUM(Y1606:AJ1606)</f>
        <v>12492.76</v>
      </c>
      <c r="AL1606" s="145">
        <v>12492.76</v>
      </c>
      <c r="AM1606" s="145">
        <v>5207.21</v>
      </c>
      <c r="AN1606" s="145">
        <v>0</v>
      </c>
      <c r="AO1606" s="145">
        <v>0</v>
      </c>
      <c r="AP1606" s="145">
        <v>0</v>
      </c>
      <c r="AQ1606" s="145">
        <v>0</v>
      </c>
      <c r="AR1606" s="145">
        <v>0</v>
      </c>
      <c r="AS1606" s="144">
        <f t="shared" si="498"/>
        <v>51221.599999999999</v>
      </c>
      <c r="AT1606" s="144"/>
      <c r="AU1606" s="146">
        <f t="shared" si="493"/>
        <v>51221.599999999999</v>
      </c>
      <c r="AV1606" s="146">
        <f>IFERROR(VLOOKUP(J1606,Maksājumu_pieprasījumu_iesn.!G:BL,57,0),0)</f>
        <v>0</v>
      </c>
      <c r="AW1606" s="139">
        <f t="shared" si="470"/>
        <v>-51221.599999999999</v>
      </c>
      <c r="AX1606" s="147"/>
      <c r="AY1606" s="147"/>
      <c r="AZ1606" s="147"/>
      <c r="BA1606" s="165"/>
      <c r="BB1606" s="144"/>
      <c r="BC1606" s="144"/>
      <c r="BD1606" s="144"/>
      <c r="BE1606" s="144"/>
      <c r="BF1606" s="144"/>
      <c r="BG1606" s="144"/>
      <c r="BH1606" s="149"/>
      <c r="BI1606" s="149"/>
      <c r="BJ1606" s="149"/>
      <c r="BK1606" s="149"/>
      <c r="BL1606" s="149"/>
      <c r="BM1606" s="149"/>
      <c r="BN1606" s="149"/>
    </row>
    <row r="1607" spans="1:66" ht="38.25" hidden="1" customHeight="1" x14ac:dyDescent="0.2">
      <c r="A1607" s="142" t="s">
        <v>2675</v>
      </c>
      <c r="B1607" s="18" t="s">
        <v>485</v>
      </c>
      <c r="C1607" s="18" t="s">
        <v>486</v>
      </c>
      <c r="D1607" s="19" t="s">
        <v>610</v>
      </c>
      <c r="E1607" s="18">
        <v>1</v>
      </c>
      <c r="F1607" s="18" t="s">
        <v>454</v>
      </c>
      <c r="G1607" s="18" t="s">
        <v>5</v>
      </c>
      <c r="H1607" s="18" t="s">
        <v>3</v>
      </c>
      <c r="I1607" s="18"/>
      <c r="J1607" s="18" t="s">
        <v>490</v>
      </c>
      <c r="K1607" s="19" t="s">
        <v>491</v>
      </c>
      <c r="L1607" s="19"/>
      <c r="M1607" s="19"/>
      <c r="N1607" s="19" t="s">
        <v>492</v>
      </c>
      <c r="O1607" s="143"/>
      <c r="P1607" s="143"/>
      <c r="Q1607" s="143"/>
      <c r="R1607" s="143">
        <v>42366</v>
      </c>
      <c r="S1607" s="144">
        <v>443253.75</v>
      </c>
      <c r="T1607" s="144"/>
      <c r="U1607" s="145">
        <v>0</v>
      </c>
      <c r="V1607" s="145">
        <v>0</v>
      </c>
      <c r="W1607" s="145">
        <v>88865.860000000015</v>
      </c>
      <c r="X1607" s="145">
        <f t="shared" si="499"/>
        <v>88865.860000000015</v>
      </c>
      <c r="Y1607" s="145">
        <v>26205.47</v>
      </c>
      <c r="Z1607" s="145">
        <v>0</v>
      </c>
      <c r="AA1607" s="145">
        <v>0</v>
      </c>
      <c r="AB1607" s="145">
        <v>18700</v>
      </c>
      <c r="AC1607" s="145">
        <v>0</v>
      </c>
      <c r="AD1607" s="166">
        <v>0</v>
      </c>
      <c r="AE1607" s="166">
        <v>45050</v>
      </c>
      <c r="AF1607" s="145">
        <v>0</v>
      </c>
      <c r="AG1607" s="145">
        <v>0</v>
      </c>
      <c r="AH1607" s="145">
        <v>45050</v>
      </c>
      <c r="AI1607" s="145">
        <v>0</v>
      </c>
      <c r="AJ1607" s="145">
        <v>0</v>
      </c>
      <c r="AK1607" s="145">
        <f t="shared" si="500"/>
        <v>135005.47</v>
      </c>
      <c r="AL1607" s="145">
        <v>172522.83000000002</v>
      </c>
      <c r="AM1607" s="145">
        <v>46859.59</v>
      </c>
      <c r="AN1607" s="145">
        <v>0</v>
      </c>
      <c r="AO1607" s="145">
        <v>0</v>
      </c>
      <c r="AP1607" s="145">
        <v>0</v>
      </c>
      <c r="AQ1607" s="145">
        <v>0</v>
      </c>
      <c r="AR1607" s="145">
        <v>0</v>
      </c>
      <c r="AS1607" s="144">
        <f t="shared" si="498"/>
        <v>443253.75</v>
      </c>
      <c r="AT1607" s="144"/>
      <c r="AU1607" s="146">
        <f t="shared" si="493"/>
        <v>443253.75</v>
      </c>
      <c r="AV1607" s="146">
        <f>IFERROR(VLOOKUP(J1607,Maksājumu_pieprasījumu_iesn.!G:BL,57,0),0)</f>
        <v>0</v>
      </c>
      <c r="AW1607" s="139">
        <f t="shared" si="470"/>
        <v>-443253.75</v>
      </c>
      <c r="AX1607" s="147"/>
      <c r="AY1607" s="147"/>
      <c r="AZ1607" s="147"/>
      <c r="BA1607" s="165"/>
      <c r="BB1607" s="144"/>
      <c r="BC1607" s="144"/>
      <c r="BD1607" s="144"/>
      <c r="BE1607" s="144"/>
      <c r="BF1607" s="144"/>
      <c r="BG1607" s="144"/>
      <c r="BH1607" s="149"/>
      <c r="BI1607" s="149"/>
      <c r="BJ1607" s="149"/>
      <c r="BK1607" s="149"/>
      <c r="BL1607" s="149"/>
      <c r="BM1607" s="149"/>
      <c r="BN1607" s="149"/>
    </row>
    <row r="1608" spans="1:66" ht="38.25" hidden="1" customHeight="1" x14ac:dyDescent="0.2">
      <c r="A1608" s="142" t="s">
        <v>2675</v>
      </c>
      <c r="B1608" s="18" t="s">
        <v>485</v>
      </c>
      <c r="C1608" s="18" t="s">
        <v>486</v>
      </c>
      <c r="D1608" s="19" t="s">
        <v>610</v>
      </c>
      <c r="E1608" s="18">
        <v>1</v>
      </c>
      <c r="F1608" s="18" t="s">
        <v>454</v>
      </c>
      <c r="G1608" s="18" t="s">
        <v>5</v>
      </c>
      <c r="H1608" s="18" t="s">
        <v>3</v>
      </c>
      <c r="I1608" s="18"/>
      <c r="J1608" s="18" t="s">
        <v>493</v>
      </c>
      <c r="K1608" s="19" t="s">
        <v>494</v>
      </c>
      <c r="L1608" s="19"/>
      <c r="M1608" s="19"/>
      <c r="N1608" s="19" t="s">
        <v>495</v>
      </c>
      <c r="O1608" s="143"/>
      <c r="P1608" s="143"/>
      <c r="Q1608" s="143"/>
      <c r="R1608" s="143">
        <v>42355</v>
      </c>
      <c r="S1608" s="144">
        <v>416500</v>
      </c>
      <c r="T1608" s="144"/>
      <c r="U1608" s="145">
        <v>0</v>
      </c>
      <c r="V1608" s="145">
        <v>0</v>
      </c>
      <c r="W1608" s="145">
        <v>88328.93</v>
      </c>
      <c r="X1608" s="145">
        <f t="shared" si="499"/>
        <v>88328.93</v>
      </c>
      <c r="Y1608" s="145">
        <v>35989.31</v>
      </c>
      <c r="Z1608" s="145">
        <v>0</v>
      </c>
      <c r="AA1608" s="145">
        <v>0</v>
      </c>
      <c r="AB1608" s="145">
        <v>34708.050000000003</v>
      </c>
      <c r="AC1608" s="145">
        <v>0</v>
      </c>
      <c r="AD1608" s="166">
        <v>0</v>
      </c>
      <c r="AE1608" s="166">
        <v>34708.050000000003</v>
      </c>
      <c r="AF1608" s="145">
        <v>0</v>
      </c>
      <c r="AG1608" s="145">
        <v>0</v>
      </c>
      <c r="AH1608" s="145">
        <v>34708.050000000003</v>
      </c>
      <c r="AI1608" s="145">
        <v>0</v>
      </c>
      <c r="AJ1608" s="145">
        <v>0</v>
      </c>
      <c r="AK1608" s="145">
        <f t="shared" si="500"/>
        <v>140113.46000000002</v>
      </c>
      <c r="AL1608" s="145">
        <v>138833.05000000002</v>
      </c>
      <c r="AM1608" s="145">
        <v>49224.56</v>
      </c>
      <c r="AN1608" s="145">
        <v>0</v>
      </c>
      <c r="AO1608" s="145">
        <v>0</v>
      </c>
      <c r="AP1608" s="145">
        <v>0</v>
      </c>
      <c r="AQ1608" s="145">
        <v>0</v>
      </c>
      <c r="AR1608" s="145">
        <v>0</v>
      </c>
      <c r="AS1608" s="144">
        <f t="shared" si="498"/>
        <v>416500.00000000006</v>
      </c>
      <c r="AT1608" s="144"/>
      <c r="AU1608" s="146">
        <f t="shared" si="493"/>
        <v>416500.00000000006</v>
      </c>
      <c r="AV1608" s="146">
        <f>IFERROR(VLOOKUP(J1608,Maksājumu_pieprasījumu_iesn.!G:BL,57,0),0)</f>
        <v>0</v>
      </c>
      <c r="AW1608" s="139">
        <f t="shared" si="470"/>
        <v>-416500.00000000006</v>
      </c>
      <c r="AX1608" s="147"/>
      <c r="AY1608" s="147"/>
      <c r="AZ1608" s="147"/>
      <c r="BA1608" s="165"/>
      <c r="BB1608" s="144"/>
      <c r="BC1608" s="144"/>
      <c r="BD1608" s="144"/>
      <c r="BE1608" s="144"/>
      <c r="BF1608" s="144"/>
      <c r="BG1608" s="144"/>
      <c r="BH1608" s="149"/>
      <c r="BI1608" s="149"/>
      <c r="BJ1608" s="149"/>
      <c r="BK1608" s="149"/>
      <c r="BL1608" s="149"/>
      <c r="BM1608" s="149"/>
      <c r="BN1608" s="149"/>
    </row>
    <row r="1609" spans="1:66" ht="51" hidden="1" customHeight="1" x14ac:dyDescent="0.2">
      <c r="A1609" s="142" t="s">
        <v>2675</v>
      </c>
      <c r="B1609" s="18" t="s">
        <v>485</v>
      </c>
      <c r="C1609" s="18" t="s">
        <v>486</v>
      </c>
      <c r="D1609" s="19" t="s">
        <v>610</v>
      </c>
      <c r="E1609" s="18">
        <v>1</v>
      </c>
      <c r="F1609" s="18" t="s">
        <v>454</v>
      </c>
      <c r="G1609" s="18" t="s">
        <v>5</v>
      </c>
      <c r="H1609" s="18" t="s">
        <v>3</v>
      </c>
      <c r="I1609" s="18"/>
      <c r="J1609" s="18" t="s">
        <v>496</v>
      </c>
      <c r="K1609" s="19" t="s">
        <v>461</v>
      </c>
      <c r="L1609" s="19"/>
      <c r="M1609" s="19"/>
      <c r="N1609" s="19" t="s">
        <v>497</v>
      </c>
      <c r="O1609" s="143"/>
      <c r="P1609" s="143"/>
      <c r="Q1609" s="143"/>
      <c r="R1609" s="143">
        <v>42342</v>
      </c>
      <c r="S1609" s="144">
        <v>3551380.75</v>
      </c>
      <c r="T1609" s="144"/>
      <c r="U1609" s="145">
        <v>0</v>
      </c>
      <c r="V1609" s="145">
        <v>0</v>
      </c>
      <c r="W1609" s="145">
        <v>666582.8600000001</v>
      </c>
      <c r="X1609" s="145">
        <f t="shared" si="499"/>
        <v>666582.8600000001</v>
      </c>
      <c r="Y1609" s="145">
        <v>0</v>
      </c>
      <c r="Z1609" s="145">
        <v>438114.36</v>
      </c>
      <c r="AA1609" s="145">
        <v>0</v>
      </c>
      <c r="AB1609" s="145">
        <v>0</v>
      </c>
      <c r="AC1609" s="145">
        <v>279960.25</v>
      </c>
      <c r="AD1609" s="145">
        <v>0</v>
      </c>
      <c r="AE1609" s="145">
        <v>0</v>
      </c>
      <c r="AF1609" s="420">
        <v>331317.25</v>
      </c>
      <c r="AG1609" s="145">
        <v>0</v>
      </c>
      <c r="AH1609" s="145">
        <v>0</v>
      </c>
      <c r="AI1609" s="145">
        <v>353068.75</v>
      </c>
      <c r="AJ1609" s="145">
        <v>0</v>
      </c>
      <c r="AK1609" s="145">
        <f t="shared" si="500"/>
        <v>1402460.6099999999</v>
      </c>
      <c r="AL1609" s="145">
        <v>1125408.5</v>
      </c>
      <c r="AM1609" s="145">
        <v>356928.78</v>
      </c>
      <c r="AN1609" s="145">
        <v>0</v>
      </c>
      <c r="AO1609" s="145">
        <v>0</v>
      </c>
      <c r="AP1609" s="145">
        <v>0</v>
      </c>
      <c r="AQ1609" s="145">
        <v>0</v>
      </c>
      <c r="AR1609" s="145">
        <v>0</v>
      </c>
      <c r="AS1609" s="144">
        <f t="shared" si="498"/>
        <v>3551380.75</v>
      </c>
      <c r="AT1609" s="144"/>
      <c r="AU1609" s="146">
        <f>AS1609-AT1609</f>
        <v>3551380.75</v>
      </c>
      <c r="AV1609" s="146">
        <f>IFERROR(VLOOKUP(J1609,Maksājumu_pieprasījumu_iesn.!G:BL,57,0),0)</f>
        <v>0</v>
      </c>
      <c r="AW1609" s="139">
        <f t="shared" si="470"/>
        <v>-3551380.75</v>
      </c>
      <c r="AX1609" s="147"/>
      <c r="AY1609" s="147"/>
      <c r="AZ1609" s="147"/>
      <c r="BA1609" s="165"/>
      <c r="BB1609" s="144"/>
      <c r="BC1609" s="144"/>
      <c r="BD1609" s="144"/>
      <c r="BE1609" s="144"/>
      <c r="BF1609" s="144"/>
      <c r="BG1609" s="144"/>
      <c r="BH1609" s="149"/>
      <c r="BI1609" s="149"/>
      <c r="BJ1609" s="149"/>
      <c r="BK1609" s="149"/>
      <c r="BL1609" s="149"/>
      <c r="BM1609" s="149"/>
      <c r="BN1609" s="149"/>
    </row>
    <row r="1610" spans="1:66" ht="38.25" hidden="1" customHeight="1" x14ac:dyDescent="0.2">
      <c r="A1610" s="142" t="s">
        <v>2675</v>
      </c>
      <c r="B1610" s="18" t="s">
        <v>485</v>
      </c>
      <c r="C1610" s="18" t="s">
        <v>486</v>
      </c>
      <c r="D1610" s="19" t="s">
        <v>610</v>
      </c>
      <c r="E1610" s="18">
        <v>1</v>
      </c>
      <c r="F1610" s="18" t="s">
        <v>454</v>
      </c>
      <c r="G1610" s="18" t="s">
        <v>5</v>
      </c>
      <c r="H1610" s="18" t="s">
        <v>3</v>
      </c>
      <c r="I1610" s="18"/>
      <c r="J1610" s="18" t="s">
        <v>498</v>
      </c>
      <c r="K1610" s="19" t="s">
        <v>499</v>
      </c>
      <c r="L1610" s="19"/>
      <c r="M1610" s="19"/>
      <c r="N1610" s="19" t="s">
        <v>500</v>
      </c>
      <c r="O1610" s="143"/>
      <c r="P1610" s="143"/>
      <c r="Q1610" s="143"/>
      <c r="R1610" s="143">
        <v>42361</v>
      </c>
      <c r="S1610" s="144">
        <v>39666.1</v>
      </c>
      <c r="T1610" s="144"/>
      <c r="U1610" s="145">
        <v>0</v>
      </c>
      <c r="V1610" s="145">
        <v>0</v>
      </c>
      <c r="W1610" s="145">
        <v>21622.97</v>
      </c>
      <c r="X1610" s="145">
        <f t="shared" si="499"/>
        <v>21622.97</v>
      </c>
      <c r="Y1610" s="145">
        <v>3839.38</v>
      </c>
      <c r="Z1610" s="145">
        <v>0</v>
      </c>
      <c r="AA1610" s="145">
        <v>0</v>
      </c>
      <c r="AB1610" s="145">
        <v>6414.11</v>
      </c>
      <c r="AC1610" s="145">
        <v>0</v>
      </c>
      <c r="AD1610" s="166">
        <v>0</v>
      </c>
      <c r="AE1610" s="166">
        <v>4696.93</v>
      </c>
      <c r="AF1610" s="145">
        <v>0</v>
      </c>
      <c r="AG1610" s="145">
        <v>0</v>
      </c>
      <c r="AH1610" s="145">
        <v>5304.94</v>
      </c>
      <c r="AI1610" s="145">
        <v>0</v>
      </c>
      <c r="AJ1610" s="145">
        <v>0</v>
      </c>
      <c r="AK1610" s="145">
        <f t="shared" si="500"/>
        <v>20255.36</v>
      </c>
      <c r="AL1610" s="145">
        <v>5259.6600000000008</v>
      </c>
      <c r="AM1610" s="145">
        <v>816.54</v>
      </c>
      <c r="AN1610" s="145">
        <v>0</v>
      </c>
      <c r="AO1610" s="145">
        <v>0</v>
      </c>
      <c r="AP1610" s="145">
        <v>0</v>
      </c>
      <c r="AQ1610" s="145">
        <v>0</v>
      </c>
      <c r="AR1610" s="145">
        <v>0</v>
      </c>
      <c r="AS1610" s="144">
        <f t="shared" si="498"/>
        <v>47954.530000000006</v>
      </c>
      <c r="AT1610" s="144"/>
      <c r="AU1610" s="146">
        <f t="shared" si="493"/>
        <v>47954.530000000006</v>
      </c>
      <c r="AV1610" s="146">
        <f>IFERROR(VLOOKUP(J1610,Maksājumu_pieprasījumu_iesn.!G:BL,57,0),0)</f>
        <v>0</v>
      </c>
      <c r="AW1610" s="139">
        <f t="shared" si="470"/>
        <v>-47954.530000000006</v>
      </c>
      <c r="AX1610" s="147"/>
      <c r="AY1610" s="147"/>
      <c r="AZ1610" s="147"/>
      <c r="BA1610" s="165"/>
      <c r="BB1610" s="144"/>
      <c r="BC1610" s="144"/>
      <c r="BD1610" s="144"/>
      <c r="BE1610" s="144"/>
      <c r="BF1610" s="144"/>
      <c r="BG1610" s="144"/>
      <c r="BH1610" s="149"/>
      <c r="BI1610" s="149"/>
      <c r="BJ1610" s="149"/>
      <c r="BK1610" s="149"/>
      <c r="BL1610" s="149"/>
      <c r="BM1610" s="149"/>
      <c r="BN1610" s="149"/>
    </row>
    <row r="1611" spans="1:66" ht="51" hidden="1" customHeight="1" x14ac:dyDescent="0.2">
      <c r="A1611" s="142" t="s">
        <v>2675</v>
      </c>
      <c r="B1611" s="18" t="s">
        <v>485</v>
      </c>
      <c r="C1611" s="18" t="s">
        <v>486</v>
      </c>
      <c r="D1611" s="19" t="s">
        <v>610</v>
      </c>
      <c r="E1611" s="18">
        <v>1</v>
      </c>
      <c r="F1611" s="18" t="s">
        <v>454</v>
      </c>
      <c r="G1611" s="18" t="s">
        <v>5</v>
      </c>
      <c r="H1611" s="18" t="s">
        <v>3</v>
      </c>
      <c r="I1611" s="18"/>
      <c r="J1611" s="18" t="s">
        <v>501</v>
      </c>
      <c r="K1611" s="19" t="s">
        <v>84</v>
      </c>
      <c r="L1611" s="19"/>
      <c r="M1611" s="19"/>
      <c r="N1611" s="19" t="s">
        <v>502</v>
      </c>
      <c r="O1611" s="143"/>
      <c r="P1611" s="143"/>
      <c r="Q1611" s="143"/>
      <c r="R1611" s="143">
        <v>42367</v>
      </c>
      <c r="S1611" s="144">
        <v>742730.5</v>
      </c>
      <c r="T1611" s="144"/>
      <c r="U1611" s="145">
        <v>0</v>
      </c>
      <c r="V1611" s="145">
        <v>0</v>
      </c>
      <c r="W1611" s="145">
        <v>130545.30000000002</v>
      </c>
      <c r="X1611" s="145">
        <f t="shared" si="499"/>
        <v>130545.30000000002</v>
      </c>
      <c r="Y1611" s="145">
        <v>68695.8</v>
      </c>
      <c r="Z1611" s="145">
        <v>0</v>
      </c>
      <c r="AA1611" s="145">
        <v>0</v>
      </c>
      <c r="AB1611" s="145">
        <v>78923.09</v>
      </c>
      <c r="AC1611" s="145">
        <v>0</v>
      </c>
      <c r="AD1611" s="166">
        <v>0</v>
      </c>
      <c r="AE1611" s="166">
        <v>77860</v>
      </c>
      <c r="AF1611" s="145">
        <v>0</v>
      </c>
      <c r="AG1611" s="145">
        <v>0</v>
      </c>
      <c r="AH1611" s="145">
        <v>51085</v>
      </c>
      <c r="AI1611" s="145">
        <v>0</v>
      </c>
      <c r="AJ1611" s="145">
        <v>0</v>
      </c>
      <c r="AK1611" s="145">
        <f t="shared" si="500"/>
        <v>276563.89</v>
      </c>
      <c r="AL1611" s="145">
        <v>275235.09999999998</v>
      </c>
      <c r="AM1611" s="145">
        <v>60386.21</v>
      </c>
      <c r="AN1611" s="145">
        <v>0</v>
      </c>
      <c r="AO1611" s="145">
        <v>0</v>
      </c>
      <c r="AP1611" s="145">
        <v>0</v>
      </c>
      <c r="AQ1611" s="145">
        <v>0</v>
      </c>
      <c r="AR1611" s="145">
        <v>0</v>
      </c>
      <c r="AS1611" s="144">
        <f t="shared" si="498"/>
        <v>742730.5</v>
      </c>
      <c r="AT1611" s="144"/>
      <c r="AU1611" s="146">
        <f t="shared" si="493"/>
        <v>742730.5</v>
      </c>
      <c r="AV1611" s="146">
        <f>IFERROR(VLOOKUP(J1611,Maksājumu_pieprasījumu_iesn.!G:BL,57,0),0)</f>
        <v>0</v>
      </c>
      <c r="AW1611" s="139">
        <f t="shared" si="470"/>
        <v>-742730.5</v>
      </c>
      <c r="AX1611" s="147"/>
      <c r="AY1611" s="147"/>
      <c r="AZ1611" s="147"/>
      <c r="BA1611" s="165"/>
      <c r="BB1611" s="144"/>
      <c r="BC1611" s="144"/>
      <c r="BD1611" s="144"/>
      <c r="BE1611" s="144"/>
      <c r="BF1611" s="144"/>
      <c r="BG1611" s="144"/>
      <c r="BH1611" s="149"/>
      <c r="BI1611" s="149"/>
      <c r="BJ1611" s="149"/>
      <c r="BK1611" s="149"/>
      <c r="BL1611" s="149"/>
      <c r="BM1611" s="149"/>
      <c r="BN1611" s="149"/>
    </row>
    <row r="1612" spans="1:66" ht="38.25" hidden="1" customHeight="1" x14ac:dyDescent="0.2">
      <c r="A1612" s="142" t="s">
        <v>2675</v>
      </c>
      <c r="B1612" s="18" t="s">
        <v>485</v>
      </c>
      <c r="C1612" s="18" t="s">
        <v>486</v>
      </c>
      <c r="D1612" s="19" t="s">
        <v>610</v>
      </c>
      <c r="E1612" s="18">
        <v>1</v>
      </c>
      <c r="F1612" s="18" t="s">
        <v>454</v>
      </c>
      <c r="G1612" s="18" t="s">
        <v>5</v>
      </c>
      <c r="H1612" s="18" t="s">
        <v>3</v>
      </c>
      <c r="I1612" s="18"/>
      <c r="J1612" s="18" t="s">
        <v>503</v>
      </c>
      <c r="K1612" s="19" t="s">
        <v>468</v>
      </c>
      <c r="L1612" s="19"/>
      <c r="M1612" s="19"/>
      <c r="N1612" s="19" t="s">
        <v>504</v>
      </c>
      <c r="O1612" s="143"/>
      <c r="P1612" s="143"/>
      <c r="Q1612" s="143"/>
      <c r="R1612" s="143">
        <v>42384</v>
      </c>
      <c r="S1612" s="144">
        <v>289000</v>
      </c>
      <c r="T1612" s="144"/>
      <c r="U1612" s="145">
        <v>0</v>
      </c>
      <c r="V1612" s="145">
        <v>0</v>
      </c>
      <c r="W1612" s="145">
        <v>37462.080000000002</v>
      </c>
      <c r="X1612" s="145">
        <f t="shared" si="499"/>
        <v>37462.080000000002</v>
      </c>
      <c r="Y1612" s="145">
        <v>21569.57</v>
      </c>
      <c r="Z1612" s="145">
        <v>0</v>
      </c>
      <c r="AA1612" s="145">
        <v>0</v>
      </c>
      <c r="AB1612" s="145">
        <v>16267.76</v>
      </c>
      <c r="AC1612" s="145">
        <v>0</v>
      </c>
      <c r="AD1612" s="166">
        <v>0</v>
      </c>
      <c r="AE1612" s="166">
        <v>24085.88</v>
      </c>
      <c r="AF1612" s="145">
        <v>0</v>
      </c>
      <c r="AG1612" s="145">
        <v>0</v>
      </c>
      <c r="AH1612" s="145">
        <v>24085.88</v>
      </c>
      <c r="AI1612" s="145">
        <v>0</v>
      </c>
      <c r="AJ1612" s="145">
        <v>0</v>
      </c>
      <c r="AK1612" s="145">
        <f t="shared" si="500"/>
        <v>86009.090000000011</v>
      </c>
      <c r="AL1612" s="145">
        <v>96343.52</v>
      </c>
      <c r="AM1612" s="145">
        <v>69121.95</v>
      </c>
      <c r="AN1612" s="145">
        <v>0</v>
      </c>
      <c r="AO1612" s="145">
        <v>0</v>
      </c>
      <c r="AP1612" s="145">
        <v>0</v>
      </c>
      <c r="AQ1612" s="145">
        <v>0</v>
      </c>
      <c r="AR1612" s="145">
        <v>0</v>
      </c>
      <c r="AS1612" s="144">
        <f t="shared" si="498"/>
        <v>288936.64</v>
      </c>
      <c r="AT1612" s="144"/>
      <c r="AU1612" s="146">
        <f t="shared" si="493"/>
        <v>288936.64</v>
      </c>
      <c r="AV1612" s="146">
        <f>IFERROR(VLOOKUP(J1612,Maksājumu_pieprasījumu_iesn.!G:BL,57,0),0)</f>
        <v>0</v>
      </c>
      <c r="AW1612" s="139">
        <f t="shared" si="470"/>
        <v>-288936.64</v>
      </c>
      <c r="AX1612" s="147"/>
      <c r="AY1612" s="147"/>
      <c r="AZ1612" s="147"/>
      <c r="BA1612" s="165"/>
      <c r="BB1612" s="144"/>
      <c r="BC1612" s="144"/>
      <c r="BD1612" s="144"/>
      <c r="BE1612" s="144"/>
      <c r="BF1612" s="144"/>
      <c r="BG1612" s="144"/>
      <c r="BH1612" s="149"/>
      <c r="BI1612" s="149"/>
      <c r="BJ1612" s="149"/>
      <c r="BK1612" s="149"/>
      <c r="BL1612" s="149"/>
      <c r="BM1612" s="149"/>
      <c r="BN1612" s="149"/>
    </row>
    <row r="1613" spans="1:66" ht="38.25" hidden="1" customHeight="1" x14ac:dyDescent="0.2">
      <c r="A1613" s="142" t="s">
        <v>2675</v>
      </c>
      <c r="B1613" s="18" t="s">
        <v>485</v>
      </c>
      <c r="C1613" s="18" t="s">
        <v>486</v>
      </c>
      <c r="D1613" s="19" t="s">
        <v>610</v>
      </c>
      <c r="E1613" s="18">
        <v>1</v>
      </c>
      <c r="F1613" s="18" t="s">
        <v>454</v>
      </c>
      <c r="G1613" s="18" t="s">
        <v>5</v>
      </c>
      <c r="H1613" s="18" t="s">
        <v>3</v>
      </c>
      <c r="I1613" s="18"/>
      <c r="J1613" s="18" t="s">
        <v>505</v>
      </c>
      <c r="K1613" s="19" t="s">
        <v>409</v>
      </c>
      <c r="L1613" s="19"/>
      <c r="M1613" s="19"/>
      <c r="N1613" s="19" t="s">
        <v>506</v>
      </c>
      <c r="O1613" s="143"/>
      <c r="P1613" s="143"/>
      <c r="Q1613" s="143"/>
      <c r="R1613" s="143">
        <v>42377</v>
      </c>
      <c r="S1613" s="144">
        <v>557487.80000000005</v>
      </c>
      <c r="T1613" s="144"/>
      <c r="U1613" s="145">
        <v>0</v>
      </c>
      <c r="V1613" s="145">
        <v>0</v>
      </c>
      <c r="W1613" s="145">
        <v>112701.37</v>
      </c>
      <c r="X1613" s="145">
        <f t="shared" si="499"/>
        <v>112701.37</v>
      </c>
      <c r="Y1613" s="145">
        <v>72711.17</v>
      </c>
      <c r="Z1613" s="145">
        <v>0</v>
      </c>
      <c r="AA1613" s="145">
        <v>0</v>
      </c>
      <c r="AB1613" s="145">
        <v>42973.45</v>
      </c>
      <c r="AC1613" s="145">
        <v>0</v>
      </c>
      <c r="AD1613" s="166">
        <v>0</v>
      </c>
      <c r="AE1613" s="166">
        <v>56659.3</v>
      </c>
      <c r="AF1613" s="145">
        <v>0</v>
      </c>
      <c r="AG1613" s="145">
        <v>0</v>
      </c>
      <c r="AH1613" s="145">
        <v>50968.55</v>
      </c>
      <c r="AI1613" s="145">
        <v>0</v>
      </c>
      <c r="AJ1613" s="145">
        <v>0</v>
      </c>
      <c r="AK1613" s="145">
        <f t="shared" si="500"/>
        <v>223312.46999999997</v>
      </c>
      <c r="AL1613" s="145">
        <v>188355.87</v>
      </c>
      <c r="AM1613" s="145">
        <v>33118.089999999997</v>
      </c>
      <c r="AN1613" s="145">
        <v>0</v>
      </c>
      <c r="AO1613" s="145">
        <v>0</v>
      </c>
      <c r="AP1613" s="145">
        <v>0</v>
      </c>
      <c r="AQ1613" s="145">
        <v>0</v>
      </c>
      <c r="AR1613" s="145">
        <v>0</v>
      </c>
      <c r="AS1613" s="144">
        <f t="shared" si="498"/>
        <v>557487.79999999993</v>
      </c>
      <c r="AT1613" s="144"/>
      <c r="AU1613" s="146">
        <f t="shared" si="493"/>
        <v>557487.79999999993</v>
      </c>
      <c r="AV1613" s="146">
        <f>IFERROR(VLOOKUP(J1613,Maksājumu_pieprasījumu_iesn.!G:BL,57,0),0)</f>
        <v>0</v>
      </c>
      <c r="AW1613" s="139">
        <f t="shared" si="470"/>
        <v>-557487.79999999993</v>
      </c>
      <c r="AX1613" s="147"/>
      <c r="AY1613" s="147"/>
      <c r="AZ1613" s="147"/>
      <c r="BA1613" s="165"/>
      <c r="BB1613" s="144"/>
      <c r="BC1613" s="144"/>
      <c r="BD1613" s="144"/>
      <c r="BE1613" s="144"/>
      <c r="BF1613" s="144"/>
      <c r="BG1613" s="144"/>
      <c r="BH1613" s="149"/>
      <c r="BI1613" s="149"/>
      <c r="BJ1613" s="149"/>
      <c r="BK1613" s="149"/>
      <c r="BL1613" s="149"/>
      <c r="BM1613" s="149"/>
      <c r="BN1613" s="149"/>
    </row>
    <row r="1614" spans="1:66" ht="38.25" hidden="1" customHeight="1" x14ac:dyDescent="0.2">
      <c r="A1614" s="142" t="s">
        <v>2675</v>
      </c>
      <c r="B1614" s="18" t="s">
        <v>485</v>
      </c>
      <c r="C1614" s="18" t="s">
        <v>486</v>
      </c>
      <c r="D1614" s="19" t="s">
        <v>610</v>
      </c>
      <c r="E1614" s="18">
        <v>1</v>
      </c>
      <c r="F1614" s="18" t="s">
        <v>454</v>
      </c>
      <c r="G1614" s="18" t="s">
        <v>5</v>
      </c>
      <c r="H1614" s="18" t="s">
        <v>3</v>
      </c>
      <c r="I1614" s="18"/>
      <c r="J1614" s="18" t="s">
        <v>507</v>
      </c>
      <c r="K1614" s="19" t="s">
        <v>508</v>
      </c>
      <c r="L1614" s="19"/>
      <c r="M1614" s="19"/>
      <c r="N1614" s="19" t="s">
        <v>509</v>
      </c>
      <c r="O1614" s="143"/>
      <c r="P1614" s="143"/>
      <c r="Q1614" s="143"/>
      <c r="R1614" s="143">
        <v>42404</v>
      </c>
      <c r="S1614" s="144">
        <v>39666.1</v>
      </c>
      <c r="T1614" s="144"/>
      <c r="U1614" s="145">
        <v>0</v>
      </c>
      <c r="V1614" s="145">
        <v>0</v>
      </c>
      <c r="W1614" s="145">
        <v>5213.43</v>
      </c>
      <c r="X1614" s="145">
        <f t="shared" si="499"/>
        <v>5213.43</v>
      </c>
      <c r="Y1614" s="145">
        <v>383.56</v>
      </c>
      <c r="Z1614" s="145">
        <v>0</v>
      </c>
      <c r="AA1614" s="145">
        <v>0</v>
      </c>
      <c r="AB1614" s="145">
        <v>0</v>
      </c>
      <c r="AC1614" s="145">
        <v>0</v>
      </c>
      <c r="AD1614" s="166">
        <v>0</v>
      </c>
      <c r="AE1614" s="166">
        <v>993.72</v>
      </c>
      <c r="AF1614" s="145">
        <v>0</v>
      </c>
      <c r="AG1614" s="145">
        <v>5278.69</v>
      </c>
      <c r="AH1614" s="145">
        <v>7897.7</v>
      </c>
      <c r="AI1614" s="145">
        <v>0</v>
      </c>
      <c r="AJ1614" s="145">
        <v>0</v>
      </c>
      <c r="AK1614" s="145">
        <f t="shared" si="500"/>
        <v>14553.669999999998</v>
      </c>
      <c r="AL1614" s="145">
        <v>23830.09</v>
      </c>
      <c r="AM1614" s="145">
        <v>3966.61</v>
      </c>
      <c r="AN1614" s="145">
        <v>0</v>
      </c>
      <c r="AO1614" s="145">
        <v>0</v>
      </c>
      <c r="AP1614" s="145">
        <v>0</v>
      </c>
      <c r="AQ1614" s="145">
        <v>0</v>
      </c>
      <c r="AR1614" s="145">
        <v>0</v>
      </c>
      <c r="AS1614" s="144">
        <f t="shared" si="498"/>
        <v>47563.8</v>
      </c>
      <c r="AT1614" s="144"/>
      <c r="AU1614" s="146">
        <f t="shared" si="493"/>
        <v>47563.8</v>
      </c>
      <c r="AV1614" s="146">
        <f>IFERROR(VLOOKUP(J1614,Maksājumu_pieprasījumu_iesn.!G:BL,57,0),0)</f>
        <v>0</v>
      </c>
      <c r="AW1614" s="139">
        <f t="shared" si="470"/>
        <v>-47563.8</v>
      </c>
      <c r="AX1614" s="147"/>
      <c r="AY1614" s="147"/>
      <c r="AZ1614" s="147"/>
      <c r="BA1614" s="165"/>
      <c r="BB1614" s="144"/>
      <c r="BC1614" s="144"/>
      <c r="BD1614" s="144"/>
      <c r="BE1614" s="144"/>
      <c r="BF1614" s="144"/>
      <c r="BG1614" s="144"/>
      <c r="BH1614" s="149"/>
      <c r="BI1614" s="149"/>
      <c r="BJ1614" s="149"/>
      <c r="BK1614" s="149"/>
      <c r="BL1614" s="149"/>
      <c r="BM1614" s="149"/>
      <c r="BN1614" s="149"/>
    </row>
    <row r="1615" spans="1:66" ht="76.5" hidden="1" customHeight="1" x14ac:dyDescent="0.2">
      <c r="A1615" s="142" t="s">
        <v>2675</v>
      </c>
      <c r="B1615" s="18" t="s">
        <v>485</v>
      </c>
      <c r="C1615" s="18" t="s">
        <v>486</v>
      </c>
      <c r="D1615" s="19" t="s">
        <v>610</v>
      </c>
      <c r="E1615" s="18">
        <v>1</v>
      </c>
      <c r="F1615" s="18" t="s">
        <v>454</v>
      </c>
      <c r="G1615" s="18" t="s">
        <v>5</v>
      </c>
      <c r="H1615" s="18" t="s">
        <v>3</v>
      </c>
      <c r="I1615" s="18"/>
      <c r="J1615" s="18" t="s">
        <v>887</v>
      </c>
      <c r="K1615" s="19" t="s">
        <v>888</v>
      </c>
      <c r="L1615" s="19"/>
      <c r="M1615" s="19"/>
      <c r="N1615" s="19" t="s">
        <v>889</v>
      </c>
      <c r="O1615" s="143"/>
      <c r="P1615" s="143"/>
      <c r="Q1615" s="143"/>
      <c r="R1615" s="143">
        <v>42389</v>
      </c>
      <c r="S1615" s="144">
        <v>39666.1</v>
      </c>
      <c r="T1615" s="144"/>
      <c r="U1615" s="145">
        <v>0</v>
      </c>
      <c r="V1615" s="145">
        <v>0</v>
      </c>
      <c r="W1615" s="145">
        <v>0</v>
      </c>
      <c r="X1615" s="145">
        <f t="shared" si="499"/>
        <v>0</v>
      </c>
      <c r="Y1615" s="145">
        <v>0</v>
      </c>
      <c r="Z1615" s="145">
        <v>0</v>
      </c>
      <c r="AA1615" s="145">
        <v>0</v>
      </c>
      <c r="AB1615" s="145">
        <v>0</v>
      </c>
      <c r="AC1615" s="145">
        <v>0</v>
      </c>
      <c r="AD1615" s="145">
        <v>0</v>
      </c>
      <c r="AE1615" s="166">
        <v>4250</v>
      </c>
      <c r="AF1615" s="145">
        <v>0</v>
      </c>
      <c r="AG1615" s="145">
        <v>0</v>
      </c>
      <c r="AH1615" s="145">
        <v>5525</v>
      </c>
      <c r="AI1615" s="145">
        <v>0</v>
      </c>
      <c r="AJ1615" s="145">
        <v>0</v>
      </c>
      <c r="AK1615" s="145">
        <f t="shared" si="500"/>
        <v>9775</v>
      </c>
      <c r="AL1615" s="145">
        <v>23800</v>
      </c>
      <c r="AM1615" s="145">
        <v>6091.1</v>
      </c>
      <c r="AN1615" s="145">
        <v>0</v>
      </c>
      <c r="AO1615" s="145">
        <v>0</v>
      </c>
      <c r="AP1615" s="145">
        <v>0</v>
      </c>
      <c r="AQ1615" s="145">
        <v>0</v>
      </c>
      <c r="AR1615" s="145">
        <v>0</v>
      </c>
      <c r="AS1615" s="144">
        <f t="shared" si="498"/>
        <v>39666.1</v>
      </c>
      <c r="AT1615" s="144"/>
      <c r="AU1615" s="146">
        <f t="shared" si="493"/>
        <v>39666.1</v>
      </c>
      <c r="AV1615" s="146">
        <f>IFERROR(VLOOKUP(J1615,Maksājumu_pieprasījumu_iesn.!G:BL,57,0),0)</f>
        <v>0</v>
      </c>
      <c r="AW1615" s="139">
        <f t="shared" si="470"/>
        <v>-39666.1</v>
      </c>
      <c r="AX1615" s="147"/>
      <c r="AY1615" s="147"/>
      <c r="AZ1615" s="147"/>
      <c r="BA1615" s="165"/>
      <c r="BB1615" s="144"/>
      <c r="BC1615" s="144"/>
      <c r="BD1615" s="144"/>
      <c r="BE1615" s="144"/>
      <c r="BF1615" s="144"/>
      <c r="BG1615" s="144"/>
      <c r="BH1615" s="149"/>
      <c r="BI1615" s="149"/>
      <c r="BJ1615" s="149"/>
      <c r="BK1615" s="149"/>
      <c r="BL1615" s="149"/>
      <c r="BM1615" s="149"/>
      <c r="BN1615" s="149"/>
    </row>
    <row r="1616" spans="1:66" ht="63.75" hidden="1" customHeight="1" x14ac:dyDescent="0.2">
      <c r="A1616" s="142" t="s">
        <v>2675</v>
      </c>
      <c r="B1616" s="18" t="s">
        <v>485</v>
      </c>
      <c r="C1616" s="18" t="s">
        <v>486</v>
      </c>
      <c r="D1616" s="19" t="s">
        <v>610</v>
      </c>
      <c r="E1616" s="18">
        <v>1</v>
      </c>
      <c r="F1616" s="18" t="s">
        <v>454</v>
      </c>
      <c r="G1616" s="18" t="s">
        <v>5</v>
      </c>
      <c r="H1616" s="18" t="s">
        <v>3</v>
      </c>
      <c r="I1616" s="18"/>
      <c r="J1616" s="18" t="s">
        <v>510</v>
      </c>
      <c r="K1616" s="19" t="s">
        <v>311</v>
      </c>
      <c r="L1616" s="19"/>
      <c r="M1616" s="19"/>
      <c r="N1616" s="19" t="s">
        <v>511</v>
      </c>
      <c r="O1616" s="143"/>
      <c r="P1616" s="143"/>
      <c r="Q1616" s="143"/>
      <c r="R1616" s="143">
        <v>42365</v>
      </c>
      <c r="S1616" s="144">
        <v>4144600</v>
      </c>
      <c r="T1616" s="144"/>
      <c r="U1616" s="145">
        <v>0</v>
      </c>
      <c r="V1616" s="145">
        <v>0</v>
      </c>
      <c r="W1616" s="145">
        <v>1329358.2399999998</v>
      </c>
      <c r="X1616" s="145">
        <f t="shared" si="499"/>
        <v>1329358.2399999998</v>
      </c>
      <c r="Y1616" s="145">
        <v>0</v>
      </c>
      <c r="Z1616" s="145">
        <v>330778.94</v>
      </c>
      <c r="AA1616" s="145">
        <v>0</v>
      </c>
      <c r="AB1616" s="145">
        <v>0</v>
      </c>
      <c r="AC1616" s="145">
        <v>313395.31</v>
      </c>
      <c r="AD1616" s="145">
        <v>0</v>
      </c>
      <c r="AE1616" s="145">
        <v>0</v>
      </c>
      <c r="AF1616" s="420">
        <v>344261.62</v>
      </c>
      <c r="AG1616" s="145">
        <v>0</v>
      </c>
      <c r="AH1616" s="145">
        <v>0</v>
      </c>
      <c r="AI1616" s="145">
        <v>348378.45</v>
      </c>
      <c r="AJ1616" s="145">
        <v>0</v>
      </c>
      <c r="AK1616" s="145">
        <f t="shared" si="500"/>
        <v>1336814.32</v>
      </c>
      <c r="AL1616" s="145">
        <v>1192445.79</v>
      </c>
      <c r="AM1616" s="145">
        <v>285981.65000000002</v>
      </c>
      <c r="AN1616" s="145">
        <v>0</v>
      </c>
      <c r="AO1616" s="145">
        <v>0</v>
      </c>
      <c r="AP1616" s="145">
        <v>0</v>
      </c>
      <c r="AQ1616" s="145">
        <v>0</v>
      </c>
      <c r="AR1616" s="145">
        <v>0</v>
      </c>
      <c r="AS1616" s="144">
        <f t="shared" si="498"/>
        <v>4144599.9999999995</v>
      </c>
      <c r="AT1616" s="144"/>
      <c r="AU1616" s="146">
        <f>AS1616-AT1616</f>
        <v>4144599.9999999995</v>
      </c>
      <c r="AV1616" s="146">
        <f>IFERROR(VLOOKUP(J1616,Maksājumu_pieprasījumu_iesn.!G:BL,57,0),0)</f>
        <v>0</v>
      </c>
      <c r="AW1616" s="139">
        <f t="shared" ref="AW1616:AW1662" si="501">AV1616-AU1616</f>
        <v>-4144599.9999999995</v>
      </c>
      <c r="AX1616" s="147"/>
      <c r="AY1616" s="147"/>
      <c r="AZ1616" s="147"/>
      <c r="BA1616" s="165"/>
      <c r="BB1616" s="144"/>
      <c r="BC1616" s="144"/>
      <c r="BD1616" s="144"/>
      <c r="BE1616" s="144"/>
      <c r="BF1616" s="144"/>
      <c r="BG1616" s="144"/>
      <c r="BH1616" s="149"/>
      <c r="BI1616" s="149"/>
      <c r="BJ1616" s="149"/>
      <c r="BK1616" s="149"/>
      <c r="BL1616" s="149"/>
      <c r="BM1616" s="149"/>
      <c r="BN1616" s="149"/>
    </row>
    <row r="1617" spans="1:66" ht="38.25" hidden="1" customHeight="1" x14ac:dyDescent="0.2">
      <c r="A1617" s="142" t="s">
        <v>2675</v>
      </c>
      <c r="B1617" s="18" t="s">
        <v>485</v>
      </c>
      <c r="C1617" s="18" t="s">
        <v>486</v>
      </c>
      <c r="D1617" s="19" t="s">
        <v>610</v>
      </c>
      <c r="E1617" s="18">
        <v>1</v>
      </c>
      <c r="F1617" s="18" t="s">
        <v>454</v>
      </c>
      <c r="G1617" s="18" t="s">
        <v>5</v>
      </c>
      <c r="H1617" s="18" t="s">
        <v>3</v>
      </c>
      <c r="I1617" s="18"/>
      <c r="J1617" s="18" t="s">
        <v>512</v>
      </c>
      <c r="K1617" s="19" t="s">
        <v>13</v>
      </c>
      <c r="L1617" s="19"/>
      <c r="M1617" s="19"/>
      <c r="N1617" s="19" t="s">
        <v>513</v>
      </c>
      <c r="O1617" s="143"/>
      <c r="P1617" s="143"/>
      <c r="Q1617" s="143"/>
      <c r="R1617" s="143">
        <v>42367</v>
      </c>
      <c r="S1617" s="144">
        <v>2722839</v>
      </c>
      <c r="T1617" s="144"/>
      <c r="U1617" s="145">
        <v>0</v>
      </c>
      <c r="V1617" s="145">
        <v>0</v>
      </c>
      <c r="W1617" s="145">
        <v>1045198.4199999999</v>
      </c>
      <c r="X1617" s="145">
        <f t="shared" si="499"/>
        <v>1045198.4199999999</v>
      </c>
      <c r="Y1617" s="145">
        <v>0</v>
      </c>
      <c r="Z1617" s="145">
        <v>227568.15</v>
      </c>
      <c r="AA1617" s="145">
        <v>0</v>
      </c>
      <c r="AB1617" s="145">
        <v>0</v>
      </c>
      <c r="AC1617" s="145">
        <v>252110</v>
      </c>
      <c r="AD1617" s="145">
        <v>0</v>
      </c>
      <c r="AE1617" s="145">
        <v>0</v>
      </c>
      <c r="AF1617" s="420">
        <v>252110</v>
      </c>
      <c r="AG1617" s="145">
        <v>0</v>
      </c>
      <c r="AH1617" s="145">
        <v>0</v>
      </c>
      <c r="AI1617" s="145">
        <v>253810</v>
      </c>
      <c r="AJ1617" s="145">
        <v>0</v>
      </c>
      <c r="AK1617" s="145">
        <f t="shared" si="500"/>
        <v>985598.15</v>
      </c>
      <c r="AL1617" s="145">
        <v>534665.1</v>
      </c>
      <c r="AM1617" s="145">
        <v>157377.32999999999</v>
      </c>
      <c r="AN1617" s="145">
        <v>0</v>
      </c>
      <c r="AO1617" s="145">
        <v>0</v>
      </c>
      <c r="AP1617" s="145">
        <v>0</v>
      </c>
      <c r="AQ1617" s="145">
        <v>0</v>
      </c>
      <c r="AR1617" s="145">
        <v>0</v>
      </c>
      <c r="AS1617" s="144">
        <f t="shared" si="498"/>
        <v>2722839</v>
      </c>
      <c r="AT1617" s="144"/>
      <c r="AU1617" s="146">
        <f>AS1617-AT1617</f>
        <v>2722839</v>
      </c>
      <c r="AV1617" s="146">
        <f>IFERROR(VLOOKUP(J1617,Maksājumu_pieprasījumu_iesn.!G:BL,57,0),0)</f>
        <v>0</v>
      </c>
      <c r="AW1617" s="139">
        <f t="shared" si="501"/>
        <v>-2722839</v>
      </c>
      <c r="AX1617" s="147"/>
      <c r="AY1617" s="147"/>
      <c r="AZ1617" s="147"/>
      <c r="BA1617" s="165"/>
      <c r="BB1617" s="144"/>
      <c r="BC1617" s="144"/>
      <c r="BD1617" s="144"/>
      <c r="BE1617" s="144"/>
      <c r="BF1617" s="144"/>
      <c r="BG1617" s="144"/>
      <c r="BH1617" s="149"/>
      <c r="BI1617" s="149"/>
      <c r="BJ1617" s="149"/>
      <c r="BK1617" s="149"/>
      <c r="BL1617" s="149"/>
      <c r="BM1617" s="149"/>
      <c r="BN1617" s="149"/>
    </row>
    <row r="1618" spans="1:66" ht="38.25" hidden="1" customHeight="1" x14ac:dyDescent="0.2">
      <c r="A1618" s="142" t="s">
        <v>2675</v>
      </c>
      <c r="B1618" s="18" t="s">
        <v>485</v>
      </c>
      <c r="C1618" s="18" t="s">
        <v>486</v>
      </c>
      <c r="D1618" s="19" t="s">
        <v>610</v>
      </c>
      <c r="E1618" s="18">
        <v>1</v>
      </c>
      <c r="F1618" s="18" t="s">
        <v>454</v>
      </c>
      <c r="G1618" s="18" t="s">
        <v>5</v>
      </c>
      <c r="H1618" s="18" t="s">
        <v>3</v>
      </c>
      <c r="I1618" s="18"/>
      <c r="J1618" s="18" t="s">
        <v>514</v>
      </c>
      <c r="K1618" s="19" t="s">
        <v>477</v>
      </c>
      <c r="L1618" s="19"/>
      <c r="M1618" s="19"/>
      <c r="N1618" s="19" t="s">
        <v>515</v>
      </c>
      <c r="O1618" s="143"/>
      <c r="P1618" s="143"/>
      <c r="Q1618" s="143"/>
      <c r="R1618" s="143">
        <v>42366</v>
      </c>
      <c r="S1618" s="144">
        <v>416500</v>
      </c>
      <c r="T1618" s="144"/>
      <c r="U1618" s="145">
        <v>0</v>
      </c>
      <c r="V1618" s="145">
        <v>0</v>
      </c>
      <c r="W1618" s="145">
        <v>50153.48</v>
      </c>
      <c r="X1618" s="145">
        <f t="shared" si="499"/>
        <v>50153.48</v>
      </c>
      <c r="Y1618" s="145">
        <v>35541.160000000003</v>
      </c>
      <c r="Z1618" s="145">
        <v>0</v>
      </c>
      <c r="AA1618" s="145">
        <v>0</v>
      </c>
      <c r="AB1618" s="145">
        <v>60188.27</v>
      </c>
      <c r="AC1618" s="145">
        <v>0</v>
      </c>
      <c r="AD1618" s="166">
        <v>0</v>
      </c>
      <c r="AE1618" s="166">
        <v>46589.919999999998</v>
      </c>
      <c r="AF1618" s="145">
        <v>0</v>
      </c>
      <c r="AG1618" s="145">
        <v>0</v>
      </c>
      <c r="AH1618" s="145">
        <v>39058.03</v>
      </c>
      <c r="AI1618" s="145">
        <v>0</v>
      </c>
      <c r="AJ1618" s="145">
        <v>0</v>
      </c>
      <c r="AK1618" s="145">
        <f t="shared" si="500"/>
        <v>181377.37999999998</v>
      </c>
      <c r="AL1618" s="145">
        <v>145104.97</v>
      </c>
      <c r="AM1618" s="145">
        <v>39864.17</v>
      </c>
      <c r="AN1618" s="145">
        <v>0</v>
      </c>
      <c r="AO1618" s="145">
        <v>0</v>
      </c>
      <c r="AP1618" s="145">
        <v>0</v>
      </c>
      <c r="AQ1618" s="145">
        <v>0</v>
      </c>
      <c r="AR1618" s="145">
        <v>0</v>
      </c>
      <c r="AS1618" s="144">
        <f t="shared" si="498"/>
        <v>416499.99999999994</v>
      </c>
      <c r="AT1618" s="144"/>
      <c r="AU1618" s="146">
        <f t="shared" si="493"/>
        <v>416499.99999999994</v>
      </c>
      <c r="AV1618" s="146">
        <f>IFERROR(VLOOKUP(J1618,Maksājumu_pieprasījumu_iesn.!G:BL,57,0),0)</f>
        <v>0</v>
      </c>
      <c r="AW1618" s="139">
        <f t="shared" si="501"/>
        <v>-416499.99999999994</v>
      </c>
      <c r="AX1618" s="147"/>
      <c r="AY1618" s="147"/>
      <c r="AZ1618" s="147"/>
      <c r="BA1618" s="165"/>
      <c r="BB1618" s="144"/>
      <c r="BC1618" s="144"/>
      <c r="BD1618" s="144"/>
      <c r="BE1618" s="144"/>
      <c r="BF1618" s="144"/>
      <c r="BG1618" s="144"/>
      <c r="BH1618" s="149"/>
      <c r="BI1618" s="149"/>
      <c r="BJ1618" s="149"/>
      <c r="BK1618" s="149"/>
      <c r="BL1618" s="149"/>
      <c r="BM1618" s="149"/>
      <c r="BN1618" s="149"/>
    </row>
    <row r="1619" spans="1:66" ht="51" hidden="1" customHeight="1" x14ac:dyDescent="0.2">
      <c r="A1619" s="142" t="s">
        <v>2675</v>
      </c>
      <c r="B1619" s="18" t="s">
        <v>485</v>
      </c>
      <c r="C1619" s="18" t="s">
        <v>486</v>
      </c>
      <c r="D1619" s="19" t="s">
        <v>610</v>
      </c>
      <c r="E1619" s="18">
        <v>1</v>
      </c>
      <c r="F1619" s="18" t="s">
        <v>454</v>
      </c>
      <c r="G1619" s="18" t="s">
        <v>5</v>
      </c>
      <c r="H1619" s="18" t="s">
        <v>3</v>
      </c>
      <c r="I1619" s="18"/>
      <c r="J1619" s="18" t="s">
        <v>516</v>
      </c>
      <c r="K1619" s="19" t="s">
        <v>40</v>
      </c>
      <c r="L1619" s="19"/>
      <c r="M1619" s="19"/>
      <c r="N1619" s="19" t="s">
        <v>517</v>
      </c>
      <c r="O1619" s="143"/>
      <c r="P1619" s="143"/>
      <c r="Q1619" s="143"/>
      <c r="R1619" s="143">
        <v>42367</v>
      </c>
      <c r="S1619" s="144">
        <v>1567109.3</v>
      </c>
      <c r="T1619" s="144"/>
      <c r="U1619" s="145">
        <v>0</v>
      </c>
      <c r="V1619" s="145">
        <v>0</v>
      </c>
      <c r="W1619" s="145">
        <v>364923.33999999997</v>
      </c>
      <c r="X1619" s="145">
        <f t="shared" si="499"/>
        <v>364923.33999999997</v>
      </c>
      <c r="Y1619" s="145">
        <v>156396.75</v>
      </c>
      <c r="Z1619" s="145">
        <v>0</v>
      </c>
      <c r="AA1619" s="145">
        <v>0</v>
      </c>
      <c r="AB1619" s="145">
        <v>83091.75</v>
      </c>
      <c r="AC1619" s="145">
        <v>0</v>
      </c>
      <c r="AD1619" s="166">
        <v>0</v>
      </c>
      <c r="AE1619" s="166">
        <v>125417.5</v>
      </c>
      <c r="AF1619" s="145">
        <v>0</v>
      </c>
      <c r="AG1619" s="145">
        <v>0</v>
      </c>
      <c r="AH1619" s="145">
        <v>139538.54999999999</v>
      </c>
      <c r="AI1619" s="145">
        <v>0</v>
      </c>
      <c r="AJ1619" s="145">
        <v>0</v>
      </c>
      <c r="AK1619" s="145">
        <f t="shared" si="500"/>
        <v>504444.55</v>
      </c>
      <c r="AL1619" s="145">
        <v>521802.25</v>
      </c>
      <c r="AM1619" s="145">
        <v>175939.16</v>
      </c>
      <c r="AN1619" s="145">
        <v>0</v>
      </c>
      <c r="AO1619" s="145">
        <v>0</v>
      </c>
      <c r="AP1619" s="145">
        <v>0</v>
      </c>
      <c r="AQ1619" s="145">
        <v>0</v>
      </c>
      <c r="AR1619" s="145">
        <v>0</v>
      </c>
      <c r="AS1619" s="144">
        <f t="shared" si="498"/>
        <v>1567109.2999999998</v>
      </c>
      <c r="AT1619" s="144"/>
      <c r="AU1619" s="146">
        <f t="shared" si="493"/>
        <v>1567109.2999999998</v>
      </c>
      <c r="AV1619" s="146">
        <f>IFERROR(VLOOKUP(J1619,Maksājumu_pieprasījumu_iesn.!G:BL,57,0),0)</f>
        <v>0</v>
      </c>
      <c r="AW1619" s="139">
        <f t="shared" si="501"/>
        <v>-1567109.2999999998</v>
      </c>
      <c r="AX1619" s="147"/>
      <c r="AY1619" s="147"/>
      <c r="AZ1619" s="147"/>
      <c r="BA1619" s="165"/>
      <c r="BB1619" s="144"/>
      <c r="BC1619" s="144"/>
      <c r="BD1619" s="144"/>
      <c r="BE1619" s="144"/>
      <c r="BF1619" s="144"/>
      <c r="BG1619" s="144"/>
      <c r="BH1619" s="149"/>
      <c r="BI1619" s="149"/>
      <c r="BJ1619" s="149"/>
      <c r="BK1619" s="149"/>
      <c r="BL1619" s="149"/>
      <c r="BM1619" s="149"/>
      <c r="BN1619" s="149"/>
    </row>
    <row r="1620" spans="1:66" ht="38.25" hidden="1" customHeight="1" x14ac:dyDescent="0.2">
      <c r="A1620" s="142" t="s">
        <v>2675</v>
      </c>
      <c r="B1620" s="18" t="s">
        <v>485</v>
      </c>
      <c r="C1620" s="18" t="s">
        <v>486</v>
      </c>
      <c r="D1620" s="19" t="s">
        <v>610</v>
      </c>
      <c r="E1620" s="18">
        <v>1</v>
      </c>
      <c r="F1620" s="18" t="s">
        <v>454</v>
      </c>
      <c r="G1620" s="18" t="s">
        <v>5</v>
      </c>
      <c r="H1620" s="18" t="s">
        <v>3</v>
      </c>
      <c r="I1620" s="18"/>
      <c r="J1620" s="18" t="s">
        <v>518</v>
      </c>
      <c r="K1620" s="19" t="s">
        <v>519</v>
      </c>
      <c r="L1620" s="19"/>
      <c r="M1620" s="19"/>
      <c r="N1620" s="19" t="s">
        <v>520</v>
      </c>
      <c r="O1620" s="143"/>
      <c r="P1620" s="143"/>
      <c r="Q1620" s="143"/>
      <c r="R1620" s="143">
        <v>42367</v>
      </c>
      <c r="S1620" s="144">
        <v>39666.1</v>
      </c>
      <c r="T1620" s="144"/>
      <c r="U1620" s="145">
        <v>0</v>
      </c>
      <c r="V1620" s="145">
        <v>0</v>
      </c>
      <c r="W1620" s="145">
        <v>10944.03</v>
      </c>
      <c r="X1620" s="145">
        <f t="shared" si="499"/>
        <v>10944.03</v>
      </c>
      <c r="Y1620" s="145">
        <v>1888.97</v>
      </c>
      <c r="Z1620" s="145">
        <v>0</v>
      </c>
      <c r="AA1620" s="145">
        <v>0</v>
      </c>
      <c r="AB1620" s="145">
        <v>3776.9700000000003</v>
      </c>
      <c r="AC1620" s="145">
        <v>0</v>
      </c>
      <c r="AD1620" s="166">
        <v>0</v>
      </c>
      <c r="AE1620" s="166">
        <v>4007.45</v>
      </c>
      <c r="AF1620" s="145">
        <v>0</v>
      </c>
      <c r="AG1620" s="145">
        <v>2975</v>
      </c>
      <c r="AH1620" s="145">
        <v>7063.02</v>
      </c>
      <c r="AI1620" s="145">
        <v>0</v>
      </c>
      <c r="AJ1620" s="145">
        <v>1019.83</v>
      </c>
      <c r="AK1620" s="145">
        <f t="shared" si="500"/>
        <v>20731.240000000002</v>
      </c>
      <c r="AL1620" s="145">
        <v>17529.75</v>
      </c>
      <c r="AM1620" s="145">
        <v>1850.91</v>
      </c>
      <c r="AN1620" s="145">
        <v>0</v>
      </c>
      <c r="AO1620" s="145">
        <v>0</v>
      </c>
      <c r="AP1620" s="145">
        <v>0</v>
      </c>
      <c r="AQ1620" s="145">
        <v>0</v>
      </c>
      <c r="AR1620" s="145">
        <v>0</v>
      </c>
      <c r="AS1620" s="144">
        <f t="shared" si="498"/>
        <v>51055.930000000008</v>
      </c>
      <c r="AT1620" s="144"/>
      <c r="AU1620" s="146">
        <f t="shared" si="493"/>
        <v>51055.930000000008</v>
      </c>
      <c r="AV1620" s="146">
        <f>IFERROR(VLOOKUP(J1620,Maksājumu_pieprasījumu_iesn.!G:BL,57,0),0)</f>
        <v>0</v>
      </c>
      <c r="AW1620" s="139">
        <f t="shared" si="501"/>
        <v>-51055.930000000008</v>
      </c>
      <c r="AX1620" s="147"/>
      <c r="AY1620" s="147"/>
      <c r="AZ1620" s="147"/>
      <c r="BA1620" s="165"/>
      <c r="BB1620" s="144"/>
      <c r="BC1620" s="144"/>
      <c r="BD1620" s="144"/>
      <c r="BE1620" s="144"/>
      <c r="BF1620" s="144"/>
      <c r="BG1620" s="144"/>
      <c r="BH1620" s="149"/>
      <c r="BI1620" s="149"/>
      <c r="BJ1620" s="149"/>
      <c r="BK1620" s="149"/>
      <c r="BL1620" s="149"/>
      <c r="BM1620" s="149"/>
      <c r="BN1620" s="149"/>
    </row>
    <row r="1621" spans="1:66" ht="38.25" hidden="1" customHeight="1" x14ac:dyDescent="0.2">
      <c r="A1621" s="142" t="s">
        <v>2675</v>
      </c>
      <c r="B1621" s="18" t="s">
        <v>485</v>
      </c>
      <c r="C1621" s="18" t="s">
        <v>486</v>
      </c>
      <c r="D1621" s="19" t="s">
        <v>610</v>
      </c>
      <c r="E1621" s="18">
        <v>1</v>
      </c>
      <c r="F1621" s="18" t="s">
        <v>454</v>
      </c>
      <c r="G1621" s="18" t="s">
        <v>5</v>
      </c>
      <c r="H1621" s="18" t="s">
        <v>3</v>
      </c>
      <c r="I1621" s="18"/>
      <c r="J1621" s="18" t="s">
        <v>521</v>
      </c>
      <c r="K1621" s="19" t="s">
        <v>98</v>
      </c>
      <c r="L1621" s="19"/>
      <c r="M1621" s="19"/>
      <c r="N1621" s="19" t="s">
        <v>522</v>
      </c>
      <c r="O1621" s="143"/>
      <c r="P1621" s="143"/>
      <c r="Q1621" s="143"/>
      <c r="R1621" s="143">
        <v>42368</v>
      </c>
      <c r="S1621" s="144">
        <v>1086300</v>
      </c>
      <c r="T1621" s="144"/>
      <c r="U1621" s="145">
        <v>0</v>
      </c>
      <c r="V1621" s="145">
        <v>0</v>
      </c>
      <c r="W1621" s="145">
        <v>191291.88999999998</v>
      </c>
      <c r="X1621" s="145">
        <f t="shared" si="499"/>
        <v>191291.88999999998</v>
      </c>
      <c r="Y1621" s="145">
        <v>50753.17</v>
      </c>
      <c r="Z1621" s="145">
        <v>0</v>
      </c>
      <c r="AA1621" s="145">
        <v>0</v>
      </c>
      <c r="AB1621" s="145">
        <v>92276.92</v>
      </c>
      <c r="AC1621" s="145">
        <v>0</v>
      </c>
      <c r="AD1621" s="166">
        <v>0</v>
      </c>
      <c r="AE1621" s="166">
        <v>92276.93</v>
      </c>
      <c r="AF1621" s="145">
        <v>0</v>
      </c>
      <c r="AG1621" s="145">
        <v>0</v>
      </c>
      <c r="AH1621" s="145">
        <v>92276.93</v>
      </c>
      <c r="AI1621" s="145">
        <v>0</v>
      </c>
      <c r="AJ1621" s="145">
        <v>0</v>
      </c>
      <c r="AK1621" s="145">
        <f t="shared" si="500"/>
        <v>327583.94999999995</v>
      </c>
      <c r="AL1621" s="145">
        <v>369107.70999999996</v>
      </c>
      <c r="AM1621" s="145">
        <v>198316.45</v>
      </c>
      <c r="AN1621" s="145">
        <v>0</v>
      </c>
      <c r="AO1621" s="145">
        <v>0</v>
      </c>
      <c r="AP1621" s="145">
        <v>0</v>
      </c>
      <c r="AQ1621" s="145">
        <v>0</v>
      </c>
      <c r="AR1621" s="145">
        <v>0</v>
      </c>
      <c r="AS1621" s="144">
        <f t="shared" si="498"/>
        <v>1086300</v>
      </c>
      <c r="AT1621" s="144"/>
      <c r="AU1621" s="146">
        <f t="shared" si="493"/>
        <v>1086300</v>
      </c>
      <c r="AV1621" s="146">
        <f>IFERROR(VLOOKUP(J1621,Maksājumu_pieprasījumu_iesn.!G:BL,57,0),0)</f>
        <v>0</v>
      </c>
      <c r="AW1621" s="139">
        <f t="shared" si="501"/>
        <v>-1086300</v>
      </c>
      <c r="AX1621" s="147"/>
      <c r="AY1621" s="147"/>
      <c r="AZ1621" s="147"/>
      <c r="BA1621" s="165"/>
      <c r="BB1621" s="144"/>
      <c r="BC1621" s="144"/>
      <c r="BD1621" s="144"/>
      <c r="BE1621" s="144"/>
      <c r="BF1621" s="144"/>
      <c r="BG1621" s="144"/>
      <c r="BH1621" s="149"/>
      <c r="BI1621" s="149"/>
      <c r="BJ1621" s="149"/>
      <c r="BK1621" s="149"/>
      <c r="BL1621" s="149"/>
      <c r="BM1621" s="149"/>
      <c r="BN1621" s="149"/>
    </row>
    <row r="1622" spans="1:66" ht="38.25" hidden="1" customHeight="1" x14ac:dyDescent="0.2">
      <c r="A1622" s="142" t="s">
        <v>2675</v>
      </c>
      <c r="B1622" s="18" t="s">
        <v>485</v>
      </c>
      <c r="C1622" s="18" t="s">
        <v>486</v>
      </c>
      <c r="D1622" s="19" t="s">
        <v>610</v>
      </c>
      <c r="E1622" s="18">
        <v>1</v>
      </c>
      <c r="F1622" s="18" t="s">
        <v>454</v>
      </c>
      <c r="G1622" s="18" t="s">
        <v>5</v>
      </c>
      <c r="H1622" s="18" t="s">
        <v>3</v>
      </c>
      <c r="I1622" s="18"/>
      <c r="J1622" s="18" t="s">
        <v>523</v>
      </c>
      <c r="K1622" s="19" t="s">
        <v>524</v>
      </c>
      <c r="L1622" s="19"/>
      <c r="M1622" s="19"/>
      <c r="N1622" s="19" t="s">
        <v>525</v>
      </c>
      <c r="O1622" s="143"/>
      <c r="P1622" s="143"/>
      <c r="Q1622" s="143"/>
      <c r="R1622" s="143">
        <v>42371</v>
      </c>
      <c r="S1622" s="144">
        <v>39666.1</v>
      </c>
      <c r="T1622" s="144"/>
      <c r="U1622" s="145">
        <v>0</v>
      </c>
      <c r="V1622" s="145">
        <v>0</v>
      </c>
      <c r="W1622" s="145">
        <v>5969.5599999999986</v>
      </c>
      <c r="X1622" s="145">
        <f t="shared" si="499"/>
        <v>5969.5599999999986</v>
      </c>
      <c r="Y1622" s="145">
        <v>0</v>
      </c>
      <c r="Z1622" s="145">
        <v>3648.27</v>
      </c>
      <c r="AA1622" s="145">
        <v>3705.61</v>
      </c>
      <c r="AB1622" s="145">
        <v>1880.28</v>
      </c>
      <c r="AC1622" s="145">
        <v>0</v>
      </c>
      <c r="AD1622" s="166">
        <v>0</v>
      </c>
      <c r="AE1622" s="166">
        <v>5462.3</v>
      </c>
      <c r="AF1622" s="145">
        <v>0</v>
      </c>
      <c r="AG1622" s="145">
        <v>0</v>
      </c>
      <c r="AH1622" s="145">
        <v>4788.99</v>
      </c>
      <c r="AI1622" s="145">
        <v>0</v>
      </c>
      <c r="AJ1622" s="145">
        <v>0</v>
      </c>
      <c r="AK1622" s="145">
        <f t="shared" si="500"/>
        <v>19485.449999999997</v>
      </c>
      <c r="AL1622" s="145">
        <v>15908.240000000002</v>
      </c>
      <c r="AM1622" s="145">
        <v>2571.1999999999998</v>
      </c>
      <c r="AN1622" s="145">
        <v>0</v>
      </c>
      <c r="AO1622" s="145">
        <v>0</v>
      </c>
      <c r="AP1622" s="145">
        <v>0</v>
      </c>
      <c r="AQ1622" s="145">
        <v>0</v>
      </c>
      <c r="AR1622" s="145">
        <v>0</v>
      </c>
      <c r="AS1622" s="144">
        <f t="shared" si="498"/>
        <v>43934.45</v>
      </c>
      <c r="AT1622" s="144"/>
      <c r="AU1622" s="146">
        <f t="shared" si="493"/>
        <v>43934.45</v>
      </c>
      <c r="AV1622" s="146">
        <f>IFERROR(VLOOKUP(J1622,Maksājumu_pieprasījumu_iesn.!G:BL,57,0),0)</f>
        <v>0</v>
      </c>
      <c r="AW1622" s="139">
        <f t="shared" si="501"/>
        <v>-43934.45</v>
      </c>
      <c r="AX1622" s="147"/>
      <c r="AY1622" s="147"/>
      <c r="AZ1622" s="147"/>
      <c r="BA1622" s="165"/>
      <c r="BB1622" s="144"/>
      <c r="BC1622" s="144"/>
      <c r="BD1622" s="144"/>
      <c r="BE1622" s="144"/>
      <c r="BF1622" s="144"/>
      <c r="BG1622" s="144"/>
      <c r="BH1622" s="149"/>
      <c r="BI1622" s="149"/>
      <c r="BJ1622" s="149"/>
      <c r="BK1622" s="149"/>
      <c r="BL1622" s="149"/>
      <c r="BM1622" s="149"/>
      <c r="BN1622" s="149"/>
    </row>
    <row r="1623" spans="1:66" ht="51" hidden="1" customHeight="1" x14ac:dyDescent="0.2">
      <c r="A1623" s="142" t="s">
        <v>2675</v>
      </c>
      <c r="B1623" s="18" t="s">
        <v>485</v>
      </c>
      <c r="C1623" s="18" t="s">
        <v>486</v>
      </c>
      <c r="D1623" s="19" t="s">
        <v>610</v>
      </c>
      <c r="E1623" s="18">
        <v>1</v>
      </c>
      <c r="F1623" s="18" t="s">
        <v>454</v>
      </c>
      <c r="G1623" s="18" t="s">
        <v>5</v>
      </c>
      <c r="H1623" s="18" t="s">
        <v>3</v>
      </c>
      <c r="I1623" s="18"/>
      <c r="J1623" s="18" t="s">
        <v>526</v>
      </c>
      <c r="K1623" s="19" t="s">
        <v>527</v>
      </c>
      <c r="L1623" s="19"/>
      <c r="M1623" s="19"/>
      <c r="N1623" s="19" t="s">
        <v>528</v>
      </c>
      <c r="O1623" s="143"/>
      <c r="P1623" s="143"/>
      <c r="Q1623" s="143"/>
      <c r="R1623" s="143">
        <v>42380</v>
      </c>
      <c r="S1623" s="144">
        <v>39666.1</v>
      </c>
      <c r="T1623" s="144"/>
      <c r="U1623" s="145">
        <v>0</v>
      </c>
      <c r="V1623" s="145">
        <v>0</v>
      </c>
      <c r="W1623" s="145">
        <v>14041.929999999998</v>
      </c>
      <c r="X1623" s="145">
        <f t="shared" si="499"/>
        <v>14041.929999999998</v>
      </c>
      <c r="Y1623" s="145">
        <v>3724.39</v>
      </c>
      <c r="Z1623" s="145">
        <v>0</v>
      </c>
      <c r="AA1623" s="145">
        <v>0</v>
      </c>
      <c r="AB1623" s="145">
        <v>2644.49</v>
      </c>
      <c r="AC1623" s="145">
        <v>0</v>
      </c>
      <c r="AD1623" s="166">
        <v>0</v>
      </c>
      <c r="AE1623" s="166">
        <v>2990.01</v>
      </c>
      <c r="AF1623" s="145">
        <v>0</v>
      </c>
      <c r="AG1623" s="145">
        <v>0</v>
      </c>
      <c r="AH1623" s="145">
        <v>2990.01</v>
      </c>
      <c r="AI1623" s="145">
        <v>0</v>
      </c>
      <c r="AJ1623" s="145">
        <v>0</v>
      </c>
      <c r="AK1623" s="145">
        <f t="shared" si="500"/>
        <v>12348.9</v>
      </c>
      <c r="AL1623" s="145">
        <v>11960.04</v>
      </c>
      <c r="AM1623" s="145">
        <v>5648.63</v>
      </c>
      <c r="AN1623" s="145">
        <v>0</v>
      </c>
      <c r="AO1623" s="145">
        <v>0</v>
      </c>
      <c r="AP1623" s="145">
        <v>0</v>
      </c>
      <c r="AQ1623" s="145">
        <v>0</v>
      </c>
      <c r="AR1623" s="145">
        <v>0</v>
      </c>
      <c r="AS1623" s="144">
        <f t="shared" si="498"/>
        <v>43999.499999999993</v>
      </c>
      <c r="AT1623" s="144"/>
      <c r="AU1623" s="146">
        <f t="shared" si="493"/>
        <v>43999.499999999993</v>
      </c>
      <c r="AV1623" s="146">
        <f>IFERROR(VLOOKUP(J1623,Maksājumu_pieprasījumu_iesn.!G:BL,57,0),0)</f>
        <v>0</v>
      </c>
      <c r="AW1623" s="139">
        <f t="shared" si="501"/>
        <v>-43999.499999999993</v>
      </c>
      <c r="AX1623" s="147"/>
      <c r="AY1623" s="147"/>
      <c r="AZ1623" s="147"/>
      <c r="BA1623" s="165"/>
      <c r="BB1623" s="144"/>
      <c r="BC1623" s="144"/>
      <c r="BD1623" s="144"/>
      <c r="BE1623" s="144"/>
      <c r="BF1623" s="144"/>
      <c r="BG1623" s="144"/>
      <c r="BH1623" s="149"/>
      <c r="BI1623" s="149"/>
      <c r="BJ1623" s="149"/>
      <c r="BK1623" s="149"/>
      <c r="BL1623" s="149"/>
      <c r="BM1623" s="149"/>
      <c r="BN1623" s="149"/>
    </row>
    <row r="1624" spans="1:66" ht="63.75" hidden="1" customHeight="1" x14ac:dyDescent="0.2">
      <c r="A1624" s="142" t="s">
        <v>2675</v>
      </c>
      <c r="B1624" s="18" t="s">
        <v>485</v>
      </c>
      <c r="C1624" s="18" t="s">
        <v>486</v>
      </c>
      <c r="D1624" s="19" t="s">
        <v>610</v>
      </c>
      <c r="E1624" s="18">
        <v>1</v>
      </c>
      <c r="F1624" s="18" t="s">
        <v>454</v>
      </c>
      <c r="G1624" s="18" t="s">
        <v>5</v>
      </c>
      <c r="H1624" s="18" t="s">
        <v>3</v>
      </c>
      <c r="I1624" s="18"/>
      <c r="J1624" s="18" t="s">
        <v>529</v>
      </c>
      <c r="K1624" s="19" t="s">
        <v>530</v>
      </c>
      <c r="L1624" s="19"/>
      <c r="M1624" s="19"/>
      <c r="N1624" s="19" t="s">
        <v>531</v>
      </c>
      <c r="O1624" s="143"/>
      <c r="P1624" s="143"/>
      <c r="Q1624" s="143"/>
      <c r="R1624" s="143">
        <v>42375</v>
      </c>
      <c r="S1624" s="144">
        <v>39666.1</v>
      </c>
      <c r="T1624" s="144"/>
      <c r="U1624" s="145">
        <v>0</v>
      </c>
      <c r="V1624" s="145">
        <v>0</v>
      </c>
      <c r="W1624" s="145">
        <v>14304.98</v>
      </c>
      <c r="X1624" s="145">
        <f t="shared" si="499"/>
        <v>14304.98</v>
      </c>
      <c r="Y1624" s="145">
        <v>3715.26</v>
      </c>
      <c r="Z1624" s="145">
        <v>0</v>
      </c>
      <c r="AA1624" s="145">
        <v>0</v>
      </c>
      <c r="AB1624" s="145">
        <v>1759.5</v>
      </c>
      <c r="AC1624" s="145">
        <v>0</v>
      </c>
      <c r="AD1624" s="166">
        <v>0</v>
      </c>
      <c r="AE1624" s="166">
        <v>9170.51</v>
      </c>
      <c r="AF1624" s="145">
        <v>0</v>
      </c>
      <c r="AG1624" s="145">
        <v>0</v>
      </c>
      <c r="AH1624" s="145">
        <v>4592.55</v>
      </c>
      <c r="AI1624" s="145">
        <v>0</v>
      </c>
      <c r="AJ1624" s="145">
        <v>0</v>
      </c>
      <c r="AK1624" s="145">
        <f t="shared" si="500"/>
        <v>19237.82</v>
      </c>
      <c r="AL1624" s="145">
        <v>9871.9</v>
      </c>
      <c r="AM1624" s="145">
        <v>3096.59</v>
      </c>
      <c r="AN1624" s="145">
        <v>0</v>
      </c>
      <c r="AO1624" s="145">
        <v>0</v>
      </c>
      <c r="AP1624" s="145">
        <v>0</v>
      </c>
      <c r="AQ1624" s="145">
        <v>0</v>
      </c>
      <c r="AR1624" s="145">
        <v>0</v>
      </c>
      <c r="AS1624" s="144">
        <f t="shared" si="498"/>
        <v>46511.290000000008</v>
      </c>
      <c r="AT1624" s="144"/>
      <c r="AU1624" s="146">
        <f t="shared" si="493"/>
        <v>46511.290000000008</v>
      </c>
      <c r="AV1624" s="146">
        <f>IFERROR(VLOOKUP(J1624,Maksājumu_pieprasījumu_iesn.!G:BL,57,0),0)</f>
        <v>0</v>
      </c>
      <c r="AW1624" s="139">
        <f t="shared" si="501"/>
        <v>-46511.290000000008</v>
      </c>
      <c r="AX1624" s="147"/>
      <c r="AY1624" s="147"/>
      <c r="AZ1624" s="147"/>
      <c r="BA1624" s="165"/>
      <c r="BB1624" s="144"/>
      <c r="BC1624" s="144"/>
      <c r="BD1624" s="144"/>
      <c r="BE1624" s="144"/>
      <c r="BF1624" s="144"/>
      <c r="BG1624" s="144"/>
      <c r="BH1624" s="149"/>
      <c r="BI1624" s="149"/>
      <c r="BJ1624" s="149"/>
      <c r="BK1624" s="149"/>
      <c r="BL1624" s="149"/>
      <c r="BM1624" s="149"/>
      <c r="BN1624" s="149"/>
    </row>
    <row r="1625" spans="1:66" ht="63.75" hidden="1" customHeight="1" x14ac:dyDescent="0.2">
      <c r="A1625" s="142" t="s">
        <v>2675</v>
      </c>
      <c r="B1625" s="18" t="s">
        <v>485</v>
      </c>
      <c r="C1625" s="18" t="s">
        <v>486</v>
      </c>
      <c r="D1625" s="19" t="s">
        <v>610</v>
      </c>
      <c r="E1625" s="18">
        <v>1</v>
      </c>
      <c r="F1625" s="18" t="s">
        <v>454</v>
      </c>
      <c r="G1625" s="18" t="s">
        <v>5</v>
      </c>
      <c r="H1625" s="18" t="s">
        <v>3</v>
      </c>
      <c r="I1625" s="18"/>
      <c r="J1625" s="18" t="s">
        <v>532</v>
      </c>
      <c r="K1625" s="19" t="s">
        <v>37</v>
      </c>
      <c r="L1625" s="19"/>
      <c r="M1625" s="19"/>
      <c r="N1625" s="19" t="s">
        <v>533</v>
      </c>
      <c r="O1625" s="143"/>
      <c r="P1625" s="143"/>
      <c r="Q1625" s="143"/>
      <c r="R1625" s="143">
        <v>42367</v>
      </c>
      <c r="S1625" s="144">
        <v>2565300</v>
      </c>
      <c r="T1625" s="144"/>
      <c r="U1625" s="145">
        <v>0</v>
      </c>
      <c r="V1625" s="145">
        <v>0</v>
      </c>
      <c r="W1625" s="145">
        <v>600409.5</v>
      </c>
      <c r="X1625" s="145">
        <f t="shared" si="499"/>
        <v>600409.5</v>
      </c>
      <c r="Y1625" s="145">
        <v>226545.14</v>
      </c>
      <c r="Z1625" s="145">
        <v>0</v>
      </c>
      <c r="AA1625" s="145">
        <v>0</v>
      </c>
      <c r="AB1625" s="145">
        <v>219200.76</v>
      </c>
      <c r="AC1625" s="145">
        <v>0</v>
      </c>
      <c r="AD1625" s="166">
        <v>0</v>
      </c>
      <c r="AE1625" s="166">
        <v>221427.03</v>
      </c>
      <c r="AF1625" s="145">
        <v>0</v>
      </c>
      <c r="AG1625" s="145">
        <v>0</v>
      </c>
      <c r="AH1625" s="145">
        <v>219200.76</v>
      </c>
      <c r="AI1625" s="145">
        <v>0</v>
      </c>
      <c r="AJ1625" s="145">
        <v>0</v>
      </c>
      <c r="AK1625" s="145">
        <f t="shared" si="500"/>
        <v>886373.69000000006</v>
      </c>
      <c r="AL1625" s="145">
        <v>851782.27</v>
      </c>
      <c r="AM1625" s="145">
        <v>226734.54</v>
      </c>
      <c r="AN1625" s="145">
        <v>0</v>
      </c>
      <c r="AO1625" s="145">
        <v>0</v>
      </c>
      <c r="AP1625" s="145">
        <v>0</v>
      </c>
      <c r="AQ1625" s="145">
        <v>0</v>
      </c>
      <c r="AR1625" s="145">
        <v>0</v>
      </c>
      <c r="AS1625" s="144">
        <f t="shared" si="498"/>
        <v>2565300</v>
      </c>
      <c r="AT1625" s="144"/>
      <c r="AU1625" s="146">
        <f t="shared" si="493"/>
        <v>2565300</v>
      </c>
      <c r="AV1625" s="146">
        <f>IFERROR(VLOOKUP(J1625,Maksājumu_pieprasījumu_iesn.!G:BL,57,0),0)</f>
        <v>0</v>
      </c>
      <c r="AW1625" s="139">
        <f t="shared" si="501"/>
        <v>-2565300</v>
      </c>
      <c r="AX1625" s="147"/>
      <c r="AY1625" s="147"/>
      <c r="AZ1625" s="147"/>
      <c r="BA1625" s="165"/>
      <c r="BB1625" s="144"/>
      <c r="BC1625" s="144"/>
      <c r="BD1625" s="144"/>
      <c r="BE1625" s="144"/>
      <c r="BF1625" s="144"/>
      <c r="BG1625" s="144"/>
      <c r="BH1625" s="149"/>
      <c r="BI1625" s="149"/>
      <c r="BJ1625" s="149"/>
      <c r="BK1625" s="149"/>
      <c r="BL1625" s="149"/>
      <c r="BM1625" s="149"/>
      <c r="BN1625" s="149"/>
    </row>
    <row r="1626" spans="1:66" ht="38.25" hidden="1" customHeight="1" x14ac:dyDescent="0.2">
      <c r="A1626" s="142" t="s">
        <v>2675</v>
      </c>
      <c r="B1626" s="18" t="s">
        <v>485</v>
      </c>
      <c r="C1626" s="18" t="s">
        <v>486</v>
      </c>
      <c r="D1626" s="19" t="s">
        <v>610</v>
      </c>
      <c r="E1626" s="18">
        <v>1</v>
      </c>
      <c r="F1626" s="18" t="s">
        <v>454</v>
      </c>
      <c r="G1626" s="18" t="s">
        <v>5</v>
      </c>
      <c r="H1626" s="18" t="s">
        <v>3</v>
      </c>
      <c r="I1626" s="18"/>
      <c r="J1626" s="18" t="s">
        <v>534</v>
      </c>
      <c r="K1626" s="19" t="s">
        <v>535</v>
      </c>
      <c r="L1626" s="19"/>
      <c r="M1626" s="19"/>
      <c r="N1626" s="19" t="s">
        <v>536</v>
      </c>
      <c r="O1626" s="143"/>
      <c r="P1626" s="143"/>
      <c r="Q1626" s="143"/>
      <c r="R1626" s="143">
        <v>42376</v>
      </c>
      <c r="S1626" s="144">
        <v>39666.1</v>
      </c>
      <c r="T1626" s="144"/>
      <c r="U1626" s="145">
        <v>0</v>
      </c>
      <c r="V1626" s="145">
        <v>0</v>
      </c>
      <c r="W1626" s="145">
        <v>1700</v>
      </c>
      <c r="X1626" s="145">
        <f t="shared" si="499"/>
        <v>1700</v>
      </c>
      <c r="Y1626" s="145">
        <v>0</v>
      </c>
      <c r="Z1626" s="145">
        <v>0</v>
      </c>
      <c r="AA1626" s="145">
        <v>0</v>
      </c>
      <c r="AB1626" s="145">
        <v>14383.81</v>
      </c>
      <c r="AC1626" s="145">
        <v>0</v>
      </c>
      <c r="AD1626" s="166">
        <v>0</v>
      </c>
      <c r="AE1626" s="166">
        <v>5339.21</v>
      </c>
      <c r="AF1626" s="145">
        <v>0</v>
      </c>
      <c r="AG1626" s="145">
        <v>0</v>
      </c>
      <c r="AH1626" s="145">
        <v>8008.81</v>
      </c>
      <c r="AI1626" s="145">
        <v>0</v>
      </c>
      <c r="AJ1626" s="145">
        <v>0</v>
      </c>
      <c r="AK1626" s="145">
        <f t="shared" si="500"/>
        <v>27731.83</v>
      </c>
      <c r="AL1626" s="145">
        <v>6267.66</v>
      </c>
      <c r="AM1626" s="145">
        <v>3966.61</v>
      </c>
      <c r="AN1626" s="145">
        <v>0</v>
      </c>
      <c r="AO1626" s="145">
        <v>0</v>
      </c>
      <c r="AP1626" s="145">
        <v>0</v>
      </c>
      <c r="AQ1626" s="145">
        <v>0</v>
      </c>
      <c r="AR1626" s="145">
        <v>0</v>
      </c>
      <c r="AS1626" s="144">
        <f t="shared" si="498"/>
        <v>39666.100000000006</v>
      </c>
      <c r="AT1626" s="144"/>
      <c r="AU1626" s="146">
        <f t="shared" si="493"/>
        <v>39666.100000000006</v>
      </c>
      <c r="AV1626" s="146">
        <f>IFERROR(VLOOKUP(J1626,Maksājumu_pieprasījumu_iesn.!G:BL,57,0),0)</f>
        <v>0</v>
      </c>
      <c r="AW1626" s="139">
        <f t="shared" si="501"/>
        <v>-39666.100000000006</v>
      </c>
      <c r="AX1626" s="147"/>
      <c r="AY1626" s="147"/>
      <c r="AZ1626" s="147"/>
      <c r="BA1626" s="165"/>
      <c r="BB1626" s="144"/>
      <c r="BC1626" s="144"/>
      <c r="BD1626" s="144"/>
      <c r="BE1626" s="144"/>
      <c r="BF1626" s="144"/>
      <c r="BG1626" s="144"/>
      <c r="BH1626" s="149"/>
      <c r="BI1626" s="149"/>
      <c r="BJ1626" s="149"/>
      <c r="BK1626" s="149"/>
      <c r="BL1626" s="149"/>
      <c r="BM1626" s="149"/>
      <c r="BN1626" s="149"/>
    </row>
    <row r="1627" spans="1:66" s="91" customFormat="1" ht="38.25" hidden="1" customHeight="1" x14ac:dyDescent="0.2">
      <c r="A1627" s="131" t="s">
        <v>2675</v>
      </c>
      <c r="B1627" s="132" t="s">
        <v>485</v>
      </c>
      <c r="C1627" s="132" t="s">
        <v>486</v>
      </c>
      <c r="D1627" s="133" t="s">
        <v>610</v>
      </c>
      <c r="E1627" s="22">
        <v>2</v>
      </c>
      <c r="F1627" s="22" t="s">
        <v>454</v>
      </c>
      <c r="G1627" s="22" t="s">
        <v>5</v>
      </c>
      <c r="H1627" s="22" t="s">
        <v>3</v>
      </c>
      <c r="I1627" s="22" t="s">
        <v>1022</v>
      </c>
      <c r="J1627" s="134" t="s">
        <v>1026</v>
      </c>
      <c r="K1627" s="133"/>
      <c r="L1627" s="133"/>
      <c r="M1627" s="133"/>
      <c r="N1627" s="133"/>
      <c r="O1627" s="135"/>
      <c r="P1627" s="135"/>
      <c r="Q1627" s="135"/>
      <c r="R1627" s="135"/>
      <c r="S1627" s="136">
        <v>19590276</v>
      </c>
      <c r="T1627" s="136">
        <v>0</v>
      </c>
      <c r="U1627" s="137">
        <f>SUM(U1628:U1648)</f>
        <v>0</v>
      </c>
      <c r="V1627" s="137">
        <f>SUM(V1628:V1648)</f>
        <v>0</v>
      </c>
      <c r="W1627" s="137">
        <f>SUM(W1628:W1648)</f>
        <v>0</v>
      </c>
      <c r="X1627" s="138">
        <f>U1627+V1627+W1627</f>
        <v>0</v>
      </c>
      <c r="Y1627" s="137">
        <f t="shared" ref="Y1627:AR1627" si="502">SUM(Y1628:Y1648)</f>
        <v>0</v>
      </c>
      <c r="Z1627" s="137">
        <f t="shared" si="502"/>
        <v>0</v>
      </c>
      <c r="AA1627" s="137">
        <f t="shared" si="502"/>
        <v>0</v>
      </c>
      <c r="AB1627" s="137">
        <f t="shared" si="502"/>
        <v>0</v>
      </c>
      <c r="AC1627" s="137">
        <f t="shared" si="502"/>
        <v>0</v>
      </c>
      <c r="AD1627" s="137">
        <f t="shared" si="502"/>
        <v>0</v>
      </c>
      <c r="AE1627" s="137">
        <f t="shared" si="502"/>
        <v>0</v>
      </c>
      <c r="AF1627" s="137">
        <f t="shared" si="502"/>
        <v>0</v>
      </c>
      <c r="AG1627" s="137">
        <f t="shared" si="502"/>
        <v>0</v>
      </c>
      <c r="AH1627" s="137">
        <f t="shared" si="502"/>
        <v>0</v>
      </c>
      <c r="AI1627" s="137">
        <f t="shared" si="502"/>
        <v>0</v>
      </c>
      <c r="AJ1627" s="137">
        <f t="shared" si="502"/>
        <v>0</v>
      </c>
      <c r="AK1627" s="137">
        <f t="shared" si="502"/>
        <v>0</v>
      </c>
      <c r="AL1627" s="137">
        <f t="shared" si="502"/>
        <v>0</v>
      </c>
      <c r="AM1627" s="137">
        <f t="shared" si="502"/>
        <v>0</v>
      </c>
      <c r="AN1627" s="137">
        <f t="shared" si="502"/>
        <v>0</v>
      </c>
      <c r="AO1627" s="137">
        <f t="shared" si="502"/>
        <v>0</v>
      </c>
      <c r="AP1627" s="137">
        <f t="shared" si="502"/>
        <v>0</v>
      </c>
      <c r="AQ1627" s="137">
        <f t="shared" si="502"/>
        <v>0</v>
      </c>
      <c r="AR1627" s="137">
        <f t="shared" si="502"/>
        <v>0</v>
      </c>
      <c r="AS1627" s="137">
        <f t="shared" si="498"/>
        <v>0</v>
      </c>
      <c r="AT1627" s="137">
        <f>SUM(AT1628:AT1648)</f>
        <v>0</v>
      </c>
      <c r="AU1627" s="139">
        <f t="shared" si="493"/>
        <v>0</v>
      </c>
      <c r="AV1627" s="146">
        <f>IFERROR(VLOOKUP(J1627,Maksājumu_pieprasījumu_iesn.!G:BL,57,0),0)</f>
        <v>0</v>
      </c>
      <c r="AW1627" s="139">
        <f t="shared" si="501"/>
        <v>0</v>
      </c>
      <c r="AX1627" s="140">
        <f>S1627-T1627-AU1627</f>
        <v>19590276</v>
      </c>
      <c r="AY1627" s="137">
        <v>19590276</v>
      </c>
      <c r="AZ1627" s="137"/>
      <c r="BA1627" s="138"/>
      <c r="BB1627" s="140"/>
      <c r="BC1627" s="140">
        <f>X1627+AK1627+AL1627/2</f>
        <v>0</v>
      </c>
      <c r="BD1627" s="140"/>
      <c r="BE1627" s="140">
        <f>BC1627/0.85</f>
        <v>0</v>
      </c>
      <c r="BF1627" s="137"/>
      <c r="BG1627" s="137"/>
      <c r="BH1627" s="138">
        <v>0</v>
      </c>
      <c r="BI1627" s="138">
        <v>0</v>
      </c>
      <c r="BJ1627" s="138"/>
      <c r="BK1627" s="138"/>
      <c r="BL1627" s="138">
        <v>0</v>
      </c>
      <c r="BM1627" s="138"/>
      <c r="BN1627" s="138"/>
    </row>
    <row r="1628" spans="1:66" s="91" customFormat="1" ht="38.25" hidden="1" customHeight="1" x14ac:dyDescent="0.2">
      <c r="A1628" s="150" t="s">
        <v>2675</v>
      </c>
      <c r="B1628" s="18" t="s">
        <v>485</v>
      </c>
      <c r="C1628" s="18" t="s">
        <v>486</v>
      </c>
      <c r="D1628" s="19" t="s">
        <v>610</v>
      </c>
      <c r="E1628" s="55">
        <v>2</v>
      </c>
      <c r="F1628" s="55" t="s">
        <v>454</v>
      </c>
      <c r="G1628" s="55" t="s">
        <v>5</v>
      </c>
      <c r="H1628" s="55" t="s">
        <v>3</v>
      </c>
      <c r="I1628" s="55"/>
      <c r="J1628" s="55"/>
      <c r="K1628" s="19" t="s">
        <v>488</v>
      </c>
      <c r="L1628" s="19"/>
      <c r="M1628" s="19"/>
      <c r="N1628" s="19"/>
      <c r="O1628" s="151"/>
      <c r="P1628" s="151"/>
      <c r="Q1628" s="151"/>
      <c r="R1628" s="151"/>
      <c r="S1628" s="152"/>
      <c r="T1628" s="152"/>
      <c r="U1628" s="145">
        <v>0</v>
      </c>
      <c r="V1628" s="145">
        <v>0</v>
      </c>
      <c r="W1628" s="145">
        <v>0</v>
      </c>
      <c r="X1628" s="145">
        <f t="shared" ref="X1628:X1648" si="503">W1628+V1628+U1628</f>
        <v>0</v>
      </c>
      <c r="Y1628" s="145">
        <v>0</v>
      </c>
      <c r="Z1628" s="145">
        <v>0</v>
      </c>
      <c r="AA1628" s="145">
        <v>0</v>
      </c>
      <c r="AB1628" s="145">
        <v>0</v>
      </c>
      <c r="AC1628" s="145">
        <v>0</v>
      </c>
      <c r="AD1628" s="145">
        <v>0</v>
      </c>
      <c r="AE1628" s="145">
        <v>0</v>
      </c>
      <c r="AF1628" s="145">
        <v>0</v>
      </c>
      <c r="AG1628" s="145">
        <v>0</v>
      </c>
      <c r="AH1628" s="145">
        <v>0</v>
      </c>
      <c r="AI1628" s="145">
        <v>0</v>
      </c>
      <c r="AJ1628" s="145">
        <v>0</v>
      </c>
      <c r="AK1628" s="145">
        <f t="shared" ref="AK1628:AK1648" si="504">SUM(Y1628:AJ1628)</f>
        <v>0</v>
      </c>
      <c r="AL1628" s="145">
        <v>0</v>
      </c>
      <c r="AM1628" s="145">
        <v>0</v>
      </c>
      <c r="AN1628" s="145">
        <v>0</v>
      </c>
      <c r="AO1628" s="145">
        <v>0</v>
      </c>
      <c r="AP1628" s="145">
        <v>0</v>
      </c>
      <c r="AQ1628" s="145">
        <v>0</v>
      </c>
      <c r="AR1628" s="145">
        <v>0</v>
      </c>
      <c r="AS1628" s="145">
        <f t="shared" si="498"/>
        <v>0</v>
      </c>
      <c r="AT1628" s="145"/>
      <c r="AU1628" s="139">
        <f t="shared" si="493"/>
        <v>0</v>
      </c>
      <c r="AV1628" s="146">
        <f>IFERROR(VLOOKUP(J1628,Maksājumu_pieprasījumu_iesn.!G:BL,57,0),0)</f>
        <v>0</v>
      </c>
      <c r="AW1628" s="139">
        <f t="shared" si="501"/>
        <v>0</v>
      </c>
      <c r="AX1628" s="153"/>
      <c r="AY1628" s="153"/>
      <c r="AZ1628" s="153"/>
      <c r="BA1628" s="136"/>
      <c r="BB1628" s="145"/>
      <c r="BC1628" s="145"/>
      <c r="BD1628" s="145"/>
      <c r="BE1628" s="145"/>
      <c r="BF1628" s="145"/>
      <c r="BG1628" s="145"/>
      <c r="BH1628" s="138"/>
      <c r="BI1628" s="138"/>
      <c r="BJ1628" s="138"/>
      <c r="BK1628" s="138"/>
      <c r="BL1628" s="138"/>
      <c r="BM1628" s="138"/>
      <c r="BN1628" s="138"/>
    </row>
    <row r="1629" spans="1:66" s="91" customFormat="1" ht="38.25" hidden="1" customHeight="1" x14ac:dyDescent="0.2">
      <c r="A1629" s="150" t="s">
        <v>2675</v>
      </c>
      <c r="B1629" s="18" t="s">
        <v>485</v>
      </c>
      <c r="C1629" s="18" t="s">
        <v>486</v>
      </c>
      <c r="D1629" s="19" t="s">
        <v>610</v>
      </c>
      <c r="E1629" s="55">
        <v>2</v>
      </c>
      <c r="F1629" s="55" t="s">
        <v>454</v>
      </c>
      <c r="G1629" s="55" t="s">
        <v>5</v>
      </c>
      <c r="H1629" s="55" t="s">
        <v>3</v>
      </c>
      <c r="I1629" s="55"/>
      <c r="J1629" s="55"/>
      <c r="K1629" s="19" t="s">
        <v>491</v>
      </c>
      <c r="L1629" s="19"/>
      <c r="M1629" s="19"/>
      <c r="N1629" s="19"/>
      <c r="O1629" s="151"/>
      <c r="P1629" s="151"/>
      <c r="Q1629" s="151"/>
      <c r="R1629" s="151"/>
      <c r="S1629" s="152"/>
      <c r="T1629" s="152"/>
      <c r="U1629" s="145">
        <v>0</v>
      </c>
      <c r="V1629" s="145">
        <v>0</v>
      </c>
      <c r="W1629" s="145">
        <v>0</v>
      </c>
      <c r="X1629" s="145">
        <f t="shared" si="503"/>
        <v>0</v>
      </c>
      <c r="Y1629" s="145">
        <v>0</v>
      </c>
      <c r="Z1629" s="145">
        <v>0</v>
      </c>
      <c r="AA1629" s="145">
        <v>0</v>
      </c>
      <c r="AB1629" s="145">
        <v>0</v>
      </c>
      <c r="AC1629" s="145">
        <v>0</v>
      </c>
      <c r="AD1629" s="145">
        <v>0</v>
      </c>
      <c r="AE1629" s="145">
        <v>0</v>
      </c>
      <c r="AF1629" s="145">
        <v>0</v>
      </c>
      <c r="AG1629" s="145">
        <v>0</v>
      </c>
      <c r="AH1629" s="145">
        <v>0</v>
      </c>
      <c r="AI1629" s="145">
        <v>0</v>
      </c>
      <c r="AJ1629" s="145">
        <v>0</v>
      </c>
      <c r="AK1629" s="145">
        <f t="shared" si="504"/>
        <v>0</v>
      </c>
      <c r="AL1629" s="145">
        <v>0</v>
      </c>
      <c r="AM1629" s="145">
        <v>0</v>
      </c>
      <c r="AN1629" s="145">
        <v>0</v>
      </c>
      <c r="AO1629" s="145">
        <v>0</v>
      </c>
      <c r="AP1629" s="145">
        <v>0</v>
      </c>
      <c r="AQ1629" s="145">
        <v>0</v>
      </c>
      <c r="AR1629" s="145">
        <v>0</v>
      </c>
      <c r="AS1629" s="145">
        <f t="shared" si="498"/>
        <v>0</v>
      </c>
      <c r="AT1629" s="145"/>
      <c r="AU1629" s="139">
        <f t="shared" si="493"/>
        <v>0</v>
      </c>
      <c r="AV1629" s="146">
        <f>IFERROR(VLOOKUP(J1629,Maksājumu_pieprasījumu_iesn.!G:BL,57,0),0)</f>
        <v>0</v>
      </c>
      <c r="AW1629" s="139">
        <f t="shared" si="501"/>
        <v>0</v>
      </c>
      <c r="AX1629" s="153"/>
      <c r="AY1629" s="153"/>
      <c r="AZ1629" s="153"/>
      <c r="BA1629" s="136"/>
      <c r="BB1629" s="145"/>
      <c r="BC1629" s="145"/>
      <c r="BD1629" s="145"/>
      <c r="BE1629" s="145"/>
      <c r="BF1629" s="145"/>
      <c r="BG1629" s="145"/>
      <c r="BH1629" s="138"/>
      <c r="BI1629" s="138"/>
      <c r="BJ1629" s="138"/>
      <c r="BK1629" s="138"/>
      <c r="BL1629" s="138"/>
      <c r="BM1629" s="138"/>
      <c r="BN1629" s="138"/>
    </row>
    <row r="1630" spans="1:66" s="91" customFormat="1" ht="38.25" hidden="1" customHeight="1" x14ac:dyDescent="0.2">
      <c r="A1630" s="150" t="s">
        <v>2675</v>
      </c>
      <c r="B1630" s="18" t="s">
        <v>485</v>
      </c>
      <c r="C1630" s="18" t="s">
        <v>486</v>
      </c>
      <c r="D1630" s="19" t="s">
        <v>610</v>
      </c>
      <c r="E1630" s="55">
        <v>2</v>
      </c>
      <c r="F1630" s="55" t="s">
        <v>454</v>
      </c>
      <c r="G1630" s="55" t="s">
        <v>5</v>
      </c>
      <c r="H1630" s="55" t="s">
        <v>3</v>
      </c>
      <c r="I1630" s="55"/>
      <c r="J1630" s="55"/>
      <c r="K1630" s="19" t="s">
        <v>494</v>
      </c>
      <c r="L1630" s="19"/>
      <c r="M1630" s="19"/>
      <c r="N1630" s="19"/>
      <c r="O1630" s="151"/>
      <c r="P1630" s="151"/>
      <c r="Q1630" s="151"/>
      <c r="R1630" s="151"/>
      <c r="S1630" s="152"/>
      <c r="T1630" s="152"/>
      <c r="U1630" s="145">
        <v>0</v>
      </c>
      <c r="V1630" s="145">
        <v>0</v>
      </c>
      <c r="W1630" s="145">
        <v>0</v>
      </c>
      <c r="X1630" s="145">
        <f t="shared" si="503"/>
        <v>0</v>
      </c>
      <c r="Y1630" s="145">
        <v>0</v>
      </c>
      <c r="Z1630" s="145">
        <v>0</v>
      </c>
      <c r="AA1630" s="145">
        <v>0</v>
      </c>
      <c r="AB1630" s="145">
        <v>0</v>
      </c>
      <c r="AC1630" s="145">
        <v>0</v>
      </c>
      <c r="AD1630" s="145">
        <v>0</v>
      </c>
      <c r="AE1630" s="145">
        <v>0</v>
      </c>
      <c r="AF1630" s="145">
        <v>0</v>
      </c>
      <c r="AG1630" s="145">
        <v>0</v>
      </c>
      <c r="AH1630" s="145">
        <v>0</v>
      </c>
      <c r="AI1630" s="145">
        <v>0</v>
      </c>
      <c r="AJ1630" s="145">
        <v>0</v>
      </c>
      <c r="AK1630" s="145">
        <f t="shared" si="504"/>
        <v>0</v>
      </c>
      <c r="AL1630" s="145">
        <v>0</v>
      </c>
      <c r="AM1630" s="145">
        <v>0</v>
      </c>
      <c r="AN1630" s="145">
        <v>0</v>
      </c>
      <c r="AO1630" s="145">
        <v>0</v>
      </c>
      <c r="AP1630" s="145">
        <v>0</v>
      </c>
      <c r="AQ1630" s="145">
        <v>0</v>
      </c>
      <c r="AR1630" s="145">
        <v>0</v>
      </c>
      <c r="AS1630" s="145">
        <f t="shared" si="498"/>
        <v>0</v>
      </c>
      <c r="AT1630" s="145"/>
      <c r="AU1630" s="139">
        <f t="shared" si="493"/>
        <v>0</v>
      </c>
      <c r="AV1630" s="146">
        <f>IFERROR(VLOOKUP(J1630,Maksājumu_pieprasījumu_iesn.!G:BL,57,0),0)</f>
        <v>0</v>
      </c>
      <c r="AW1630" s="139">
        <f t="shared" si="501"/>
        <v>0</v>
      </c>
      <c r="AX1630" s="153"/>
      <c r="AY1630" s="153"/>
      <c r="AZ1630" s="153"/>
      <c r="BA1630" s="136"/>
      <c r="BB1630" s="145"/>
      <c r="BC1630" s="145"/>
      <c r="BD1630" s="145"/>
      <c r="BE1630" s="145"/>
      <c r="BF1630" s="145"/>
      <c r="BG1630" s="145"/>
      <c r="BH1630" s="138"/>
      <c r="BI1630" s="138"/>
      <c r="BJ1630" s="138"/>
      <c r="BK1630" s="138"/>
      <c r="BL1630" s="138"/>
      <c r="BM1630" s="138"/>
      <c r="BN1630" s="138"/>
    </row>
    <row r="1631" spans="1:66" s="91" customFormat="1" ht="38.25" hidden="1" customHeight="1" x14ac:dyDescent="0.2">
      <c r="A1631" s="150" t="s">
        <v>2675</v>
      </c>
      <c r="B1631" s="18" t="s">
        <v>485</v>
      </c>
      <c r="C1631" s="18" t="s">
        <v>486</v>
      </c>
      <c r="D1631" s="19" t="s">
        <v>610</v>
      </c>
      <c r="E1631" s="55">
        <v>2</v>
      </c>
      <c r="F1631" s="55" t="s">
        <v>454</v>
      </c>
      <c r="G1631" s="55" t="s">
        <v>5</v>
      </c>
      <c r="H1631" s="55" t="s">
        <v>3</v>
      </c>
      <c r="I1631" s="55"/>
      <c r="J1631" s="55"/>
      <c r="K1631" s="19" t="s">
        <v>461</v>
      </c>
      <c r="L1631" s="19"/>
      <c r="M1631" s="19"/>
      <c r="N1631" s="19"/>
      <c r="O1631" s="151"/>
      <c r="P1631" s="151"/>
      <c r="Q1631" s="151"/>
      <c r="R1631" s="151"/>
      <c r="S1631" s="152"/>
      <c r="T1631" s="152"/>
      <c r="U1631" s="145">
        <v>0</v>
      </c>
      <c r="V1631" s="145">
        <v>0</v>
      </c>
      <c r="W1631" s="145">
        <v>0</v>
      </c>
      <c r="X1631" s="145">
        <f t="shared" si="503"/>
        <v>0</v>
      </c>
      <c r="Y1631" s="145">
        <v>0</v>
      </c>
      <c r="Z1631" s="145">
        <v>0</v>
      </c>
      <c r="AA1631" s="145">
        <v>0</v>
      </c>
      <c r="AB1631" s="145">
        <v>0</v>
      </c>
      <c r="AC1631" s="145">
        <v>0</v>
      </c>
      <c r="AD1631" s="145">
        <v>0</v>
      </c>
      <c r="AE1631" s="145">
        <v>0</v>
      </c>
      <c r="AF1631" s="145">
        <v>0</v>
      </c>
      <c r="AG1631" s="145">
        <v>0</v>
      </c>
      <c r="AH1631" s="145">
        <v>0</v>
      </c>
      <c r="AI1631" s="145">
        <v>0</v>
      </c>
      <c r="AJ1631" s="145">
        <v>0</v>
      </c>
      <c r="AK1631" s="145">
        <f t="shared" si="504"/>
        <v>0</v>
      </c>
      <c r="AL1631" s="145">
        <v>0</v>
      </c>
      <c r="AM1631" s="145">
        <v>0</v>
      </c>
      <c r="AN1631" s="145">
        <v>0</v>
      </c>
      <c r="AO1631" s="145">
        <v>0</v>
      </c>
      <c r="AP1631" s="145">
        <v>0</v>
      </c>
      <c r="AQ1631" s="145">
        <v>0</v>
      </c>
      <c r="AR1631" s="145">
        <v>0</v>
      </c>
      <c r="AS1631" s="145">
        <f t="shared" si="498"/>
        <v>0</v>
      </c>
      <c r="AT1631" s="145"/>
      <c r="AU1631" s="139">
        <f t="shared" si="493"/>
        <v>0</v>
      </c>
      <c r="AV1631" s="146">
        <f>IFERROR(VLOOKUP(J1631,Maksājumu_pieprasījumu_iesn.!G:BL,57,0),0)</f>
        <v>0</v>
      </c>
      <c r="AW1631" s="139">
        <f t="shared" si="501"/>
        <v>0</v>
      </c>
      <c r="AX1631" s="153"/>
      <c r="AY1631" s="153"/>
      <c r="AZ1631" s="153"/>
      <c r="BA1631" s="136"/>
      <c r="BB1631" s="145"/>
      <c r="BC1631" s="145"/>
      <c r="BD1631" s="145"/>
      <c r="BE1631" s="145"/>
      <c r="BF1631" s="145"/>
      <c r="BG1631" s="145"/>
      <c r="BH1631" s="138"/>
      <c r="BI1631" s="138"/>
      <c r="BJ1631" s="138"/>
      <c r="BK1631" s="138"/>
      <c r="BL1631" s="138"/>
      <c r="BM1631" s="138"/>
      <c r="BN1631" s="138"/>
    </row>
    <row r="1632" spans="1:66" s="91" customFormat="1" ht="38.25" hidden="1" customHeight="1" x14ac:dyDescent="0.2">
      <c r="A1632" s="150" t="s">
        <v>2675</v>
      </c>
      <c r="B1632" s="18" t="s">
        <v>485</v>
      </c>
      <c r="C1632" s="18" t="s">
        <v>486</v>
      </c>
      <c r="D1632" s="19" t="s">
        <v>610</v>
      </c>
      <c r="E1632" s="55">
        <v>2</v>
      </c>
      <c r="F1632" s="55" t="s">
        <v>454</v>
      </c>
      <c r="G1632" s="55" t="s">
        <v>5</v>
      </c>
      <c r="H1632" s="55" t="s">
        <v>3</v>
      </c>
      <c r="I1632" s="55"/>
      <c r="J1632" s="55"/>
      <c r="K1632" s="19" t="s">
        <v>499</v>
      </c>
      <c r="L1632" s="19"/>
      <c r="M1632" s="19"/>
      <c r="N1632" s="19"/>
      <c r="O1632" s="151"/>
      <c r="P1632" s="151"/>
      <c r="Q1632" s="151"/>
      <c r="R1632" s="151"/>
      <c r="S1632" s="152"/>
      <c r="T1632" s="152"/>
      <c r="U1632" s="145">
        <v>0</v>
      </c>
      <c r="V1632" s="145">
        <v>0</v>
      </c>
      <c r="W1632" s="145">
        <v>0</v>
      </c>
      <c r="X1632" s="145">
        <f t="shared" si="503"/>
        <v>0</v>
      </c>
      <c r="Y1632" s="145">
        <v>0</v>
      </c>
      <c r="Z1632" s="145">
        <v>0</v>
      </c>
      <c r="AA1632" s="145">
        <v>0</v>
      </c>
      <c r="AB1632" s="145">
        <v>0</v>
      </c>
      <c r="AC1632" s="145">
        <v>0</v>
      </c>
      <c r="AD1632" s="145">
        <v>0</v>
      </c>
      <c r="AE1632" s="145">
        <v>0</v>
      </c>
      <c r="AF1632" s="145">
        <v>0</v>
      </c>
      <c r="AG1632" s="145">
        <v>0</v>
      </c>
      <c r="AH1632" s="145">
        <v>0</v>
      </c>
      <c r="AI1632" s="145">
        <v>0</v>
      </c>
      <c r="AJ1632" s="145">
        <v>0</v>
      </c>
      <c r="AK1632" s="145">
        <f t="shared" si="504"/>
        <v>0</v>
      </c>
      <c r="AL1632" s="145">
        <v>0</v>
      </c>
      <c r="AM1632" s="145">
        <v>0</v>
      </c>
      <c r="AN1632" s="145">
        <v>0</v>
      </c>
      <c r="AO1632" s="145">
        <v>0</v>
      </c>
      <c r="AP1632" s="145">
        <v>0</v>
      </c>
      <c r="AQ1632" s="145">
        <v>0</v>
      </c>
      <c r="AR1632" s="145">
        <v>0</v>
      </c>
      <c r="AS1632" s="145">
        <f t="shared" si="498"/>
        <v>0</v>
      </c>
      <c r="AT1632" s="145"/>
      <c r="AU1632" s="139">
        <f t="shared" si="493"/>
        <v>0</v>
      </c>
      <c r="AV1632" s="146">
        <f>IFERROR(VLOOKUP(J1632,Maksājumu_pieprasījumu_iesn.!G:BL,57,0),0)</f>
        <v>0</v>
      </c>
      <c r="AW1632" s="139">
        <f t="shared" si="501"/>
        <v>0</v>
      </c>
      <c r="AX1632" s="153"/>
      <c r="AY1632" s="153"/>
      <c r="AZ1632" s="153"/>
      <c r="BA1632" s="136"/>
      <c r="BB1632" s="145"/>
      <c r="BC1632" s="145"/>
      <c r="BD1632" s="145"/>
      <c r="BE1632" s="145"/>
      <c r="BF1632" s="145"/>
      <c r="BG1632" s="145"/>
      <c r="BH1632" s="138"/>
      <c r="BI1632" s="138"/>
      <c r="BJ1632" s="138"/>
      <c r="BK1632" s="138"/>
      <c r="BL1632" s="138"/>
      <c r="BM1632" s="138"/>
      <c r="BN1632" s="138"/>
    </row>
    <row r="1633" spans="1:66" s="91" customFormat="1" ht="38.25" hidden="1" customHeight="1" x14ac:dyDescent="0.2">
      <c r="A1633" s="150" t="s">
        <v>2675</v>
      </c>
      <c r="B1633" s="18" t="s">
        <v>485</v>
      </c>
      <c r="C1633" s="18" t="s">
        <v>486</v>
      </c>
      <c r="D1633" s="19" t="s">
        <v>610</v>
      </c>
      <c r="E1633" s="55">
        <v>2</v>
      </c>
      <c r="F1633" s="55" t="s">
        <v>454</v>
      </c>
      <c r="G1633" s="55" t="s">
        <v>5</v>
      </c>
      <c r="H1633" s="55" t="s">
        <v>3</v>
      </c>
      <c r="I1633" s="55"/>
      <c r="J1633" s="55"/>
      <c r="K1633" s="19" t="s">
        <v>84</v>
      </c>
      <c r="L1633" s="19"/>
      <c r="M1633" s="19"/>
      <c r="N1633" s="19"/>
      <c r="O1633" s="151"/>
      <c r="P1633" s="151"/>
      <c r="Q1633" s="151"/>
      <c r="R1633" s="151"/>
      <c r="S1633" s="152"/>
      <c r="T1633" s="152"/>
      <c r="U1633" s="145">
        <v>0</v>
      </c>
      <c r="V1633" s="145">
        <v>0</v>
      </c>
      <c r="W1633" s="145">
        <v>0</v>
      </c>
      <c r="X1633" s="145">
        <f t="shared" si="503"/>
        <v>0</v>
      </c>
      <c r="Y1633" s="145">
        <v>0</v>
      </c>
      <c r="Z1633" s="145">
        <v>0</v>
      </c>
      <c r="AA1633" s="145">
        <v>0</v>
      </c>
      <c r="AB1633" s="145">
        <v>0</v>
      </c>
      <c r="AC1633" s="145">
        <v>0</v>
      </c>
      <c r="AD1633" s="145">
        <v>0</v>
      </c>
      <c r="AE1633" s="145">
        <v>0</v>
      </c>
      <c r="AF1633" s="145">
        <v>0</v>
      </c>
      <c r="AG1633" s="145">
        <v>0</v>
      </c>
      <c r="AH1633" s="145">
        <v>0</v>
      </c>
      <c r="AI1633" s="145">
        <v>0</v>
      </c>
      <c r="AJ1633" s="145">
        <v>0</v>
      </c>
      <c r="AK1633" s="145">
        <f t="shared" si="504"/>
        <v>0</v>
      </c>
      <c r="AL1633" s="145">
        <v>0</v>
      </c>
      <c r="AM1633" s="145">
        <v>0</v>
      </c>
      <c r="AN1633" s="145">
        <v>0</v>
      </c>
      <c r="AO1633" s="145">
        <v>0</v>
      </c>
      <c r="AP1633" s="145">
        <v>0</v>
      </c>
      <c r="AQ1633" s="145">
        <v>0</v>
      </c>
      <c r="AR1633" s="145">
        <v>0</v>
      </c>
      <c r="AS1633" s="145">
        <f t="shared" si="498"/>
        <v>0</v>
      </c>
      <c r="AT1633" s="145"/>
      <c r="AU1633" s="139">
        <f t="shared" si="493"/>
        <v>0</v>
      </c>
      <c r="AV1633" s="146">
        <f>IFERROR(VLOOKUP(J1633,Maksājumu_pieprasījumu_iesn.!G:BL,57,0),0)</f>
        <v>0</v>
      </c>
      <c r="AW1633" s="139">
        <f t="shared" si="501"/>
        <v>0</v>
      </c>
      <c r="AX1633" s="153"/>
      <c r="AY1633" s="153"/>
      <c r="AZ1633" s="153"/>
      <c r="BA1633" s="136"/>
      <c r="BB1633" s="145"/>
      <c r="BC1633" s="145"/>
      <c r="BD1633" s="145"/>
      <c r="BE1633" s="145"/>
      <c r="BF1633" s="145"/>
      <c r="BG1633" s="145"/>
      <c r="BH1633" s="138"/>
      <c r="BI1633" s="138"/>
      <c r="BJ1633" s="138"/>
      <c r="BK1633" s="138"/>
      <c r="BL1633" s="138"/>
      <c r="BM1633" s="138"/>
      <c r="BN1633" s="138"/>
    </row>
    <row r="1634" spans="1:66" s="91" customFormat="1" ht="38.25" hidden="1" customHeight="1" x14ac:dyDescent="0.2">
      <c r="A1634" s="150" t="s">
        <v>2675</v>
      </c>
      <c r="B1634" s="18" t="s">
        <v>485</v>
      </c>
      <c r="C1634" s="18" t="s">
        <v>486</v>
      </c>
      <c r="D1634" s="19" t="s">
        <v>610</v>
      </c>
      <c r="E1634" s="55">
        <v>2</v>
      </c>
      <c r="F1634" s="55" t="s">
        <v>454</v>
      </c>
      <c r="G1634" s="55" t="s">
        <v>5</v>
      </c>
      <c r="H1634" s="55" t="s">
        <v>3</v>
      </c>
      <c r="I1634" s="55"/>
      <c r="J1634" s="55"/>
      <c r="K1634" s="19" t="s">
        <v>468</v>
      </c>
      <c r="L1634" s="19"/>
      <c r="M1634" s="19"/>
      <c r="N1634" s="19"/>
      <c r="O1634" s="151"/>
      <c r="P1634" s="151"/>
      <c r="Q1634" s="151"/>
      <c r="R1634" s="151"/>
      <c r="S1634" s="152"/>
      <c r="T1634" s="152"/>
      <c r="U1634" s="145">
        <v>0</v>
      </c>
      <c r="V1634" s="145">
        <v>0</v>
      </c>
      <c r="W1634" s="145">
        <v>0</v>
      </c>
      <c r="X1634" s="145">
        <f t="shared" si="503"/>
        <v>0</v>
      </c>
      <c r="Y1634" s="145">
        <v>0</v>
      </c>
      <c r="Z1634" s="145">
        <v>0</v>
      </c>
      <c r="AA1634" s="145">
        <v>0</v>
      </c>
      <c r="AB1634" s="145">
        <v>0</v>
      </c>
      <c r="AC1634" s="145">
        <v>0</v>
      </c>
      <c r="AD1634" s="145">
        <v>0</v>
      </c>
      <c r="AE1634" s="145">
        <v>0</v>
      </c>
      <c r="AF1634" s="145">
        <v>0</v>
      </c>
      <c r="AG1634" s="145">
        <v>0</v>
      </c>
      <c r="AH1634" s="145">
        <v>0</v>
      </c>
      <c r="AI1634" s="145">
        <v>0</v>
      </c>
      <c r="AJ1634" s="145">
        <v>0</v>
      </c>
      <c r="AK1634" s="145">
        <f t="shared" si="504"/>
        <v>0</v>
      </c>
      <c r="AL1634" s="145">
        <v>0</v>
      </c>
      <c r="AM1634" s="145">
        <v>0</v>
      </c>
      <c r="AN1634" s="145">
        <v>0</v>
      </c>
      <c r="AO1634" s="145">
        <v>0</v>
      </c>
      <c r="AP1634" s="145">
        <v>0</v>
      </c>
      <c r="AQ1634" s="145">
        <v>0</v>
      </c>
      <c r="AR1634" s="145">
        <v>0</v>
      </c>
      <c r="AS1634" s="145">
        <f t="shared" si="498"/>
        <v>0</v>
      </c>
      <c r="AT1634" s="145"/>
      <c r="AU1634" s="139">
        <f t="shared" si="493"/>
        <v>0</v>
      </c>
      <c r="AV1634" s="146">
        <f>IFERROR(VLOOKUP(J1634,Maksājumu_pieprasījumu_iesn.!G:BL,57,0),0)</f>
        <v>0</v>
      </c>
      <c r="AW1634" s="139">
        <f t="shared" si="501"/>
        <v>0</v>
      </c>
      <c r="AX1634" s="153"/>
      <c r="AY1634" s="153"/>
      <c r="AZ1634" s="153"/>
      <c r="BA1634" s="136"/>
      <c r="BB1634" s="145"/>
      <c r="BC1634" s="145"/>
      <c r="BD1634" s="145"/>
      <c r="BE1634" s="145"/>
      <c r="BF1634" s="145"/>
      <c r="BG1634" s="145"/>
      <c r="BH1634" s="138"/>
      <c r="BI1634" s="138"/>
      <c r="BJ1634" s="138"/>
      <c r="BK1634" s="138"/>
      <c r="BL1634" s="138"/>
      <c r="BM1634" s="138"/>
      <c r="BN1634" s="138"/>
    </row>
    <row r="1635" spans="1:66" s="91" customFormat="1" ht="38.25" hidden="1" customHeight="1" x14ac:dyDescent="0.2">
      <c r="A1635" s="150" t="s">
        <v>2675</v>
      </c>
      <c r="B1635" s="18" t="s">
        <v>485</v>
      </c>
      <c r="C1635" s="18" t="s">
        <v>486</v>
      </c>
      <c r="D1635" s="19" t="s">
        <v>610</v>
      </c>
      <c r="E1635" s="55">
        <v>2</v>
      </c>
      <c r="F1635" s="55" t="s">
        <v>454</v>
      </c>
      <c r="G1635" s="55" t="s">
        <v>5</v>
      </c>
      <c r="H1635" s="55" t="s">
        <v>3</v>
      </c>
      <c r="I1635" s="55"/>
      <c r="J1635" s="55"/>
      <c r="K1635" s="19" t="s">
        <v>409</v>
      </c>
      <c r="L1635" s="19"/>
      <c r="M1635" s="19"/>
      <c r="N1635" s="19"/>
      <c r="O1635" s="151"/>
      <c r="P1635" s="151"/>
      <c r="Q1635" s="151"/>
      <c r="R1635" s="151"/>
      <c r="S1635" s="152"/>
      <c r="T1635" s="152"/>
      <c r="U1635" s="145">
        <v>0</v>
      </c>
      <c r="V1635" s="145">
        <v>0</v>
      </c>
      <c r="W1635" s="145">
        <v>0</v>
      </c>
      <c r="X1635" s="145">
        <f t="shared" si="503"/>
        <v>0</v>
      </c>
      <c r="Y1635" s="145">
        <v>0</v>
      </c>
      <c r="Z1635" s="145">
        <v>0</v>
      </c>
      <c r="AA1635" s="145">
        <v>0</v>
      </c>
      <c r="AB1635" s="145">
        <v>0</v>
      </c>
      <c r="AC1635" s="145">
        <v>0</v>
      </c>
      <c r="AD1635" s="145">
        <v>0</v>
      </c>
      <c r="AE1635" s="145">
        <v>0</v>
      </c>
      <c r="AF1635" s="145">
        <v>0</v>
      </c>
      <c r="AG1635" s="145">
        <v>0</v>
      </c>
      <c r="AH1635" s="145">
        <v>0</v>
      </c>
      <c r="AI1635" s="145">
        <v>0</v>
      </c>
      <c r="AJ1635" s="145">
        <v>0</v>
      </c>
      <c r="AK1635" s="145">
        <f t="shared" si="504"/>
        <v>0</v>
      </c>
      <c r="AL1635" s="145">
        <v>0</v>
      </c>
      <c r="AM1635" s="145">
        <v>0</v>
      </c>
      <c r="AN1635" s="145">
        <v>0</v>
      </c>
      <c r="AO1635" s="145">
        <v>0</v>
      </c>
      <c r="AP1635" s="145">
        <v>0</v>
      </c>
      <c r="AQ1635" s="145">
        <v>0</v>
      </c>
      <c r="AR1635" s="145">
        <v>0</v>
      </c>
      <c r="AS1635" s="145">
        <f t="shared" si="498"/>
        <v>0</v>
      </c>
      <c r="AT1635" s="145"/>
      <c r="AU1635" s="139">
        <f t="shared" si="493"/>
        <v>0</v>
      </c>
      <c r="AV1635" s="146">
        <f>IFERROR(VLOOKUP(J1635,Maksājumu_pieprasījumu_iesn.!G:BL,57,0),0)</f>
        <v>0</v>
      </c>
      <c r="AW1635" s="139">
        <f t="shared" si="501"/>
        <v>0</v>
      </c>
      <c r="AX1635" s="153"/>
      <c r="AY1635" s="153"/>
      <c r="AZ1635" s="153"/>
      <c r="BA1635" s="136"/>
      <c r="BB1635" s="145"/>
      <c r="BC1635" s="145"/>
      <c r="BD1635" s="145"/>
      <c r="BE1635" s="145"/>
      <c r="BF1635" s="145"/>
      <c r="BG1635" s="145"/>
      <c r="BH1635" s="138"/>
      <c r="BI1635" s="138"/>
      <c r="BJ1635" s="138"/>
      <c r="BK1635" s="138"/>
      <c r="BL1635" s="138"/>
      <c r="BM1635" s="138"/>
      <c r="BN1635" s="138"/>
    </row>
    <row r="1636" spans="1:66" s="91" customFormat="1" ht="38.25" hidden="1" customHeight="1" x14ac:dyDescent="0.2">
      <c r="A1636" s="150" t="s">
        <v>2675</v>
      </c>
      <c r="B1636" s="18" t="s">
        <v>485</v>
      </c>
      <c r="C1636" s="18" t="s">
        <v>486</v>
      </c>
      <c r="D1636" s="19" t="s">
        <v>610</v>
      </c>
      <c r="E1636" s="55">
        <v>2</v>
      </c>
      <c r="F1636" s="55" t="s">
        <v>454</v>
      </c>
      <c r="G1636" s="55" t="s">
        <v>5</v>
      </c>
      <c r="H1636" s="55" t="s">
        <v>3</v>
      </c>
      <c r="I1636" s="55"/>
      <c r="J1636" s="55"/>
      <c r="K1636" s="19" t="s">
        <v>508</v>
      </c>
      <c r="L1636" s="19"/>
      <c r="M1636" s="19"/>
      <c r="N1636" s="19"/>
      <c r="O1636" s="151"/>
      <c r="P1636" s="151"/>
      <c r="Q1636" s="151"/>
      <c r="R1636" s="151"/>
      <c r="S1636" s="152"/>
      <c r="T1636" s="152"/>
      <c r="U1636" s="145">
        <v>0</v>
      </c>
      <c r="V1636" s="145">
        <v>0</v>
      </c>
      <c r="W1636" s="145">
        <v>0</v>
      </c>
      <c r="X1636" s="145">
        <f t="shared" si="503"/>
        <v>0</v>
      </c>
      <c r="Y1636" s="145">
        <v>0</v>
      </c>
      <c r="Z1636" s="145">
        <v>0</v>
      </c>
      <c r="AA1636" s="145">
        <v>0</v>
      </c>
      <c r="AB1636" s="145">
        <v>0</v>
      </c>
      <c r="AC1636" s="145">
        <v>0</v>
      </c>
      <c r="AD1636" s="145">
        <v>0</v>
      </c>
      <c r="AE1636" s="145">
        <v>0</v>
      </c>
      <c r="AF1636" s="145">
        <v>0</v>
      </c>
      <c r="AG1636" s="145">
        <v>0</v>
      </c>
      <c r="AH1636" s="145">
        <v>0</v>
      </c>
      <c r="AI1636" s="145">
        <v>0</v>
      </c>
      <c r="AJ1636" s="145">
        <v>0</v>
      </c>
      <c r="AK1636" s="145">
        <f t="shared" si="504"/>
        <v>0</v>
      </c>
      <c r="AL1636" s="145">
        <v>0</v>
      </c>
      <c r="AM1636" s="145">
        <v>0</v>
      </c>
      <c r="AN1636" s="145">
        <v>0</v>
      </c>
      <c r="AO1636" s="145">
        <v>0</v>
      </c>
      <c r="AP1636" s="145">
        <v>0</v>
      </c>
      <c r="AQ1636" s="145">
        <v>0</v>
      </c>
      <c r="AR1636" s="145">
        <v>0</v>
      </c>
      <c r="AS1636" s="145">
        <f t="shared" si="498"/>
        <v>0</v>
      </c>
      <c r="AT1636" s="145"/>
      <c r="AU1636" s="139">
        <f t="shared" si="493"/>
        <v>0</v>
      </c>
      <c r="AV1636" s="146">
        <f>IFERROR(VLOOKUP(J1636,Maksājumu_pieprasījumu_iesn.!G:BL,57,0),0)</f>
        <v>0</v>
      </c>
      <c r="AW1636" s="139">
        <f t="shared" si="501"/>
        <v>0</v>
      </c>
      <c r="AX1636" s="153"/>
      <c r="AY1636" s="153"/>
      <c r="AZ1636" s="153"/>
      <c r="BA1636" s="136"/>
      <c r="BB1636" s="145"/>
      <c r="BC1636" s="145"/>
      <c r="BD1636" s="145"/>
      <c r="BE1636" s="145"/>
      <c r="BF1636" s="145"/>
      <c r="BG1636" s="145"/>
      <c r="BH1636" s="138"/>
      <c r="BI1636" s="138"/>
      <c r="BJ1636" s="138"/>
      <c r="BK1636" s="138"/>
      <c r="BL1636" s="138"/>
      <c r="BM1636" s="138"/>
      <c r="BN1636" s="138"/>
    </row>
    <row r="1637" spans="1:66" s="91" customFormat="1" ht="38.25" hidden="1" customHeight="1" x14ac:dyDescent="0.2">
      <c r="A1637" s="150" t="s">
        <v>2675</v>
      </c>
      <c r="B1637" s="18" t="s">
        <v>485</v>
      </c>
      <c r="C1637" s="18" t="s">
        <v>486</v>
      </c>
      <c r="D1637" s="19" t="s">
        <v>610</v>
      </c>
      <c r="E1637" s="55">
        <v>2</v>
      </c>
      <c r="F1637" s="55" t="s">
        <v>454</v>
      </c>
      <c r="G1637" s="55" t="s">
        <v>5</v>
      </c>
      <c r="H1637" s="55" t="s">
        <v>3</v>
      </c>
      <c r="I1637" s="55"/>
      <c r="J1637" s="55"/>
      <c r="K1637" s="19" t="s">
        <v>888</v>
      </c>
      <c r="L1637" s="19"/>
      <c r="M1637" s="19"/>
      <c r="N1637" s="19"/>
      <c r="O1637" s="151"/>
      <c r="P1637" s="151"/>
      <c r="Q1637" s="151"/>
      <c r="R1637" s="151"/>
      <c r="S1637" s="152"/>
      <c r="T1637" s="152"/>
      <c r="U1637" s="145">
        <v>0</v>
      </c>
      <c r="V1637" s="145">
        <v>0</v>
      </c>
      <c r="W1637" s="145">
        <v>0</v>
      </c>
      <c r="X1637" s="145">
        <f t="shared" si="503"/>
        <v>0</v>
      </c>
      <c r="Y1637" s="145">
        <v>0</v>
      </c>
      <c r="Z1637" s="145">
        <v>0</v>
      </c>
      <c r="AA1637" s="145">
        <v>0</v>
      </c>
      <c r="AB1637" s="145">
        <v>0</v>
      </c>
      <c r="AC1637" s="145">
        <v>0</v>
      </c>
      <c r="AD1637" s="145">
        <v>0</v>
      </c>
      <c r="AE1637" s="145">
        <v>0</v>
      </c>
      <c r="AF1637" s="145">
        <v>0</v>
      </c>
      <c r="AG1637" s="145">
        <v>0</v>
      </c>
      <c r="AH1637" s="145">
        <v>0</v>
      </c>
      <c r="AI1637" s="145">
        <v>0</v>
      </c>
      <c r="AJ1637" s="145">
        <v>0</v>
      </c>
      <c r="AK1637" s="145">
        <f t="shared" si="504"/>
        <v>0</v>
      </c>
      <c r="AL1637" s="145">
        <v>0</v>
      </c>
      <c r="AM1637" s="145">
        <v>0</v>
      </c>
      <c r="AN1637" s="145">
        <v>0</v>
      </c>
      <c r="AO1637" s="145">
        <v>0</v>
      </c>
      <c r="AP1637" s="145">
        <v>0</v>
      </c>
      <c r="AQ1637" s="145">
        <v>0</v>
      </c>
      <c r="AR1637" s="145">
        <v>0</v>
      </c>
      <c r="AS1637" s="145">
        <f t="shared" si="498"/>
        <v>0</v>
      </c>
      <c r="AT1637" s="145"/>
      <c r="AU1637" s="139">
        <f t="shared" si="493"/>
        <v>0</v>
      </c>
      <c r="AV1637" s="146">
        <f>IFERROR(VLOOKUP(J1637,Maksājumu_pieprasījumu_iesn.!G:BL,57,0),0)</f>
        <v>0</v>
      </c>
      <c r="AW1637" s="139">
        <f t="shared" si="501"/>
        <v>0</v>
      </c>
      <c r="AX1637" s="153"/>
      <c r="AY1637" s="153"/>
      <c r="AZ1637" s="153"/>
      <c r="BA1637" s="136"/>
      <c r="BB1637" s="145"/>
      <c r="BC1637" s="145"/>
      <c r="BD1637" s="145"/>
      <c r="BE1637" s="145"/>
      <c r="BF1637" s="145"/>
      <c r="BG1637" s="145"/>
      <c r="BH1637" s="138"/>
      <c r="BI1637" s="138"/>
      <c r="BJ1637" s="138"/>
      <c r="BK1637" s="138"/>
      <c r="BL1637" s="138"/>
      <c r="BM1637" s="138"/>
      <c r="BN1637" s="138"/>
    </row>
    <row r="1638" spans="1:66" s="91" customFormat="1" ht="38.25" hidden="1" customHeight="1" x14ac:dyDescent="0.2">
      <c r="A1638" s="150" t="s">
        <v>2675</v>
      </c>
      <c r="B1638" s="18" t="s">
        <v>485</v>
      </c>
      <c r="C1638" s="18" t="s">
        <v>486</v>
      </c>
      <c r="D1638" s="19" t="s">
        <v>610</v>
      </c>
      <c r="E1638" s="55">
        <v>2</v>
      </c>
      <c r="F1638" s="55" t="s">
        <v>454</v>
      </c>
      <c r="G1638" s="55" t="s">
        <v>5</v>
      </c>
      <c r="H1638" s="55" t="s">
        <v>3</v>
      </c>
      <c r="I1638" s="55"/>
      <c r="J1638" s="55"/>
      <c r="K1638" s="19" t="s">
        <v>311</v>
      </c>
      <c r="L1638" s="19"/>
      <c r="M1638" s="19"/>
      <c r="N1638" s="19"/>
      <c r="O1638" s="151"/>
      <c r="P1638" s="151"/>
      <c r="Q1638" s="151"/>
      <c r="R1638" s="151"/>
      <c r="S1638" s="152"/>
      <c r="T1638" s="152"/>
      <c r="U1638" s="145">
        <v>0</v>
      </c>
      <c r="V1638" s="145">
        <v>0</v>
      </c>
      <c r="W1638" s="145">
        <v>0</v>
      </c>
      <c r="X1638" s="145">
        <f t="shared" si="503"/>
        <v>0</v>
      </c>
      <c r="Y1638" s="145">
        <v>0</v>
      </c>
      <c r="Z1638" s="145">
        <v>0</v>
      </c>
      <c r="AA1638" s="145">
        <v>0</v>
      </c>
      <c r="AB1638" s="145">
        <v>0</v>
      </c>
      <c r="AC1638" s="145">
        <v>0</v>
      </c>
      <c r="AD1638" s="145">
        <v>0</v>
      </c>
      <c r="AE1638" s="145">
        <v>0</v>
      </c>
      <c r="AF1638" s="145">
        <v>0</v>
      </c>
      <c r="AG1638" s="145">
        <v>0</v>
      </c>
      <c r="AH1638" s="145">
        <v>0</v>
      </c>
      <c r="AI1638" s="145">
        <v>0</v>
      </c>
      <c r="AJ1638" s="145">
        <v>0</v>
      </c>
      <c r="AK1638" s="145">
        <f t="shared" si="504"/>
        <v>0</v>
      </c>
      <c r="AL1638" s="145">
        <v>0</v>
      </c>
      <c r="AM1638" s="145">
        <v>0</v>
      </c>
      <c r="AN1638" s="145">
        <v>0</v>
      </c>
      <c r="AO1638" s="145">
        <v>0</v>
      </c>
      <c r="AP1638" s="145">
        <v>0</v>
      </c>
      <c r="AQ1638" s="145">
        <v>0</v>
      </c>
      <c r="AR1638" s="145">
        <v>0</v>
      </c>
      <c r="AS1638" s="145">
        <f t="shared" si="498"/>
        <v>0</v>
      </c>
      <c r="AT1638" s="145"/>
      <c r="AU1638" s="139">
        <f t="shared" si="493"/>
        <v>0</v>
      </c>
      <c r="AV1638" s="146">
        <f>IFERROR(VLOOKUP(J1638,Maksājumu_pieprasījumu_iesn.!G:BL,57,0),0)</f>
        <v>0</v>
      </c>
      <c r="AW1638" s="139">
        <f t="shared" si="501"/>
        <v>0</v>
      </c>
      <c r="AX1638" s="153"/>
      <c r="AY1638" s="153"/>
      <c r="AZ1638" s="153"/>
      <c r="BA1638" s="136"/>
      <c r="BB1638" s="145"/>
      <c r="BC1638" s="145"/>
      <c r="BD1638" s="145"/>
      <c r="BE1638" s="145"/>
      <c r="BF1638" s="145"/>
      <c r="BG1638" s="145"/>
      <c r="BH1638" s="138"/>
      <c r="BI1638" s="138"/>
      <c r="BJ1638" s="138"/>
      <c r="BK1638" s="138"/>
      <c r="BL1638" s="138"/>
      <c r="BM1638" s="138"/>
      <c r="BN1638" s="138"/>
    </row>
    <row r="1639" spans="1:66" s="91" customFormat="1" ht="38.25" hidden="1" customHeight="1" x14ac:dyDescent="0.2">
      <c r="A1639" s="150" t="s">
        <v>2675</v>
      </c>
      <c r="B1639" s="18" t="s">
        <v>485</v>
      </c>
      <c r="C1639" s="18" t="s">
        <v>486</v>
      </c>
      <c r="D1639" s="19" t="s">
        <v>610</v>
      </c>
      <c r="E1639" s="55">
        <v>2</v>
      </c>
      <c r="F1639" s="55" t="s">
        <v>454</v>
      </c>
      <c r="G1639" s="55" t="s">
        <v>5</v>
      </c>
      <c r="H1639" s="55" t="s">
        <v>3</v>
      </c>
      <c r="I1639" s="55"/>
      <c r="J1639" s="55"/>
      <c r="K1639" s="19" t="s">
        <v>13</v>
      </c>
      <c r="L1639" s="19"/>
      <c r="M1639" s="19"/>
      <c r="N1639" s="19"/>
      <c r="O1639" s="151"/>
      <c r="P1639" s="151"/>
      <c r="Q1639" s="151"/>
      <c r="R1639" s="151"/>
      <c r="S1639" s="152"/>
      <c r="T1639" s="152"/>
      <c r="U1639" s="145">
        <v>0</v>
      </c>
      <c r="V1639" s="145">
        <v>0</v>
      </c>
      <c r="W1639" s="145">
        <v>0</v>
      </c>
      <c r="X1639" s="145">
        <f t="shared" si="503"/>
        <v>0</v>
      </c>
      <c r="Y1639" s="145">
        <v>0</v>
      </c>
      <c r="Z1639" s="145">
        <v>0</v>
      </c>
      <c r="AA1639" s="145">
        <v>0</v>
      </c>
      <c r="AB1639" s="145">
        <v>0</v>
      </c>
      <c r="AC1639" s="145">
        <v>0</v>
      </c>
      <c r="AD1639" s="145">
        <v>0</v>
      </c>
      <c r="AE1639" s="145">
        <v>0</v>
      </c>
      <c r="AF1639" s="145">
        <v>0</v>
      </c>
      <c r="AG1639" s="145">
        <v>0</v>
      </c>
      <c r="AH1639" s="145">
        <v>0</v>
      </c>
      <c r="AI1639" s="145">
        <v>0</v>
      </c>
      <c r="AJ1639" s="145">
        <v>0</v>
      </c>
      <c r="AK1639" s="145">
        <f t="shared" si="504"/>
        <v>0</v>
      </c>
      <c r="AL1639" s="145">
        <v>0</v>
      </c>
      <c r="AM1639" s="145">
        <v>0</v>
      </c>
      <c r="AN1639" s="145">
        <v>0</v>
      </c>
      <c r="AO1639" s="145">
        <v>0</v>
      </c>
      <c r="AP1639" s="145">
        <v>0</v>
      </c>
      <c r="AQ1639" s="145">
        <v>0</v>
      </c>
      <c r="AR1639" s="145">
        <v>0</v>
      </c>
      <c r="AS1639" s="145">
        <f t="shared" si="498"/>
        <v>0</v>
      </c>
      <c r="AT1639" s="145"/>
      <c r="AU1639" s="139">
        <f t="shared" si="493"/>
        <v>0</v>
      </c>
      <c r="AV1639" s="146">
        <f>IFERROR(VLOOKUP(J1639,Maksājumu_pieprasījumu_iesn.!G:BL,57,0),0)</f>
        <v>0</v>
      </c>
      <c r="AW1639" s="139">
        <f t="shared" si="501"/>
        <v>0</v>
      </c>
      <c r="AX1639" s="153"/>
      <c r="AY1639" s="153"/>
      <c r="AZ1639" s="153"/>
      <c r="BA1639" s="136"/>
      <c r="BB1639" s="145"/>
      <c r="BC1639" s="145"/>
      <c r="BD1639" s="145"/>
      <c r="BE1639" s="145"/>
      <c r="BF1639" s="145"/>
      <c r="BG1639" s="145"/>
      <c r="BH1639" s="138"/>
      <c r="BI1639" s="138"/>
      <c r="BJ1639" s="138"/>
      <c r="BK1639" s="138"/>
      <c r="BL1639" s="138"/>
      <c r="BM1639" s="138"/>
      <c r="BN1639" s="138"/>
    </row>
    <row r="1640" spans="1:66" s="91" customFormat="1" ht="38.25" hidden="1" customHeight="1" x14ac:dyDescent="0.2">
      <c r="A1640" s="150" t="s">
        <v>2675</v>
      </c>
      <c r="B1640" s="18" t="s">
        <v>485</v>
      </c>
      <c r="C1640" s="18" t="s">
        <v>486</v>
      </c>
      <c r="D1640" s="19" t="s">
        <v>610</v>
      </c>
      <c r="E1640" s="55">
        <v>2</v>
      </c>
      <c r="F1640" s="55" t="s">
        <v>454</v>
      </c>
      <c r="G1640" s="55" t="s">
        <v>5</v>
      </c>
      <c r="H1640" s="55" t="s">
        <v>3</v>
      </c>
      <c r="I1640" s="55"/>
      <c r="J1640" s="55"/>
      <c r="K1640" s="19" t="s">
        <v>477</v>
      </c>
      <c r="L1640" s="19"/>
      <c r="M1640" s="19"/>
      <c r="N1640" s="19"/>
      <c r="O1640" s="151"/>
      <c r="P1640" s="151"/>
      <c r="Q1640" s="151"/>
      <c r="R1640" s="151"/>
      <c r="S1640" s="152"/>
      <c r="T1640" s="152"/>
      <c r="U1640" s="145">
        <v>0</v>
      </c>
      <c r="V1640" s="145">
        <v>0</v>
      </c>
      <c r="W1640" s="145">
        <v>0</v>
      </c>
      <c r="X1640" s="145">
        <f t="shared" si="503"/>
        <v>0</v>
      </c>
      <c r="Y1640" s="145">
        <v>0</v>
      </c>
      <c r="Z1640" s="145">
        <v>0</v>
      </c>
      <c r="AA1640" s="145">
        <v>0</v>
      </c>
      <c r="AB1640" s="145">
        <v>0</v>
      </c>
      <c r="AC1640" s="145">
        <v>0</v>
      </c>
      <c r="AD1640" s="145">
        <v>0</v>
      </c>
      <c r="AE1640" s="145">
        <v>0</v>
      </c>
      <c r="AF1640" s="145">
        <v>0</v>
      </c>
      <c r="AG1640" s="145">
        <v>0</v>
      </c>
      <c r="AH1640" s="145">
        <v>0</v>
      </c>
      <c r="AI1640" s="145">
        <v>0</v>
      </c>
      <c r="AJ1640" s="145">
        <v>0</v>
      </c>
      <c r="AK1640" s="145">
        <f t="shared" si="504"/>
        <v>0</v>
      </c>
      <c r="AL1640" s="145">
        <v>0</v>
      </c>
      <c r="AM1640" s="145">
        <v>0</v>
      </c>
      <c r="AN1640" s="145">
        <v>0</v>
      </c>
      <c r="AO1640" s="145">
        <v>0</v>
      </c>
      <c r="AP1640" s="145">
        <v>0</v>
      </c>
      <c r="AQ1640" s="145">
        <v>0</v>
      </c>
      <c r="AR1640" s="145">
        <v>0</v>
      </c>
      <c r="AS1640" s="145">
        <f t="shared" si="498"/>
        <v>0</v>
      </c>
      <c r="AT1640" s="145"/>
      <c r="AU1640" s="139">
        <f t="shared" si="493"/>
        <v>0</v>
      </c>
      <c r="AV1640" s="146">
        <f>IFERROR(VLOOKUP(J1640,Maksājumu_pieprasījumu_iesn.!G:BL,57,0),0)</f>
        <v>0</v>
      </c>
      <c r="AW1640" s="139">
        <f t="shared" si="501"/>
        <v>0</v>
      </c>
      <c r="AX1640" s="153"/>
      <c r="AY1640" s="153"/>
      <c r="AZ1640" s="153"/>
      <c r="BA1640" s="136"/>
      <c r="BB1640" s="145"/>
      <c r="BC1640" s="145"/>
      <c r="BD1640" s="145"/>
      <c r="BE1640" s="145"/>
      <c r="BF1640" s="145"/>
      <c r="BG1640" s="145"/>
      <c r="BH1640" s="138"/>
      <c r="BI1640" s="138"/>
      <c r="BJ1640" s="138"/>
      <c r="BK1640" s="138"/>
      <c r="BL1640" s="138"/>
      <c r="BM1640" s="138"/>
      <c r="BN1640" s="138"/>
    </row>
    <row r="1641" spans="1:66" s="91" customFormat="1" ht="38.25" hidden="1" customHeight="1" x14ac:dyDescent="0.2">
      <c r="A1641" s="150" t="s">
        <v>2675</v>
      </c>
      <c r="B1641" s="18" t="s">
        <v>485</v>
      </c>
      <c r="C1641" s="18" t="s">
        <v>486</v>
      </c>
      <c r="D1641" s="19" t="s">
        <v>610</v>
      </c>
      <c r="E1641" s="55">
        <v>2</v>
      </c>
      <c r="F1641" s="55" t="s">
        <v>454</v>
      </c>
      <c r="G1641" s="55" t="s">
        <v>5</v>
      </c>
      <c r="H1641" s="55" t="s">
        <v>3</v>
      </c>
      <c r="I1641" s="55"/>
      <c r="J1641" s="55"/>
      <c r="K1641" s="19" t="s">
        <v>40</v>
      </c>
      <c r="L1641" s="19"/>
      <c r="M1641" s="19"/>
      <c r="N1641" s="19"/>
      <c r="O1641" s="151"/>
      <c r="P1641" s="151"/>
      <c r="Q1641" s="151"/>
      <c r="R1641" s="151"/>
      <c r="S1641" s="152"/>
      <c r="T1641" s="152"/>
      <c r="U1641" s="145">
        <v>0</v>
      </c>
      <c r="V1641" s="145">
        <v>0</v>
      </c>
      <c r="W1641" s="145">
        <v>0</v>
      </c>
      <c r="X1641" s="145">
        <f t="shared" si="503"/>
        <v>0</v>
      </c>
      <c r="Y1641" s="145">
        <v>0</v>
      </c>
      <c r="Z1641" s="145">
        <v>0</v>
      </c>
      <c r="AA1641" s="145">
        <v>0</v>
      </c>
      <c r="AB1641" s="145">
        <v>0</v>
      </c>
      <c r="AC1641" s="145">
        <v>0</v>
      </c>
      <c r="AD1641" s="145">
        <v>0</v>
      </c>
      <c r="AE1641" s="145">
        <v>0</v>
      </c>
      <c r="AF1641" s="145">
        <v>0</v>
      </c>
      <c r="AG1641" s="145">
        <v>0</v>
      </c>
      <c r="AH1641" s="145">
        <v>0</v>
      </c>
      <c r="AI1641" s="145">
        <v>0</v>
      </c>
      <c r="AJ1641" s="145">
        <v>0</v>
      </c>
      <c r="AK1641" s="145">
        <f t="shared" si="504"/>
        <v>0</v>
      </c>
      <c r="AL1641" s="145">
        <v>0</v>
      </c>
      <c r="AM1641" s="145">
        <v>0</v>
      </c>
      <c r="AN1641" s="145">
        <v>0</v>
      </c>
      <c r="AO1641" s="145">
        <v>0</v>
      </c>
      <c r="AP1641" s="145">
        <v>0</v>
      </c>
      <c r="AQ1641" s="145">
        <v>0</v>
      </c>
      <c r="AR1641" s="145">
        <v>0</v>
      </c>
      <c r="AS1641" s="145">
        <f t="shared" si="498"/>
        <v>0</v>
      </c>
      <c r="AT1641" s="145"/>
      <c r="AU1641" s="139">
        <f t="shared" si="493"/>
        <v>0</v>
      </c>
      <c r="AV1641" s="146">
        <f>IFERROR(VLOOKUP(J1641,Maksājumu_pieprasījumu_iesn.!G:BL,57,0),0)</f>
        <v>0</v>
      </c>
      <c r="AW1641" s="139">
        <f t="shared" si="501"/>
        <v>0</v>
      </c>
      <c r="AX1641" s="153"/>
      <c r="AY1641" s="153"/>
      <c r="AZ1641" s="153"/>
      <c r="BA1641" s="136"/>
      <c r="BB1641" s="145"/>
      <c r="BC1641" s="145"/>
      <c r="BD1641" s="145"/>
      <c r="BE1641" s="145"/>
      <c r="BF1641" s="145"/>
      <c r="BG1641" s="145"/>
      <c r="BH1641" s="138"/>
      <c r="BI1641" s="138"/>
      <c r="BJ1641" s="138"/>
      <c r="BK1641" s="138"/>
      <c r="BL1641" s="138"/>
      <c r="BM1641" s="138"/>
      <c r="BN1641" s="138"/>
    </row>
    <row r="1642" spans="1:66" s="91" customFormat="1" ht="38.25" hidden="1" customHeight="1" x14ac:dyDescent="0.2">
      <c r="A1642" s="150" t="s">
        <v>2675</v>
      </c>
      <c r="B1642" s="18" t="s">
        <v>485</v>
      </c>
      <c r="C1642" s="18" t="s">
        <v>486</v>
      </c>
      <c r="D1642" s="19" t="s">
        <v>610</v>
      </c>
      <c r="E1642" s="55">
        <v>2</v>
      </c>
      <c r="F1642" s="55" t="s">
        <v>454</v>
      </c>
      <c r="G1642" s="55" t="s">
        <v>5</v>
      </c>
      <c r="H1642" s="55" t="s">
        <v>3</v>
      </c>
      <c r="I1642" s="55"/>
      <c r="J1642" s="55"/>
      <c r="K1642" s="19" t="s">
        <v>519</v>
      </c>
      <c r="L1642" s="19"/>
      <c r="M1642" s="19"/>
      <c r="N1642" s="19"/>
      <c r="O1642" s="151"/>
      <c r="P1642" s="151"/>
      <c r="Q1642" s="151"/>
      <c r="R1642" s="151"/>
      <c r="S1642" s="152"/>
      <c r="T1642" s="152"/>
      <c r="U1642" s="145">
        <v>0</v>
      </c>
      <c r="V1642" s="145">
        <v>0</v>
      </c>
      <c r="W1642" s="145">
        <v>0</v>
      </c>
      <c r="X1642" s="145">
        <f t="shared" si="503"/>
        <v>0</v>
      </c>
      <c r="Y1642" s="145">
        <v>0</v>
      </c>
      <c r="Z1642" s="145">
        <v>0</v>
      </c>
      <c r="AA1642" s="145">
        <v>0</v>
      </c>
      <c r="AB1642" s="145">
        <v>0</v>
      </c>
      <c r="AC1642" s="145">
        <v>0</v>
      </c>
      <c r="AD1642" s="145">
        <v>0</v>
      </c>
      <c r="AE1642" s="145">
        <v>0</v>
      </c>
      <c r="AF1642" s="145">
        <v>0</v>
      </c>
      <c r="AG1642" s="145">
        <v>0</v>
      </c>
      <c r="AH1642" s="145">
        <v>0</v>
      </c>
      <c r="AI1642" s="145">
        <v>0</v>
      </c>
      <c r="AJ1642" s="145">
        <v>0</v>
      </c>
      <c r="AK1642" s="145">
        <f t="shared" si="504"/>
        <v>0</v>
      </c>
      <c r="AL1642" s="145">
        <v>0</v>
      </c>
      <c r="AM1642" s="145">
        <v>0</v>
      </c>
      <c r="AN1642" s="145">
        <v>0</v>
      </c>
      <c r="AO1642" s="145">
        <v>0</v>
      </c>
      <c r="AP1642" s="145">
        <v>0</v>
      </c>
      <c r="AQ1642" s="145">
        <v>0</v>
      </c>
      <c r="AR1642" s="145">
        <v>0</v>
      </c>
      <c r="AS1642" s="145">
        <f t="shared" si="498"/>
        <v>0</v>
      </c>
      <c r="AT1642" s="145"/>
      <c r="AU1642" s="139">
        <f t="shared" si="493"/>
        <v>0</v>
      </c>
      <c r="AV1642" s="146">
        <f>IFERROR(VLOOKUP(J1642,Maksājumu_pieprasījumu_iesn.!G:BL,57,0),0)</f>
        <v>0</v>
      </c>
      <c r="AW1642" s="139">
        <f t="shared" si="501"/>
        <v>0</v>
      </c>
      <c r="AX1642" s="153"/>
      <c r="AY1642" s="153"/>
      <c r="AZ1642" s="153"/>
      <c r="BA1642" s="136"/>
      <c r="BB1642" s="145"/>
      <c r="BC1642" s="145"/>
      <c r="BD1642" s="145"/>
      <c r="BE1642" s="145"/>
      <c r="BF1642" s="145"/>
      <c r="BG1642" s="145"/>
      <c r="BH1642" s="138"/>
      <c r="BI1642" s="138"/>
      <c r="BJ1642" s="138"/>
      <c r="BK1642" s="138"/>
      <c r="BL1642" s="138"/>
      <c r="BM1642" s="138"/>
      <c r="BN1642" s="138"/>
    </row>
    <row r="1643" spans="1:66" s="91" customFormat="1" ht="38.25" hidden="1" customHeight="1" x14ac:dyDescent="0.2">
      <c r="A1643" s="150" t="s">
        <v>2675</v>
      </c>
      <c r="B1643" s="18" t="s">
        <v>485</v>
      </c>
      <c r="C1643" s="18" t="s">
        <v>486</v>
      </c>
      <c r="D1643" s="19" t="s">
        <v>610</v>
      </c>
      <c r="E1643" s="55">
        <v>2</v>
      </c>
      <c r="F1643" s="55" t="s">
        <v>454</v>
      </c>
      <c r="G1643" s="55" t="s">
        <v>5</v>
      </c>
      <c r="H1643" s="55" t="s">
        <v>3</v>
      </c>
      <c r="I1643" s="55"/>
      <c r="J1643" s="55"/>
      <c r="K1643" s="19" t="s">
        <v>98</v>
      </c>
      <c r="L1643" s="19"/>
      <c r="M1643" s="19"/>
      <c r="N1643" s="19"/>
      <c r="O1643" s="151"/>
      <c r="P1643" s="151"/>
      <c r="Q1643" s="151"/>
      <c r="R1643" s="151"/>
      <c r="S1643" s="152"/>
      <c r="T1643" s="152"/>
      <c r="U1643" s="145">
        <v>0</v>
      </c>
      <c r="V1643" s="145">
        <v>0</v>
      </c>
      <c r="W1643" s="145">
        <v>0</v>
      </c>
      <c r="X1643" s="145">
        <f t="shared" si="503"/>
        <v>0</v>
      </c>
      <c r="Y1643" s="145">
        <v>0</v>
      </c>
      <c r="Z1643" s="145">
        <v>0</v>
      </c>
      <c r="AA1643" s="145">
        <v>0</v>
      </c>
      <c r="AB1643" s="145">
        <v>0</v>
      </c>
      <c r="AC1643" s="145">
        <v>0</v>
      </c>
      <c r="AD1643" s="145">
        <v>0</v>
      </c>
      <c r="AE1643" s="145">
        <v>0</v>
      </c>
      <c r="AF1643" s="145">
        <v>0</v>
      </c>
      <c r="AG1643" s="145">
        <v>0</v>
      </c>
      <c r="AH1643" s="145">
        <v>0</v>
      </c>
      <c r="AI1643" s="145">
        <v>0</v>
      </c>
      <c r="AJ1643" s="145">
        <v>0</v>
      </c>
      <c r="AK1643" s="145">
        <f t="shared" si="504"/>
        <v>0</v>
      </c>
      <c r="AL1643" s="145">
        <v>0</v>
      </c>
      <c r="AM1643" s="145">
        <v>0</v>
      </c>
      <c r="AN1643" s="145">
        <v>0</v>
      </c>
      <c r="AO1643" s="145">
        <v>0</v>
      </c>
      <c r="AP1643" s="145">
        <v>0</v>
      </c>
      <c r="AQ1643" s="145">
        <v>0</v>
      </c>
      <c r="AR1643" s="145">
        <v>0</v>
      </c>
      <c r="AS1643" s="145">
        <f t="shared" si="498"/>
        <v>0</v>
      </c>
      <c r="AT1643" s="145"/>
      <c r="AU1643" s="139">
        <f t="shared" si="493"/>
        <v>0</v>
      </c>
      <c r="AV1643" s="146">
        <f>IFERROR(VLOOKUP(J1643,Maksājumu_pieprasījumu_iesn.!G:BL,57,0),0)</f>
        <v>0</v>
      </c>
      <c r="AW1643" s="139">
        <f t="shared" si="501"/>
        <v>0</v>
      </c>
      <c r="AX1643" s="153"/>
      <c r="AY1643" s="153"/>
      <c r="AZ1643" s="153"/>
      <c r="BA1643" s="136"/>
      <c r="BB1643" s="145"/>
      <c r="BC1643" s="145"/>
      <c r="BD1643" s="145"/>
      <c r="BE1643" s="145"/>
      <c r="BF1643" s="145"/>
      <c r="BG1643" s="145"/>
      <c r="BH1643" s="138"/>
      <c r="BI1643" s="138"/>
      <c r="BJ1643" s="138"/>
      <c r="BK1643" s="138"/>
      <c r="BL1643" s="138"/>
      <c r="BM1643" s="138"/>
      <c r="BN1643" s="138"/>
    </row>
    <row r="1644" spans="1:66" s="91" customFormat="1" ht="38.25" hidden="1" customHeight="1" x14ac:dyDescent="0.2">
      <c r="A1644" s="150" t="s">
        <v>2675</v>
      </c>
      <c r="B1644" s="18" t="s">
        <v>485</v>
      </c>
      <c r="C1644" s="18" t="s">
        <v>486</v>
      </c>
      <c r="D1644" s="19" t="s">
        <v>610</v>
      </c>
      <c r="E1644" s="55">
        <v>2</v>
      </c>
      <c r="F1644" s="55" t="s">
        <v>454</v>
      </c>
      <c r="G1644" s="55" t="s">
        <v>5</v>
      </c>
      <c r="H1644" s="55" t="s">
        <v>3</v>
      </c>
      <c r="I1644" s="55"/>
      <c r="J1644" s="55"/>
      <c r="K1644" s="19" t="s">
        <v>524</v>
      </c>
      <c r="L1644" s="19"/>
      <c r="M1644" s="19"/>
      <c r="N1644" s="19"/>
      <c r="O1644" s="151"/>
      <c r="P1644" s="151"/>
      <c r="Q1644" s="151"/>
      <c r="R1644" s="151"/>
      <c r="S1644" s="152"/>
      <c r="T1644" s="152"/>
      <c r="U1644" s="145">
        <v>0</v>
      </c>
      <c r="V1644" s="145">
        <v>0</v>
      </c>
      <c r="W1644" s="145">
        <v>0</v>
      </c>
      <c r="X1644" s="145">
        <f t="shared" si="503"/>
        <v>0</v>
      </c>
      <c r="Y1644" s="145">
        <v>0</v>
      </c>
      <c r="Z1644" s="145">
        <v>0</v>
      </c>
      <c r="AA1644" s="145">
        <v>0</v>
      </c>
      <c r="AB1644" s="145">
        <v>0</v>
      </c>
      <c r="AC1644" s="145">
        <v>0</v>
      </c>
      <c r="AD1644" s="145">
        <v>0</v>
      </c>
      <c r="AE1644" s="145">
        <v>0</v>
      </c>
      <c r="AF1644" s="145">
        <v>0</v>
      </c>
      <c r="AG1644" s="145">
        <v>0</v>
      </c>
      <c r="AH1644" s="145">
        <v>0</v>
      </c>
      <c r="AI1644" s="145">
        <v>0</v>
      </c>
      <c r="AJ1644" s="145">
        <v>0</v>
      </c>
      <c r="AK1644" s="145">
        <f t="shared" si="504"/>
        <v>0</v>
      </c>
      <c r="AL1644" s="145">
        <v>0</v>
      </c>
      <c r="AM1644" s="145">
        <v>0</v>
      </c>
      <c r="AN1644" s="145">
        <v>0</v>
      </c>
      <c r="AO1644" s="145">
        <v>0</v>
      </c>
      <c r="AP1644" s="145">
        <v>0</v>
      </c>
      <c r="AQ1644" s="145">
        <v>0</v>
      </c>
      <c r="AR1644" s="145">
        <v>0</v>
      </c>
      <c r="AS1644" s="145">
        <f t="shared" si="498"/>
        <v>0</v>
      </c>
      <c r="AT1644" s="145"/>
      <c r="AU1644" s="139">
        <f t="shared" si="493"/>
        <v>0</v>
      </c>
      <c r="AV1644" s="146">
        <f>IFERROR(VLOOKUP(J1644,Maksājumu_pieprasījumu_iesn.!G:BL,57,0),0)</f>
        <v>0</v>
      </c>
      <c r="AW1644" s="139">
        <f t="shared" si="501"/>
        <v>0</v>
      </c>
      <c r="AX1644" s="153"/>
      <c r="AY1644" s="153"/>
      <c r="AZ1644" s="153"/>
      <c r="BA1644" s="136"/>
      <c r="BB1644" s="145"/>
      <c r="BC1644" s="145"/>
      <c r="BD1644" s="145"/>
      <c r="BE1644" s="145"/>
      <c r="BF1644" s="145"/>
      <c r="BG1644" s="145"/>
      <c r="BH1644" s="138"/>
      <c r="BI1644" s="138"/>
      <c r="BJ1644" s="138"/>
      <c r="BK1644" s="138"/>
      <c r="BL1644" s="138"/>
      <c r="BM1644" s="138"/>
      <c r="BN1644" s="138"/>
    </row>
    <row r="1645" spans="1:66" s="91" customFormat="1" ht="38.25" hidden="1" customHeight="1" x14ac:dyDescent="0.2">
      <c r="A1645" s="150" t="s">
        <v>2675</v>
      </c>
      <c r="B1645" s="18" t="s">
        <v>485</v>
      </c>
      <c r="C1645" s="18" t="s">
        <v>486</v>
      </c>
      <c r="D1645" s="19" t="s">
        <v>610</v>
      </c>
      <c r="E1645" s="55">
        <v>2</v>
      </c>
      <c r="F1645" s="55" t="s">
        <v>454</v>
      </c>
      <c r="G1645" s="55" t="s">
        <v>5</v>
      </c>
      <c r="H1645" s="55" t="s">
        <v>3</v>
      </c>
      <c r="I1645" s="55"/>
      <c r="J1645" s="55"/>
      <c r="K1645" s="19" t="s">
        <v>527</v>
      </c>
      <c r="L1645" s="19"/>
      <c r="M1645" s="19"/>
      <c r="N1645" s="19"/>
      <c r="O1645" s="151"/>
      <c r="P1645" s="151"/>
      <c r="Q1645" s="151"/>
      <c r="R1645" s="151"/>
      <c r="S1645" s="152"/>
      <c r="T1645" s="152"/>
      <c r="U1645" s="145">
        <v>0</v>
      </c>
      <c r="V1645" s="145">
        <v>0</v>
      </c>
      <c r="W1645" s="145">
        <v>0</v>
      </c>
      <c r="X1645" s="145">
        <f t="shared" si="503"/>
        <v>0</v>
      </c>
      <c r="Y1645" s="145">
        <v>0</v>
      </c>
      <c r="Z1645" s="145">
        <v>0</v>
      </c>
      <c r="AA1645" s="145">
        <v>0</v>
      </c>
      <c r="AB1645" s="145">
        <v>0</v>
      </c>
      <c r="AC1645" s="145">
        <v>0</v>
      </c>
      <c r="AD1645" s="145">
        <v>0</v>
      </c>
      <c r="AE1645" s="145">
        <v>0</v>
      </c>
      <c r="AF1645" s="145">
        <v>0</v>
      </c>
      <c r="AG1645" s="145">
        <v>0</v>
      </c>
      <c r="AH1645" s="145">
        <v>0</v>
      </c>
      <c r="AI1645" s="145">
        <v>0</v>
      </c>
      <c r="AJ1645" s="145">
        <v>0</v>
      </c>
      <c r="AK1645" s="145">
        <f t="shared" si="504"/>
        <v>0</v>
      </c>
      <c r="AL1645" s="145">
        <v>0</v>
      </c>
      <c r="AM1645" s="145">
        <v>0</v>
      </c>
      <c r="AN1645" s="145">
        <v>0</v>
      </c>
      <c r="AO1645" s="145">
        <v>0</v>
      </c>
      <c r="AP1645" s="145">
        <v>0</v>
      </c>
      <c r="AQ1645" s="145">
        <v>0</v>
      </c>
      <c r="AR1645" s="145">
        <v>0</v>
      </c>
      <c r="AS1645" s="145">
        <f t="shared" si="498"/>
        <v>0</v>
      </c>
      <c r="AT1645" s="145"/>
      <c r="AU1645" s="139">
        <f t="shared" si="493"/>
        <v>0</v>
      </c>
      <c r="AV1645" s="146">
        <f>IFERROR(VLOOKUP(J1645,Maksājumu_pieprasījumu_iesn.!G:BL,57,0),0)</f>
        <v>0</v>
      </c>
      <c r="AW1645" s="139">
        <f t="shared" si="501"/>
        <v>0</v>
      </c>
      <c r="AX1645" s="153"/>
      <c r="AY1645" s="153"/>
      <c r="AZ1645" s="153"/>
      <c r="BA1645" s="136"/>
      <c r="BB1645" s="145"/>
      <c r="BC1645" s="145"/>
      <c r="BD1645" s="145"/>
      <c r="BE1645" s="145"/>
      <c r="BF1645" s="145"/>
      <c r="BG1645" s="145"/>
      <c r="BH1645" s="138"/>
      <c r="BI1645" s="138"/>
      <c r="BJ1645" s="138"/>
      <c r="BK1645" s="138"/>
      <c r="BL1645" s="138"/>
      <c r="BM1645" s="138"/>
      <c r="BN1645" s="138"/>
    </row>
    <row r="1646" spans="1:66" s="91" customFormat="1" ht="38.25" hidden="1" customHeight="1" x14ac:dyDescent="0.2">
      <c r="A1646" s="150" t="s">
        <v>2675</v>
      </c>
      <c r="B1646" s="18" t="s">
        <v>485</v>
      </c>
      <c r="C1646" s="18" t="s">
        <v>486</v>
      </c>
      <c r="D1646" s="19" t="s">
        <v>610</v>
      </c>
      <c r="E1646" s="55">
        <v>2</v>
      </c>
      <c r="F1646" s="55" t="s">
        <v>454</v>
      </c>
      <c r="G1646" s="55" t="s">
        <v>5</v>
      </c>
      <c r="H1646" s="55" t="s">
        <v>3</v>
      </c>
      <c r="I1646" s="55"/>
      <c r="J1646" s="55"/>
      <c r="K1646" s="19" t="s">
        <v>530</v>
      </c>
      <c r="L1646" s="19"/>
      <c r="M1646" s="19"/>
      <c r="N1646" s="19"/>
      <c r="O1646" s="151"/>
      <c r="P1646" s="151"/>
      <c r="Q1646" s="151"/>
      <c r="R1646" s="151"/>
      <c r="S1646" s="152"/>
      <c r="T1646" s="152"/>
      <c r="U1646" s="145">
        <v>0</v>
      </c>
      <c r="V1646" s="145">
        <v>0</v>
      </c>
      <c r="W1646" s="145">
        <v>0</v>
      </c>
      <c r="X1646" s="145">
        <f t="shared" si="503"/>
        <v>0</v>
      </c>
      <c r="Y1646" s="145">
        <v>0</v>
      </c>
      <c r="Z1646" s="145">
        <v>0</v>
      </c>
      <c r="AA1646" s="145">
        <v>0</v>
      </c>
      <c r="AB1646" s="145">
        <v>0</v>
      </c>
      <c r="AC1646" s="145">
        <v>0</v>
      </c>
      <c r="AD1646" s="145">
        <v>0</v>
      </c>
      <c r="AE1646" s="145">
        <v>0</v>
      </c>
      <c r="AF1646" s="145">
        <v>0</v>
      </c>
      <c r="AG1646" s="145">
        <v>0</v>
      </c>
      <c r="AH1646" s="145">
        <v>0</v>
      </c>
      <c r="AI1646" s="145">
        <v>0</v>
      </c>
      <c r="AJ1646" s="145">
        <v>0</v>
      </c>
      <c r="AK1646" s="145">
        <f t="shared" si="504"/>
        <v>0</v>
      </c>
      <c r="AL1646" s="145">
        <v>0</v>
      </c>
      <c r="AM1646" s="145">
        <v>0</v>
      </c>
      <c r="AN1646" s="145">
        <v>0</v>
      </c>
      <c r="AO1646" s="145">
        <v>0</v>
      </c>
      <c r="AP1646" s="145">
        <v>0</v>
      </c>
      <c r="AQ1646" s="145">
        <v>0</v>
      </c>
      <c r="AR1646" s="145">
        <v>0</v>
      </c>
      <c r="AS1646" s="145">
        <f t="shared" si="498"/>
        <v>0</v>
      </c>
      <c r="AT1646" s="145"/>
      <c r="AU1646" s="139">
        <f t="shared" si="493"/>
        <v>0</v>
      </c>
      <c r="AV1646" s="146">
        <f>IFERROR(VLOOKUP(J1646,Maksājumu_pieprasījumu_iesn.!G:BL,57,0),0)</f>
        <v>0</v>
      </c>
      <c r="AW1646" s="139">
        <f t="shared" si="501"/>
        <v>0</v>
      </c>
      <c r="AX1646" s="153"/>
      <c r="AY1646" s="153"/>
      <c r="AZ1646" s="153"/>
      <c r="BA1646" s="136"/>
      <c r="BB1646" s="145"/>
      <c r="BC1646" s="145"/>
      <c r="BD1646" s="145"/>
      <c r="BE1646" s="145"/>
      <c r="BF1646" s="145"/>
      <c r="BG1646" s="145"/>
      <c r="BH1646" s="138"/>
      <c r="BI1646" s="138"/>
      <c r="BJ1646" s="138"/>
      <c r="BK1646" s="138"/>
      <c r="BL1646" s="138"/>
      <c r="BM1646" s="138"/>
      <c r="BN1646" s="138"/>
    </row>
    <row r="1647" spans="1:66" s="91" customFormat="1" ht="38.25" hidden="1" customHeight="1" x14ac:dyDescent="0.2">
      <c r="A1647" s="150" t="s">
        <v>2675</v>
      </c>
      <c r="B1647" s="18" t="s">
        <v>485</v>
      </c>
      <c r="C1647" s="18" t="s">
        <v>486</v>
      </c>
      <c r="D1647" s="19" t="s">
        <v>610</v>
      </c>
      <c r="E1647" s="55">
        <v>2</v>
      </c>
      <c r="F1647" s="55" t="s">
        <v>454</v>
      </c>
      <c r="G1647" s="55" t="s">
        <v>5</v>
      </c>
      <c r="H1647" s="55" t="s">
        <v>3</v>
      </c>
      <c r="I1647" s="55"/>
      <c r="J1647" s="55"/>
      <c r="K1647" s="19" t="s">
        <v>37</v>
      </c>
      <c r="L1647" s="19"/>
      <c r="M1647" s="19"/>
      <c r="N1647" s="19"/>
      <c r="O1647" s="151"/>
      <c r="P1647" s="151"/>
      <c r="Q1647" s="151"/>
      <c r="R1647" s="151"/>
      <c r="S1647" s="152"/>
      <c r="T1647" s="152"/>
      <c r="U1647" s="145">
        <v>0</v>
      </c>
      <c r="V1647" s="145">
        <v>0</v>
      </c>
      <c r="W1647" s="145">
        <v>0</v>
      </c>
      <c r="X1647" s="145">
        <f t="shared" si="503"/>
        <v>0</v>
      </c>
      <c r="Y1647" s="145">
        <v>0</v>
      </c>
      <c r="Z1647" s="145">
        <v>0</v>
      </c>
      <c r="AA1647" s="145">
        <v>0</v>
      </c>
      <c r="AB1647" s="145">
        <v>0</v>
      </c>
      <c r="AC1647" s="145">
        <v>0</v>
      </c>
      <c r="AD1647" s="145">
        <v>0</v>
      </c>
      <c r="AE1647" s="145">
        <v>0</v>
      </c>
      <c r="AF1647" s="145">
        <v>0</v>
      </c>
      <c r="AG1647" s="145">
        <v>0</v>
      </c>
      <c r="AH1647" s="145">
        <v>0</v>
      </c>
      <c r="AI1647" s="145">
        <v>0</v>
      </c>
      <c r="AJ1647" s="145">
        <v>0</v>
      </c>
      <c r="AK1647" s="145">
        <f t="shared" si="504"/>
        <v>0</v>
      </c>
      <c r="AL1647" s="145">
        <v>0</v>
      </c>
      <c r="AM1647" s="145">
        <v>0</v>
      </c>
      <c r="AN1647" s="145">
        <v>0</v>
      </c>
      <c r="AO1647" s="145">
        <v>0</v>
      </c>
      <c r="AP1647" s="145">
        <v>0</v>
      </c>
      <c r="AQ1647" s="145">
        <v>0</v>
      </c>
      <c r="AR1647" s="145">
        <v>0</v>
      </c>
      <c r="AS1647" s="145">
        <f t="shared" si="498"/>
        <v>0</v>
      </c>
      <c r="AT1647" s="145"/>
      <c r="AU1647" s="139">
        <f t="shared" si="493"/>
        <v>0</v>
      </c>
      <c r="AV1647" s="146">
        <f>IFERROR(VLOOKUP(J1647,Maksājumu_pieprasījumu_iesn.!G:BL,57,0),0)</f>
        <v>0</v>
      </c>
      <c r="AW1647" s="139">
        <f t="shared" si="501"/>
        <v>0</v>
      </c>
      <c r="AX1647" s="153"/>
      <c r="AY1647" s="153"/>
      <c r="AZ1647" s="153"/>
      <c r="BA1647" s="136"/>
      <c r="BB1647" s="145"/>
      <c r="BC1647" s="145"/>
      <c r="BD1647" s="145"/>
      <c r="BE1647" s="145"/>
      <c r="BF1647" s="145"/>
      <c r="BG1647" s="145"/>
      <c r="BH1647" s="138"/>
      <c r="BI1647" s="138"/>
      <c r="BJ1647" s="138"/>
      <c r="BK1647" s="138"/>
      <c r="BL1647" s="138"/>
      <c r="BM1647" s="138"/>
      <c r="BN1647" s="138"/>
    </row>
    <row r="1648" spans="1:66" s="91" customFormat="1" ht="38.25" hidden="1" customHeight="1" x14ac:dyDescent="0.2">
      <c r="A1648" s="150" t="s">
        <v>2675</v>
      </c>
      <c r="B1648" s="18" t="s">
        <v>485</v>
      </c>
      <c r="C1648" s="18" t="s">
        <v>486</v>
      </c>
      <c r="D1648" s="19" t="s">
        <v>610</v>
      </c>
      <c r="E1648" s="55">
        <v>2</v>
      </c>
      <c r="F1648" s="55" t="s">
        <v>454</v>
      </c>
      <c r="G1648" s="55" t="s">
        <v>5</v>
      </c>
      <c r="H1648" s="55" t="s">
        <v>3</v>
      </c>
      <c r="I1648" s="55"/>
      <c r="J1648" s="55"/>
      <c r="K1648" s="19" t="s">
        <v>535</v>
      </c>
      <c r="L1648" s="19"/>
      <c r="M1648" s="19"/>
      <c r="N1648" s="19"/>
      <c r="O1648" s="151"/>
      <c r="P1648" s="151"/>
      <c r="Q1648" s="151"/>
      <c r="R1648" s="151"/>
      <c r="S1648" s="152"/>
      <c r="T1648" s="152"/>
      <c r="U1648" s="145">
        <v>0</v>
      </c>
      <c r="V1648" s="145">
        <v>0</v>
      </c>
      <c r="W1648" s="145">
        <v>0</v>
      </c>
      <c r="X1648" s="145">
        <f t="shared" si="503"/>
        <v>0</v>
      </c>
      <c r="Y1648" s="145">
        <v>0</v>
      </c>
      <c r="Z1648" s="145">
        <v>0</v>
      </c>
      <c r="AA1648" s="145">
        <v>0</v>
      </c>
      <c r="AB1648" s="145">
        <v>0</v>
      </c>
      <c r="AC1648" s="145">
        <v>0</v>
      </c>
      <c r="AD1648" s="145">
        <v>0</v>
      </c>
      <c r="AE1648" s="145">
        <v>0</v>
      </c>
      <c r="AF1648" s="145">
        <v>0</v>
      </c>
      <c r="AG1648" s="145">
        <v>0</v>
      </c>
      <c r="AH1648" s="145">
        <v>0</v>
      </c>
      <c r="AI1648" s="145">
        <v>0</v>
      </c>
      <c r="AJ1648" s="145">
        <v>0</v>
      </c>
      <c r="AK1648" s="145">
        <f t="shared" si="504"/>
        <v>0</v>
      </c>
      <c r="AL1648" s="145">
        <v>0</v>
      </c>
      <c r="AM1648" s="145">
        <v>0</v>
      </c>
      <c r="AN1648" s="145">
        <v>0</v>
      </c>
      <c r="AO1648" s="145">
        <v>0</v>
      </c>
      <c r="AP1648" s="145">
        <v>0</v>
      </c>
      <c r="AQ1648" s="145">
        <v>0</v>
      </c>
      <c r="AR1648" s="145">
        <v>0</v>
      </c>
      <c r="AS1648" s="145">
        <f t="shared" si="498"/>
        <v>0</v>
      </c>
      <c r="AT1648" s="145"/>
      <c r="AU1648" s="139">
        <f t="shared" si="493"/>
        <v>0</v>
      </c>
      <c r="AV1648" s="146">
        <f>IFERROR(VLOOKUP(J1648,Maksājumu_pieprasījumu_iesn.!G:BL,57,0),0)</f>
        <v>0</v>
      </c>
      <c r="AW1648" s="139">
        <f t="shared" si="501"/>
        <v>0</v>
      </c>
      <c r="AX1648" s="153"/>
      <c r="AY1648" s="153"/>
      <c r="AZ1648" s="153"/>
      <c r="BA1648" s="136"/>
      <c r="BB1648" s="145"/>
      <c r="BC1648" s="145"/>
      <c r="BD1648" s="145"/>
      <c r="BE1648" s="145"/>
      <c r="BF1648" s="145"/>
      <c r="BG1648" s="145"/>
      <c r="BH1648" s="138"/>
      <c r="BI1648" s="138"/>
      <c r="BJ1648" s="138"/>
      <c r="BK1648" s="138"/>
      <c r="BL1648" s="138"/>
      <c r="BM1648" s="138"/>
      <c r="BN1648" s="138"/>
    </row>
    <row r="1649" spans="1:66" s="91" customFormat="1" ht="12.75" hidden="1" customHeight="1" x14ac:dyDescent="0.2">
      <c r="A1649" s="190" t="s">
        <v>2677</v>
      </c>
      <c r="B1649" s="120" t="s">
        <v>1020</v>
      </c>
      <c r="C1649" s="121" t="s">
        <v>102</v>
      </c>
      <c r="D1649" s="122" t="s">
        <v>2678</v>
      </c>
      <c r="E1649" s="121"/>
      <c r="F1649" s="121"/>
      <c r="G1649" s="121" t="s">
        <v>102</v>
      </c>
      <c r="H1649" s="121"/>
      <c r="I1649" s="121"/>
      <c r="J1649" s="123"/>
      <c r="K1649" s="191"/>
      <c r="L1649" s="191"/>
      <c r="M1649" s="191"/>
      <c r="N1649" s="191"/>
      <c r="O1649" s="192"/>
      <c r="P1649" s="192"/>
      <c r="Q1649" s="192"/>
      <c r="R1649" s="192"/>
      <c r="S1649" s="179">
        <f>S1651+S1657</f>
        <v>40715710</v>
      </c>
      <c r="T1649" s="179">
        <f>T1651+T1657</f>
        <v>0</v>
      </c>
      <c r="U1649" s="179">
        <f>U1651+U1657</f>
        <v>0</v>
      </c>
      <c r="V1649" s="179">
        <f>V1651+V1657</f>
        <v>0</v>
      </c>
      <c r="W1649" s="179">
        <f>W1651+W1657</f>
        <v>3497583.9399999995</v>
      </c>
      <c r="X1649" s="125">
        <f>U1649+V1649+W1649</f>
        <v>3497583.9399999995</v>
      </c>
      <c r="Y1649" s="179">
        <f t="shared" ref="Y1649:AT1649" si="505">Y1651+Y1657</f>
        <v>210579</v>
      </c>
      <c r="Z1649" s="179">
        <f t="shared" si="505"/>
        <v>1529530.27</v>
      </c>
      <c r="AA1649" s="179">
        <f t="shared" si="505"/>
        <v>0</v>
      </c>
      <c r="AB1649" s="179">
        <f t="shared" si="505"/>
        <v>165387.24</v>
      </c>
      <c r="AC1649" s="179">
        <f t="shared" si="505"/>
        <v>1278250.3999999999</v>
      </c>
      <c r="AD1649" s="179">
        <f t="shared" si="505"/>
        <v>0</v>
      </c>
      <c r="AE1649" s="179">
        <f t="shared" si="505"/>
        <v>173981.3</v>
      </c>
      <c r="AF1649" s="179">
        <f t="shared" si="505"/>
        <v>1476275.75</v>
      </c>
      <c r="AG1649" s="179">
        <f t="shared" si="505"/>
        <v>0</v>
      </c>
      <c r="AH1649" s="179">
        <f t="shared" si="505"/>
        <v>184972.02</v>
      </c>
      <c r="AI1649" s="179">
        <f t="shared" si="505"/>
        <v>1604098.8399999999</v>
      </c>
      <c r="AJ1649" s="179">
        <f t="shared" si="505"/>
        <v>0</v>
      </c>
      <c r="AK1649" s="179">
        <f>AK1651+AK1657</f>
        <v>6623074.8199999994</v>
      </c>
      <c r="AL1649" s="179">
        <f t="shared" si="505"/>
        <v>7499427.9499999993</v>
      </c>
      <c r="AM1649" s="179">
        <f t="shared" si="505"/>
        <v>2127032.5500000003</v>
      </c>
      <c r="AN1649" s="179">
        <f t="shared" si="505"/>
        <v>0</v>
      </c>
      <c r="AO1649" s="179">
        <f t="shared" si="505"/>
        <v>0</v>
      </c>
      <c r="AP1649" s="179">
        <f t="shared" si="505"/>
        <v>0</v>
      </c>
      <c r="AQ1649" s="179">
        <f t="shared" si="505"/>
        <v>0</v>
      </c>
      <c r="AR1649" s="179">
        <f t="shared" si="505"/>
        <v>0</v>
      </c>
      <c r="AS1649" s="179">
        <f>AS1651+AS1657</f>
        <v>19747119.259999998</v>
      </c>
      <c r="AT1649" s="179">
        <f t="shared" si="505"/>
        <v>0</v>
      </c>
      <c r="AU1649" s="351">
        <f>AS1649-AT1649</f>
        <v>19747119.259999998</v>
      </c>
      <c r="AV1649" s="146">
        <f>IFERROR(VLOOKUP(J1649,Maksājumu_pieprasījumu_iesn.!G:BL,57,0),0)</f>
        <v>0</v>
      </c>
      <c r="AW1649" s="139">
        <f t="shared" si="501"/>
        <v>-19747119.259999998</v>
      </c>
      <c r="AX1649" s="179">
        <f>S1649-T1649-AT1649-AS1649</f>
        <v>20968590.740000002</v>
      </c>
      <c r="AY1649" s="179"/>
      <c r="AZ1649" s="179"/>
      <c r="BA1649" s="179"/>
      <c r="BB1649" s="179"/>
      <c r="BC1649" s="125"/>
      <c r="BD1649" s="179">
        <f>BD1651+BD1657</f>
        <v>0</v>
      </c>
      <c r="BE1649" s="179">
        <f>BE1651+BE1657</f>
        <v>16318085.570588233</v>
      </c>
      <c r="BF1649" s="125"/>
      <c r="BG1649" s="179">
        <f>BG1651+BG1657</f>
        <v>0</v>
      </c>
      <c r="BH1649" s="125">
        <f>BH1651+BH152</f>
        <v>3497231.12</v>
      </c>
      <c r="BI1649" s="125">
        <f>BI1650</f>
        <v>5695506</v>
      </c>
      <c r="BJ1649" s="125">
        <f>BJ1650+BJ1657</f>
        <v>6623074.8199999994</v>
      </c>
      <c r="BK1649" s="125">
        <f>BK1651+BK1657</f>
        <v>0</v>
      </c>
      <c r="BL1649" s="125">
        <f>BL1651+BL1657</f>
        <v>11165117.880000001</v>
      </c>
      <c r="BM1649" s="125">
        <f>BM1651+BM1657</f>
        <v>0</v>
      </c>
      <c r="BN1649" s="125">
        <f>BN1651+BN1657</f>
        <v>0</v>
      </c>
    </row>
    <row r="1650" spans="1:66" s="91" customFormat="1" ht="51" hidden="1" x14ac:dyDescent="0.2">
      <c r="A1650" s="127" t="s">
        <v>2677</v>
      </c>
      <c r="B1650" s="127" t="s">
        <v>537</v>
      </c>
      <c r="C1650" s="127" t="s">
        <v>1023</v>
      </c>
      <c r="D1650" s="128" t="s">
        <v>611</v>
      </c>
      <c r="E1650" s="127"/>
      <c r="F1650" s="127"/>
      <c r="G1650" s="127" t="s">
        <v>102</v>
      </c>
      <c r="H1650" s="127"/>
      <c r="I1650" s="127"/>
      <c r="J1650" s="127"/>
      <c r="K1650" s="128"/>
      <c r="L1650" s="128"/>
      <c r="M1650" s="128"/>
      <c r="N1650" s="128"/>
      <c r="O1650" s="163"/>
      <c r="P1650" s="163"/>
      <c r="Q1650" s="163"/>
      <c r="R1650" s="163"/>
      <c r="S1650" s="164">
        <f>S1651+S1657</f>
        <v>40715710</v>
      </c>
      <c r="T1650" s="164">
        <f>T1651+T1657</f>
        <v>0</v>
      </c>
      <c r="U1650" s="164">
        <f>U1651+U1657</f>
        <v>0</v>
      </c>
      <c r="V1650" s="164">
        <f>V1651+V1657</f>
        <v>0</v>
      </c>
      <c r="W1650" s="164">
        <f>W1651+W1657</f>
        <v>3497583.9399999995</v>
      </c>
      <c r="X1650" s="129">
        <f>U1650+V1650+W1650</f>
        <v>3497583.9399999995</v>
      </c>
      <c r="Y1650" s="164">
        <f t="shared" ref="Y1650:AT1650" si="506">Y1651+Y1657</f>
        <v>210579</v>
      </c>
      <c r="Z1650" s="164">
        <f t="shared" si="506"/>
        <v>1529530.27</v>
      </c>
      <c r="AA1650" s="164">
        <f t="shared" si="506"/>
        <v>0</v>
      </c>
      <c r="AB1650" s="164">
        <f t="shared" si="506"/>
        <v>165387.24</v>
      </c>
      <c r="AC1650" s="164">
        <f t="shared" si="506"/>
        <v>1278250.3999999999</v>
      </c>
      <c r="AD1650" s="164">
        <f t="shared" si="506"/>
        <v>0</v>
      </c>
      <c r="AE1650" s="164">
        <f t="shared" si="506"/>
        <v>173981.3</v>
      </c>
      <c r="AF1650" s="164">
        <f t="shared" si="506"/>
        <v>1476275.75</v>
      </c>
      <c r="AG1650" s="164">
        <f t="shared" si="506"/>
        <v>0</v>
      </c>
      <c r="AH1650" s="164">
        <f t="shared" si="506"/>
        <v>184972.02</v>
      </c>
      <c r="AI1650" s="164">
        <f t="shared" si="506"/>
        <v>1604098.8399999999</v>
      </c>
      <c r="AJ1650" s="164">
        <f t="shared" si="506"/>
        <v>0</v>
      </c>
      <c r="AK1650" s="164">
        <f>AK1651+AK1657</f>
        <v>6623074.8199999994</v>
      </c>
      <c r="AL1650" s="164">
        <f t="shared" si="506"/>
        <v>7499427.9499999993</v>
      </c>
      <c r="AM1650" s="164">
        <f t="shared" si="506"/>
        <v>2127032.5500000003</v>
      </c>
      <c r="AN1650" s="164">
        <f t="shared" si="506"/>
        <v>0</v>
      </c>
      <c r="AO1650" s="164">
        <f t="shared" si="506"/>
        <v>0</v>
      </c>
      <c r="AP1650" s="164">
        <f t="shared" si="506"/>
        <v>0</v>
      </c>
      <c r="AQ1650" s="164">
        <f t="shared" si="506"/>
        <v>0</v>
      </c>
      <c r="AR1650" s="164">
        <f t="shared" si="506"/>
        <v>0</v>
      </c>
      <c r="AS1650" s="164">
        <f>AS1651+AS1657</f>
        <v>19747119.259999998</v>
      </c>
      <c r="AT1650" s="164">
        <f t="shared" si="506"/>
        <v>0</v>
      </c>
      <c r="AU1650" s="183">
        <f>AS1650-AT1650</f>
        <v>19747119.259999998</v>
      </c>
      <c r="AV1650" s="146">
        <f>IFERROR(VLOOKUP(J1650,Maksājumu_pieprasījumu_iesn.!G:BL,57,0),0)</f>
        <v>0</v>
      </c>
      <c r="AW1650" s="139">
        <f t="shared" si="501"/>
        <v>-19747119.259999998</v>
      </c>
      <c r="AX1650" s="164">
        <f>AX1651+AX1657</f>
        <v>20968590.740000002</v>
      </c>
      <c r="AY1650" s="164"/>
      <c r="AZ1650" s="164"/>
      <c r="BA1650" s="164"/>
      <c r="BB1650" s="164">
        <f>BB1651+BB1657</f>
        <v>0</v>
      </c>
      <c r="BC1650" s="164">
        <f>BC1651+BC1657</f>
        <v>13870372.734999998</v>
      </c>
      <c r="BD1650" s="164"/>
      <c r="BE1650" s="129">
        <f>BD1650/0.85</f>
        <v>0</v>
      </c>
      <c r="BF1650" s="164">
        <f>BF1651+BF1657</f>
        <v>0</v>
      </c>
      <c r="BG1650" s="164">
        <f>BG1651+BG1657</f>
        <v>0</v>
      </c>
      <c r="BH1650" s="129">
        <f>BH1651+BH1657</f>
        <v>3497231.12</v>
      </c>
      <c r="BI1650" s="129">
        <f>BI1651+BI1657</f>
        <v>5695506</v>
      </c>
      <c r="BJ1650" s="129">
        <f>AK1650</f>
        <v>6623074.8199999994</v>
      </c>
      <c r="BK1650" s="129">
        <f>BJ1650-BI1650</f>
        <v>927568.81999999937</v>
      </c>
      <c r="BL1650" s="129">
        <f>BL1651+BL1657</f>
        <v>11165117.880000001</v>
      </c>
      <c r="BM1650" s="129">
        <f>AL1650</f>
        <v>7499427.9499999993</v>
      </c>
      <c r="BN1650" s="129">
        <f>BM1650-BL1650</f>
        <v>-3665689.9300000016</v>
      </c>
    </row>
    <row r="1651" spans="1:66" s="91" customFormat="1" ht="114.75" hidden="1" customHeight="1" x14ac:dyDescent="0.2">
      <c r="A1651" s="131" t="s">
        <v>2677</v>
      </c>
      <c r="B1651" s="132" t="s">
        <v>537</v>
      </c>
      <c r="C1651" s="132" t="s">
        <v>538</v>
      </c>
      <c r="D1651" s="133" t="s">
        <v>611</v>
      </c>
      <c r="E1651" s="22">
        <v>1</v>
      </c>
      <c r="F1651" s="22" t="s">
        <v>454</v>
      </c>
      <c r="G1651" s="22" t="s">
        <v>102</v>
      </c>
      <c r="H1651" s="22" t="s">
        <v>3</v>
      </c>
      <c r="I1651" s="22" t="s">
        <v>1022</v>
      </c>
      <c r="J1651" s="134" t="s">
        <v>1026</v>
      </c>
      <c r="K1651" s="133"/>
      <c r="L1651" s="133"/>
      <c r="M1651" s="133"/>
      <c r="N1651" s="133"/>
      <c r="O1651" s="135"/>
      <c r="P1651" s="135"/>
      <c r="Q1651" s="135"/>
      <c r="R1651" s="135"/>
      <c r="S1651" s="136">
        <v>20357855</v>
      </c>
      <c r="T1651" s="136">
        <v>0</v>
      </c>
      <c r="U1651" s="137">
        <f>SUM(U1652:U1656)</f>
        <v>0</v>
      </c>
      <c r="V1651" s="137">
        <f>SUM(V1652:V1656)</f>
        <v>0</v>
      </c>
      <c r="W1651" s="137">
        <f>SUM(W1652:W1656)</f>
        <v>3497583.9399999995</v>
      </c>
      <c r="X1651" s="138">
        <f>U1651+V1651+W1651</f>
        <v>3497583.9399999995</v>
      </c>
      <c r="Y1651" s="137">
        <f t="shared" ref="Y1651:AR1651" si="507">SUM(Y1652:Y1656)</f>
        <v>210579</v>
      </c>
      <c r="Z1651" s="137">
        <f t="shared" si="507"/>
        <v>1529530.27</v>
      </c>
      <c r="AA1651" s="137">
        <f t="shared" si="507"/>
        <v>0</v>
      </c>
      <c r="AB1651" s="137">
        <f t="shared" si="507"/>
        <v>165387.24</v>
      </c>
      <c r="AC1651" s="137">
        <f t="shared" si="507"/>
        <v>1278250.3999999999</v>
      </c>
      <c r="AD1651" s="137">
        <f t="shared" si="507"/>
        <v>0</v>
      </c>
      <c r="AE1651" s="137">
        <f t="shared" si="507"/>
        <v>173981.3</v>
      </c>
      <c r="AF1651" s="137">
        <f t="shared" si="507"/>
        <v>1476275.75</v>
      </c>
      <c r="AG1651" s="137">
        <f t="shared" si="507"/>
        <v>0</v>
      </c>
      <c r="AH1651" s="137">
        <f t="shared" si="507"/>
        <v>184972.02</v>
      </c>
      <c r="AI1651" s="137">
        <f t="shared" si="507"/>
        <v>1604098.8399999999</v>
      </c>
      <c r="AJ1651" s="137">
        <f t="shared" si="507"/>
        <v>0</v>
      </c>
      <c r="AK1651" s="137">
        <f>SUM(AK1652:AK1656)</f>
        <v>6623074.8199999994</v>
      </c>
      <c r="AL1651" s="137">
        <f t="shared" si="507"/>
        <v>7499427.9499999993</v>
      </c>
      <c r="AM1651" s="137">
        <f t="shared" si="507"/>
        <v>2127032.5500000003</v>
      </c>
      <c r="AN1651" s="137">
        <f t="shared" si="507"/>
        <v>0</v>
      </c>
      <c r="AO1651" s="137">
        <f t="shared" si="507"/>
        <v>0</v>
      </c>
      <c r="AP1651" s="137">
        <f t="shared" si="507"/>
        <v>0</v>
      </c>
      <c r="AQ1651" s="137">
        <f t="shared" si="507"/>
        <v>0</v>
      </c>
      <c r="AR1651" s="137">
        <f t="shared" si="507"/>
        <v>0</v>
      </c>
      <c r="AS1651" s="137">
        <f t="shared" ref="AS1651:AS1662" si="508">U1651+V1651+W1651+AK1651+AL1651+AM1651+AN1651+AO1651+AP1651+AQ1651+AR1651</f>
        <v>19747119.259999998</v>
      </c>
      <c r="AT1651" s="137">
        <f>SUM(AT1652:AT1656)</f>
        <v>0</v>
      </c>
      <c r="AU1651" s="139">
        <f>AS1651-AT1651</f>
        <v>19747119.259999998</v>
      </c>
      <c r="AV1651" s="146">
        <f>IFERROR(VLOOKUP(J1651,Maksājumu_pieprasījumu_iesn.!G:BL,57,0),0)</f>
        <v>0</v>
      </c>
      <c r="AW1651" s="139">
        <f t="shared" si="501"/>
        <v>-19747119.259999998</v>
      </c>
      <c r="AX1651" s="140">
        <f>S1651-T1651-AU1651</f>
        <v>610735.74000000209</v>
      </c>
      <c r="AY1651" s="137"/>
      <c r="AZ1651" s="137"/>
      <c r="BA1651" s="141" t="s">
        <v>2674</v>
      </c>
      <c r="BB1651" s="140"/>
      <c r="BC1651" s="140">
        <f>X1651+AK1651+AL1651/2</f>
        <v>13870372.734999998</v>
      </c>
      <c r="BD1651" s="140"/>
      <c r="BE1651" s="140">
        <f>BC1651/0.85</f>
        <v>16318085.570588233</v>
      </c>
      <c r="BF1651" s="137"/>
      <c r="BG1651" s="137"/>
      <c r="BH1651" s="140">
        <v>3497231.12</v>
      </c>
      <c r="BI1651" s="140">
        <v>5695506</v>
      </c>
      <c r="BJ1651" s="140"/>
      <c r="BK1651" s="140"/>
      <c r="BL1651" s="140">
        <v>11165117.880000001</v>
      </c>
      <c r="BM1651" s="382"/>
      <c r="BN1651" s="382"/>
    </row>
    <row r="1652" spans="1:66" ht="51" hidden="1" customHeight="1" x14ac:dyDescent="0.2">
      <c r="A1652" s="142" t="s">
        <v>2677</v>
      </c>
      <c r="B1652" s="18" t="s">
        <v>537</v>
      </c>
      <c r="C1652" s="18" t="s">
        <v>538</v>
      </c>
      <c r="D1652" s="19" t="s">
        <v>611</v>
      </c>
      <c r="E1652" s="18">
        <v>1</v>
      </c>
      <c r="F1652" s="18" t="s">
        <v>454</v>
      </c>
      <c r="G1652" s="18" t="s">
        <v>102</v>
      </c>
      <c r="H1652" s="18" t="s">
        <v>3</v>
      </c>
      <c r="I1652" s="18"/>
      <c r="J1652" s="18" t="s">
        <v>539</v>
      </c>
      <c r="K1652" s="19" t="s">
        <v>456</v>
      </c>
      <c r="L1652" s="19"/>
      <c r="M1652" s="19"/>
      <c r="N1652" s="19" t="s">
        <v>540</v>
      </c>
      <c r="O1652" s="143"/>
      <c r="P1652" s="143"/>
      <c r="Q1652" s="143"/>
      <c r="R1652" s="143">
        <v>42355</v>
      </c>
      <c r="S1652" s="144">
        <v>1428000</v>
      </c>
      <c r="T1652" s="144"/>
      <c r="U1652" s="145">
        <v>0</v>
      </c>
      <c r="V1652" s="145">
        <v>0</v>
      </c>
      <c r="W1652" s="145">
        <v>364704.70999999996</v>
      </c>
      <c r="X1652" s="145">
        <f>W1652+V1652+U1652</f>
        <v>364704.70999999996</v>
      </c>
      <c r="Y1652" s="145">
        <v>190568.22</v>
      </c>
      <c r="Z1652" s="145">
        <v>0</v>
      </c>
      <c r="AA1652" s="145">
        <v>0</v>
      </c>
      <c r="AB1652" s="145">
        <v>146463.19</v>
      </c>
      <c r="AC1652" s="145">
        <v>0</v>
      </c>
      <c r="AD1652" s="166">
        <v>0</v>
      </c>
      <c r="AE1652" s="166">
        <v>144500</v>
      </c>
      <c r="AF1652" s="145">
        <v>0</v>
      </c>
      <c r="AG1652" s="145">
        <v>0</v>
      </c>
      <c r="AH1652" s="145">
        <v>165750</v>
      </c>
      <c r="AI1652" s="145">
        <v>0</v>
      </c>
      <c r="AJ1652" s="145">
        <v>0</v>
      </c>
      <c r="AK1652" s="145">
        <f>SUM(Y1652:AJ1652)</f>
        <v>647281.41</v>
      </c>
      <c r="AL1652" s="145">
        <v>374549.18</v>
      </c>
      <c r="AM1652" s="145">
        <v>41464.699999999997</v>
      </c>
      <c r="AN1652" s="145">
        <v>0</v>
      </c>
      <c r="AO1652" s="145">
        <v>0</v>
      </c>
      <c r="AP1652" s="145">
        <v>0</v>
      </c>
      <c r="AQ1652" s="145">
        <v>0</v>
      </c>
      <c r="AR1652" s="145">
        <v>0</v>
      </c>
      <c r="AS1652" s="144">
        <f t="shared" si="508"/>
        <v>1428000</v>
      </c>
      <c r="AT1652" s="144"/>
      <c r="AU1652" s="146">
        <f t="shared" si="493"/>
        <v>1428000</v>
      </c>
      <c r="AV1652" s="146">
        <f>IFERROR(VLOOKUP(J1652,Maksājumu_pieprasījumu_iesn.!G:BL,57,0),0)</f>
        <v>0</v>
      </c>
      <c r="AW1652" s="139">
        <f t="shared" si="501"/>
        <v>-1428000</v>
      </c>
      <c r="AX1652" s="147"/>
      <c r="AY1652" s="147"/>
      <c r="AZ1652" s="147"/>
      <c r="BA1652" s="148"/>
      <c r="BB1652" s="144"/>
      <c r="BC1652" s="144"/>
      <c r="BD1652" s="144"/>
      <c r="BE1652" s="144"/>
      <c r="BF1652" s="144"/>
      <c r="BG1652" s="144"/>
      <c r="BH1652" s="147"/>
      <c r="BI1652" s="147"/>
      <c r="BJ1652" s="147"/>
      <c r="BK1652" s="147"/>
      <c r="BL1652" s="147"/>
      <c r="BM1652" s="383"/>
      <c r="BN1652" s="383"/>
    </row>
    <row r="1653" spans="1:66" ht="51" hidden="1" customHeight="1" x14ac:dyDescent="0.2">
      <c r="A1653" s="142" t="s">
        <v>2677</v>
      </c>
      <c r="B1653" s="18" t="s">
        <v>537</v>
      </c>
      <c r="C1653" s="18" t="s">
        <v>538</v>
      </c>
      <c r="D1653" s="19" t="s">
        <v>611</v>
      </c>
      <c r="E1653" s="18">
        <v>1</v>
      </c>
      <c r="F1653" s="18" t="s">
        <v>454</v>
      </c>
      <c r="G1653" s="18" t="s">
        <v>102</v>
      </c>
      <c r="H1653" s="18" t="s">
        <v>3</v>
      </c>
      <c r="I1653" s="18"/>
      <c r="J1653" s="18" t="s">
        <v>541</v>
      </c>
      <c r="K1653" s="19" t="s">
        <v>456</v>
      </c>
      <c r="L1653" s="19"/>
      <c r="M1653" s="19"/>
      <c r="N1653" s="19" t="s">
        <v>542</v>
      </c>
      <c r="O1653" s="143"/>
      <c r="P1653" s="143"/>
      <c r="Q1653" s="143"/>
      <c r="R1653" s="143">
        <v>42354</v>
      </c>
      <c r="S1653" s="144">
        <v>5907500</v>
      </c>
      <c r="T1653" s="144"/>
      <c r="U1653" s="145">
        <v>0</v>
      </c>
      <c r="V1653" s="145">
        <v>0</v>
      </c>
      <c r="W1653" s="145">
        <v>1306641.76</v>
      </c>
      <c r="X1653" s="145">
        <f>W1653+V1653+U1653</f>
        <v>1306641.76</v>
      </c>
      <c r="Y1653" s="145">
        <v>0</v>
      </c>
      <c r="Z1653" s="145">
        <v>642264.88</v>
      </c>
      <c r="AA1653" s="145">
        <v>0</v>
      </c>
      <c r="AB1653" s="145">
        <v>0</v>
      </c>
      <c r="AC1653" s="145">
        <v>506650.15</v>
      </c>
      <c r="AD1653" s="145">
        <v>0</v>
      </c>
      <c r="AE1653" s="145">
        <v>0</v>
      </c>
      <c r="AF1653" s="420">
        <v>506650.15</v>
      </c>
      <c r="AG1653" s="145">
        <v>0</v>
      </c>
      <c r="AH1653" s="145">
        <v>0</v>
      </c>
      <c r="AI1653" s="145">
        <v>520642.94</v>
      </c>
      <c r="AJ1653" s="145">
        <v>0</v>
      </c>
      <c r="AK1653" s="145">
        <f>SUM(Y1653:AJ1653)</f>
        <v>2176208.12</v>
      </c>
      <c r="AL1653" s="145">
        <v>1975299.6999999997</v>
      </c>
      <c r="AM1653" s="145">
        <v>449350.42</v>
      </c>
      <c r="AN1653" s="145">
        <v>0</v>
      </c>
      <c r="AO1653" s="145">
        <v>0</v>
      </c>
      <c r="AP1653" s="145">
        <v>0</v>
      </c>
      <c r="AQ1653" s="145">
        <v>0</v>
      </c>
      <c r="AR1653" s="145">
        <v>0</v>
      </c>
      <c r="AS1653" s="144">
        <f t="shared" si="508"/>
        <v>5907500</v>
      </c>
      <c r="AT1653" s="144"/>
      <c r="AU1653" s="146">
        <f>AS1653-AT1653</f>
        <v>5907500</v>
      </c>
      <c r="AV1653" s="146">
        <f>IFERROR(VLOOKUP(J1653,Maksājumu_pieprasījumu_iesn.!G:BL,57,0),0)</f>
        <v>0</v>
      </c>
      <c r="AW1653" s="139">
        <f t="shared" si="501"/>
        <v>-5907500</v>
      </c>
      <c r="AX1653" s="147"/>
      <c r="AY1653" s="147"/>
      <c r="AZ1653" s="147"/>
      <c r="BA1653" s="332"/>
      <c r="BB1653" s="144"/>
      <c r="BC1653" s="144"/>
      <c r="BD1653" s="144"/>
      <c r="BE1653" s="144"/>
      <c r="BF1653" s="144"/>
      <c r="BG1653" s="144"/>
      <c r="BH1653" s="147"/>
      <c r="BI1653" s="147"/>
      <c r="BJ1653" s="147"/>
      <c r="BK1653" s="147"/>
      <c r="BL1653" s="147"/>
      <c r="BM1653" s="383"/>
      <c r="BN1653" s="383"/>
    </row>
    <row r="1654" spans="1:66" ht="51" hidden="1" customHeight="1" x14ac:dyDescent="0.2">
      <c r="A1654" s="142" t="s">
        <v>2677</v>
      </c>
      <c r="B1654" s="18" t="s">
        <v>537</v>
      </c>
      <c r="C1654" s="18" t="s">
        <v>538</v>
      </c>
      <c r="D1654" s="19" t="s">
        <v>611</v>
      </c>
      <c r="E1654" s="18">
        <v>1</v>
      </c>
      <c r="F1654" s="18" t="s">
        <v>454</v>
      </c>
      <c r="G1654" s="18" t="s">
        <v>102</v>
      </c>
      <c r="H1654" s="18" t="s">
        <v>3</v>
      </c>
      <c r="I1654" s="18"/>
      <c r="J1654" s="18" t="s">
        <v>543</v>
      </c>
      <c r="K1654" s="19" t="s">
        <v>40</v>
      </c>
      <c r="L1654" s="19"/>
      <c r="M1654" s="19"/>
      <c r="N1654" s="19" t="s">
        <v>544</v>
      </c>
      <c r="O1654" s="143"/>
      <c r="P1654" s="143"/>
      <c r="Q1654" s="143"/>
      <c r="R1654" s="143">
        <v>42375</v>
      </c>
      <c r="S1654" s="144">
        <v>110500</v>
      </c>
      <c r="T1654" s="144"/>
      <c r="U1654" s="145">
        <v>0</v>
      </c>
      <c r="V1654" s="145">
        <v>0</v>
      </c>
      <c r="W1654" s="145">
        <v>21050.79</v>
      </c>
      <c r="X1654" s="145">
        <f>W1654+V1654+U1654</f>
        <v>21050.79</v>
      </c>
      <c r="Y1654" s="145">
        <v>11392.69</v>
      </c>
      <c r="Z1654" s="145">
        <v>0</v>
      </c>
      <c r="AA1654" s="145">
        <v>0</v>
      </c>
      <c r="AB1654" s="145">
        <v>9007.31</v>
      </c>
      <c r="AC1654" s="145">
        <v>0</v>
      </c>
      <c r="AD1654" s="166">
        <v>0</v>
      </c>
      <c r="AE1654" s="166">
        <v>19564.560000000001</v>
      </c>
      <c r="AF1654" s="145">
        <v>0</v>
      </c>
      <c r="AG1654" s="145">
        <v>0</v>
      </c>
      <c r="AH1654" s="145">
        <v>9305.2800000000007</v>
      </c>
      <c r="AI1654" s="145">
        <v>0</v>
      </c>
      <c r="AJ1654" s="145">
        <v>0</v>
      </c>
      <c r="AK1654" s="145">
        <f>SUM(Y1654:AJ1654)</f>
        <v>49269.84</v>
      </c>
      <c r="AL1654" s="145">
        <v>32515.279999999999</v>
      </c>
      <c r="AM1654" s="145">
        <v>7664.09</v>
      </c>
      <c r="AN1654" s="145">
        <v>0</v>
      </c>
      <c r="AO1654" s="145">
        <v>0</v>
      </c>
      <c r="AP1654" s="145">
        <v>0</v>
      </c>
      <c r="AQ1654" s="145">
        <v>0</v>
      </c>
      <c r="AR1654" s="145">
        <v>0</v>
      </c>
      <c r="AS1654" s="144">
        <f t="shared" si="508"/>
        <v>110500</v>
      </c>
      <c r="AT1654" s="144"/>
      <c r="AU1654" s="146">
        <f t="shared" si="493"/>
        <v>110500</v>
      </c>
      <c r="AV1654" s="146">
        <f>IFERROR(VLOOKUP(J1654,Maksājumu_pieprasījumu_iesn.!G:BL,57,0),0)</f>
        <v>0</v>
      </c>
      <c r="AW1654" s="139">
        <f t="shared" si="501"/>
        <v>-110500</v>
      </c>
      <c r="AX1654" s="147"/>
      <c r="AY1654" s="147"/>
      <c r="AZ1654" s="147"/>
      <c r="BA1654" s="332"/>
      <c r="BB1654" s="144"/>
      <c r="BC1654" s="144"/>
      <c r="BD1654" s="144"/>
      <c r="BE1654" s="144"/>
      <c r="BF1654" s="144"/>
      <c r="BG1654" s="144"/>
      <c r="BH1654" s="147"/>
      <c r="BI1654" s="147"/>
      <c r="BJ1654" s="147"/>
      <c r="BK1654" s="147"/>
      <c r="BL1654" s="147"/>
      <c r="BM1654" s="383"/>
      <c r="BN1654" s="383"/>
    </row>
    <row r="1655" spans="1:66" ht="51" hidden="1" customHeight="1" x14ac:dyDescent="0.2">
      <c r="A1655" s="142" t="s">
        <v>2677</v>
      </c>
      <c r="B1655" s="18" t="s">
        <v>537</v>
      </c>
      <c r="C1655" s="18" t="s">
        <v>538</v>
      </c>
      <c r="D1655" s="19" t="s">
        <v>611</v>
      </c>
      <c r="E1655" s="18">
        <v>1</v>
      </c>
      <c r="F1655" s="18" t="s">
        <v>454</v>
      </c>
      <c r="G1655" s="18" t="s">
        <v>102</v>
      </c>
      <c r="H1655" s="18" t="s">
        <v>3</v>
      </c>
      <c r="I1655" s="18"/>
      <c r="J1655" s="18" t="s">
        <v>545</v>
      </c>
      <c r="K1655" s="19" t="s">
        <v>461</v>
      </c>
      <c r="L1655" s="19"/>
      <c r="M1655" s="19"/>
      <c r="N1655" s="19" t="s">
        <v>546</v>
      </c>
      <c r="O1655" s="143"/>
      <c r="P1655" s="143"/>
      <c r="Q1655" s="143"/>
      <c r="R1655" s="143">
        <v>42342</v>
      </c>
      <c r="S1655" s="144">
        <v>12182119.25</v>
      </c>
      <c r="T1655" s="144"/>
      <c r="U1655" s="145">
        <v>0</v>
      </c>
      <c r="V1655" s="145">
        <v>0</v>
      </c>
      <c r="W1655" s="145">
        <v>1775102.13</v>
      </c>
      <c r="X1655" s="145">
        <f>W1655+V1655+U1655</f>
        <v>1775102.13</v>
      </c>
      <c r="Y1655" s="145">
        <v>0</v>
      </c>
      <c r="Z1655" s="145">
        <v>887265.39</v>
      </c>
      <c r="AA1655" s="145">
        <v>0</v>
      </c>
      <c r="AB1655" s="145">
        <v>0</v>
      </c>
      <c r="AC1655" s="145">
        <v>771600.25</v>
      </c>
      <c r="AD1655" s="145">
        <v>0</v>
      </c>
      <c r="AE1655" s="145">
        <v>0</v>
      </c>
      <c r="AF1655" s="420">
        <v>969625.59999999998</v>
      </c>
      <c r="AG1655" s="145">
        <v>0</v>
      </c>
      <c r="AH1655" s="145">
        <v>0</v>
      </c>
      <c r="AI1655" s="145">
        <v>1083455.8999999999</v>
      </c>
      <c r="AJ1655" s="145">
        <v>0</v>
      </c>
      <c r="AK1655" s="145">
        <f>SUM(Y1655:AJ1655)</f>
        <v>3711947.14</v>
      </c>
      <c r="AL1655" s="145">
        <v>5076433.37</v>
      </c>
      <c r="AM1655" s="145">
        <v>1618636.61</v>
      </c>
      <c r="AN1655" s="145">
        <v>0</v>
      </c>
      <c r="AO1655" s="145">
        <v>0</v>
      </c>
      <c r="AP1655" s="145">
        <v>0</v>
      </c>
      <c r="AQ1655" s="145">
        <v>0</v>
      </c>
      <c r="AR1655" s="145">
        <v>0</v>
      </c>
      <c r="AS1655" s="144">
        <f t="shared" si="508"/>
        <v>12182119.25</v>
      </c>
      <c r="AT1655" s="144"/>
      <c r="AU1655" s="146">
        <f>AS1655-AT1655</f>
        <v>12182119.25</v>
      </c>
      <c r="AV1655" s="146">
        <f>IFERROR(VLOOKUP(J1655,Maksājumu_pieprasījumu_iesn.!G:BL,57,0),0)</f>
        <v>0</v>
      </c>
      <c r="AW1655" s="139">
        <f t="shared" si="501"/>
        <v>-12182119.25</v>
      </c>
      <c r="AX1655" s="147"/>
      <c r="AY1655" s="147"/>
      <c r="AZ1655" s="147"/>
      <c r="BA1655" s="332"/>
      <c r="BB1655" s="144"/>
      <c r="BC1655" s="144"/>
      <c r="BD1655" s="144"/>
      <c r="BE1655" s="144"/>
      <c r="BF1655" s="144"/>
      <c r="BG1655" s="144"/>
      <c r="BH1655" s="147"/>
      <c r="BI1655" s="147"/>
      <c r="BJ1655" s="147"/>
      <c r="BK1655" s="147"/>
      <c r="BL1655" s="147"/>
      <c r="BM1655" s="383"/>
      <c r="BN1655" s="383"/>
    </row>
    <row r="1656" spans="1:66" ht="89.25" hidden="1" customHeight="1" x14ac:dyDescent="0.2">
      <c r="A1656" s="142" t="s">
        <v>2677</v>
      </c>
      <c r="B1656" s="18" t="s">
        <v>537</v>
      </c>
      <c r="C1656" s="18" t="s">
        <v>538</v>
      </c>
      <c r="D1656" s="19" t="s">
        <v>611</v>
      </c>
      <c r="E1656" s="18">
        <v>1</v>
      </c>
      <c r="F1656" s="18" t="s">
        <v>454</v>
      </c>
      <c r="G1656" s="18" t="s">
        <v>102</v>
      </c>
      <c r="H1656" s="18" t="s">
        <v>3</v>
      </c>
      <c r="I1656" s="18"/>
      <c r="J1656" s="18" t="s">
        <v>547</v>
      </c>
      <c r="K1656" s="19" t="s">
        <v>37</v>
      </c>
      <c r="L1656" s="19"/>
      <c r="M1656" s="19"/>
      <c r="N1656" s="19" t="s">
        <v>548</v>
      </c>
      <c r="O1656" s="143"/>
      <c r="P1656" s="143"/>
      <c r="Q1656" s="143"/>
      <c r="R1656" s="143">
        <v>42355</v>
      </c>
      <c r="S1656" s="144">
        <v>119000</v>
      </c>
      <c r="T1656" s="144"/>
      <c r="U1656" s="145">
        <v>0</v>
      </c>
      <c r="V1656" s="145">
        <v>0</v>
      </c>
      <c r="W1656" s="145">
        <v>30084.55</v>
      </c>
      <c r="X1656" s="145">
        <f>W1656+V1656+U1656</f>
        <v>30084.55</v>
      </c>
      <c r="Y1656" s="145">
        <v>8618.09</v>
      </c>
      <c r="Z1656" s="145">
        <v>0</v>
      </c>
      <c r="AA1656" s="145">
        <v>0</v>
      </c>
      <c r="AB1656" s="145">
        <v>9916.74</v>
      </c>
      <c r="AC1656" s="145">
        <v>0</v>
      </c>
      <c r="AD1656" s="166">
        <v>0</v>
      </c>
      <c r="AE1656" s="166">
        <v>9916.74</v>
      </c>
      <c r="AF1656" s="145">
        <v>0</v>
      </c>
      <c r="AG1656" s="145">
        <v>0</v>
      </c>
      <c r="AH1656" s="145">
        <v>9916.74</v>
      </c>
      <c r="AI1656" s="145">
        <v>0</v>
      </c>
      <c r="AJ1656" s="145">
        <v>0</v>
      </c>
      <c r="AK1656" s="145">
        <f>SUM(Y1656:AJ1656)</f>
        <v>38368.31</v>
      </c>
      <c r="AL1656" s="145">
        <v>40630.42</v>
      </c>
      <c r="AM1656" s="145">
        <v>9916.73</v>
      </c>
      <c r="AN1656" s="145">
        <v>0</v>
      </c>
      <c r="AO1656" s="145">
        <v>0</v>
      </c>
      <c r="AP1656" s="145">
        <v>0</v>
      </c>
      <c r="AQ1656" s="145">
        <v>0</v>
      </c>
      <c r="AR1656" s="145">
        <v>0</v>
      </c>
      <c r="AS1656" s="144">
        <f t="shared" si="508"/>
        <v>119000.01</v>
      </c>
      <c r="AT1656" s="144"/>
      <c r="AU1656" s="146">
        <f t="shared" si="493"/>
        <v>119000.01</v>
      </c>
      <c r="AV1656" s="146">
        <f>IFERROR(VLOOKUP(J1656,Maksājumu_pieprasījumu_iesn.!G:BL,57,0),0)</f>
        <v>0</v>
      </c>
      <c r="AW1656" s="139">
        <f t="shared" si="501"/>
        <v>-119000.01</v>
      </c>
      <c r="AX1656" s="147"/>
      <c r="AY1656" s="147"/>
      <c r="AZ1656" s="147"/>
      <c r="BA1656" s="332"/>
      <c r="BB1656" s="144"/>
      <c r="BC1656" s="144"/>
      <c r="BD1656" s="144"/>
      <c r="BE1656" s="144"/>
      <c r="BF1656" s="144"/>
      <c r="BG1656" s="144"/>
      <c r="BH1656" s="147"/>
      <c r="BI1656" s="147"/>
      <c r="BJ1656" s="147"/>
      <c r="BK1656" s="147"/>
      <c r="BL1656" s="147"/>
      <c r="BM1656" s="383"/>
      <c r="BN1656" s="383"/>
    </row>
    <row r="1657" spans="1:66" s="91" customFormat="1" ht="51" hidden="1" customHeight="1" x14ac:dyDescent="0.2">
      <c r="A1657" s="131" t="s">
        <v>2677</v>
      </c>
      <c r="B1657" s="132" t="s">
        <v>537</v>
      </c>
      <c r="C1657" s="132" t="s">
        <v>538</v>
      </c>
      <c r="D1657" s="133" t="s">
        <v>611</v>
      </c>
      <c r="E1657" s="22">
        <v>2</v>
      </c>
      <c r="F1657" s="22" t="s">
        <v>454</v>
      </c>
      <c r="G1657" s="22" t="s">
        <v>102</v>
      </c>
      <c r="H1657" s="22" t="s">
        <v>3</v>
      </c>
      <c r="I1657" s="22" t="s">
        <v>1022</v>
      </c>
      <c r="J1657" s="134" t="s">
        <v>1026</v>
      </c>
      <c r="K1657" s="133"/>
      <c r="L1657" s="133"/>
      <c r="M1657" s="133"/>
      <c r="N1657" s="133"/>
      <c r="O1657" s="135"/>
      <c r="P1657" s="135"/>
      <c r="Q1657" s="135"/>
      <c r="R1657" s="135"/>
      <c r="S1657" s="136">
        <v>20357855</v>
      </c>
      <c r="T1657" s="136">
        <v>0</v>
      </c>
      <c r="U1657" s="137">
        <f>SUM(U1658:U1662)</f>
        <v>0</v>
      </c>
      <c r="V1657" s="137">
        <f>SUM(V1658:V1662)</f>
        <v>0</v>
      </c>
      <c r="W1657" s="137">
        <f>SUM(W1658:W1662)</f>
        <v>0</v>
      </c>
      <c r="X1657" s="138">
        <f>U1657+V1657+W1657</f>
        <v>0</v>
      </c>
      <c r="Y1657" s="137">
        <f t="shared" ref="Y1657:AR1657" si="509">SUM(Y1658:Y1662)</f>
        <v>0</v>
      </c>
      <c r="Z1657" s="137">
        <f t="shared" si="509"/>
        <v>0</v>
      </c>
      <c r="AA1657" s="137">
        <f t="shared" si="509"/>
        <v>0</v>
      </c>
      <c r="AB1657" s="137">
        <f t="shared" si="509"/>
        <v>0</v>
      </c>
      <c r="AC1657" s="137">
        <f t="shared" si="509"/>
        <v>0</v>
      </c>
      <c r="AD1657" s="137">
        <f t="shared" si="509"/>
        <v>0</v>
      </c>
      <c r="AE1657" s="137">
        <f t="shared" si="509"/>
        <v>0</v>
      </c>
      <c r="AF1657" s="137">
        <f t="shared" si="509"/>
        <v>0</v>
      </c>
      <c r="AG1657" s="137">
        <f t="shared" si="509"/>
        <v>0</v>
      </c>
      <c r="AH1657" s="137">
        <f t="shared" si="509"/>
        <v>0</v>
      </c>
      <c r="AI1657" s="137">
        <f t="shared" si="509"/>
        <v>0</v>
      </c>
      <c r="AJ1657" s="137">
        <f t="shared" si="509"/>
        <v>0</v>
      </c>
      <c r="AK1657" s="137">
        <f t="shared" si="509"/>
        <v>0</v>
      </c>
      <c r="AL1657" s="137">
        <f t="shared" si="509"/>
        <v>0</v>
      </c>
      <c r="AM1657" s="137">
        <f t="shared" si="509"/>
        <v>0</v>
      </c>
      <c r="AN1657" s="137">
        <f t="shared" si="509"/>
        <v>0</v>
      </c>
      <c r="AO1657" s="137">
        <f t="shared" si="509"/>
        <v>0</v>
      </c>
      <c r="AP1657" s="137">
        <f t="shared" si="509"/>
        <v>0</v>
      </c>
      <c r="AQ1657" s="137">
        <f t="shared" si="509"/>
        <v>0</v>
      </c>
      <c r="AR1657" s="137">
        <f t="shared" si="509"/>
        <v>0</v>
      </c>
      <c r="AS1657" s="137">
        <f t="shared" si="508"/>
        <v>0</v>
      </c>
      <c r="AT1657" s="137">
        <f>SUM(AT1658:AT1662)</f>
        <v>0</v>
      </c>
      <c r="AU1657" s="139">
        <f t="shared" si="493"/>
        <v>0</v>
      </c>
      <c r="AV1657" s="146">
        <f>IFERROR(VLOOKUP(J1657,Maksājumu_pieprasījumu_iesn.!G:BL,57,0),0)</f>
        <v>0</v>
      </c>
      <c r="AW1657" s="139">
        <f t="shared" si="501"/>
        <v>0</v>
      </c>
      <c r="AX1657" s="140">
        <f>S1657-T1657-AU1657</f>
        <v>20357855</v>
      </c>
      <c r="AY1657" s="137"/>
      <c r="AZ1657" s="137"/>
      <c r="BA1657" s="141"/>
      <c r="BB1657" s="140"/>
      <c r="BC1657" s="140">
        <f>X1657+AK1657+AL1657/2</f>
        <v>0</v>
      </c>
      <c r="BD1657" s="140"/>
      <c r="BE1657" s="140">
        <f>BC1657/0.85</f>
        <v>0</v>
      </c>
      <c r="BF1657" s="137"/>
      <c r="BG1657" s="137"/>
      <c r="BH1657" s="140">
        <v>0</v>
      </c>
      <c r="BI1657" s="140">
        <v>0</v>
      </c>
      <c r="BJ1657" s="140"/>
      <c r="BK1657" s="140"/>
      <c r="BL1657" s="140">
        <v>0</v>
      </c>
      <c r="BM1657" s="382"/>
      <c r="BN1657" s="382"/>
    </row>
    <row r="1658" spans="1:66" s="91" customFormat="1" ht="51" hidden="1" customHeight="1" x14ac:dyDescent="0.2">
      <c r="A1658" s="150" t="s">
        <v>2677</v>
      </c>
      <c r="B1658" s="18" t="s">
        <v>537</v>
      </c>
      <c r="C1658" s="18" t="s">
        <v>538</v>
      </c>
      <c r="D1658" s="19" t="s">
        <v>611</v>
      </c>
      <c r="E1658" s="55">
        <v>2</v>
      </c>
      <c r="F1658" s="55" t="s">
        <v>454</v>
      </c>
      <c r="G1658" s="55" t="s">
        <v>102</v>
      </c>
      <c r="H1658" s="55" t="s">
        <v>3</v>
      </c>
      <c r="I1658" s="55"/>
      <c r="J1658" s="55"/>
      <c r="K1658" s="19" t="s">
        <v>456</v>
      </c>
      <c r="L1658" s="19"/>
      <c r="M1658" s="19"/>
      <c r="N1658" s="19"/>
      <c r="O1658" s="151"/>
      <c r="P1658" s="151"/>
      <c r="Q1658" s="151"/>
      <c r="R1658" s="151"/>
      <c r="S1658" s="152"/>
      <c r="T1658" s="152"/>
      <c r="U1658" s="145">
        <v>0</v>
      </c>
      <c r="V1658" s="145">
        <v>0</v>
      </c>
      <c r="W1658" s="145">
        <v>0</v>
      </c>
      <c r="X1658" s="145">
        <f>W1658+V1658+U1658</f>
        <v>0</v>
      </c>
      <c r="Y1658" s="145">
        <v>0</v>
      </c>
      <c r="Z1658" s="145">
        <v>0</v>
      </c>
      <c r="AA1658" s="145">
        <v>0</v>
      </c>
      <c r="AB1658" s="145">
        <v>0</v>
      </c>
      <c r="AC1658" s="145">
        <v>0</v>
      </c>
      <c r="AD1658" s="145">
        <v>0</v>
      </c>
      <c r="AE1658" s="145">
        <v>0</v>
      </c>
      <c r="AF1658" s="145">
        <v>0</v>
      </c>
      <c r="AG1658" s="145">
        <v>0</v>
      </c>
      <c r="AH1658" s="145">
        <v>0</v>
      </c>
      <c r="AI1658" s="145">
        <v>0</v>
      </c>
      <c r="AJ1658" s="145">
        <v>0</v>
      </c>
      <c r="AK1658" s="145">
        <f>SUM(Y1658:AJ1658)</f>
        <v>0</v>
      </c>
      <c r="AL1658" s="145">
        <v>0</v>
      </c>
      <c r="AM1658" s="145">
        <v>0</v>
      </c>
      <c r="AN1658" s="145">
        <v>0</v>
      </c>
      <c r="AO1658" s="145">
        <v>0</v>
      </c>
      <c r="AP1658" s="145">
        <v>0</v>
      </c>
      <c r="AQ1658" s="145">
        <v>0</v>
      </c>
      <c r="AR1658" s="145">
        <v>0</v>
      </c>
      <c r="AS1658" s="145">
        <f t="shared" si="508"/>
        <v>0</v>
      </c>
      <c r="AT1658" s="145"/>
      <c r="AU1658" s="139">
        <f t="shared" si="493"/>
        <v>0</v>
      </c>
      <c r="AV1658" s="146">
        <f>IFERROR(VLOOKUP(J1658,Maksājumu_pieprasījumu_iesn.!G:BL,57,0),0)</f>
        <v>0</v>
      </c>
      <c r="AW1658" s="139">
        <f t="shared" si="501"/>
        <v>0</v>
      </c>
      <c r="AX1658" s="153"/>
      <c r="AY1658" s="153"/>
      <c r="AZ1658" s="153"/>
      <c r="BA1658" s="333"/>
      <c r="BB1658" s="145"/>
      <c r="BC1658" s="145"/>
      <c r="BD1658" s="145"/>
      <c r="BE1658" s="145"/>
      <c r="BF1658" s="145"/>
      <c r="BG1658" s="145"/>
      <c r="BH1658" s="153"/>
      <c r="BI1658" s="153"/>
      <c r="BJ1658" s="153"/>
      <c r="BK1658" s="153"/>
      <c r="BL1658" s="153"/>
      <c r="BM1658" s="384"/>
      <c r="BN1658" s="384"/>
    </row>
    <row r="1659" spans="1:66" s="91" customFormat="1" ht="51" hidden="1" customHeight="1" x14ac:dyDescent="0.2">
      <c r="A1659" s="150" t="s">
        <v>2677</v>
      </c>
      <c r="B1659" s="18" t="s">
        <v>537</v>
      </c>
      <c r="C1659" s="18" t="s">
        <v>538</v>
      </c>
      <c r="D1659" s="19" t="s">
        <v>611</v>
      </c>
      <c r="E1659" s="55">
        <v>2</v>
      </c>
      <c r="F1659" s="55" t="s">
        <v>454</v>
      </c>
      <c r="G1659" s="55" t="s">
        <v>102</v>
      </c>
      <c r="H1659" s="55" t="s">
        <v>3</v>
      </c>
      <c r="I1659" s="55"/>
      <c r="J1659" s="55"/>
      <c r="K1659" s="19" t="s">
        <v>456</v>
      </c>
      <c r="L1659" s="19"/>
      <c r="M1659" s="19"/>
      <c r="N1659" s="19"/>
      <c r="O1659" s="151"/>
      <c r="P1659" s="151"/>
      <c r="Q1659" s="151"/>
      <c r="R1659" s="151"/>
      <c r="S1659" s="152"/>
      <c r="T1659" s="152"/>
      <c r="U1659" s="145">
        <v>0</v>
      </c>
      <c r="V1659" s="145">
        <v>0</v>
      </c>
      <c r="W1659" s="145">
        <v>0</v>
      </c>
      <c r="X1659" s="145">
        <f>W1659+V1659+U1659</f>
        <v>0</v>
      </c>
      <c r="Y1659" s="145">
        <v>0</v>
      </c>
      <c r="Z1659" s="145">
        <v>0</v>
      </c>
      <c r="AA1659" s="145">
        <v>0</v>
      </c>
      <c r="AB1659" s="145">
        <v>0</v>
      </c>
      <c r="AC1659" s="145">
        <v>0</v>
      </c>
      <c r="AD1659" s="145">
        <v>0</v>
      </c>
      <c r="AE1659" s="145">
        <v>0</v>
      </c>
      <c r="AF1659" s="145">
        <v>0</v>
      </c>
      <c r="AG1659" s="145">
        <v>0</v>
      </c>
      <c r="AH1659" s="145">
        <v>0</v>
      </c>
      <c r="AI1659" s="145">
        <v>0</v>
      </c>
      <c r="AJ1659" s="145">
        <v>0</v>
      </c>
      <c r="AK1659" s="145">
        <f>SUM(Y1659:AJ1659)</f>
        <v>0</v>
      </c>
      <c r="AL1659" s="145">
        <v>0</v>
      </c>
      <c r="AM1659" s="145">
        <v>0</v>
      </c>
      <c r="AN1659" s="145">
        <v>0</v>
      </c>
      <c r="AO1659" s="145">
        <v>0</v>
      </c>
      <c r="AP1659" s="145">
        <v>0</v>
      </c>
      <c r="AQ1659" s="145">
        <v>0</v>
      </c>
      <c r="AR1659" s="145">
        <v>0</v>
      </c>
      <c r="AS1659" s="145">
        <f t="shared" si="508"/>
        <v>0</v>
      </c>
      <c r="AT1659" s="145"/>
      <c r="AU1659" s="139">
        <f t="shared" si="493"/>
        <v>0</v>
      </c>
      <c r="AV1659" s="146">
        <f>IFERROR(VLOOKUP(J1659,Maksājumu_pieprasījumu_iesn.!G:BL,57,0),0)</f>
        <v>0</v>
      </c>
      <c r="AW1659" s="139">
        <f t="shared" si="501"/>
        <v>0</v>
      </c>
      <c r="AX1659" s="153"/>
      <c r="AY1659" s="153"/>
      <c r="AZ1659" s="153"/>
      <c r="BA1659" s="333"/>
      <c r="BB1659" s="145"/>
      <c r="BC1659" s="145"/>
      <c r="BD1659" s="145"/>
      <c r="BE1659" s="145"/>
      <c r="BF1659" s="145"/>
      <c r="BG1659" s="145"/>
      <c r="BH1659" s="153"/>
      <c r="BI1659" s="153"/>
      <c r="BJ1659" s="153"/>
      <c r="BK1659" s="153"/>
      <c r="BL1659" s="153"/>
      <c r="BM1659" s="384"/>
      <c r="BN1659" s="384"/>
    </row>
    <row r="1660" spans="1:66" s="91" customFormat="1" ht="51" hidden="1" customHeight="1" x14ac:dyDescent="0.2">
      <c r="A1660" s="150" t="s">
        <v>2677</v>
      </c>
      <c r="B1660" s="18" t="s">
        <v>537</v>
      </c>
      <c r="C1660" s="18" t="s">
        <v>538</v>
      </c>
      <c r="D1660" s="19" t="s">
        <v>611</v>
      </c>
      <c r="E1660" s="55">
        <v>2</v>
      </c>
      <c r="F1660" s="55" t="s">
        <v>454</v>
      </c>
      <c r="G1660" s="55" t="s">
        <v>102</v>
      </c>
      <c r="H1660" s="55" t="s">
        <v>3</v>
      </c>
      <c r="I1660" s="55"/>
      <c r="J1660" s="55"/>
      <c r="K1660" s="19" t="s">
        <v>40</v>
      </c>
      <c r="L1660" s="19"/>
      <c r="M1660" s="19"/>
      <c r="N1660" s="19"/>
      <c r="O1660" s="151"/>
      <c r="P1660" s="151"/>
      <c r="Q1660" s="151"/>
      <c r="R1660" s="151"/>
      <c r="S1660" s="152"/>
      <c r="T1660" s="152"/>
      <c r="U1660" s="145">
        <v>0</v>
      </c>
      <c r="V1660" s="145">
        <v>0</v>
      </c>
      <c r="W1660" s="145">
        <v>0</v>
      </c>
      <c r="X1660" s="145">
        <f>W1660+V1660+U1660</f>
        <v>0</v>
      </c>
      <c r="Y1660" s="145">
        <v>0</v>
      </c>
      <c r="Z1660" s="145">
        <v>0</v>
      </c>
      <c r="AA1660" s="145">
        <v>0</v>
      </c>
      <c r="AB1660" s="145">
        <v>0</v>
      </c>
      <c r="AC1660" s="145">
        <v>0</v>
      </c>
      <c r="AD1660" s="145">
        <v>0</v>
      </c>
      <c r="AE1660" s="145">
        <v>0</v>
      </c>
      <c r="AF1660" s="145">
        <v>0</v>
      </c>
      <c r="AG1660" s="145">
        <v>0</v>
      </c>
      <c r="AH1660" s="145">
        <v>0</v>
      </c>
      <c r="AI1660" s="145">
        <v>0</v>
      </c>
      <c r="AJ1660" s="145">
        <v>0</v>
      </c>
      <c r="AK1660" s="145">
        <f>SUM(Y1660:AJ1660)</f>
        <v>0</v>
      </c>
      <c r="AL1660" s="145">
        <v>0</v>
      </c>
      <c r="AM1660" s="145">
        <v>0</v>
      </c>
      <c r="AN1660" s="145">
        <v>0</v>
      </c>
      <c r="AO1660" s="145">
        <v>0</v>
      </c>
      <c r="AP1660" s="145">
        <v>0</v>
      </c>
      <c r="AQ1660" s="145">
        <v>0</v>
      </c>
      <c r="AR1660" s="145">
        <v>0</v>
      </c>
      <c r="AS1660" s="145">
        <f t="shared" si="508"/>
        <v>0</v>
      </c>
      <c r="AT1660" s="145"/>
      <c r="AU1660" s="139">
        <f t="shared" si="493"/>
        <v>0</v>
      </c>
      <c r="AV1660" s="146">
        <f>IFERROR(VLOOKUP(J1660,Maksājumu_pieprasījumu_iesn.!G:BL,57,0),0)</f>
        <v>0</v>
      </c>
      <c r="AW1660" s="139">
        <f t="shared" si="501"/>
        <v>0</v>
      </c>
      <c r="AX1660" s="153"/>
      <c r="AY1660" s="153"/>
      <c r="AZ1660" s="153"/>
      <c r="BA1660" s="333"/>
      <c r="BB1660" s="145"/>
      <c r="BC1660" s="145"/>
      <c r="BD1660" s="145"/>
      <c r="BE1660" s="145"/>
      <c r="BF1660" s="145"/>
      <c r="BG1660" s="145"/>
      <c r="BH1660" s="153"/>
      <c r="BI1660" s="153"/>
      <c r="BJ1660" s="153"/>
      <c r="BK1660" s="153"/>
      <c r="BL1660" s="153"/>
      <c r="BM1660" s="384"/>
      <c r="BN1660" s="384"/>
    </row>
    <row r="1661" spans="1:66" s="91" customFormat="1" ht="51" hidden="1" customHeight="1" x14ac:dyDescent="0.2">
      <c r="A1661" s="150" t="s">
        <v>2677</v>
      </c>
      <c r="B1661" s="18" t="s">
        <v>537</v>
      </c>
      <c r="C1661" s="18" t="s">
        <v>538</v>
      </c>
      <c r="D1661" s="19" t="s">
        <v>611</v>
      </c>
      <c r="E1661" s="55">
        <v>2</v>
      </c>
      <c r="F1661" s="55" t="s">
        <v>454</v>
      </c>
      <c r="G1661" s="55" t="s">
        <v>102</v>
      </c>
      <c r="H1661" s="55" t="s">
        <v>3</v>
      </c>
      <c r="I1661" s="55"/>
      <c r="J1661" s="55"/>
      <c r="K1661" s="19" t="s">
        <v>461</v>
      </c>
      <c r="L1661" s="19"/>
      <c r="M1661" s="19"/>
      <c r="N1661" s="19"/>
      <c r="O1661" s="151"/>
      <c r="P1661" s="151"/>
      <c r="Q1661" s="151"/>
      <c r="R1661" s="151"/>
      <c r="S1661" s="152"/>
      <c r="T1661" s="152"/>
      <c r="U1661" s="145">
        <v>0</v>
      </c>
      <c r="V1661" s="145">
        <v>0</v>
      </c>
      <c r="W1661" s="145">
        <v>0</v>
      </c>
      <c r="X1661" s="145">
        <f>W1661+V1661+U1661</f>
        <v>0</v>
      </c>
      <c r="Y1661" s="145">
        <v>0</v>
      </c>
      <c r="Z1661" s="145">
        <v>0</v>
      </c>
      <c r="AA1661" s="145">
        <v>0</v>
      </c>
      <c r="AB1661" s="145">
        <v>0</v>
      </c>
      <c r="AC1661" s="145">
        <v>0</v>
      </c>
      <c r="AD1661" s="145">
        <v>0</v>
      </c>
      <c r="AE1661" s="145">
        <v>0</v>
      </c>
      <c r="AF1661" s="145">
        <v>0</v>
      </c>
      <c r="AG1661" s="145">
        <v>0</v>
      </c>
      <c r="AH1661" s="145">
        <v>0</v>
      </c>
      <c r="AI1661" s="145">
        <v>0</v>
      </c>
      <c r="AJ1661" s="145">
        <v>0</v>
      </c>
      <c r="AK1661" s="145">
        <f>SUM(Y1661:AJ1661)</f>
        <v>0</v>
      </c>
      <c r="AL1661" s="145">
        <v>0</v>
      </c>
      <c r="AM1661" s="145">
        <v>0</v>
      </c>
      <c r="AN1661" s="145">
        <v>0</v>
      </c>
      <c r="AO1661" s="145">
        <v>0</v>
      </c>
      <c r="AP1661" s="145">
        <v>0</v>
      </c>
      <c r="AQ1661" s="145">
        <v>0</v>
      </c>
      <c r="AR1661" s="145">
        <v>0</v>
      </c>
      <c r="AS1661" s="145">
        <f t="shared" si="508"/>
        <v>0</v>
      </c>
      <c r="AT1661" s="145"/>
      <c r="AU1661" s="139">
        <f t="shared" si="493"/>
        <v>0</v>
      </c>
      <c r="AV1661" s="146">
        <f>IFERROR(VLOOKUP(J1661,Maksājumu_pieprasījumu_iesn.!G:BL,57,0),0)</f>
        <v>0</v>
      </c>
      <c r="AW1661" s="139">
        <f t="shared" si="501"/>
        <v>0</v>
      </c>
      <c r="AX1661" s="153"/>
      <c r="AY1661" s="153"/>
      <c r="AZ1661" s="153"/>
      <c r="BA1661" s="333"/>
      <c r="BB1661" s="145"/>
      <c r="BC1661" s="145"/>
      <c r="BD1661" s="145"/>
      <c r="BE1661" s="145"/>
      <c r="BF1661" s="145"/>
      <c r="BG1661" s="145"/>
      <c r="BH1661" s="153"/>
      <c r="BI1661" s="153"/>
      <c r="BJ1661" s="153"/>
      <c r="BK1661" s="153"/>
      <c r="BL1661" s="153"/>
      <c r="BM1661" s="384"/>
      <c r="BN1661" s="384"/>
    </row>
    <row r="1662" spans="1:66" s="91" customFormat="1" ht="51" hidden="1" customHeight="1" x14ac:dyDescent="0.2">
      <c r="A1662" s="150" t="s">
        <v>2677</v>
      </c>
      <c r="B1662" s="18" t="s">
        <v>537</v>
      </c>
      <c r="C1662" s="18" t="s">
        <v>538</v>
      </c>
      <c r="D1662" s="19" t="s">
        <v>611</v>
      </c>
      <c r="E1662" s="55">
        <v>2</v>
      </c>
      <c r="F1662" s="55" t="s">
        <v>454</v>
      </c>
      <c r="G1662" s="55" t="s">
        <v>102</v>
      </c>
      <c r="H1662" s="55" t="s">
        <v>3</v>
      </c>
      <c r="I1662" s="55"/>
      <c r="J1662" s="55"/>
      <c r="K1662" s="19" t="s">
        <v>37</v>
      </c>
      <c r="L1662" s="19"/>
      <c r="M1662" s="19"/>
      <c r="N1662" s="19"/>
      <c r="O1662" s="151"/>
      <c r="P1662" s="151"/>
      <c r="Q1662" s="151"/>
      <c r="R1662" s="151"/>
      <c r="S1662" s="152"/>
      <c r="T1662" s="152"/>
      <c r="U1662" s="145">
        <v>0</v>
      </c>
      <c r="V1662" s="145">
        <v>0</v>
      </c>
      <c r="W1662" s="145">
        <v>0</v>
      </c>
      <c r="X1662" s="145">
        <f>W1662+V1662+U1662</f>
        <v>0</v>
      </c>
      <c r="Y1662" s="145">
        <v>0</v>
      </c>
      <c r="Z1662" s="145">
        <v>0</v>
      </c>
      <c r="AA1662" s="145">
        <v>0</v>
      </c>
      <c r="AB1662" s="145">
        <v>0</v>
      </c>
      <c r="AC1662" s="145">
        <v>0</v>
      </c>
      <c r="AD1662" s="145">
        <v>0</v>
      </c>
      <c r="AE1662" s="145">
        <v>0</v>
      </c>
      <c r="AF1662" s="145">
        <v>0</v>
      </c>
      <c r="AG1662" s="145">
        <v>0</v>
      </c>
      <c r="AH1662" s="145">
        <v>0</v>
      </c>
      <c r="AI1662" s="145">
        <v>0</v>
      </c>
      <c r="AJ1662" s="145">
        <v>0</v>
      </c>
      <c r="AK1662" s="145">
        <f>SUM(Y1662:AJ1662)</f>
        <v>0</v>
      </c>
      <c r="AL1662" s="145">
        <v>0</v>
      </c>
      <c r="AM1662" s="145">
        <v>0</v>
      </c>
      <c r="AN1662" s="145">
        <v>0</v>
      </c>
      <c r="AO1662" s="145">
        <v>0</v>
      </c>
      <c r="AP1662" s="145">
        <v>0</v>
      </c>
      <c r="AQ1662" s="145">
        <v>0</v>
      </c>
      <c r="AR1662" s="145">
        <v>0</v>
      </c>
      <c r="AS1662" s="145">
        <f t="shared" si="508"/>
        <v>0</v>
      </c>
      <c r="AT1662" s="145"/>
      <c r="AU1662" s="139">
        <f t="shared" si="493"/>
        <v>0</v>
      </c>
      <c r="AV1662" s="146">
        <f>IFERROR(VLOOKUP(J1662,Maksājumu_pieprasījumu_iesn.!G:BL,57,0),0)</f>
        <v>0</v>
      </c>
      <c r="AW1662" s="139">
        <f t="shared" si="501"/>
        <v>0</v>
      </c>
      <c r="AX1662" s="153"/>
      <c r="AY1662" s="153"/>
      <c r="AZ1662" s="153"/>
      <c r="BA1662" s="333"/>
      <c r="BB1662" s="145"/>
      <c r="BC1662" s="145"/>
      <c r="BD1662" s="145"/>
      <c r="BE1662" s="145"/>
      <c r="BF1662" s="145"/>
      <c r="BG1662" s="145"/>
      <c r="BH1662" s="153"/>
      <c r="BI1662" s="153"/>
      <c r="BJ1662" s="153"/>
      <c r="BK1662" s="153"/>
      <c r="BL1662" s="153"/>
      <c r="BM1662" s="384"/>
      <c r="BN1662" s="384"/>
    </row>
  </sheetData>
  <autoFilter ref="A11:BO1662">
    <filterColumn colId="14">
      <filters blank="1"/>
    </filterColumn>
    <filterColumn colId="16">
      <filters blank="1"/>
    </filterColumn>
    <filterColumn colId="47">
      <filters>
        <filter val="1 000 000"/>
        <filter val="1 064 287"/>
        <filter val="1 086 300"/>
        <filter val="1 124 764"/>
        <filter val="1 224 776"/>
        <filter val="1 242 248"/>
        <filter val="1 264 562"/>
        <filter val="1 275 000"/>
        <filter val="1 335 175"/>
        <filter val="1 338 538"/>
        <filter val="1 404 721"/>
        <filter val="1 428 000"/>
        <filter val="1 437 228"/>
        <filter val="1 443 013"/>
        <filter val="1 445 000"/>
        <filter val="1 501 600"/>
        <filter val="1 518 687"/>
        <filter val="1 544 350"/>
        <filter val="1 567 109"/>
        <filter val="1 592 155"/>
        <filter val="1 592 826"/>
        <filter val="1 604 865"/>
        <filter val="1 638 929"/>
        <filter val="1 700 000"/>
        <filter val="1 700 900"/>
        <filter val="1 803 840"/>
        <filter val="1 836 775"/>
        <filter val="1 906 355"/>
        <filter val="1 981 562"/>
        <filter val="10 026 413"/>
        <filter val="10 075 086"/>
        <filter val="10 312 242"/>
        <filter val="10 365 854"/>
        <filter val="10 746 951"/>
        <filter val="10 903 548"/>
        <filter val="102 791"/>
        <filter val="107 361 817"/>
        <filter val="11 358 712"/>
        <filter val="11 447 750"/>
        <filter val="11 866 751"/>
        <filter val="110 500"/>
        <filter val="116 670"/>
        <filter val="118 440 000"/>
        <filter val="119 000"/>
        <filter val="12 151 102"/>
        <filter val="12 182 119"/>
        <filter val="12 195 529"/>
        <filter val="12 234 908"/>
        <filter val="12 532 475"/>
        <filter val="12 589 103"/>
        <filter val="12 682 175"/>
        <filter val="12 726 887"/>
        <filter val="12 850"/>
        <filter val="12 954 153"/>
        <filter val="124 398"/>
        <filter val="127 361"/>
        <filter val="128 393"/>
        <filter val="13 681 015"/>
        <filter val="13 954 087"/>
        <filter val="138 865"/>
        <filter val="14 188 878"/>
        <filter val="14 978 086"/>
        <filter val="140 126"/>
        <filter val="15 532"/>
        <filter val="15 623 483"/>
        <filter val="155 521"/>
        <filter val="157 959"/>
        <filter val="16 046 444"/>
        <filter val="163 963"/>
        <filter val="166 000"/>
        <filter val="166 643"/>
        <filter val="168 375"/>
        <filter val="17 249 975"/>
        <filter val="17 487 038"/>
        <filter val="17 814 621"/>
        <filter val="17 917"/>
        <filter val="17 931 685"/>
        <filter val="170 000"/>
        <filter val="170 422"/>
        <filter val="172 146"/>
        <filter val="177 727"/>
        <filter val="18 163 599"/>
        <filter val="18 398 598"/>
        <filter val="186 910"/>
        <filter val="193 930"/>
        <filter val="197 610"/>
        <filter val="2 001 938"/>
        <filter val="2 004 000"/>
        <filter val="2 040 000"/>
        <filter val="2 047 647"/>
        <filter val="2 387 389"/>
        <filter val="2 503 114"/>
        <filter val="2 565 300"/>
        <filter val="2 599 996"/>
        <filter val="2 603 615"/>
        <filter val="2 616 528"/>
        <filter val="2 630 787"/>
        <filter val="2 722 839"/>
        <filter val="2 766 243"/>
        <filter val="2 794 247"/>
        <filter val="2 798 610"/>
        <filter val="2 841 401"/>
        <filter val="2 900 000"/>
        <filter val="2 975 000"/>
        <filter val="20 543"/>
        <filter val="21 250"/>
        <filter val="21 550 401"/>
        <filter val="213 591"/>
        <filter val="214 554"/>
        <filter val="218 492"/>
        <filter val="220 575"/>
        <filter val="224 397"/>
        <filter val="23 638 327"/>
        <filter val="23 980 094"/>
        <filter val="232 900"/>
        <filter val="235 580"/>
        <filter val="243 955"/>
        <filter val="248 503"/>
        <filter val="249 318"/>
        <filter val="25 500 000"/>
        <filter val="250 849"/>
        <filter val="253 980"/>
        <filter val="255 000"/>
        <filter val="255 378"/>
        <filter val="26 060"/>
        <filter val="26 103"/>
        <filter val="26 198 233"/>
        <filter val="26 996"/>
        <filter val="262 394"/>
        <filter val="262 516"/>
        <filter val="268 600"/>
        <filter val="27 204 409"/>
        <filter val="270 346"/>
        <filter val="276 675"/>
        <filter val="28 177"/>
        <filter val="28 636"/>
        <filter val="285 720"/>
        <filter val="286 059"/>
        <filter val="287 392"/>
        <filter val="288 452"/>
        <filter val="288 937"/>
        <filter val="289 429"/>
        <filter val="29 034"/>
        <filter val="291 241"/>
        <filter val="3 044 261"/>
        <filter val="3 060 946"/>
        <filter val="3 108 905"/>
        <filter val="3 162 318"/>
        <filter val="3 192 198"/>
        <filter val="3 248 146"/>
        <filter val="3 339 161"/>
        <filter val="3 366 697"/>
        <filter val="3 373 613"/>
        <filter val="3 374 060"/>
        <filter val="3 465 514"/>
        <filter val="3 469 140"/>
        <filter val="3 501 221"/>
        <filter val="3 551 381"/>
        <filter val="3 557 953"/>
        <filter val="3 570 000"/>
        <filter val="3 574 859"/>
        <filter val="3 681 464"/>
        <filter val="3 726 593"/>
        <filter val="3 825 000"/>
        <filter val="3 918 310"/>
        <filter val="30 828 458"/>
        <filter val="303 450"/>
        <filter val="309 012"/>
        <filter val="31 207 922"/>
        <filter val="31 260 420"/>
        <filter val="315 162"/>
        <filter val="32 780 847"/>
        <filter val="327 835"/>
        <filter val="33 124"/>
        <filter val="33 436"/>
        <filter val="331 746"/>
        <filter val="335 472"/>
        <filter val="34 037 125"/>
        <filter val="34 264"/>
        <filter val="34 351"/>
        <filter val="340 577"/>
        <filter val="347 225"/>
        <filter val="349 861"/>
        <filter val="35 182"/>
        <filter val="365 293"/>
        <filter val="367 200"/>
        <filter val="368 348"/>
        <filter val="37 550 530"/>
        <filter val="38 169"/>
        <filter val="39 660"/>
        <filter val="39 666"/>
        <filter val="39 724 115"/>
        <filter val="391 000"/>
        <filter val="391 226"/>
        <filter val="391 617"/>
        <filter val="398 171"/>
        <filter val="4 018 012"/>
        <filter val="4 125 213"/>
        <filter val="4 144 600"/>
        <filter val="4 216 243"/>
        <filter val="4 250 000"/>
        <filter val="4 250 001"/>
        <filter val="4 381 612"/>
        <filter val="4 432 093"/>
        <filter val="4 508 342"/>
        <filter val="4 645 400"/>
        <filter val="4 739 301"/>
        <filter val="4 853 010"/>
        <filter val="40 388"/>
        <filter val="41 295"/>
        <filter val="41 335"/>
        <filter val="41 749"/>
        <filter val="416 500"/>
        <filter val="42 466"/>
        <filter val="42 752"/>
        <filter val="421 600"/>
        <filter val="426 909"/>
        <filter val="427 216"/>
        <filter val="427 218"/>
        <filter val="428 655"/>
        <filter val="43 934"/>
        <filter val="434 699"/>
        <filter val="44 000"/>
        <filter val="443 254"/>
        <filter val="448 800"/>
        <filter val="45 254"/>
        <filter val="46 511"/>
        <filter val="47 564"/>
        <filter val="47 955"/>
        <filter val="476 000"/>
        <filter val="486 415"/>
        <filter val="488 455"/>
        <filter val="495 503"/>
        <filter val="498 205"/>
        <filter val="5 047 626"/>
        <filter val="5 117 331"/>
        <filter val="5 173 530"/>
        <filter val="5 342 489"/>
        <filter val="5 587 077"/>
        <filter val="5 660 528"/>
        <filter val="5 791 088"/>
        <filter val="5 907 500"/>
        <filter val="5 915 024"/>
        <filter val="51 056"/>
        <filter val="51 222"/>
        <filter val="513 201"/>
        <filter val="52 168"/>
        <filter val="523 413"/>
        <filter val="53 362"/>
        <filter val="53 428"/>
        <filter val="53 435"/>
        <filter val="54 424 846"/>
        <filter val="542 320"/>
        <filter val="546 777"/>
        <filter val="55 739"/>
        <filter val="555 711"/>
        <filter val="557 488"/>
        <filter val="56 222"/>
        <filter val="56 268"/>
        <filter val="565 906"/>
        <filter val="577 774"/>
        <filter val="58 307"/>
        <filter val="58 949"/>
        <filter val="59 507"/>
        <filter val="59 724"/>
        <filter val="590 959"/>
        <filter val="595 318"/>
        <filter val="597 857"/>
        <filter val="598 711"/>
        <filter val="6 075 675"/>
        <filter val="6 195 032"/>
        <filter val="6 586 479"/>
        <filter val="6 659 984"/>
        <filter val="60 026"/>
        <filter val="60 355"/>
        <filter val="60 746"/>
        <filter val="610 611"/>
        <filter val="611 949"/>
        <filter val="615 194"/>
        <filter val="637 500"/>
        <filter val="66 275"/>
        <filter val="66 961"/>
        <filter val="67 082"/>
        <filter val="687 618"/>
        <filter val="69 729"/>
        <filter val="697 194"/>
        <filter val="7 037 075"/>
        <filter val="7 222 781"/>
        <filter val="7 298 755"/>
        <filter val="7 636 405"/>
        <filter val="7 649 979"/>
        <filter val="7 650 766"/>
        <filter val="7 684 357"/>
        <filter val="7 833 586"/>
        <filter val="70 789"/>
        <filter val="700 825"/>
        <filter val="725 005"/>
        <filter val="729 826"/>
        <filter val="742 365"/>
        <filter val="742 731"/>
        <filter val="77 757 172"/>
        <filter val="785 970"/>
        <filter val="787 180"/>
        <filter val="79 014"/>
        <filter val="8 075 000"/>
        <filter val="8 081 719"/>
        <filter val="8 275 898"/>
        <filter val="8 544 348"/>
        <filter val="8 594 668"/>
        <filter val="8 903 599"/>
        <filter val="8 968 336"/>
        <filter val="8 994 681"/>
        <filter val="81 827"/>
        <filter val="812 388"/>
        <filter val="82 576"/>
        <filter val="843 662"/>
        <filter val="85 000"/>
        <filter val="85 676"/>
        <filter val="85 705"/>
        <filter val="871 562"/>
        <filter val="9 006 779"/>
        <filter val="9 307 378"/>
        <filter val="9 378 900"/>
        <filter val="9 388 273"/>
        <filter val="9 641 313"/>
        <filter val="9 756 405"/>
        <filter val="9 879 730"/>
        <filter val="90 597"/>
        <filter val="90 861"/>
        <filter val="917 966"/>
        <filter val="92 124"/>
        <filter val="92 778"/>
        <filter val="922 420"/>
        <filter val="94 188"/>
        <filter val="94 866"/>
        <filter val="95 346"/>
        <filter val="95 640"/>
        <filter val="974 086"/>
        <filter val="975 381"/>
        <filter val="980 789"/>
        <filter val="99 694"/>
      </filters>
    </filterColumn>
  </autoFilter>
  <customSheetViews>
    <customSheetView guid="{31BFF91F-CC67-47B5-A533-CBCA2A3DFD88}" filter="1" showAutoFilter="1" state="hidden" topLeftCell="AG1663">
      <selection activeCell="J811" sqref="J811"/>
      <pageMargins left="0.7" right="0.7" top="0.75" bottom="0.75" header="0.3" footer="0.3"/>
      <pageSetup paperSize="9" orientation="portrait" verticalDpi="0" r:id="rId1"/>
      <autoFilter ref="A11:BO1662">
        <filterColumn colId="14">
          <filters blank="1"/>
        </filterColumn>
        <filterColumn colId="16">
          <filters blank="1"/>
        </filterColumn>
        <filterColumn colId="47">
          <filters>
            <filter val="1 000 000"/>
            <filter val="1 064 287"/>
            <filter val="1 086 300"/>
            <filter val="1 124 764"/>
            <filter val="1 224 776"/>
            <filter val="1 242 248"/>
            <filter val="1 264 562"/>
            <filter val="1 275 000"/>
            <filter val="1 335 175"/>
            <filter val="1 338 538"/>
            <filter val="1 404 721"/>
            <filter val="1 428 000"/>
            <filter val="1 437 228"/>
            <filter val="1 443 013"/>
            <filter val="1 445 000"/>
            <filter val="1 501 600"/>
            <filter val="1 518 687"/>
            <filter val="1 544 350"/>
            <filter val="1 567 109"/>
            <filter val="1 592 155"/>
            <filter val="1 592 826"/>
            <filter val="1 604 865"/>
            <filter val="1 638 929"/>
            <filter val="1 700 000"/>
            <filter val="1 700 900"/>
            <filter val="1 803 840"/>
            <filter val="1 836 775"/>
            <filter val="1 906 355"/>
            <filter val="1 981 562"/>
            <filter val="10 026 413"/>
            <filter val="10 075 086"/>
            <filter val="10 312 242"/>
            <filter val="10 365 854"/>
            <filter val="10 746 951"/>
            <filter val="10 903 548"/>
            <filter val="102 791"/>
            <filter val="107 361 817"/>
            <filter val="11 358 712"/>
            <filter val="11 447 750"/>
            <filter val="11 866 751"/>
            <filter val="110 500"/>
            <filter val="116 670"/>
            <filter val="118 440 000"/>
            <filter val="119 000"/>
            <filter val="12 151 102"/>
            <filter val="12 182 119"/>
            <filter val="12 195 529"/>
            <filter val="12 234 908"/>
            <filter val="12 532 475"/>
            <filter val="12 589 103"/>
            <filter val="12 682 175"/>
            <filter val="12 726 887"/>
            <filter val="12 850"/>
            <filter val="12 954 153"/>
            <filter val="124 398"/>
            <filter val="127 361"/>
            <filter val="128 393"/>
            <filter val="13 681 015"/>
            <filter val="13 954 087"/>
            <filter val="138 865"/>
            <filter val="14 188 878"/>
            <filter val="14 978 086"/>
            <filter val="140 126"/>
            <filter val="15 532"/>
            <filter val="15 623 483"/>
            <filter val="155 521"/>
            <filter val="157 959"/>
            <filter val="16 046 444"/>
            <filter val="163 963"/>
            <filter val="166 000"/>
            <filter val="166 643"/>
            <filter val="168 375"/>
            <filter val="17 249 975"/>
            <filter val="17 487 038"/>
            <filter val="17 814 621"/>
            <filter val="17 917"/>
            <filter val="17 931 685"/>
            <filter val="170 000"/>
            <filter val="170 422"/>
            <filter val="172 146"/>
            <filter val="177 727"/>
            <filter val="18 163 599"/>
            <filter val="18 398 598"/>
            <filter val="186 910"/>
            <filter val="193 930"/>
            <filter val="197 610"/>
            <filter val="2 001 938"/>
            <filter val="2 004 000"/>
            <filter val="2 040 000"/>
            <filter val="2 047 647"/>
            <filter val="2 387 389"/>
            <filter val="2 503 114"/>
            <filter val="2 565 300"/>
            <filter val="2 599 996"/>
            <filter val="2 603 615"/>
            <filter val="2 616 528"/>
            <filter val="2 630 787"/>
            <filter val="2 722 839"/>
            <filter val="2 766 243"/>
            <filter val="2 794 247"/>
            <filter val="2 798 610"/>
            <filter val="2 841 401"/>
            <filter val="2 900 000"/>
            <filter val="2 975 000"/>
            <filter val="20 543"/>
            <filter val="21 250"/>
            <filter val="21 550 401"/>
            <filter val="213 591"/>
            <filter val="214 554"/>
            <filter val="218 492"/>
            <filter val="220 575"/>
            <filter val="224 397"/>
            <filter val="23 638 327"/>
            <filter val="23 980 094"/>
            <filter val="232 900"/>
            <filter val="235 580"/>
            <filter val="243 955"/>
            <filter val="248 503"/>
            <filter val="249 318"/>
            <filter val="25 500 000"/>
            <filter val="250 849"/>
            <filter val="253 980"/>
            <filter val="255 000"/>
            <filter val="255 378"/>
            <filter val="26 060"/>
            <filter val="26 103"/>
            <filter val="26 198 233"/>
            <filter val="26 996"/>
            <filter val="262 394"/>
            <filter val="262 516"/>
            <filter val="268 600"/>
            <filter val="27 204 409"/>
            <filter val="270 346"/>
            <filter val="276 675"/>
            <filter val="28 177"/>
            <filter val="28 636"/>
            <filter val="285 720"/>
            <filter val="286 059"/>
            <filter val="287 392"/>
            <filter val="288 452"/>
            <filter val="288 937"/>
            <filter val="289 429"/>
            <filter val="29 034"/>
            <filter val="291 241"/>
            <filter val="3 044 261"/>
            <filter val="3 060 946"/>
            <filter val="3 108 905"/>
            <filter val="3 162 318"/>
            <filter val="3 192 198"/>
            <filter val="3 248 146"/>
            <filter val="3 339 161"/>
            <filter val="3 366 697"/>
            <filter val="3 373 613"/>
            <filter val="3 374 060"/>
            <filter val="3 465 514"/>
            <filter val="3 469 140"/>
            <filter val="3 501 221"/>
            <filter val="3 551 381"/>
            <filter val="3 557 953"/>
            <filter val="3 570 000"/>
            <filter val="3 574 859"/>
            <filter val="3 681 464"/>
            <filter val="3 726 593"/>
            <filter val="3 825 000"/>
            <filter val="3 918 310"/>
            <filter val="30 828 458"/>
            <filter val="303 450"/>
            <filter val="309 012"/>
            <filter val="31 207 922"/>
            <filter val="31 260 420"/>
            <filter val="315 162"/>
            <filter val="32 780 847"/>
            <filter val="327 835"/>
            <filter val="33 124"/>
            <filter val="33 436"/>
            <filter val="331 746"/>
            <filter val="335 472"/>
            <filter val="34 037 125"/>
            <filter val="34 264"/>
            <filter val="34 351"/>
            <filter val="340 577"/>
            <filter val="347 225"/>
            <filter val="349 861"/>
            <filter val="35 182"/>
            <filter val="365 293"/>
            <filter val="367 200"/>
            <filter val="368 348"/>
            <filter val="37 550 530"/>
            <filter val="38 169"/>
            <filter val="39 660"/>
            <filter val="39 666"/>
            <filter val="39 724 115"/>
            <filter val="391 000"/>
            <filter val="391 226"/>
            <filter val="391 617"/>
            <filter val="398 171"/>
            <filter val="4 018 012"/>
            <filter val="4 125 213"/>
            <filter val="4 144 600"/>
            <filter val="4 216 243"/>
            <filter val="4 250 000"/>
            <filter val="4 250 001"/>
            <filter val="4 381 612"/>
            <filter val="4 432 093"/>
            <filter val="4 508 342"/>
            <filter val="4 645 400"/>
            <filter val="4 739 301"/>
            <filter val="4 853 010"/>
            <filter val="40 388"/>
            <filter val="41 295"/>
            <filter val="41 335"/>
            <filter val="41 749"/>
            <filter val="416 500"/>
            <filter val="42 466"/>
            <filter val="42 752"/>
            <filter val="421 600"/>
            <filter val="426 909"/>
            <filter val="427 216"/>
            <filter val="427 218"/>
            <filter val="428 655"/>
            <filter val="43 934"/>
            <filter val="434 699"/>
            <filter val="44 000"/>
            <filter val="443 254"/>
            <filter val="448 800"/>
            <filter val="45 254"/>
            <filter val="46 511"/>
            <filter val="47 564"/>
            <filter val="47 955"/>
            <filter val="476 000"/>
            <filter val="486 415"/>
            <filter val="488 455"/>
            <filter val="495 503"/>
            <filter val="498 205"/>
            <filter val="5 047 626"/>
            <filter val="5 117 331"/>
            <filter val="5 173 530"/>
            <filter val="5 342 489"/>
            <filter val="5 587 077"/>
            <filter val="5 660 528"/>
            <filter val="5 791 088"/>
            <filter val="5 907 500"/>
            <filter val="5 915 024"/>
            <filter val="51 056"/>
            <filter val="51 222"/>
            <filter val="513 201"/>
            <filter val="52 168"/>
            <filter val="523 413"/>
            <filter val="53 362"/>
            <filter val="53 428"/>
            <filter val="53 435"/>
            <filter val="54 424 846"/>
            <filter val="542 320"/>
            <filter val="546 777"/>
            <filter val="55 739"/>
            <filter val="555 711"/>
            <filter val="557 488"/>
            <filter val="56 222"/>
            <filter val="56 268"/>
            <filter val="565 906"/>
            <filter val="577 774"/>
            <filter val="58 307"/>
            <filter val="58 949"/>
            <filter val="59 507"/>
            <filter val="59 724"/>
            <filter val="590 959"/>
            <filter val="595 318"/>
            <filter val="597 857"/>
            <filter val="598 711"/>
            <filter val="6 075 675"/>
            <filter val="6 195 032"/>
            <filter val="6 586 479"/>
            <filter val="6 659 984"/>
            <filter val="60 026"/>
            <filter val="60 355"/>
            <filter val="60 746"/>
            <filter val="610 611"/>
            <filter val="611 949"/>
            <filter val="615 194"/>
            <filter val="637 500"/>
            <filter val="66 275"/>
            <filter val="66 961"/>
            <filter val="67 082"/>
            <filter val="687 618"/>
            <filter val="69 729"/>
            <filter val="697 194"/>
            <filter val="7 037 075"/>
            <filter val="7 222 781"/>
            <filter val="7 298 755"/>
            <filter val="7 636 405"/>
            <filter val="7 649 979"/>
            <filter val="7 650 766"/>
            <filter val="7 684 357"/>
            <filter val="7 833 586"/>
            <filter val="70 789"/>
            <filter val="700 825"/>
            <filter val="725 005"/>
            <filter val="729 826"/>
            <filter val="742 365"/>
            <filter val="742 731"/>
            <filter val="77 757 172"/>
            <filter val="785 970"/>
            <filter val="787 180"/>
            <filter val="79 014"/>
            <filter val="8 075 000"/>
            <filter val="8 081 719"/>
            <filter val="8 275 898"/>
            <filter val="8 544 348"/>
            <filter val="8 594 668"/>
            <filter val="8 903 599"/>
            <filter val="8 968 336"/>
            <filter val="8 994 681"/>
            <filter val="81 827"/>
            <filter val="812 388"/>
            <filter val="82 576"/>
            <filter val="843 662"/>
            <filter val="85 000"/>
            <filter val="85 676"/>
            <filter val="85 705"/>
            <filter val="871 562"/>
            <filter val="9 006 779"/>
            <filter val="9 307 378"/>
            <filter val="9 378 900"/>
            <filter val="9 388 273"/>
            <filter val="9 641 313"/>
            <filter val="9 756 405"/>
            <filter val="9 879 730"/>
            <filter val="90 597"/>
            <filter val="90 861"/>
            <filter val="917 966"/>
            <filter val="92 124"/>
            <filter val="92 778"/>
            <filter val="922 420"/>
            <filter val="94 188"/>
            <filter val="94 866"/>
            <filter val="95 346"/>
            <filter val="95 640"/>
            <filter val="974 086"/>
            <filter val="975 381"/>
            <filter val="980 789"/>
            <filter val="99 694"/>
          </filters>
        </filterColumn>
      </autoFilter>
    </customSheetView>
    <customSheetView guid="{1CE1816D-2CE4-45E4-84A5-7ECDB5D0D0D3}" filter="1" showAutoFilter="1" state="hidden" topLeftCell="AG1663">
      <selection activeCell="J811" sqref="J811"/>
      <pageMargins left="0.7" right="0.7" top="0.75" bottom="0.75" header="0.3" footer="0.3"/>
      <pageSetup paperSize="9" orientation="portrait" verticalDpi="0" r:id="rId2"/>
      <autoFilter ref="A11:BO1662">
        <filterColumn colId="14">
          <filters blank="1"/>
        </filterColumn>
        <filterColumn colId="16">
          <filters blank="1"/>
        </filterColumn>
        <filterColumn colId="47">
          <filters>
            <filter val="1 000 000"/>
            <filter val="1 064 287"/>
            <filter val="1 086 300"/>
            <filter val="1 124 764"/>
            <filter val="1 224 776"/>
            <filter val="1 242 248"/>
            <filter val="1 264 562"/>
            <filter val="1 275 000"/>
            <filter val="1 335 175"/>
            <filter val="1 338 538"/>
            <filter val="1 404 721"/>
            <filter val="1 428 000"/>
            <filter val="1 437 228"/>
            <filter val="1 443 013"/>
            <filter val="1 445 000"/>
            <filter val="1 501 600"/>
            <filter val="1 518 687"/>
            <filter val="1 544 350"/>
            <filter val="1 567 109"/>
            <filter val="1 592 155"/>
            <filter val="1 592 826"/>
            <filter val="1 604 865"/>
            <filter val="1 638 929"/>
            <filter val="1 700 000"/>
            <filter val="1 700 900"/>
            <filter val="1 803 840"/>
            <filter val="1 836 775"/>
            <filter val="1 906 355"/>
            <filter val="1 981 562"/>
            <filter val="10 026 413"/>
            <filter val="10 075 086"/>
            <filter val="10 312 242"/>
            <filter val="10 365 854"/>
            <filter val="10 746 951"/>
            <filter val="10 903 548"/>
            <filter val="102 791"/>
            <filter val="107 361 817"/>
            <filter val="11 358 712"/>
            <filter val="11 447 750"/>
            <filter val="11 866 751"/>
            <filter val="110 500"/>
            <filter val="116 670"/>
            <filter val="118 440 000"/>
            <filter val="119 000"/>
            <filter val="12 151 102"/>
            <filter val="12 182 119"/>
            <filter val="12 195 529"/>
            <filter val="12 234 908"/>
            <filter val="12 532 475"/>
            <filter val="12 589 103"/>
            <filter val="12 682 175"/>
            <filter val="12 726 887"/>
            <filter val="12 850"/>
            <filter val="12 954 153"/>
            <filter val="124 398"/>
            <filter val="127 361"/>
            <filter val="128 393"/>
            <filter val="13 681 015"/>
            <filter val="13 954 087"/>
            <filter val="138 865"/>
            <filter val="14 188 878"/>
            <filter val="14 978 086"/>
            <filter val="140 126"/>
            <filter val="15 532"/>
            <filter val="15 623 483"/>
            <filter val="155 521"/>
            <filter val="157 959"/>
            <filter val="16 046 444"/>
            <filter val="163 963"/>
            <filter val="166 000"/>
            <filter val="166 643"/>
            <filter val="168 375"/>
            <filter val="17 249 975"/>
            <filter val="17 487 038"/>
            <filter val="17 814 621"/>
            <filter val="17 917"/>
            <filter val="17 931 685"/>
            <filter val="170 000"/>
            <filter val="170 422"/>
            <filter val="172 146"/>
            <filter val="177 727"/>
            <filter val="18 163 599"/>
            <filter val="18 398 598"/>
            <filter val="186 910"/>
            <filter val="193 930"/>
            <filter val="197 610"/>
            <filter val="2 001 938"/>
            <filter val="2 004 000"/>
            <filter val="2 040 000"/>
            <filter val="2 047 647"/>
            <filter val="2 387 389"/>
            <filter val="2 503 114"/>
            <filter val="2 565 300"/>
            <filter val="2 599 996"/>
            <filter val="2 603 615"/>
            <filter val="2 616 528"/>
            <filter val="2 630 787"/>
            <filter val="2 722 839"/>
            <filter val="2 766 243"/>
            <filter val="2 794 247"/>
            <filter val="2 798 610"/>
            <filter val="2 841 401"/>
            <filter val="2 900 000"/>
            <filter val="2 975 000"/>
            <filter val="20 543"/>
            <filter val="21 250"/>
            <filter val="21 550 401"/>
            <filter val="213 591"/>
            <filter val="214 554"/>
            <filter val="218 492"/>
            <filter val="220 575"/>
            <filter val="224 397"/>
            <filter val="23 638 327"/>
            <filter val="23 980 094"/>
            <filter val="232 900"/>
            <filter val="235 580"/>
            <filter val="243 955"/>
            <filter val="248 503"/>
            <filter val="249 318"/>
            <filter val="25 500 000"/>
            <filter val="250 849"/>
            <filter val="253 980"/>
            <filter val="255 000"/>
            <filter val="255 378"/>
            <filter val="26 060"/>
            <filter val="26 103"/>
            <filter val="26 198 233"/>
            <filter val="26 996"/>
            <filter val="262 394"/>
            <filter val="262 516"/>
            <filter val="268 600"/>
            <filter val="27 204 409"/>
            <filter val="270 346"/>
            <filter val="276 675"/>
            <filter val="28 177"/>
            <filter val="28 636"/>
            <filter val="285 720"/>
            <filter val="286 059"/>
            <filter val="287 392"/>
            <filter val="288 452"/>
            <filter val="288 937"/>
            <filter val="289 429"/>
            <filter val="29 034"/>
            <filter val="291 241"/>
            <filter val="3 044 261"/>
            <filter val="3 060 946"/>
            <filter val="3 108 905"/>
            <filter val="3 162 318"/>
            <filter val="3 192 198"/>
            <filter val="3 248 146"/>
            <filter val="3 339 161"/>
            <filter val="3 366 697"/>
            <filter val="3 373 613"/>
            <filter val="3 374 060"/>
            <filter val="3 465 514"/>
            <filter val="3 469 140"/>
            <filter val="3 501 221"/>
            <filter val="3 551 381"/>
            <filter val="3 557 953"/>
            <filter val="3 570 000"/>
            <filter val="3 574 859"/>
            <filter val="3 681 464"/>
            <filter val="3 726 593"/>
            <filter val="3 825 000"/>
            <filter val="3 918 310"/>
            <filter val="30 828 458"/>
            <filter val="303 450"/>
            <filter val="309 012"/>
            <filter val="31 207 922"/>
            <filter val="31 260 420"/>
            <filter val="315 162"/>
            <filter val="32 780 847"/>
            <filter val="327 835"/>
            <filter val="33 124"/>
            <filter val="33 436"/>
            <filter val="331 746"/>
            <filter val="335 472"/>
            <filter val="34 037 125"/>
            <filter val="34 264"/>
            <filter val="34 351"/>
            <filter val="340 577"/>
            <filter val="347 225"/>
            <filter val="349 861"/>
            <filter val="35 182"/>
            <filter val="365 293"/>
            <filter val="367 200"/>
            <filter val="368 348"/>
            <filter val="37 550 530"/>
            <filter val="38 169"/>
            <filter val="39 660"/>
            <filter val="39 666"/>
            <filter val="39 724 115"/>
            <filter val="391 000"/>
            <filter val="391 226"/>
            <filter val="391 617"/>
            <filter val="398 171"/>
            <filter val="4 018 012"/>
            <filter val="4 125 213"/>
            <filter val="4 144 600"/>
            <filter val="4 216 243"/>
            <filter val="4 250 000"/>
            <filter val="4 250 001"/>
            <filter val="4 381 612"/>
            <filter val="4 432 093"/>
            <filter val="4 508 342"/>
            <filter val="4 645 400"/>
            <filter val="4 739 301"/>
            <filter val="4 853 010"/>
            <filter val="40 388"/>
            <filter val="41 295"/>
            <filter val="41 335"/>
            <filter val="41 749"/>
            <filter val="416 500"/>
            <filter val="42 466"/>
            <filter val="42 752"/>
            <filter val="421 600"/>
            <filter val="426 909"/>
            <filter val="427 216"/>
            <filter val="427 218"/>
            <filter val="428 655"/>
            <filter val="43 934"/>
            <filter val="434 699"/>
            <filter val="44 000"/>
            <filter val="443 254"/>
            <filter val="448 800"/>
            <filter val="45 254"/>
            <filter val="46 511"/>
            <filter val="47 564"/>
            <filter val="47 955"/>
            <filter val="476 000"/>
            <filter val="486 415"/>
            <filter val="488 455"/>
            <filter val="495 503"/>
            <filter val="498 205"/>
            <filter val="5 047 626"/>
            <filter val="5 117 331"/>
            <filter val="5 173 530"/>
            <filter val="5 342 489"/>
            <filter val="5 587 077"/>
            <filter val="5 660 528"/>
            <filter val="5 791 088"/>
            <filter val="5 907 500"/>
            <filter val="5 915 024"/>
            <filter val="51 056"/>
            <filter val="51 222"/>
            <filter val="513 201"/>
            <filter val="52 168"/>
            <filter val="523 413"/>
            <filter val="53 362"/>
            <filter val="53 428"/>
            <filter val="53 435"/>
            <filter val="54 424 846"/>
            <filter val="542 320"/>
            <filter val="546 777"/>
            <filter val="55 739"/>
            <filter val="555 711"/>
            <filter val="557 488"/>
            <filter val="56 222"/>
            <filter val="56 268"/>
            <filter val="565 906"/>
            <filter val="577 774"/>
            <filter val="58 307"/>
            <filter val="58 949"/>
            <filter val="59 507"/>
            <filter val="59 724"/>
            <filter val="590 959"/>
            <filter val="595 318"/>
            <filter val="597 857"/>
            <filter val="598 711"/>
            <filter val="6 075 675"/>
            <filter val="6 195 032"/>
            <filter val="6 586 479"/>
            <filter val="6 659 984"/>
            <filter val="60 026"/>
            <filter val="60 355"/>
            <filter val="60 746"/>
            <filter val="610 611"/>
            <filter val="611 949"/>
            <filter val="615 194"/>
            <filter val="637 500"/>
            <filter val="66 275"/>
            <filter val="66 961"/>
            <filter val="67 082"/>
            <filter val="687 618"/>
            <filter val="69 729"/>
            <filter val="697 194"/>
            <filter val="7 037 075"/>
            <filter val="7 222 781"/>
            <filter val="7 298 755"/>
            <filter val="7 636 405"/>
            <filter val="7 649 979"/>
            <filter val="7 650 766"/>
            <filter val="7 684 357"/>
            <filter val="7 833 586"/>
            <filter val="70 789"/>
            <filter val="700 825"/>
            <filter val="725 005"/>
            <filter val="729 826"/>
            <filter val="742 365"/>
            <filter val="742 731"/>
            <filter val="77 757 172"/>
            <filter val="785 970"/>
            <filter val="787 180"/>
            <filter val="79 014"/>
            <filter val="8 075 000"/>
            <filter val="8 081 719"/>
            <filter val="8 275 898"/>
            <filter val="8 544 348"/>
            <filter val="8 594 668"/>
            <filter val="8 903 599"/>
            <filter val="8 968 336"/>
            <filter val="8 994 681"/>
            <filter val="81 827"/>
            <filter val="812 388"/>
            <filter val="82 576"/>
            <filter val="843 662"/>
            <filter val="85 000"/>
            <filter val="85 676"/>
            <filter val="85 705"/>
            <filter val="871 562"/>
            <filter val="9 006 779"/>
            <filter val="9 307 378"/>
            <filter val="9 378 900"/>
            <filter val="9 388 273"/>
            <filter val="9 641 313"/>
            <filter val="9 756 405"/>
            <filter val="9 879 730"/>
            <filter val="90 597"/>
            <filter val="90 861"/>
            <filter val="917 966"/>
            <filter val="92 124"/>
            <filter val="92 778"/>
            <filter val="922 420"/>
            <filter val="94 188"/>
            <filter val="94 866"/>
            <filter val="95 346"/>
            <filter val="95 640"/>
            <filter val="974 086"/>
            <filter val="975 381"/>
            <filter val="980 789"/>
            <filter val="99 694"/>
          </filters>
        </filterColumn>
      </autoFilter>
    </customSheetView>
    <customSheetView guid="{C7376C49-7C70-4EE7-9CF7-79151FBD2399}" filter="1" showAutoFilter="1" state="hidden" topLeftCell="AG1663">
      <selection activeCell="J811" sqref="J811"/>
      <pageMargins left="0.7" right="0.7" top="0.75" bottom="0.75" header="0.3" footer="0.3"/>
      <pageSetup paperSize="9" orientation="portrait" verticalDpi="0" r:id="rId3"/>
      <autoFilter ref="A11:BO1662">
        <filterColumn colId="14">
          <filters blank="1"/>
        </filterColumn>
        <filterColumn colId="16">
          <filters blank="1"/>
        </filterColumn>
        <filterColumn colId="47">
          <filters>
            <filter val="1 000 000"/>
            <filter val="1 064 287"/>
            <filter val="1 086 300"/>
            <filter val="1 124 764"/>
            <filter val="1 224 776"/>
            <filter val="1 242 248"/>
            <filter val="1 264 562"/>
            <filter val="1 275 000"/>
            <filter val="1 335 175"/>
            <filter val="1 338 538"/>
            <filter val="1 404 721"/>
            <filter val="1 428 000"/>
            <filter val="1 437 228"/>
            <filter val="1 443 013"/>
            <filter val="1 445 000"/>
            <filter val="1 501 600"/>
            <filter val="1 518 687"/>
            <filter val="1 544 350"/>
            <filter val="1 567 109"/>
            <filter val="1 592 155"/>
            <filter val="1 592 826"/>
            <filter val="1 604 865"/>
            <filter val="1 638 929"/>
            <filter val="1 700 000"/>
            <filter val="1 700 900"/>
            <filter val="1 803 840"/>
            <filter val="1 836 775"/>
            <filter val="1 906 355"/>
            <filter val="1 981 562"/>
            <filter val="10 026 413"/>
            <filter val="10 075 086"/>
            <filter val="10 312 242"/>
            <filter val="10 365 854"/>
            <filter val="10 746 951"/>
            <filter val="10 903 548"/>
            <filter val="102 791"/>
            <filter val="107 361 817"/>
            <filter val="11 358 712"/>
            <filter val="11 447 750"/>
            <filter val="11 866 751"/>
            <filter val="110 500"/>
            <filter val="116 670"/>
            <filter val="118 440 000"/>
            <filter val="119 000"/>
            <filter val="12 151 102"/>
            <filter val="12 182 119"/>
            <filter val="12 195 529"/>
            <filter val="12 234 908"/>
            <filter val="12 532 475"/>
            <filter val="12 589 103"/>
            <filter val="12 682 175"/>
            <filter val="12 726 887"/>
            <filter val="12 850"/>
            <filter val="12 954 153"/>
            <filter val="124 398"/>
            <filter val="127 361"/>
            <filter val="128 393"/>
            <filter val="13 681 015"/>
            <filter val="13 954 087"/>
            <filter val="138 865"/>
            <filter val="14 188 878"/>
            <filter val="14 978 086"/>
            <filter val="140 126"/>
            <filter val="15 532"/>
            <filter val="15 623 483"/>
            <filter val="155 521"/>
            <filter val="157 959"/>
            <filter val="16 046 444"/>
            <filter val="163 963"/>
            <filter val="166 000"/>
            <filter val="166 643"/>
            <filter val="168 375"/>
            <filter val="17 249 975"/>
            <filter val="17 487 038"/>
            <filter val="17 814 621"/>
            <filter val="17 917"/>
            <filter val="17 931 685"/>
            <filter val="170 000"/>
            <filter val="170 422"/>
            <filter val="172 146"/>
            <filter val="177 727"/>
            <filter val="18 163 599"/>
            <filter val="18 398 598"/>
            <filter val="186 910"/>
            <filter val="193 930"/>
            <filter val="197 610"/>
            <filter val="2 001 938"/>
            <filter val="2 004 000"/>
            <filter val="2 040 000"/>
            <filter val="2 047 647"/>
            <filter val="2 387 389"/>
            <filter val="2 503 114"/>
            <filter val="2 565 300"/>
            <filter val="2 599 996"/>
            <filter val="2 603 615"/>
            <filter val="2 616 528"/>
            <filter val="2 630 787"/>
            <filter val="2 722 839"/>
            <filter val="2 766 243"/>
            <filter val="2 794 247"/>
            <filter val="2 798 610"/>
            <filter val="2 841 401"/>
            <filter val="2 900 000"/>
            <filter val="2 975 000"/>
            <filter val="20 543"/>
            <filter val="21 250"/>
            <filter val="21 550 401"/>
            <filter val="213 591"/>
            <filter val="214 554"/>
            <filter val="218 492"/>
            <filter val="220 575"/>
            <filter val="224 397"/>
            <filter val="23 638 327"/>
            <filter val="23 980 094"/>
            <filter val="232 900"/>
            <filter val="235 580"/>
            <filter val="243 955"/>
            <filter val="248 503"/>
            <filter val="249 318"/>
            <filter val="25 500 000"/>
            <filter val="250 849"/>
            <filter val="253 980"/>
            <filter val="255 000"/>
            <filter val="255 378"/>
            <filter val="26 060"/>
            <filter val="26 103"/>
            <filter val="26 198 233"/>
            <filter val="26 996"/>
            <filter val="262 394"/>
            <filter val="262 516"/>
            <filter val="268 600"/>
            <filter val="27 204 409"/>
            <filter val="270 346"/>
            <filter val="276 675"/>
            <filter val="28 177"/>
            <filter val="28 636"/>
            <filter val="285 720"/>
            <filter val="286 059"/>
            <filter val="287 392"/>
            <filter val="288 452"/>
            <filter val="288 937"/>
            <filter val="289 429"/>
            <filter val="29 034"/>
            <filter val="291 241"/>
            <filter val="3 044 261"/>
            <filter val="3 060 946"/>
            <filter val="3 108 905"/>
            <filter val="3 162 318"/>
            <filter val="3 192 198"/>
            <filter val="3 248 146"/>
            <filter val="3 339 161"/>
            <filter val="3 366 697"/>
            <filter val="3 373 613"/>
            <filter val="3 374 060"/>
            <filter val="3 465 514"/>
            <filter val="3 469 140"/>
            <filter val="3 501 221"/>
            <filter val="3 551 381"/>
            <filter val="3 557 953"/>
            <filter val="3 570 000"/>
            <filter val="3 574 859"/>
            <filter val="3 681 464"/>
            <filter val="3 726 593"/>
            <filter val="3 825 000"/>
            <filter val="3 918 310"/>
            <filter val="30 828 458"/>
            <filter val="303 450"/>
            <filter val="309 012"/>
            <filter val="31 207 922"/>
            <filter val="31 260 420"/>
            <filter val="315 162"/>
            <filter val="32 780 847"/>
            <filter val="327 835"/>
            <filter val="33 124"/>
            <filter val="33 436"/>
            <filter val="331 746"/>
            <filter val="335 472"/>
            <filter val="34 037 125"/>
            <filter val="34 264"/>
            <filter val="34 351"/>
            <filter val="340 577"/>
            <filter val="347 225"/>
            <filter val="349 861"/>
            <filter val="35 182"/>
            <filter val="365 293"/>
            <filter val="367 200"/>
            <filter val="368 348"/>
            <filter val="37 550 530"/>
            <filter val="38 169"/>
            <filter val="39 660"/>
            <filter val="39 666"/>
            <filter val="39 724 115"/>
            <filter val="391 000"/>
            <filter val="391 226"/>
            <filter val="391 617"/>
            <filter val="398 171"/>
            <filter val="4 018 012"/>
            <filter val="4 125 213"/>
            <filter val="4 144 600"/>
            <filter val="4 216 243"/>
            <filter val="4 250 000"/>
            <filter val="4 250 001"/>
            <filter val="4 381 612"/>
            <filter val="4 432 093"/>
            <filter val="4 508 342"/>
            <filter val="4 645 400"/>
            <filter val="4 739 301"/>
            <filter val="4 853 010"/>
            <filter val="40 388"/>
            <filter val="41 295"/>
            <filter val="41 335"/>
            <filter val="41 749"/>
            <filter val="416 500"/>
            <filter val="42 466"/>
            <filter val="42 752"/>
            <filter val="421 600"/>
            <filter val="426 909"/>
            <filter val="427 216"/>
            <filter val="427 218"/>
            <filter val="428 655"/>
            <filter val="43 934"/>
            <filter val="434 699"/>
            <filter val="44 000"/>
            <filter val="443 254"/>
            <filter val="448 800"/>
            <filter val="45 254"/>
            <filter val="46 511"/>
            <filter val="47 564"/>
            <filter val="47 955"/>
            <filter val="476 000"/>
            <filter val="486 415"/>
            <filter val="488 455"/>
            <filter val="495 503"/>
            <filter val="498 205"/>
            <filter val="5 047 626"/>
            <filter val="5 117 331"/>
            <filter val="5 173 530"/>
            <filter val="5 342 489"/>
            <filter val="5 587 077"/>
            <filter val="5 660 528"/>
            <filter val="5 791 088"/>
            <filter val="5 907 500"/>
            <filter val="5 915 024"/>
            <filter val="51 056"/>
            <filter val="51 222"/>
            <filter val="513 201"/>
            <filter val="52 168"/>
            <filter val="523 413"/>
            <filter val="53 362"/>
            <filter val="53 428"/>
            <filter val="53 435"/>
            <filter val="54 424 846"/>
            <filter val="542 320"/>
            <filter val="546 777"/>
            <filter val="55 739"/>
            <filter val="555 711"/>
            <filter val="557 488"/>
            <filter val="56 222"/>
            <filter val="56 268"/>
            <filter val="565 906"/>
            <filter val="577 774"/>
            <filter val="58 307"/>
            <filter val="58 949"/>
            <filter val="59 507"/>
            <filter val="59 724"/>
            <filter val="590 959"/>
            <filter val="595 318"/>
            <filter val="597 857"/>
            <filter val="598 711"/>
            <filter val="6 075 675"/>
            <filter val="6 195 032"/>
            <filter val="6 586 479"/>
            <filter val="6 659 984"/>
            <filter val="60 026"/>
            <filter val="60 355"/>
            <filter val="60 746"/>
            <filter val="610 611"/>
            <filter val="611 949"/>
            <filter val="615 194"/>
            <filter val="637 500"/>
            <filter val="66 275"/>
            <filter val="66 961"/>
            <filter val="67 082"/>
            <filter val="687 618"/>
            <filter val="69 729"/>
            <filter val="697 194"/>
            <filter val="7 037 075"/>
            <filter val="7 222 781"/>
            <filter val="7 298 755"/>
            <filter val="7 636 405"/>
            <filter val="7 649 979"/>
            <filter val="7 650 766"/>
            <filter val="7 684 357"/>
            <filter val="7 833 586"/>
            <filter val="70 789"/>
            <filter val="700 825"/>
            <filter val="725 005"/>
            <filter val="729 826"/>
            <filter val="742 365"/>
            <filter val="742 731"/>
            <filter val="77 757 172"/>
            <filter val="785 970"/>
            <filter val="787 180"/>
            <filter val="79 014"/>
            <filter val="8 075 000"/>
            <filter val="8 081 719"/>
            <filter val="8 275 898"/>
            <filter val="8 544 348"/>
            <filter val="8 594 668"/>
            <filter val="8 903 599"/>
            <filter val="8 968 336"/>
            <filter val="8 994 681"/>
            <filter val="81 827"/>
            <filter val="812 388"/>
            <filter val="82 576"/>
            <filter val="843 662"/>
            <filter val="85 000"/>
            <filter val="85 676"/>
            <filter val="85 705"/>
            <filter val="871 562"/>
            <filter val="9 006 779"/>
            <filter val="9 307 378"/>
            <filter val="9 378 900"/>
            <filter val="9 388 273"/>
            <filter val="9 641 313"/>
            <filter val="9 756 405"/>
            <filter val="9 879 730"/>
            <filter val="90 597"/>
            <filter val="90 861"/>
            <filter val="917 966"/>
            <filter val="92 124"/>
            <filter val="92 778"/>
            <filter val="922 420"/>
            <filter val="94 188"/>
            <filter val="94 866"/>
            <filter val="95 346"/>
            <filter val="95 640"/>
            <filter val="974 086"/>
            <filter val="975 381"/>
            <filter val="980 789"/>
            <filter val="99 694"/>
          </filters>
        </filterColumn>
      </autoFilter>
    </customSheetView>
  </customSheetViews>
  <pageMargins left="0.7" right="0.7" top="0.75" bottom="0.75" header="0.3" footer="0.3"/>
  <pageSetup paperSize="9" orientation="portrait" verticalDpi="0" r:id="rId4"/>
  <legacy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2"/>
  <sheetViews>
    <sheetView topLeftCell="A97" workbookViewId="0">
      <selection activeCell="A387" sqref="A387:XFD387"/>
    </sheetView>
  </sheetViews>
  <sheetFormatPr defaultRowHeight="15.75" x14ac:dyDescent="0.25"/>
  <cols>
    <col min="1" max="1" width="16.25" bestFit="1" customWidth="1"/>
    <col min="2" max="2" width="18.5" style="498" bestFit="1" customWidth="1"/>
    <col min="3" max="3" width="9" style="498"/>
    <col min="4" max="4" width="9.875" style="498" bestFit="1" customWidth="1"/>
    <col min="5" max="5" width="13.75" style="498" bestFit="1" customWidth="1"/>
    <col min="8" max="8" width="13.625" bestFit="1" customWidth="1"/>
    <col min="9" max="9" width="11.375" style="505" bestFit="1" customWidth="1"/>
  </cols>
  <sheetData>
    <row r="1" spans="1:8" x14ac:dyDescent="0.25">
      <c r="A1" s="435" t="s">
        <v>2680</v>
      </c>
      <c r="B1" s="498" t="s">
        <v>2876</v>
      </c>
    </row>
    <row r="2" spans="1:8" x14ac:dyDescent="0.25">
      <c r="A2" s="435" t="s">
        <v>6</v>
      </c>
      <c r="B2" s="498">
        <v>341766.33999999997</v>
      </c>
      <c r="D2" s="498">
        <f>VLOOKUP(A2,Maksājumu_pieprasījumu_iesn.!G:BL,40,0)</f>
        <v>341766.33999999997</v>
      </c>
      <c r="E2" s="498">
        <f t="shared" ref="E2:E65" si="0">D2-B2</f>
        <v>0</v>
      </c>
    </row>
    <row r="3" spans="1:8" x14ac:dyDescent="0.25">
      <c r="A3" s="435" t="s">
        <v>2779</v>
      </c>
      <c r="B3" s="498">
        <v>1338963.69</v>
      </c>
      <c r="D3" s="498">
        <f>VLOOKUP(A3,Maksājumu_pieprasījumu_iesn.!G:BL,40,0)</f>
        <v>1338963.69</v>
      </c>
      <c r="E3" s="498">
        <f t="shared" si="0"/>
        <v>0</v>
      </c>
    </row>
    <row r="4" spans="1:8" x14ac:dyDescent="0.25">
      <c r="A4" s="435" t="s">
        <v>2845</v>
      </c>
      <c r="B4" s="498">
        <v>144639.31</v>
      </c>
      <c r="D4" s="498">
        <f>VLOOKUP(A4,Maksājumu_pieprasījumu_iesn.!G:BL,40,0)</f>
        <v>144639.31</v>
      </c>
      <c r="E4" s="498">
        <f t="shared" si="0"/>
        <v>0</v>
      </c>
    </row>
    <row r="5" spans="1:8" x14ac:dyDescent="0.25">
      <c r="A5" s="435" t="s">
        <v>12</v>
      </c>
      <c r="B5" s="498">
        <v>59333.57</v>
      </c>
      <c r="D5" s="498">
        <f>VLOOKUP(A5,Maksājumu_pieprasījumu_iesn.!G:BL,40,0)</f>
        <v>59333.569999999992</v>
      </c>
      <c r="E5" s="498">
        <f t="shared" si="0"/>
        <v>0</v>
      </c>
    </row>
    <row r="6" spans="1:8" x14ac:dyDescent="0.25">
      <c r="A6" s="435" t="s">
        <v>16</v>
      </c>
      <c r="B6" s="498">
        <v>170619.09999999998</v>
      </c>
      <c r="D6" s="498">
        <f>VLOOKUP(A6,Maksājumu_pieprasījumu_iesn.!G:BL,40,0)</f>
        <v>170619.11</v>
      </c>
      <c r="E6" s="498">
        <f t="shared" si="0"/>
        <v>1.0000000009313226E-2</v>
      </c>
    </row>
    <row r="7" spans="1:8" x14ac:dyDescent="0.25">
      <c r="A7" s="435" t="s">
        <v>656</v>
      </c>
      <c r="B7" s="498">
        <v>477321.30000000005</v>
      </c>
      <c r="D7" s="498">
        <f>VLOOKUP(A7,Maksājumu_pieprasījumu_iesn.!G:BL,40,0)</f>
        <v>477321.30000000005</v>
      </c>
      <c r="E7" s="498">
        <f t="shared" si="0"/>
        <v>0</v>
      </c>
    </row>
    <row r="8" spans="1:8" x14ac:dyDescent="0.25">
      <c r="A8" s="435" t="s">
        <v>657</v>
      </c>
      <c r="B8" s="498">
        <v>99000</v>
      </c>
      <c r="D8" s="498">
        <f>VLOOKUP(A8,Maksājumu_pieprasījumu_iesn.!G:BL,40,0)</f>
        <v>99000</v>
      </c>
      <c r="E8" s="498">
        <f t="shared" si="0"/>
        <v>0</v>
      </c>
    </row>
    <row r="9" spans="1:8" x14ac:dyDescent="0.25">
      <c r="A9" s="435" t="s">
        <v>21</v>
      </c>
      <c r="B9" s="498">
        <v>88961.859999999986</v>
      </c>
      <c r="D9" s="498">
        <f>VLOOKUP(A9,Maksājumu_pieprasījumu_iesn.!G:BL,40,0)</f>
        <v>88961.86</v>
      </c>
      <c r="E9" s="498">
        <f t="shared" si="0"/>
        <v>0</v>
      </c>
      <c r="H9" s="435"/>
    </row>
    <row r="10" spans="1:8" x14ac:dyDescent="0.25">
      <c r="A10" s="435" t="s">
        <v>24</v>
      </c>
      <c r="B10" s="498">
        <v>26965.929999999997</v>
      </c>
      <c r="D10" s="498">
        <f>VLOOKUP(A10,Maksājumu_pieprasījumu_iesn.!G:BL,40,0)</f>
        <v>26965.93</v>
      </c>
      <c r="E10" s="498">
        <f t="shared" si="0"/>
        <v>0</v>
      </c>
    </row>
    <row r="11" spans="1:8" x14ac:dyDescent="0.25">
      <c r="A11" s="435" t="s">
        <v>455</v>
      </c>
      <c r="B11" s="498">
        <v>92802.72</v>
      </c>
      <c r="D11" s="498">
        <f>VLOOKUP(A11,Maksājumu_pieprasījumu_iesn.!G:BL,40,0)</f>
        <v>92802.72</v>
      </c>
      <c r="E11" s="498">
        <f t="shared" si="0"/>
        <v>0</v>
      </c>
    </row>
    <row r="12" spans="1:8" x14ac:dyDescent="0.25">
      <c r="A12" s="435" t="s">
        <v>460</v>
      </c>
      <c r="B12" s="498">
        <v>152943.19</v>
      </c>
      <c r="D12" s="498">
        <f>VLOOKUP(A12,Maksājumu_pieprasījumu_iesn.!G:BL,40,0)</f>
        <v>152943.19</v>
      </c>
      <c r="E12" s="498">
        <f t="shared" si="0"/>
        <v>0</v>
      </c>
    </row>
    <row r="13" spans="1:8" x14ac:dyDescent="0.25">
      <c r="A13" s="435" t="s">
        <v>463</v>
      </c>
      <c r="B13" s="498">
        <v>4042</v>
      </c>
      <c r="D13" s="498">
        <f>VLOOKUP(A13,Maksājumu_pieprasījumu_iesn.!G:BL,40,0)</f>
        <v>4042</v>
      </c>
      <c r="E13" s="498">
        <f t="shared" si="0"/>
        <v>0</v>
      </c>
    </row>
    <row r="14" spans="1:8" x14ac:dyDescent="0.25">
      <c r="A14" s="435" t="s">
        <v>465</v>
      </c>
      <c r="B14" s="498">
        <v>79010.070000000007</v>
      </c>
      <c r="D14" s="498">
        <f>VLOOKUP(A14,Maksājumu_pieprasījumu_iesn.!G:BL,40,0)</f>
        <v>79010.070000000007</v>
      </c>
      <c r="E14" s="498">
        <f t="shared" si="0"/>
        <v>0</v>
      </c>
    </row>
    <row r="15" spans="1:8" x14ac:dyDescent="0.25">
      <c r="A15" s="435" t="s">
        <v>467</v>
      </c>
      <c r="B15" s="498">
        <v>9067.7400000000016</v>
      </c>
      <c r="D15" s="498">
        <f>VLOOKUP(A15,Maksājumu_pieprasījumu_iesn.!G:BL,40,0)</f>
        <v>9067.7400000000016</v>
      </c>
      <c r="E15" s="498">
        <f t="shared" si="0"/>
        <v>0</v>
      </c>
    </row>
    <row r="16" spans="1:8" x14ac:dyDescent="0.25">
      <c r="A16" s="435" t="s">
        <v>470</v>
      </c>
      <c r="B16" s="498">
        <v>20282.39</v>
      </c>
      <c r="D16" s="498">
        <f>VLOOKUP(A16,Maksājumu_pieprasījumu_iesn.!G:BL,40,0)</f>
        <v>20282.390000000003</v>
      </c>
      <c r="E16" s="498">
        <f t="shared" si="0"/>
        <v>0</v>
      </c>
    </row>
    <row r="17" spans="1:5" x14ac:dyDescent="0.25">
      <c r="A17" s="435" t="s">
        <v>472</v>
      </c>
      <c r="B17" s="498">
        <v>23723.960000000003</v>
      </c>
      <c r="D17" s="498">
        <f>VLOOKUP(A17,Maksājumu_pieprasījumu_iesn.!G:BL,40,0)</f>
        <v>23723.96</v>
      </c>
      <c r="E17" s="498">
        <f t="shared" si="0"/>
        <v>0</v>
      </c>
    </row>
    <row r="18" spans="1:5" x14ac:dyDescent="0.25">
      <c r="A18" s="435" t="s">
        <v>474</v>
      </c>
      <c r="B18" s="498">
        <v>31366.880000000001</v>
      </c>
      <c r="D18" s="498">
        <f>VLOOKUP(A18,Maksājumu_pieprasījumu_iesn.!G:BL,40,0)</f>
        <v>31366.879999999997</v>
      </c>
      <c r="E18" s="498">
        <f t="shared" si="0"/>
        <v>0</v>
      </c>
    </row>
    <row r="19" spans="1:5" x14ac:dyDescent="0.25">
      <c r="A19" s="435" t="s">
        <v>476</v>
      </c>
      <c r="B19" s="498">
        <v>14627.54</v>
      </c>
      <c r="D19" s="498">
        <f>VLOOKUP(A19,Maksājumu_pieprasījumu_iesn.!G:BL,40,0)</f>
        <v>14627.54</v>
      </c>
      <c r="E19" s="498">
        <f t="shared" si="0"/>
        <v>0</v>
      </c>
    </row>
    <row r="20" spans="1:5" x14ac:dyDescent="0.25">
      <c r="A20" s="435" t="s">
        <v>479</v>
      </c>
      <c r="B20" s="498">
        <v>44685.74</v>
      </c>
      <c r="D20" s="498">
        <f>VLOOKUP(A20,Maksājumu_pieprasījumu_iesn.!G:BL,40,0)</f>
        <v>44685.74</v>
      </c>
      <c r="E20" s="498">
        <f t="shared" si="0"/>
        <v>0</v>
      </c>
    </row>
    <row r="21" spans="1:5" x14ac:dyDescent="0.25">
      <c r="A21" s="435" t="s">
        <v>481</v>
      </c>
      <c r="B21" s="498">
        <v>16100.28</v>
      </c>
      <c r="D21" s="498">
        <f>VLOOKUP(A21,Maksājumu_pieprasījumu_iesn.!G:BL,40,0)</f>
        <v>16100.28</v>
      </c>
      <c r="E21" s="498">
        <f t="shared" si="0"/>
        <v>0</v>
      </c>
    </row>
    <row r="22" spans="1:5" x14ac:dyDescent="0.25">
      <c r="A22" s="435" t="s">
        <v>483</v>
      </c>
      <c r="B22" s="498">
        <v>37446.86</v>
      </c>
      <c r="D22" s="498">
        <f>VLOOKUP(A22,Maksājumu_pieprasījumu_iesn.!G:BL,40,0)</f>
        <v>37446.86</v>
      </c>
      <c r="E22" s="498">
        <f t="shared" si="0"/>
        <v>0</v>
      </c>
    </row>
    <row r="23" spans="1:5" x14ac:dyDescent="0.25">
      <c r="A23" s="435" t="s">
        <v>487</v>
      </c>
      <c r="B23" s="498">
        <v>12498.689999999999</v>
      </c>
      <c r="D23" s="498">
        <f>VLOOKUP(A23,Maksājumu_pieprasījumu_iesn.!G:BL,40,0)</f>
        <v>12498.689999999999</v>
      </c>
      <c r="E23" s="498">
        <f t="shared" si="0"/>
        <v>0</v>
      </c>
    </row>
    <row r="24" spans="1:5" x14ac:dyDescent="0.25">
      <c r="A24" s="435" t="s">
        <v>490</v>
      </c>
      <c r="B24" s="498">
        <v>100764.67000000001</v>
      </c>
      <c r="D24" s="498">
        <f>VLOOKUP(A24,Maksājumu_pieprasījumu_iesn.!G:BL,40,0)</f>
        <v>100764.67000000001</v>
      </c>
      <c r="E24" s="498">
        <f t="shared" si="0"/>
        <v>0</v>
      </c>
    </row>
    <row r="25" spans="1:5" x14ac:dyDescent="0.25">
      <c r="A25" s="435" t="s">
        <v>493</v>
      </c>
      <c r="B25" s="498">
        <v>133782.57</v>
      </c>
      <c r="D25" s="498">
        <f>VLOOKUP(A25,Maksājumu_pieprasījumu_iesn.!G:BL,40,0)</f>
        <v>133782.57</v>
      </c>
      <c r="E25" s="498">
        <f t="shared" si="0"/>
        <v>0</v>
      </c>
    </row>
    <row r="26" spans="1:5" x14ac:dyDescent="0.25">
      <c r="A26" s="435" t="s">
        <v>496</v>
      </c>
      <c r="B26" s="498">
        <v>920929.84</v>
      </c>
      <c r="D26" s="498">
        <f>VLOOKUP(A26,Maksājumu_pieprasījumu_iesn.!G:BL,40,0)</f>
        <v>920929.84</v>
      </c>
      <c r="E26" s="498">
        <f t="shared" si="0"/>
        <v>0</v>
      </c>
    </row>
    <row r="27" spans="1:5" x14ac:dyDescent="0.25">
      <c r="A27" s="435" t="s">
        <v>498</v>
      </c>
      <c r="B27" s="498">
        <v>17906.41</v>
      </c>
      <c r="D27" s="498">
        <f>VLOOKUP(A27,Maksājumu_pieprasījumu_iesn.!G:BL,40,0)</f>
        <v>17906.41</v>
      </c>
      <c r="E27" s="498">
        <f t="shared" si="0"/>
        <v>0</v>
      </c>
    </row>
    <row r="28" spans="1:5" x14ac:dyDescent="0.25">
      <c r="A28" s="435" t="s">
        <v>501</v>
      </c>
      <c r="B28" s="498">
        <v>230573.62</v>
      </c>
      <c r="D28" s="498">
        <f>VLOOKUP(A28,Maksājumu_pieprasījumu_iesn.!G:BL,40,0)</f>
        <v>230573.62</v>
      </c>
      <c r="E28" s="498">
        <f t="shared" si="0"/>
        <v>0</v>
      </c>
    </row>
    <row r="29" spans="1:5" x14ac:dyDescent="0.25">
      <c r="A29" s="435" t="s">
        <v>503</v>
      </c>
      <c r="B29" s="498">
        <v>61557.24</v>
      </c>
      <c r="D29" s="498">
        <f>VLOOKUP(A29,Maksājumu_pieprasījumu_iesn.!G:BL,40,0)</f>
        <v>61557.24</v>
      </c>
      <c r="E29" s="498">
        <f t="shared" si="0"/>
        <v>0</v>
      </c>
    </row>
    <row r="30" spans="1:5" x14ac:dyDescent="0.25">
      <c r="A30" s="435" t="s">
        <v>505</v>
      </c>
      <c r="B30" s="498">
        <v>160833.07</v>
      </c>
      <c r="D30" s="498">
        <f>VLOOKUP(A30,Maksājumu_pieprasījumu_iesn.!G:BL,40,0)</f>
        <v>160833.07</v>
      </c>
      <c r="E30" s="498">
        <f t="shared" si="0"/>
        <v>0</v>
      </c>
    </row>
    <row r="31" spans="1:5" x14ac:dyDescent="0.25">
      <c r="A31" s="435" t="s">
        <v>507</v>
      </c>
      <c r="B31" s="498">
        <v>383.56</v>
      </c>
      <c r="D31" s="498">
        <f>VLOOKUP(A31,Maksājumu_pieprasījumu_iesn.!G:BL,40,0)</f>
        <v>383.56</v>
      </c>
      <c r="E31" s="498">
        <f t="shared" si="0"/>
        <v>0</v>
      </c>
    </row>
    <row r="32" spans="1:5" x14ac:dyDescent="0.25">
      <c r="A32" s="435" t="s">
        <v>887</v>
      </c>
      <c r="B32" s="498">
        <v>8530.18</v>
      </c>
      <c r="D32" s="498">
        <f>VLOOKUP(A32,Maksājumu_pieprasījumu_iesn.!G:BL,40,0)</f>
        <v>8530.18</v>
      </c>
      <c r="E32" s="498">
        <f t="shared" si="0"/>
        <v>0</v>
      </c>
    </row>
    <row r="33" spans="1:5" x14ac:dyDescent="0.25">
      <c r="A33" s="435" t="s">
        <v>510</v>
      </c>
      <c r="B33" s="498">
        <v>1032172.66</v>
      </c>
      <c r="D33" s="498">
        <f>VLOOKUP(A33,Maksājumu_pieprasījumu_iesn.!G:BL,40,0)</f>
        <v>1032172.66</v>
      </c>
      <c r="E33" s="498">
        <f t="shared" si="0"/>
        <v>0</v>
      </c>
    </row>
    <row r="34" spans="1:5" x14ac:dyDescent="0.25">
      <c r="A34" s="435" t="s">
        <v>512</v>
      </c>
      <c r="B34" s="498">
        <v>600157.29</v>
      </c>
      <c r="D34" s="498">
        <f>VLOOKUP(A34,Maksājumu_pieprasījumu_iesn.!G:BL,40,0)</f>
        <v>600157.29</v>
      </c>
      <c r="E34" s="498">
        <f t="shared" si="0"/>
        <v>0</v>
      </c>
    </row>
    <row r="35" spans="1:5" x14ac:dyDescent="0.25">
      <c r="A35" s="435" t="s">
        <v>514</v>
      </c>
      <c r="B35" s="498">
        <v>115050.39</v>
      </c>
      <c r="D35" s="498">
        <f>VLOOKUP(A35,Maksājumu_pieprasījumu_iesn.!G:BL,40,0)</f>
        <v>115050.39</v>
      </c>
      <c r="E35" s="498">
        <f t="shared" si="0"/>
        <v>0</v>
      </c>
    </row>
    <row r="36" spans="1:5" x14ac:dyDescent="0.25">
      <c r="A36" s="435" t="s">
        <v>516</v>
      </c>
      <c r="B36" s="498">
        <v>476059.36</v>
      </c>
      <c r="D36" s="498">
        <f>VLOOKUP(A36,Maksājumu_pieprasījumu_iesn.!G:BL,40,0)</f>
        <v>476059.36</v>
      </c>
      <c r="E36" s="498">
        <f t="shared" si="0"/>
        <v>0</v>
      </c>
    </row>
    <row r="37" spans="1:5" x14ac:dyDescent="0.25">
      <c r="A37" s="435" t="s">
        <v>518</v>
      </c>
      <c r="B37" s="498">
        <v>8155.7800000000007</v>
      </c>
      <c r="D37" s="498">
        <f>VLOOKUP(A37,Maksājumu_pieprasījumu_iesn.!G:BL,40,0)</f>
        <v>8155.7800000000007</v>
      </c>
      <c r="E37" s="498">
        <f t="shared" si="0"/>
        <v>0</v>
      </c>
    </row>
    <row r="38" spans="1:5" x14ac:dyDescent="0.25">
      <c r="A38" s="435" t="s">
        <v>521</v>
      </c>
      <c r="B38" s="498">
        <v>243865.43</v>
      </c>
      <c r="D38" s="498">
        <f>VLOOKUP(A38,Maksājumu_pieprasījumu_iesn.!G:BL,40,0)</f>
        <v>243865.43000000002</v>
      </c>
      <c r="E38" s="498">
        <f t="shared" si="0"/>
        <v>0</v>
      </c>
    </row>
    <row r="39" spans="1:5" x14ac:dyDescent="0.25">
      <c r="A39" s="435" t="s">
        <v>523</v>
      </c>
      <c r="B39" s="498">
        <v>14413.03</v>
      </c>
      <c r="D39" s="498">
        <f>VLOOKUP(A39,Maksājumu_pieprasījumu_iesn.!G:BL,40,0)</f>
        <v>14413.03</v>
      </c>
      <c r="E39" s="498">
        <f t="shared" si="0"/>
        <v>0</v>
      </c>
    </row>
    <row r="40" spans="1:5" x14ac:dyDescent="0.25">
      <c r="A40" s="435" t="s">
        <v>526</v>
      </c>
      <c r="B40" s="498">
        <v>12321.58</v>
      </c>
      <c r="D40" s="498">
        <f>VLOOKUP(A40,Maksājumu_pieprasījumu_iesn.!G:BL,40,0)</f>
        <v>12321.58</v>
      </c>
      <c r="E40" s="498">
        <f t="shared" si="0"/>
        <v>0</v>
      </c>
    </row>
    <row r="41" spans="1:5" x14ac:dyDescent="0.25">
      <c r="A41" s="435" t="s">
        <v>529</v>
      </c>
      <c r="B41" s="498">
        <v>15376.48</v>
      </c>
      <c r="D41" s="498">
        <f>VLOOKUP(A41,Maksājumu_pieprasījumu_iesn.!G:BL,40,0)</f>
        <v>15376.48</v>
      </c>
      <c r="E41" s="498">
        <f t="shared" si="0"/>
        <v>0</v>
      </c>
    </row>
    <row r="42" spans="1:5" x14ac:dyDescent="0.25">
      <c r="A42" s="435" t="s">
        <v>532</v>
      </c>
      <c r="B42" s="498">
        <v>801077.12999999989</v>
      </c>
      <c r="D42" s="498">
        <f>VLOOKUP(A42,Maksājumu_pieprasījumu_iesn.!G:BL,40,0)</f>
        <v>801077.12999999989</v>
      </c>
      <c r="E42" s="498">
        <f t="shared" si="0"/>
        <v>0</v>
      </c>
    </row>
    <row r="43" spans="1:5" x14ac:dyDescent="0.25">
      <c r="A43" s="435" t="s">
        <v>534</v>
      </c>
      <c r="B43" s="498">
        <v>1700</v>
      </c>
      <c r="D43" s="498">
        <f>VLOOKUP(A43,Maksājumu_pieprasījumu_iesn.!G:BL,40,0)</f>
        <v>1700</v>
      </c>
      <c r="E43" s="498">
        <f t="shared" si="0"/>
        <v>0</v>
      </c>
    </row>
    <row r="44" spans="1:5" x14ac:dyDescent="0.25">
      <c r="A44" s="435" t="s">
        <v>539</v>
      </c>
      <c r="B44" s="498">
        <v>510220.79000000004</v>
      </c>
      <c r="D44" s="498">
        <f>VLOOKUP(A44,Maksājumu_pieprasījumu_iesn.!G:BL,40,0)</f>
        <v>510220.79000000004</v>
      </c>
      <c r="E44" s="498">
        <f t="shared" si="0"/>
        <v>0</v>
      </c>
    </row>
    <row r="45" spans="1:5" x14ac:dyDescent="0.25">
      <c r="A45" s="435" t="s">
        <v>541</v>
      </c>
      <c r="B45" s="498">
        <v>1531323.3</v>
      </c>
      <c r="D45" s="498">
        <f>VLOOKUP(A45,Maksājumu_pieprasījumu_iesn.!G:BL,40,0)</f>
        <v>1531323.3</v>
      </c>
      <c r="E45" s="498">
        <f t="shared" si="0"/>
        <v>0</v>
      </c>
    </row>
    <row r="46" spans="1:5" x14ac:dyDescent="0.25">
      <c r="A46" s="435" t="s">
        <v>543</v>
      </c>
      <c r="B46" s="498">
        <v>34289.789999999994</v>
      </c>
      <c r="D46" s="498">
        <f>VLOOKUP(A46,Maksājumu_pieprasījumu_iesn.!G:BL,40,0)</f>
        <v>34289.79</v>
      </c>
      <c r="E46" s="498">
        <f t="shared" si="0"/>
        <v>0</v>
      </c>
    </row>
    <row r="47" spans="1:5" x14ac:dyDescent="0.25">
      <c r="A47" s="435" t="s">
        <v>545</v>
      </c>
      <c r="B47" s="498">
        <v>2458887.4499999997</v>
      </c>
      <c r="D47" s="498">
        <f>VLOOKUP(A47,Maksājumu_pieprasījumu_iesn.!G:BL,40,0)</f>
        <v>2458887.4500000002</v>
      </c>
      <c r="E47" s="498">
        <f t="shared" si="0"/>
        <v>0</v>
      </c>
    </row>
    <row r="48" spans="1:5" x14ac:dyDescent="0.25">
      <c r="A48" s="435" t="s">
        <v>547</v>
      </c>
      <c r="B48" s="498">
        <v>29525.93</v>
      </c>
      <c r="D48" s="498">
        <f>VLOOKUP(A48,Maksājumu_pieprasījumu_iesn.!G:BL,40,0)</f>
        <v>29525.93</v>
      </c>
      <c r="E48" s="498">
        <f t="shared" si="0"/>
        <v>0</v>
      </c>
    </row>
    <row r="49" spans="1:5" x14ac:dyDescent="0.25">
      <c r="A49" s="435" t="s">
        <v>30</v>
      </c>
      <c r="B49" s="498">
        <v>247736.48</v>
      </c>
      <c r="D49" s="498">
        <f>VLOOKUP(A49,Maksājumu_pieprasījumu_iesn.!G:BL,40,0)</f>
        <v>247736.47999999998</v>
      </c>
      <c r="E49" s="498">
        <f t="shared" si="0"/>
        <v>0</v>
      </c>
    </row>
    <row r="50" spans="1:5" x14ac:dyDescent="0.25">
      <c r="A50" s="435" t="s">
        <v>36</v>
      </c>
      <c r="B50" s="498">
        <v>408591.57999999996</v>
      </c>
      <c r="D50" s="498">
        <f>VLOOKUP(A50,Maksājumu_pieprasījumu_iesn.!G:BL,40,0)</f>
        <v>408591.57999999996</v>
      </c>
      <c r="E50" s="498">
        <f t="shared" si="0"/>
        <v>0</v>
      </c>
    </row>
    <row r="51" spans="1:5" x14ac:dyDescent="0.25">
      <c r="A51" s="435" t="s">
        <v>740</v>
      </c>
      <c r="B51" s="498">
        <v>1862.8500000000001</v>
      </c>
      <c r="D51" s="498">
        <f>VLOOKUP(A51,Maksājumu_pieprasījumu_iesn.!G:BL,40,0)</f>
        <v>1862.8500000000001</v>
      </c>
      <c r="E51" s="498">
        <f t="shared" si="0"/>
        <v>0</v>
      </c>
    </row>
    <row r="52" spans="1:5" x14ac:dyDescent="0.25">
      <c r="A52" s="435" t="s">
        <v>39</v>
      </c>
      <c r="B52" s="498">
        <v>42569.54</v>
      </c>
      <c r="D52" s="498">
        <f>VLOOKUP(A52,Maksājumu_pieprasījumu_iesn.!G:BL,40,0)</f>
        <v>42569.54</v>
      </c>
      <c r="E52" s="498">
        <f t="shared" si="0"/>
        <v>0</v>
      </c>
    </row>
    <row r="53" spans="1:5" x14ac:dyDescent="0.25">
      <c r="A53" s="435" t="s">
        <v>743</v>
      </c>
      <c r="B53" s="498">
        <v>524863.73</v>
      </c>
      <c r="D53" s="498">
        <f>VLOOKUP(A53,Maksājumu_pieprasījumu_iesn.!G:BL,40,0)</f>
        <v>524863.73</v>
      </c>
      <c r="E53" s="498">
        <f t="shared" si="0"/>
        <v>0</v>
      </c>
    </row>
    <row r="54" spans="1:5" x14ac:dyDescent="0.25">
      <c r="A54" s="435" t="s">
        <v>1097</v>
      </c>
      <c r="B54" s="498">
        <v>710458.86</v>
      </c>
      <c r="D54" s="498">
        <f>VLOOKUP(A54,Maksājumu_pieprasījumu_iesn.!G:BL,40,0)</f>
        <v>710458.86</v>
      </c>
      <c r="E54" s="498">
        <f t="shared" si="0"/>
        <v>0</v>
      </c>
    </row>
    <row r="55" spans="1:5" x14ac:dyDescent="0.25">
      <c r="A55" s="435" t="s">
        <v>48</v>
      </c>
      <c r="B55" s="498">
        <v>0</v>
      </c>
      <c r="D55" s="498">
        <f>VLOOKUP(A55,Maksājumu_pieprasījumu_iesn.!G:BL,40,0)</f>
        <v>6015900.3447629036</v>
      </c>
      <c r="E55" s="498">
        <f t="shared" si="0"/>
        <v>6015900.3447629036</v>
      </c>
    </row>
    <row r="56" spans="1:5" x14ac:dyDescent="0.25">
      <c r="A56" s="435" t="s">
        <v>45</v>
      </c>
      <c r="B56" s="498">
        <v>1581736.1</v>
      </c>
      <c r="D56" s="498">
        <f>VLOOKUP(A56,Maksājumu_pieprasījumu_iesn.!G:BL,40,0)</f>
        <v>1581736.1</v>
      </c>
      <c r="E56" s="498">
        <f t="shared" si="0"/>
        <v>0</v>
      </c>
    </row>
    <row r="57" spans="1:5" x14ac:dyDescent="0.25">
      <c r="A57" s="435" t="s">
        <v>53</v>
      </c>
      <c r="B57" s="498">
        <v>7732736.8499999996</v>
      </c>
      <c r="D57" s="498">
        <f>VLOOKUP(A57,Maksājumu_pieprasījumu_iesn.!G:BL,40,0)</f>
        <v>7732819.8300000001</v>
      </c>
      <c r="E57" s="498">
        <f t="shared" si="0"/>
        <v>82.980000000447035</v>
      </c>
    </row>
    <row r="58" spans="1:5" x14ac:dyDescent="0.25">
      <c r="A58" s="435" t="s">
        <v>55</v>
      </c>
      <c r="B58" s="498">
        <v>918834.45</v>
      </c>
      <c r="D58" s="498">
        <f>VLOOKUP(A58,Maksājumu_pieprasījumu_iesn.!G:BL,40,0)</f>
        <v>918834.45</v>
      </c>
      <c r="E58" s="498">
        <f t="shared" si="0"/>
        <v>0</v>
      </c>
    </row>
    <row r="59" spans="1:5" x14ac:dyDescent="0.25">
      <c r="A59" s="435" t="s">
        <v>664</v>
      </c>
      <c r="B59" s="498">
        <v>785847.98</v>
      </c>
      <c r="D59" s="498">
        <f>VLOOKUP(A59,Maksājumu_pieprasījumu_iesn.!G:BL,40,0)</f>
        <v>785847.98</v>
      </c>
      <c r="E59" s="498">
        <f t="shared" si="0"/>
        <v>0</v>
      </c>
    </row>
    <row r="60" spans="1:5" x14ac:dyDescent="0.25">
      <c r="A60" s="435" t="s">
        <v>62</v>
      </c>
      <c r="B60" s="498">
        <v>311895.52</v>
      </c>
      <c r="D60" s="498">
        <f>VLOOKUP(A60,Maksājumu_pieprasījumu_iesn.!G:BL,40,0)</f>
        <v>311895.52</v>
      </c>
      <c r="E60" s="498">
        <f t="shared" si="0"/>
        <v>0</v>
      </c>
    </row>
    <row r="61" spans="1:5" x14ac:dyDescent="0.25">
      <c r="A61" s="435" t="s">
        <v>661</v>
      </c>
      <c r="B61" s="498">
        <v>306700.43</v>
      </c>
      <c r="D61" s="498">
        <f>VLOOKUP(A61,Maksājumu_pieprasījumu_iesn.!G:BL,40,0)</f>
        <v>306700.43</v>
      </c>
      <c r="E61" s="498">
        <f t="shared" si="0"/>
        <v>0</v>
      </c>
    </row>
    <row r="62" spans="1:5" x14ac:dyDescent="0.25">
      <c r="A62" s="435" t="s">
        <v>59</v>
      </c>
      <c r="B62" s="498">
        <v>2851584.51</v>
      </c>
      <c r="D62" s="498">
        <f>VLOOKUP(A62,Maksājumu_pieprasījumu_iesn.!G:BL,40,0)</f>
        <v>2851584.51</v>
      </c>
      <c r="E62" s="498">
        <f t="shared" si="0"/>
        <v>0</v>
      </c>
    </row>
    <row r="63" spans="1:5" x14ac:dyDescent="0.25">
      <c r="A63" s="435" t="s">
        <v>68</v>
      </c>
      <c r="B63" s="498">
        <v>675331.92999999993</v>
      </c>
      <c r="D63" s="498">
        <f>VLOOKUP(A63,Maksājumu_pieprasījumu_iesn.!G:BL,40,0)</f>
        <v>675331.92999999993</v>
      </c>
      <c r="E63" s="498">
        <f t="shared" si="0"/>
        <v>0</v>
      </c>
    </row>
    <row r="64" spans="1:5" x14ac:dyDescent="0.25">
      <c r="A64" s="435" t="s">
        <v>65</v>
      </c>
      <c r="B64" s="498">
        <v>825141.06</v>
      </c>
      <c r="D64" s="498">
        <f>VLOOKUP(A64,Maksājumu_pieprasījumu_iesn.!G:BL,40,0)</f>
        <v>825141.06</v>
      </c>
      <c r="E64" s="498">
        <f t="shared" si="0"/>
        <v>0</v>
      </c>
    </row>
    <row r="65" spans="1:5" x14ac:dyDescent="0.25">
      <c r="A65" s="435" t="s">
        <v>1279</v>
      </c>
      <c r="B65" s="498">
        <v>917992.53</v>
      </c>
      <c r="D65" s="498">
        <f>VLOOKUP(A65,Maksājumu_pieprasījumu_iesn.!G:BL,40,0)</f>
        <v>917992.53</v>
      </c>
      <c r="E65" s="498">
        <f t="shared" si="0"/>
        <v>0</v>
      </c>
    </row>
    <row r="66" spans="1:5" x14ac:dyDescent="0.25">
      <c r="A66" s="435" t="s">
        <v>1237</v>
      </c>
      <c r="B66" s="498">
        <v>384494.3</v>
      </c>
      <c r="D66" s="498">
        <f>VLOOKUP(A66,Maksājumu_pieprasījumu_iesn.!G:BL,40,0)</f>
        <v>384494.3</v>
      </c>
      <c r="E66" s="498">
        <f t="shared" ref="E66:E129" si="1">D66-B66</f>
        <v>0</v>
      </c>
    </row>
    <row r="67" spans="1:5" x14ac:dyDescent="0.25">
      <c r="A67" s="435" t="s">
        <v>859</v>
      </c>
      <c r="B67" s="498">
        <v>548060.92000000004</v>
      </c>
      <c r="D67" s="498">
        <f>VLOOKUP(A67,Maksājumu_pieprasījumu_iesn.!G:BL,40,0)</f>
        <v>548060.92000000004</v>
      </c>
      <c r="E67" s="498">
        <f t="shared" si="1"/>
        <v>0</v>
      </c>
    </row>
    <row r="68" spans="1:5" x14ac:dyDescent="0.25">
      <c r="A68" s="435" t="s">
        <v>899</v>
      </c>
      <c r="B68" s="498">
        <v>1218996.67</v>
      </c>
      <c r="D68" s="498">
        <f>VLOOKUP(A68,Maksājumu_pieprasījumu_iesn.!G:BL,40,0)</f>
        <v>1218996.67</v>
      </c>
      <c r="E68" s="498">
        <f t="shared" si="1"/>
        <v>0</v>
      </c>
    </row>
    <row r="69" spans="1:5" x14ac:dyDescent="0.25">
      <c r="A69" s="435" t="s">
        <v>680</v>
      </c>
      <c r="B69" s="498">
        <v>307506.99</v>
      </c>
      <c r="D69" s="498">
        <f>VLOOKUP(A69,Maksājumu_pieprasījumu_iesn.!G:BL,40,0)</f>
        <v>307506.99</v>
      </c>
      <c r="E69" s="498">
        <f t="shared" si="1"/>
        <v>0</v>
      </c>
    </row>
    <row r="70" spans="1:5" x14ac:dyDescent="0.25">
      <c r="A70" s="435" t="s">
        <v>1255</v>
      </c>
      <c r="B70" s="498">
        <v>675650</v>
      </c>
      <c r="D70" s="498">
        <f>VLOOKUP(A70,Maksājumu_pieprasījumu_iesn.!G:BL,40,0)</f>
        <v>675650</v>
      </c>
      <c r="E70" s="498">
        <f t="shared" si="1"/>
        <v>0</v>
      </c>
    </row>
    <row r="71" spans="1:5" x14ac:dyDescent="0.25">
      <c r="A71" s="435" t="s">
        <v>667</v>
      </c>
      <c r="B71" s="498">
        <v>693692.65999999992</v>
      </c>
      <c r="D71" s="498">
        <f>VLOOKUP(A71,Maksājumu_pieprasījumu_iesn.!G:BL,40,0)</f>
        <v>693692.65999999992</v>
      </c>
      <c r="E71" s="498">
        <f t="shared" si="1"/>
        <v>0</v>
      </c>
    </row>
    <row r="72" spans="1:5" x14ac:dyDescent="0.25">
      <c r="A72" s="435" t="s">
        <v>676</v>
      </c>
      <c r="B72" s="498">
        <v>4642.53</v>
      </c>
      <c r="D72" s="498">
        <f>VLOOKUP(A72,Maksājumu_pieprasījumu_iesn.!G:BL,40,0)</f>
        <v>4642.53</v>
      </c>
      <c r="E72" s="498">
        <f t="shared" si="1"/>
        <v>0</v>
      </c>
    </row>
    <row r="73" spans="1:5" x14ac:dyDescent="0.25">
      <c r="A73" s="435" t="s">
        <v>1206</v>
      </c>
      <c r="B73" s="498">
        <v>822325.78</v>
      </c>
      <c r="D73" s="498">
        <f>VLOOKUP(A73,Maksājumu_pieprasījumu_iesn.!G:BL,40,0)</f>
        <v>822325.78</v>
      </c>
      <c r="E73" s="498">
        <f t="shared" si="1"/>
        <v>0</v>
      </c>
    </row>
    <row r="74" spans="1:5" x14ac:dyDescent="0.25">
      <c r="A74" s="435" t="s">
        <v>1282</v>
      </c>
      <c r="B74" s="498">
        <v>1715719.36</v>
      </c>
      <c r="D74" s="498">
        <f>VLOOKUP(A74,Maksājumu_pieprasījumu_iesn.!G:BL,40,0)</f>
        <v>1715719.36</v>
      </c>
      <c r="E74" s="498">
        <f t="shared" si="1"/>
        <v>0</v>
      </c>
    </row>
    <row r="75" spans="1:5" x14ac:dyDescent="0.25">
      <c r="A75" s="435" t="s">
        <v>1303</v>
      </c>
      <c r="B75" s="498">
        <v>1115523.45</v>
      </c>
      <c r="D75" s="498">
        <f>VLOOKUP(A75,Maksājumu_pieprasījumu_iesn.!G:BL,40,0)</f>
        <v>1115523.45</v>
      </c>
      <c r="E75" s="498">
        <f t="shared" si="1"/>
        <v>0</v>
      </c>
    </row>
    <row r="76" spans="1:5" x14ac:dyDescent="0.25">
      <c r="A76" s="435" t="s">
        <v>1336</v>
      </c>
      <c r="B76" s="498">
        <v>384218.1</v>
      </c>
      <c r="D76" s="498">
        <f>VLOOKUP(A76,Maksājumu_pieprasījumu_iesn.!G:BL,40,0)</f>
        <v>384218.1</v>
      </c>
      <c r="E76" s="498">
        <f t="shared" si="1"/>
        <v>0</v>
      </c>
    </row>
    <row r="77" spans="1:5" x14ac:dyDescent="0.25">
      <c r="A77" s="435" t="s">
        <v>2780</v>
      </c>
      <c r="B77" s="498">
        <v>383000</v>
      </c>
      <c r="D77" s="498">
        <f>VLOOKUP(A77,Maksājumu_pieprasījumu_iesn.!G:BL,40,0)</f>
        <v>383000</v>
      </c>
      <c r="E77" s="498">
        <f t="shared" si="1"/>
        <v>0</v>
      </c>
    </row>
    <row r="78" spans="1:5" x14ac:dyDescent="0.25">
      <c r="A78" s="435" t="s">
        <v>943</v>
      </c>
      <c r="B78" s="498">
        <v>300000</v>
      </c>
      <c r="D78" s="498">
        <f>VLOOKUP(A78,Maksājumu_pieprasījumu_iesn.!G:BL,40,0)</f>
        <v>300000</v>
      </c>
      <c r="E78" s="498">
        <f t="shared" si="1"/>
        <v>0</v>
      </c>
    </row>
    <row r="79" spans="1:5" x14ac:dyDescent="0.25">
      <c r="A79" s="435" t="s">
        <v>615</v>
      </c>
      <c r="B79" s="498">
        <v>640546.41</v>
      </c>
      <c r="D79" s="498">
        <f>VLOOKUP(A79,Maksājumu_pieprasījumu_iesn.!G:BL,40,0)</f>
        <v>640546.40999999992</v>
      </c>
      <c r="E79" s="498">
        <f t="shared" si="1"/>
        <v>0</v>
      </c>
    </row>
    <row r="80" spans="1:5" x14ac:dyDescent="0.25">
      <c r="A80" s="435" t="s">
        <v>78</v>
      </c>
      <c r="B80" s="498">
        <v>334823.88</v>
      </c>
      <c r="D80" s="498">
        <f>VLOOKUP(A80,Maksājumu_pieprasījumu_iesn.!G:BL,40,0)</f>
        <v>334823.88</v>
      </c>
      <c r="E80" s="498">
        <f t="shared" si="1"/>
        <v>0</v>
      </c>
    </row>
    <row r="81" spans="1:5" x14ac:dyDescent="0.25">
      <c r="A81" s="435" t="s">
        <v>81</v>
      </c>
      <c r="B81" s="498">
        <v>313319.77</v>
      </c>
      <c r="D81" s="498">
        <f>VLOOKUP(A81,Maksājumu_pieprasījumu_iesn.!G:BL,40,0)</f>
        <v>313319.76999999996</v>
      </c>
      <c r="E81" s="498">
        <f t="shared" si="1"/>
        <v>0</v>
      </c>
    </row>
    <row r="82" spans="1:5" x14ac:dyDescent="0.25">
      <c r="A82" s="435" t="s">
        <v>83</v>
      </c>
      <c r="B82" s="498">
        <v>125030.78000000001</v>
      </c>
      <c r="D82" s="498">
        <f>VLOOKUP(A82,Maksājumu_pieprasījumu_iesn.!G:BL,40,0)</f>
        <v>125030.78</v>
      </c>
      <c r="E82" s="498">
        <f t="shared" si="1"/>
        <v>0</v>
      </c>
    </row>
    <row r="83" spans="1:5" x14ac:dyDescent="0.25">
      <c r="A83" s="435" t="s">
        <v>86</v>
      </c>
      <c r="B83" s="498">
        <v>15786.240000000002</v>
      </c>
      <c r="D83" s="498">
        <f>VLOOKUP(A83,Maksājumu_pieprasījumu_iesn.!G:BL,40,0)</f>
        <v>15786.240000000002</v>
      </c>
      <c r="E83" s="498">
        <f t="shared" si="1"/>
        <v>0</v>
      </c>
    </row>
    <row r="84" spans="1:5" x14ac:dyDescent="0.25">
      <c r="A84" s="435" t="s">
        <v>1345</v>
      </c>
      <c r="B84" s="498">
        <v>34404.74</v>
      </c>
      <c r="D84" s="498">
        <f>VLOOKUP(A84,Maksājumu_pieprasījumu_iesn.!G:BL,40,0)</f>
        <v>34404.74</v>
      </c>
      <c r="E84" s="498">
        <f t="shared" si="1"/>
        <v>0</v>
      </c>
    </row>
    <row r="85" spans="1:5" x14ac:dyDescent="0.25">
      <c r="A85" s="435" t="s">
        <v>772</v>
      </c>
      <c r="B85" s="498">
        <v>109489.37000000001</v>
      </c>
      <c r="D85" s="498">
        <f>VLOOKUP(A85,Maksājumu_pieprasījumu_iesn.!G:BL,40,0)</f>
        <v>109489.04000000001</v>
      </c>
      <c r="E85" s="498">
        <f t="shared" si="1"/>
        <v>-0.33000000000174623</v>
      </c>
    </row>
    <row r="86" spans="1:5" x14ac:dyDescent="0.25">
      <c r="A86" s="435" t="s">
        <v>93</v>
      </c>
      <c r="B86" s="498">
        <v>2231695.56</v>
      </c>
      <c r="D86" s="498">
        <f>VLOOKUP(A86,Maksājumu_pieprasījumu_iesn.!G:BL,40,0)</f>
        <v>2231695.56</v>
      </c>
      <c r="E86" s="498">
        <f t="shared" si="1"/>
        <v>0</v>
      </c>
    </row>
    <row r="87" spans="1:5" x14ac:dyDescent="0.25">
      <c r="A87" s="435" t="s">
        <v>1355</v>
      </c>
      <c r="B87" s="498">
        <v>141958.35999999999</v>
      </c>
      <c r="D87" s="498">
        <f>VLOOKUP(A87,Maksājumu_pieprasījumu_iesn.!G:BL,40,0)</f>
        <v>141958.35999999999</v>
      </c>
      <c r="E87" s="498">
        <f t="shared" si="1"/>
        <v>0</v>
      </c>
    </row>
    <row r="88" spans="1:5" x14ac:dyDescent="0.25">
      <c r="A88" s="435" t="s">
        <v>773</v>
      </c>
      <c r="B88" s="498">
        <v>115050.72</v>
      </c>
      <c r="D88" s="498">
        <f>VLOOKUP(A88,Maksājumu_pieprasījumu_iesn.!G:BL,40,0)</f>
        <v>115050.72</v>
      </c>
      <c r="E88" s="498">
        <f t="shared" si="1"/>
        <v>0</v>
      </c>
    </row>
    <row r="89" spans="1:5" x14ac:dyDescent="0.25">
      <c r="A89" s="435" t="s">
        <v>1360</v>
      </c>
      <c r="B89" s="498">
        <v>88482.14</v>
      </c>
      <c r="D89" s="498">
        <f>VLOOKUP(A89,Maksājumu_pieprasījumu_iesn.!G:BL,40,0)</f>
        <v>88482.14</v>
      </c>
      <c r="E89" s="498">
        <f t="shared" si="1"/>
        <v>0</v>
      </c>
    </row>
    <row r="90" spans="1:5" x14ac:dyDescent="0.25">
      <c r="A90" s="435" t="s">
        <v>902</v>
      </c>
      <c r="B90" s="498">
        <v>82380.160000000003</v>
      </c>
      <c r="D90" s="498">
        <f>VLOOKUP(A90,Maksājumu_pieprasījumu_iesn.!G:BL,40,0)</f>
        <v>82380.160000000003</v>
      </c>
      <c r="E90" s="498">
        <f t="shared" si="1"/>
        <v>0</v>
      </c>
    </row>
    <row r="91" spans="1:5" x14ac:dyDescent="0.25">
      <c r="A91" s="435" t="s">
        <v>774</v>
      </c>
      <c r="B91" s="498">
        <v>804319.92</v>
      </c>
      <c r="D91" s="498">
        <f>VLOOKUP(A91,Maksājumu_pieprasījumu_iesn.!G:BL,40,0)</f>
        <v>804319.92</v>
      </c>
      <c r="E91" s="498">
        <f t="shared" si="1"/>
        <v>0</v>
      </c>
    </row>
    <row r="92" spans="1:5" x14ac:dyDescent="0.25">
      <c r="A92" s="435" t="s">
        <v>2846</v>
      </c>
      <c r="B92" s="498">
        <v>332734.46000000002</v>
      </c>
      <c r="D92" s="498">
        <f>VLOOKUP(A92,Maksājumu_pieprasījumu_iesn.!G:BL,40,0)</f>
        <v>332734.46000000002</v>
      </c>
      <c r="E92" s="498">
        <f t="shared" si="1"/>
        <v>0</v>
      </c>
    </row>
    <row r="93" spans="1:5" x14ac:dyDescent="0.25">
      <c r="A93" s="435" t="s">
        <v>904</v>
      </c>
      <c r="B93" s="498">
        <v>261461.24</v>
      </c>
      <c r="D93" s="498">
        <f>VLOOKUP(A93,Maksājumu_pieprasījumu_iesn.!G:BL,40,0)</f>
        <v>261461.24</v>
      </c>
      <c r="E93" s="498">
        <f t="shared" si="1"/>
        <v>0</v>
      </c>
    </row>
    <row r="94" spans="1:5" x14ac:dyDescent="0.25">
      <c r="A94" s="435" t="s">
        <v>775</v>
      </c>
      <c r="B94" s="498">
        <v>294937.53000000003</v>
      </c>
      <c r="D94" s="498">
        <f>VLOOKUP(A94,Maksājumu_pieprasījumu_iesn.!G:BL,40,0)</f>
        <v>294937.53000000003</v>
      </c>
      <c r="E94" s="498">
        <f t="shared" si="1"/>
        <v>0</v>
      </c>
    </row>
    <row r="95" spans="1:5" x14ac:dyDescent="0.25">
      <c r="A95" s="435" t="s">
        <v>909</v>
      </c>
      <c r="B95" s="498">
        <v>667271.72</v>
      </c>
      <c r="D95" s="498">
        <f>VLOOKUP(A95,Maksājumu_pieprasījumu_iesn.!G:BL,40,0)</f>
        <v>667271.72</v>
      </c>
      <c r="E95" s="498">
        <f t="shared" si="1"/>
        <v>0</v>
      </c>
    </row>
    <row r="96" spans="1:5" x14ac:dyDescent="0.25">
      <c r="A96" s="435" t="s">
        <v>907</v>
      </c>
      <c r="B96" s="498">
        <v>341567</v>
      </c>
      <c r="D96" s="498">
        <f>VLOOKUP(A96,Maksājumu_pieprasījumu_iesn.!G:BL,40,0)</f>
        <v>341567</v>
      </c>
      <c r="E96" s="498">
        <f t="shared" si="1"/>
        <v>0</v>
      </c>
    </row>
    <row r="97" spans="1:5" x14ac:dyDescent="0.25">
      <c r="A97" s="435" t="s">
        <v>944</v>
      </c>
      <c r="B97" s="498">
        <v>1348348.56</v>
      </c>
      <c r="D97" s="498">
        <f>VLOOKUP(A97,Maksājumu_pieprasījumu_iesn.!G:BL,40,0)</f>
        <v>1348348.56</v>
      </c>
      <c r="E97" s="498">
        <f t="shared" si="1"/>
        <v>0</v>
      </c>
    </row>
    <row r="98" spans="1:5" x14ac:dyDescent="0.25">
      <c r="A98" s="435" t="s">
        <v>1446</v>
      </c>
      <c r="B98" s="498">
        <v>492099.02999999997</v>
      </c>
      <c r="D98" s="498">
        <f>VLOOKUP(A98,Maksājumu_pieprasījumu_iesn.!G:BL,40,0)</f>
        <v>492099.02999999997</v>
      </c>
      <c r="E98" s="498">
        <f t="shared" si="1"/>
        <v>0</v>
      </c>
    </row>
    <row r="99" spans="1:5" x14ac:dyDescent="0.25">
      <c r="A99" s="435" t="s">
        <v>1574</v>
      </c>
      <c r="B99" s="498">
        <v>359621.07</v>
      </c>
      <c r="D99" s="498">
        <f>VLOOKUP(A99,Maksājumu_pieprasījumu_iesn.!G:BL,40,0)</f>
        <v>359621.07</v>
      </c>
      <c r="E99" s="498">
        <f t="shared" si="1"/>
        <v>0</v>
      </c>
    </row>
    <row r="100" spans="1:5" x14ac:dyDescent="0.25">
      <c r="A100" s="435" t="s">
        <v>2847</v>
      </c>
      <c r="B100" s="498">
        <v>116200</v>
      </c>
      <c r="D100" s="498">
        <f>VLOOKUP(A100,Maksājumu_pieprasījumu_iesn.!G:BL,40,0)</f>
        <v>116200</v>
      </c>
      <c r="E100" s="498">
        <f t="shared" si="1"/>
        <v>0</v>
      </c>
    </row>
    <row r="101" spans="1:5" x14ac:dyDescent="0.25">
      <c r="A101" s="435" t="s">
        <v>1516</v>
      </c>
      <c r="B101" s="498">
        <v>57514.5</v>
      </c>
      <c r="D101" s="498">
        <f>VLOOKUP(A101,Maksājumu_pieprasījumu_iesn.!G:BL,40,0)</f>
        <v>57514.5</v>
      </c>
      <c r="E101" s="498">
        <f t="shared" si="1"/>
        <v>0</v>
      </c>
    </row>
    <row r="102" spans="1:5" x14ac:dyDescent="0.25">
      <c r="A102" s="435" t="s">
        <v>1454</v>
      </c>
      <c r="B102" s="498">
        <v>89258.53</v>
      </c>
      <c r="D102" s="498">
        <f>VLOOKUP(A102,Maksājumu_pieprasījumu_iesn.!G:BL,40,0)</f>
        <v>89258.53</v>
      </c>
      <c r="E102" s="498">
        <f t="shared" si="1"/>
        <v>0</v>
      </c>
    </row>
    <row r="103" spans="1:5" x14ac:dyDescent="0.25">
      <c r="A103" s="435" t="s">
        <v>911</v>
      </c>
      <c r="B103" s="498">
        <v>66948</v>
      </c>
      <c r="D103" s="498">
        <f>VLOOKUP(A103,Maksājumu_pieprasījumu_iesn.!G:BL,40,0)</f>
        <v>66948</v>
      </c>
      <c r="E103" s="498">
        <f t="shared" si="1"/>
        <v>0</v>
      </c>
    </row>
    <row r="104" spans="1:5" x14ac:dyDescent="0.25">
      <c r="A104" s="435" t="s">
        <v>2781</v>
      </c>
      <c r="B104" s="498">
        <v>162819</v>
      </c>
      <c r="D104" s="498">
        <f>VLOOKUP(A104,Maksājumu_pieprasījumu_iesn.!G:BL,40,0)</f>
        <v>162819</v>
      </c>
      <c r="E104" s="498">
        <f t="shared" si="1"/>
        <v>0</v>
      </c>
    </row>
    <row r="105" spans="1:5" x14ac:dyDescent="0.25">
      <c r="A105" s="435" t="s">
        <v>2782</v>
      </c>
      <c r="B105" s="498">
        <v>162819</v>
      </c>
      <c r="D105" s="498">
        <f>VLOOKUP(A105,Maksājumu_pieprasījumu_iesn.!G:BL,40,0)</f>
        <v>162819</v>
      </c>
      <c r="E105" s="498">
        <f t="shared" si="1"/>
        <v>0</v>
      </c>
    </row>
    <row r="106" spans="1:5" x14ac:dyDescent="0.25">
      <c r="A106" s="435" t="s">
        <v>2783</v>
      </c>
      <c r="B106" s="498">
        <v>162819</v>
      </c>
      <c r="D106" s="498">
        <f>VLOOKUP(A106,Maksājumu_pieprasījumu_iesn.!G:BL,40,0)</f>
        <v>162819</v>
      </c>
      <c r="E106" s="498">
        <f t="shared" si="1"/>
        <v>0</v>
      </c>
    </row>
    <row r="107" spans="1:5" x14ac:dyDescent="0.25">
      <c r="A107" s="435" t="s">
        <v>2784</v>
      </c>
      <c r="B107" s="498">
        <v>162819</v>
      </c>
      <c r="D107" s="498">
        <f>VLOOKUP(A107,Maksājumu_pieprasījumu_iesn.!G:BL,40,0)</f>
        <v>162819</v>
      </c>
      <c r="E107" s="498">
        <f t="shared" si="1"/>
        <v>0</v>
      </c>
    </row>
    <row r="108" spans="1:5" x14ac:dyDescent="0.25">
      <c r="A108" s="435" t="s">
        <v>2785</v>
      </c>
      <c r="B108" s="498">
        <v>162819</v>
      </c>
      <c r="D108" s="498">
        <f>VLOOKUP(A108,Maksājumu_pieprasījumu_iesn.!G:BL,40,0)</f>
        <v>162819</v>
      </c>
      <c r="E108" s="498">
        <f t="shared" si="1"/>
        <v>0</v>
      </c>
    </row>
    <row r="109" spans="1:5" x14ac:dyDescent="0.25">
      <c r="A109" s="435" t="s">
        <v>2786</v>
      </c>
      <c r="B109" s="498">
        <v>162819</v>
      </c>
      <c r="D109" s="498">
        <f>VLOOKUP(A109,Maksājumu_pieprasījumu_iesn.!G:BL,40,0)</f>
        <v>162819</v>
      </c>
      <c r="E109" s="498">
        <f t="shared" si="1"/>
        <v>0</v>
      </c>
    </row>
    <row r="110" spans="1:5" x14ac:dyDescent="0.25">
      <c r="A110" s="435" t="s">
        <v>2787</v>
      </c>
      <c r="B110" s="498">
        <v>162819</v>
      </c>
      <c r="D110" s="498">
        <f>VLOOKUP(A110,Maksājumu_pieprasījumu_iesn.!G:BL,40,0)</f>
        <v>162819</v>
      </c>
      <c r="E110" s="498">
        <f t="shared" si="1"/>
        <v>0</v>
      </c>
    </row>
    <row r="111" spans="1:5" x14ac:dyDescent="0.25">
      <c r="A111" s="435" t="s">
        <v>2788</v>
      </c>
      <c r="B111" s="498">
        <v>162819</v>
      </c>
      <c r="D111" s="498">
        <f>VLOOKUP(A111,Maksājumu_pieprasījumu_iesn.!G:BL,40,0)</f>
        <v>162819</v>
      </c>
      <c r="E111" s="498">
        <f t="shared" si="1"/>
        <v>0</v>
      </c>
    </row>
    <row r="112" spans="1:5" x14ac:dyDescent="0.25">
      <c r="A112" s="435" t="s">
        <v>2789</v>
      </c>
      <c r="B112" s="498">
        <v>162819</v>
      </c>
      <c r="D112" s="498">
        <f>VLOOKUP(A112,Maksājumu_pieprasījumu_iesn.!G:BL,40,0)</f>
        <v>162819</v>
      </c>
      <c r="E112" s="498">
        <f t="shared" si="1"/>
        <v>0</v>
      </c>
    </row>
    <row r="113" spans="1:5" x14ac:dyDescent="0.25">
      <c r="A113" s="435" t="s">
        <v>2790</v>
      </c>
      <c r="B113" s="498">
        <v>162819</v>
      </c>
      <c r="D113" s="498">
        <f>VLOOKUP(A113,Maksājumu_pieprasījumu_iesn.!G:BL,40,0)</f>
        <v>162819</v>
      </c>
      <c r="E113" s="498">
        <f t="shared" si="1"/>
        <v>0</v>
      </c>
    </row>
    <row r="114" spans="1:5" x14ac:dyDescent="0.25">
      <c r="A114" s="435" t="s">
        <v>2791</v>
      </c>
      <c r="B114" s="498">
        <v>162819</v>
      </c>
      <c r="D114" s="498">
        <f>VLOOKUP(A114,Maksājumu_pieprasījumu_iesn.!G:BL,40,0)</f>
        <v>162819</v>
      </c>
      <c r="E114" s="498">
        <f t="shared" si="1"/>
        <v>0</v>
      </c>
    </row>
    <row r="115" spans="1:5" x14ac:dyDescent="0.25">
      <c r="A115" s="435" t="s">
        <v>2792</v>
      </c>
      <c r="B115" s="498">
        <v>162819</v>
      </c>
      <c r="D115" s="498">
        <f>VLOOKUP(A115,Maksājumu_pieprasījumu_iesn.!G:BL,40,0)</f>
        <v>162819</v>
      </c>
      <c r="E115" s="498">
        <f t="shared" si="1"/>
        <v>0</v>
      </c>
    </row>
    <row r="116" spans="1:5" x14ac:dyDescent="0.25">
      <c r="A116" s="435" t="s">
        <v>2793</v>
      </c>
      <c r="B116" s="498">
        <v>162819</v>
      </c>
      <c r="D116" s="498">
        <f>VLOOKUP(A116,Maksājumu_pieprasījumu_iesn.!G:BL,40,0)</f>
        <v>162819</v>
      </c>
      <c r="E116" s="498">
        <f t="shared" si="1"/>
        <v>0</v>
      </c>
    </row>
    <row r="117" spans="1:5" x14ac:dyDescent="0.25">
      <c r="A117" s="435" t="s">
        <v>2794</v>
      </c>
      <c r="B117" s="498">
        <v>162819</v>
      </c>
      <c r="D117" s="498">
        <f>VLOOKUP(A117,Maksājumu_pieprasījumu_iesn.!G:BL,40,0)</f>
        <v>162819</v>
      </c>
      <c r="E117" s="498">
        <f t="shared" si="1"/>
        <v>0</v>
      </c>
    </row>
    <row r="118" spans="1:5" x14ac:dyDescent="0.25">
      <c r="A118" s="435" t="s">
        <v>2795</v>
      </c>
      <c r="B118" s="498">
        <v>162819</v>
      </c>
      <c r="D118" s="498">
        <f>VLOOKUP(A118,Maksājumu_pieprasījumu_iesn.!G:BL,40,0)</f>
        <v>162819</v>
      </c>
      <c r="E118" s="498">
        <f t="shared" si="1"/>
        <v>0</v>
      </c>
    </row>
    <row r="119" spans="1:5" x14ac:dyDescent="0.25">
      <c r="A119" s="435" t="s">
        <v>2796</v>
      </c>
      <c r="B119" s="498">
        <v>162819</v>
      </c>
      <c r="D119" s="498">
        <f>VLOOKUP(A119,Maksājumu_pieprasījumu_iesn.!G:BL,40,0)</f>
        <v>162819</v>
      </c>
      <c r="E119" s="498">
        <f t="shared" si="1"/>
        <v>0</v>
      </c>
    </row>
    <row r="120" spans="1:5" x14ac:dyDescent="0.25">
      <c r="A120" s="435" t="s">
        <v>2797</v>
      </c>
      <c r="B120" s="498">
        <v>162819</v>
      </c>
      <c r="D120" s="498">
        <f>VLOOKUP(A120,Maksājumu_pieprasījumu_iesn.!G:BL,40,0)</f>
        <v>162819</v>
      </c>
      <c r="E120" s="498">
        <f t="shared" si="1"/>
        <v>0</v>
      </c>
    </row>
    <row r="121" spans="1:5" x14ac:dyDescent="0.25">
      <c r="A121" s="435" t="s">
        <v>2798</v>
      </c>
      <c r="B121" s="498">
        <v>194078.65</v>
      </c>
      <c r="D121" s="498">
        <f>VLOOKUP(A121,Maksājumu_pieprasījumu_iesn.!G:BL,40,0)</f>
        <v>194078.65</v>
      </c>
      <c r="E121" s="498">
        <f t="shared" si="1"/>
        <v>0</v>
      </c>
    </row>
    <row r="122" spans="1:5" x14ac:dyDescent="0.25">
      <c r="A122" s="435" t="s">
        <v>2799</v>
      </c>
      <c r="B122" s="498">
        <v>194078.66</v>
      </c>
      <c r="D122" s="498">
        <f>VLOOKUP(A122,Maksājumu_pieprasījumu_iesn.!G:BL,40,0)</f>
        <v>194078.66</v>
      </c>
      <c r="E122" s="498">
        <f t="shared" si="1"/>
        <v>0</v>
      </c>
    </row>
    <row r="123" spans="1:5" x14ac:dyDescent="0.25">
      <c r="A123" s="435" t="s">
        <v>2800</v>
      </c>
      <c r="B123" s="498">
        <v>194078.66</v>
      </c>
      <c r="D123" s="498">
        <f>VLOOKUP(A123,Maksājumu_pieprasījumu_iesn.!G:BL,40,0)</f>
        <v>194078.66</v>
      </c>
      <c r="E123" s="498">
        <f t="shared" si="1"/>
        <v>0</v>
      </c>
    </row>
    <row r="124" spans="1:5" x14ac:dyDescent="0.25">
      <c r="A124" s="435" t="s">
        <v>2801</v>
      </c>
      <c r="B124" s="498">
        <v>194078.66</v>
      </c>
      <c r="D124" s="498">
        <f>VLOOKUP(A124,Maksājumu_pieprasījumu_iesn.!G:BL,40,0)</f>
        <v>194078.66</v>
      </c>
      <c r="E124" s="498">
        <f t="shared" si="1"/>
        <v>0</v>
      </c>
    </row>
    <row r="125" spans="1:5" x14ac:dyDescent="0.25">
      <c r="A125" s="435" t="s">
        <v>2802</v>
      </c>
      <c r="B125" s="498">
        <v>194078.66</v>
      </c>
      <c r="D125" s="498">
        <f>VLOOKUP(A125,Maksājumu_pieprasījumu_iesn.!G:BL,40,0)</f>
        <v>194078.66</v>
      </c>
      <c r="E125" s="498">
        <f t="shared" si="1"/>
        <v>0</v>
      </c>
    </row>
    <row r="126" spans="1:5" x14ac:dyDescent="0.25">
      <c r="A126" s="435" t="s">
        <v>2803</v>
      </c>
      <c r="B126" s="498">
        <v>194078.65</v>
      </c>
      <c r="D126" s="498">
        <f>VLOOKUP(A126,Maksājumu_pieprasījumu_iesn.!G:BL,40,0)</f>
        <v>194078.65</v>
      </c>
      <c r="E126" s="498">
        <f t="shared" si="1"/>
        <v>0</v>
      </c>
    </row>
    <row r="127" spans="1:5" x14ac:dyDescent="0.25">
      <c r="A127" s="435" t="s">
        <v>2804</v>
      </c>
      <c r="B127" s="498">
        <v>162819</v>
      </c>
      <c r="D127" s="498">
        <f>VLOOKUP(A127,Maksājumu_pieprasījumu_iesn.!G:BL,40,0)</f>
        <v>162819</v>
      </c>
      <c r="E127" s="498">
        <f t="shared" si="1"/>
        <v>0</v>
      </c>
    </row>
    <row r="128" spans="1:5" x14ac:dyDescent="0.25">
      <c r="A128" s="435" t="s">
        <v>2805</v>
      </c>
      <c r="B128" s="498">
        <v>162819</v>
      </c>
      <c r="D128" s="498">
        <f>VLOOKUP(A128,Maksājumu_pieprasījumu_iesn.!G:BL,40,0)</f>
        <v>162819</v>
      </c>
      <c r="E128" s="498">
        <f t="shared" si="1"/>
        <v>0</v>
      </c>
    </row>
    <row r="129" spans="1:5" x14ac:dyDescent="0.25">
      <c r="A129" s="435" t="s">
        <v>2806</v>
      </c>
      <c r="B129" s="498">
        <v>162819</v>
      </c>
      <c r="D129" s="498">
        <f>VLOOKUP(A129,Maksājumu_pieprasījumu_iesn.!G:BL,40,0)</f>
        <v>162819</v>
      </c>
      <c r="E129" s="498">
        <f t="shared" si="1"/>
        <v>0</v>
      </c>
    </row>
    <row r="130" spans="1:5" x14ac:dyDescent="0.25">
      <c r="A130" s="435" t="s">
        <v>2807</v>
      </c>
      <c r="B130" s="498">
        <v>162819</v>
      </c>
      <c r="D130" s="498">
        <f>VLOOKUP(A130,Maksājumu_pieprasījumu_iesn.!G:BL,40,0)</f>
        <v>162819</v>
      </c>
      <c r="E130" s="498">
        <f t="shared" ref="E130:E193" si="2">D130-B130</f>
        <v>0</v>
      </c>
    </row>
    <row r="131" spans="1:5" x14ac:dyDescent="0.25">
      <c r="A131" s="435" t="s">
        <v>2808</v>
      </c>
      <c r="B131" s="498">
        <v>162819</v>
      </c>
      <c r="D131" s="498">
        <f>VLOOKUP(A131,Maksājumu_pieprasījumu_iesn.!G:BL,40,0)</f>
        <v>162819</v>
      </c>
      <c r="E131" s="498">
        <f t="shared" si="2"/>
        <v>0</v>
      </c>
    </row>
    <row r="132" spans="1:5" x14ac:dyDescent="0.25">
      <c r="A132" s="435" t="s">
        <v>2809</v>
      </c>
      <c r="B132" s="498">
        <v>162819</v>
      </c>
      <c r="D132" s="498">
        <f>VLOOKUP(A132,Maksājumu_pieprasījumu_iesn.!G:BL,40,0)</f>
        <v>162819</v>
      </c>
      <c r="E132" s="498">
        <f t="shared" si="2"/>
        <v>0</v>
      </c>
    </row>
    <row r="133" spans="1:5" x14ac:dyDescent="0.25">
      <c r="A133" s="435" t="s">
        <v>2810</v>
      </c>
      <c r="B133" s="498">
        <v>162819</v>
      </c>
      <c r="D133" s="498">
        <f>VLOOKUP(A133,Maksājumu_pieprasījumu_iesn.!G:BL,40,0)</f>
        <v>162819</v>
      </c>
      <c r="E133" s="498">
        <f t="shared" si="2"/>
        <v>0</v>
      </c>
    </row>
    <row r="134" spans="1:5" x14ac:dyDescent="0.25">
      <c r="A134" s="435" t="s">
        <v>2811</v>
      </c>
      <c r="B134" s="498">
        <v>162689.85</v>
      </c>
      <c r="D134" s="498">
        <f>VLOOKUP(A134,Maksājumu_pieprasījumu_iesn.!G:BL,40,0)</f>
        <v>162689.85</v>
      </c>
      <c r="E134" s="498">
        <f t="shared" si="2"/>
        <v>0</v>
      </c>
    </row>
    <row r="135" spans="1:5" x14ac:dyDescent="0.25">
      <c r="A135" s="435" t="s">
        <v>97</v>
      </c>
      <c r="B135" s="498">
        <v>197786.1</v>
      </c>
      <c r="D135" s="498">
        <f>VLOOKUP(A135,Maksājumu_pieprasījumu_iesn.!G:BL,40,0)</f>
        <v>197786.1</v>
      </c>
      <c r="E135" s="498">
        <f t="shared" si="2"/>
        <v>0</v>
      </c>
    </row>
    <row r="136" spans="1:5" x14ac:dyDescent="0.25">
      <c r="A136" s="435" t="s">
        <v>749</v>
      </c>
      <c r="B136" s="498">
        <v>1089544.75</v>
      </c>
      <c r="D136" s="498">
        <f>VLOOKUP(A136,Maksājumu_pieprasījumu_iesn.!G:BL,40,0)</f>
        <v>1089544.75</v>
      </c>
      <c r="E136" s="498">
        <f t="shared" si="2"/>
        <v>0</v>
      </c>
    </row>
    <row r="137" spans="1:5" x14ac:dyDescent="0.25">
      <c r="A137" s="435" t="s">
        <v>103</v>
      </c>
      <c r="B137" s="498">
        <v>2900076.8</v>
      </c>
      <c r="D137" s="498">
        <f>VLOOKUP(A137,Maksājumu_pieprasījumu_iesn.!G:BL,40,0)</f>
        <v>2900076.8000000003</v>
      </c>
      <c r="E137" s="498">
        <f t="shared" si="2"/>
        <v>0</v>
      </c>
    </row>
    <row r="138" spans="1:5" x14ac:dyDescent="0.25">
      <c r="A138" s="435" t="s">
        <v>1613</v>
      </c>
      <c r="B138" s="498">
        <v>341915.49</v>
      </c>
      <c r="D138" s="498">
        <f>VLOOKUP(A138,Maksājumu_pieprasījumu_iesn.!G:BL,40,0)</f>
        <v>341915.49</v>
      </c>
      <c r="E138" s="498">
        <f t="shared" si="2"/>
        <v>0</v>
      </c>
    </row>
    <row r="139" spans="1:5" x14ac:dyDescent="0.25">
      <c r="A139" s="435" t="s">
        <v>2812</v>
      </c>
      <c r="B139" s="498">
        <v>445795.06</v>
      </c>
      <c r="D139" s="498">
        <f>VLOOKUP(A139,Maksājumu_pieprasījumu_iesn.!G:BL,40,0)</f>
        <v>445795.06</v>
      </c>
      <c r="E139" s="498">
        <f t="shared" si="2"/>
        <v>0</v>
      </c>
    </row>
    <row r="140" spans="1:5" x14ac:dyDescent="0.25">
      <c r="A140" s="435" t="s">
        <v>623</v>
      </c>
      <c r="B140" s="498">
        <v>1463251.8100000003</v>
      </c>
      <c r="D140" s="498">
        <f>VLOOKUP(A140,Maksājumu_pieprasījumu_iesn.!G:BL,40,0)</f>
        <v>1463251.8100000003</v>
      </c>
      <c r="E140" s="498">
        <f t="shared" si="2"/>
        <v>0</v>
      </c>
    </row>
    <row r="141" spans="1:5" x14ac:dyDescent="0.25">
      <c r="A141" s="435" t="s">
        <v>625</v>
      </c>
      <c r="B141" s="498">
        <v>1214128.5</v>
      </c>
      <c r="D141" s="498">
        <f>VLOOKUP(A141,Maksājumu_pieprasījumu_iesn.!G:BL,40,0)</f>
        <v>1214128.5</v>
      </c>
      <c r="E141" s="498">
        <f t="shared" si="2"/>
        <v>0</v>
      </c>
    </row>
    <row r="142" spans="1:5" x14ac:dyDescent="0.25">
      <c r="A142" s="435" t="s">
        <v>110</v>
      </c>
      <c r="B142" s="498">
        <v>471750.18999999994</v>
      </c>
      <c r="D142" s="498">
        <f>VLOOKUP(A142,Maksājumu_pieprasījumu_iesn.!G:BL,40,0)</f>
        <v>471750.18999999994</v>
      </c>
      <c r="E142" s="498">
        <f t="shared" si="2"/>
        <v>0</v>
      </c>
    </row>
    <row r="143" spans="1:5" x14ac:dyDescent="0.25">
      <c r="A143" s="435" t="s">
        <v>113</v>
      </c>
      <c r="B143" s="498">
        <v>163976.18999999997</v>
      </c>
      <c r="D143" s="498">
        <f>VLOOKUP(A143,Maksājumu_pieprasījumu_iesn.!G:BL,40,0)</f>
        <v>163976.18999999997</v>
      </c>
      <c r="E143" s="498">
        <f t="shared" si="2"/>
        <v>0</v>
      </c>
    </row>
    <row r="144" spans="1:5" x14ac:dyDescent="0.25">
      <c r="A144" s="435" t="s">
        <v>115</v>
      </c>
      <c r="B144" s="498">
        <v>254257.09</v>
      </c>
      <c r="D144" s="498">
        <f>VLOOKUP(A144,Maksājumu_pieprasījumu_iesn.!G:BL,40,0)</f>
        <v>254257.09</v>
      </c>
      <c r="E144" s="498">
        <f t="shared" si="2"/>
        <v>0</v>
      </c>
    </row>
    <row r="145" spans="1:5" x14ac:dyDescent="0.25">
      <c r="A145" s="435" t="s">
        <v>117</v>
      </c>
      <c r="B145" s="498">
        <v>502759.09</v>
      </c>
      <c r="D145" s="498">
        <f>VLOOKUP(A145,Maksājumu_pieprasījumu_iesn.!G:BL,40,0)</f>
        <v>502759.09</v>
      </c>
      <c r="E145" s="498">
        <f t="shared" si="2"/>
        <v>0</v>
      </c>
    </row>
    <row r="146" spans="1:5" x14ac:dyDescent="0.25">
      <c r="A146" s="435" t="s">
        <v>916</v>
      </c>
      <c r="B146" s="498">
        <v>36316.080000000002</v>
      </c>
      <c r="D146" s="498">
        <f>VLOOKUP(A146,Maksājumu_pieprasījumu_iesn.!G:BL,40,0)</f>
        <v>36316.080000000002</v>
      </c>
      <c r="E146" s="498">
        <f t="shared" si="2"/>
        <v>0</v>
      </c>
    </row>
    <row r="147" spans="1:5" x14ac:dyDescent="0.25">
      <c r="A147" s="435" t="s">
        <v>738</v>
      </c>
      <c r="B147" s="498">
        <v>225753.16</v>
      </c>
      <c r="D147" s="498">
        <f>VLOOKUP(A147,Maksājumu_pieprasījumu_iesn.!G:BL,40,0)</f>
        <v>225753.16</v>
      </c>
      <c r="E147" s="498">
        <f t="shared" si="2"/>
        <v>0</v>
      </c>
    </row>
    <row r="148" spans="1:5" x14ac:dyDescent="0.25">
      <c r="A148" s="435" t="s">
        <v>736</v>
      </c>
      <c r="B148" s="498">
        <v>223490.7</v>
      </c>
      <c r="D148" s="498">
        <f>VLOOKUP(A148,Maksājumu_pieprasījumu_iesn.!G:BL,40,0)</f>
        <v>223490.7</v>
      </c>
      <c r="E148" s="498">
        <f t="shared" si="2"/>
        <v>0</v>
      </c>
    </row>
    <row r="149" spans="1:5" x14ac:dyDescent="0.25">
      <c r="A149" s="435" t="s">
        <v>918</v>
      </c>
      <c r="B149" s="498">
        <v>74141.989999999991</v>
      </c>
      <c r="D149" s="498">
        <f>VLOOKUP(A149,Maksājumu_pieprasījumu_iesn.!G:BL,40,0)</f>
        <v>74141.990000000005</v>
      </c>
      <c r="E149" s="498">
        <f t="shared" si="2"/>
        <v>0</v>
      </c>
    </row>
    <row r="150" spans="1:5" x14ac:dyDescent="0.25">
      <c r="A150" s="435" t="s">
        <v>914</v>
      </c>
      <c r="B150" s="498">
        <v>81243.58</v>
      </c>
      <c r="D150" s="498">
        <f>VLOOKUP(A150,Maksājumu_pieprasījumu_iesn.!G:BL,40,0)</f>
        <v>81243.58</v>
      </c>
      <c r="E150" s="498">
        <f t="shared" si="2"/>
        <v>0</v>
      </c>
    </row>
    <row r="151" spans="1:5" x14ac:dyDescent="0.25">
      <c r="A151" s="435" t="s">
        <v>695</v>
      </c>
      <c r="B151" s="498">
        <v>330612.89999999997</v>
      </c>
      <c r="D151" s="498">
        <f>VLOOKUP(A151,Maksājumu_pieprasījumu_iesn.!G:BL,40,0)</f>
        <v>330612.89999999997</v>
      </c>
      <c r="E151" s="498">
        <f t="shared" si="2"/>
        <v>0</v>
      </c>
    </row>
    <row r="152" spans="1:5" x14ac:dyDescent="0.25">
      <c r="A152" s="435" t="s">
        <v>752</v>
      </c>
      <c r="B152" s="498">
        <v>3982970.58</v>
      </c>
      <c r="D152" s="498">
        <f>VLOOKUP(A152,Maksājumu_pieprasījumu_iesn.!G:BL,40,0)</f>
        <v>3982970.58</v>
      </c>
      <c r="E152" s="498">
        <f t="shared" si="2"/>
        <v>0</v>
      </c>
    </row>
    <row r="153" spans="1:5" x14ac:dyDescent="0.25">
      <c r="A153" s="435" t="s">
        <v>124</v>
      </c>
      <c r="B153" s="498">
        <v>3566334.51</v>
      </c>
      <c r="D153" s="498">
        <f>VLOOKUP(A153,Maksājumu_pieprasījumu_iesn.!G:BL,40,0)</f>
        <v>3566334.51</v>
      </c>
      <c r="E153" s="498">
        <f t="shared" si="2"/>
        <v>0</v>
      </c>
    </row>
    <row r="154" spans="1:5" x14ac:dyDescent="0.25">
      <c r="A154" s="435" t="s">
        <v>127</v>
      </c>
      <c r="B154" s="498">
        <v>967448.21</v>
      </c>
      <c r="D154" s="498">
        <f>VLOOKUP(A154,Maksājumu_pieprasījumu_iesn.!G:BL,40,0)</f>
        <v>967448.21</v>
      </c>
      <c r="E154" s="498">
        <f t="shared" si="2"/>
        <v>0</v>
      </c>
    </row>
    <row r="155" spans="1:5" x14ac:dyDescent="0.25">
      <c r="A155" s="435" t="s">
        <v>130</v>
      </c>
      <c r="B155" s="498">
        <v>109080.22</v>
      </c>
      <c r="D155" s="498">
        <f>VLOOKUP(A155,Maksājumu_pieprasījumu_iesn.!G:BL,40,0)</f>
        <v>109080.22</v>
      </c>
      <c r="E155" s="498">
        <f t="shared" si="2"/>
        <v>0</v>
      </c>
    </row>
    <row r="156" spans="1:5" x14ac:dyDescent="0.25">
      <c r="A156" s="435" t="s">
        <v>755</v>
      </c>
      <c r="B156" s="498">
        <v>234021.97</v>
      </c>
      <c r="D156" s="498">
        <f>VLOOKUP(A156,Maksājumu_pieprasījumu_iesn.!G:BL,40,0)</f>
        <v>234021.97</v>
      </c>
      <c r="E156" s="498">
        <f t="shared" si="2"/>
        <v>0</v>
      </c>
    </row>
    <row r="157" spans="1:5" x14ac:dyDescent="0.25">
      <c r="A157" s="435" t="s">
        <v>776</v>
      </c>
      <c r="B157" s="498">
        <v>485413.22</v>
      </c>
      <c r="D157" s="498">
        <f>VLOOKUP(A157,Maksājumu_pieprasījumu_iesn.!G:BL,40,0)</f>
        <v>485413.22</v>
      </c>
      <c r="E157" s="498">
        <f t="shared" si="2"/>
        <v>0</v>
      </c>
    </row>
    <row r="158" spans="1:5" x14ac:dyDescent="0.25">
      <c r="A158" s="435" t="s">
        <v>1681</v>
      </c>
      <c r="B158" s="498">
        <v>3700</v>
      </c>
      <c r="D158" s="498">
        <f>VLOOKUP(A158,Maksājumu_pieprasījumu_iesn.!G:BL,40,0)</f>
        <v>3700</v>
      </c>
      <c r="E158" s="498">
        <f t="shared" si="2"/>
        <v>0</v>
      </c>
    </row>
    <row r="159" spans="1:5" x14ac:dyDescent="0.25">
      <c r="A159" s="435" t="s">
        <v>121</v>
      </c>
      <c r="B159" s="498">
        <v>525740.35</v>
      </c>
      <c r="D159" s="498">
        <f>VLOOKUP(A159,Maksājumu_pieprasījumu_iesn.!G:BL,40,0)</f>
        <v>525740.35</v>
      </c>
      <c r="E159" s="498">
        <f t="shared" si="2"/>
        <v>0</v>
      </c>
    </row>
    <row r="160" spans="1:5" x14ac:dyDescent="0.25">
      <c r="A160" s="435" t="s">
        <v>689</v>
      </c>
      <c r="B160" s="498">
        <v>378286.7</v>
      </c>
      <c r="D160" s="498">
        <f>VLOOKUP(A160,Maksājumu_pieprasījumu_iesn.!G:BL,40,0)</f>
        <v>378286.7</v>
      </c>
      <c r="E160" s="498">
        <f t="shared" si="2"/>
        <v>0</v>
      </c>
    </row>
    <row r="161" spans="1:5" x14ac:dyDescent="0.25">
      <c r="A161" s="435" t="s">
        <v>692</v>
      </c>
      <c r="B161" s="498">
        <v>576455.05000000005</v>
      </c>
      <c r="D161" s="498">
        <f>VLOOKUP(A161,Maksājumu_pieprasījumu_iesn.!G:BL,40,0)</f>
        <v>576455.05000000005</v>
      </c>
      <c r="E161" s="498">
        <f t="shared" si="2"/>
        <v>0</v>
      </c>
    </row>
    <row r="162" spans="1:5" x14ac:dyDescent="0.25">
      <c r="A162" s="435" t="s">
        <v>135</v>
      </c>
      <c r="B162" s="498">
        <v>1063967.1099999999</v>
      </c>
      <c r="D162" s="498">
        <f>VLOOKUP(A162,Maksājumu_pieprasījumu_iesn.!G:BL,40,0)</f>
        <v>1063967.1099999999</v>
      </c>
      <c r="E162" s="498">
        <f t="shared" si="2"/>
        <v>0</v>
      </c>
    </row>
    <row r="163" spans="1:5" x14ac:dyDescent="0.25">
      <c r="A163" s="435" t="s">
        <v>2848</v>
      </c>
      <c r="B163" s="498">
        <v>486239.14</v>
      </c>
      <c r="D163" s="498">
        <f>VLOOKUP(A163,Maksājumu_pieprasījumu_iesn.!G:BL,40,0)</f>
        <v>486239.14</v>
      </c>
      <c r="E163" s="498">
        <f t="shared" si="2"/>
        <v>0</v>
      </c>
    </row>
    <row r="164" spans="1:5" x14ac:dyDescent="0.25">
      <c r="A164" s="435" t="s">
        <v>777</v>
      </c>
      <c r="B164" s="498">
        <v>7667598.9799999995</v>
      </c>
      <c r="D164" s="498">
        <f>VLOOKUP(A164,Maksājumu_pieprasījumu_iesn.!G:BL,40,0)</f>
        <v>7667598.9799999995</v>
      </c>
      <c r="E164" s="498">
        <f t="shared" si="2"/>
        <v>0</v>
      </c>
    </row>
    <row r="165" spans="1:5" x14ac:dyDescent="0.25">
      <c r="A165" s="435" t="s">
        <v>778</v>
      </c>
      <c r="B165" s="498">
        <v>5542654.1200000001</v>
      </c>
      <c r="D165" s="498">
        <f>VLOOKUP(A165,Maksājumu_pieprasījumu_iesn.!G:BL,40,0)</f>
        <v>5542654.1200000001</v>
      </c>
      <c r="E165" s="498">
        <f t="shared" si="2"/>
        <v>0</v>
      </c>
    </row>
    <row r="166" spans="1:5" x14ac:dyDescent="0.25">
      <c r="A166" s="435" t="s">
        <v>705</v>
      </c>
      <c r="B166" s="498">
        <v>890067.74</v>
      </c>
      <c r="D166" s="498">
        <f>VLOOKUP(A166,Maksājumu_pieprasījumu_iesn.!G:BL,40,0)</f>
        <v>890067.72</v>
      </c>
      <c r="E166" s="498">
        <f t="shared" si="2"/>
        <v>-2.0000000018626451E-2</v>
      </c>
    </row>
    <row r="167" spans="1:5" x14ac:dyDescent="0.25">
      <c r="A167" s="435" t="s">
        <v>140</v>
      </c>
      <c r="B167" s="498">
        <v>2110237.6</v>
      </c>
      <c r="D167" s="498">
        <f>VLOOKUP(A167,Maksājumu_pieprasījumu_iesn.!G:BL,40,0)</f>
        <v>2110237.58</v>
      </c>
      <c r="E167" s="498">
        <f t="shared" si="2"/>
        <v>-2.0000000018626451E-2</v>
      </c>
    </row>
    <row r="168" spans="1:5" x14ac:dyDescent="0.25">
      <c r="A168" s="435" t="s">
        <v>715</v>
      </c>
      <c r="B168" s="498">
        <v>2005009.7600000002</v>
      </c>
      <c r="D168" s="498">
        <f>VLOOKUP(A168,Maksājumu_pieprasījumu_iesn.!G:BL,40,0)</f>
        <v>2005009.7600000002</v>
      </c>
      <c r="E168" s="498">
        <f t="shared" si="2"/>
        <v>0</v>
      </c>
    </row>
    <row r="169" spans="1:5" x14ac:dyDescent="0.25">
      <c r="A169" s="435" t="s">
        <v>713</v>
      </c>
      <c r="B169" s="498">
        <v>193167.55</v>
      </c>
      <c r="D169" s="498">
        <f>VLOOKUP(A169,Maksājumu_pieprasījumu_iesn.!G:BL,40,0)</f>
        <v>193167.55</v>
      </c>
      <c r="E169" s="498">
        <f t="shared" si="2"/>
        <v>0</v>
      </c>
    </row>
    <row r="170" spans="1:5" x14ac:dyDescent="0.25">
      <c r="A170" s="435" t="s">
        <v>779</v>
      </c>
      <c r="B170" s="498">
        <v>605138.66999999993</v>
      </c>
      <c r="D170" s="498">
        <f>VLOOKUP(A170,Maksājumu_pieprasījumu_iesn.!G:BL,40,0)</f>
        <v>605138.66999999993</v>
      </c>
      <c r="E170" s="498">
        <f t="shared" si="2"/>
        <v>0</v>
      </c>
    </row>
    <row r="171" spans="1:5" x14ac:dyDescent="0.25">
      <c r="A171" s="435" t="s">
        <v>142</v>
      </c>
      <c r="B171" s="498">
        <v>1694377.36</v>
      </c>
      <c r="D171" s="498">
        <f>VLOOKUP(A171,Maksājumu_pieprasījumu_iesn.!G:BL,40,0)</f>
        <v>1694377.36</v>
      </c>
      <c r="E171" s="498">
        <f t="shared" si="2"/>
        <v>0</v>
      </c>
    </row>
    <row r="172" spans="1:5" x14ac:dyDescent="0.25">
      <c r="A172" s="435" t="s">
        <v>1896</v>
      </c>
      <c r="B172" s="498">
        <v>300795.15000000002</v>
      </c>
      <c r="D172" s="498">
        <f>VLOOKUP(A172,Maksājumu_pieprasījumu_iesn.!G:BL,40,0)</f>
        <v>300795.15000000002</v>
      </c>
      <c r="E172" s="498">
        <f t="shared" si="2"/>
        <v>0</v>
      </c>
    </row>
    <row r="173" spans="1:5" x14ac:dyDescent="0.25">
      <c r="A173" s="435" t="s">
        <v>780</v>
      </c>
      <c r="B173" s="498">
        <v>2985083.7199999997</v>
      </c>
      <c r="D173" s="498">
        <f>VLOOKUP(A173,Maksājumu_pieprasījumu_iesn.!G:BL,40,0)</f>
        <v>2985083.7199999997</v>
      </c>
      <c r="E173" s="498">
        <f t="shared" si="2"/>
        <v>0</v>
      </c>
    </row>
    <row r="174" spans="1:5" x14ac:dyDescent="0.25">
      <c r="A174" s="435" t="s">
        <v>781</v>
      </c>
      <c r="B174" s="498">
        <v>493022.09</v>
      </c>
      <c r="D174" s="498">
        <f>VLOOKUP(A174,Maksājumu_pieprasījumu_iesn.!G:BL,40,0)</f>
        <v>493022.08</v>
      </c>
      <c r="E174" s="498">
        <f t="shared" si="2"/>
        <v>-1.0000000009313226E-2</v>
      </c>
    </row>
    <row r="175" spans="1:5" x14ac:dyDescent="0.25">
      <c r="A175" s="435" t="s">
        <v>707</v>
      </c>
      <c r="B175" s="498">
        <v>799646.46</v>
      </c>
      <c r="D175" s="498">
        <f>VLOOKUP(A175,Maksājumu_pieprasījumu_iesn.!G:BL,40,0)</f>
        <v>799646.46</v>
      </c>
      <c r="E175" s="498">
        <f t="shared" si="2"/>
        <v>0</v>
      </c>
    </row>
    <row r="176" spans="1:5" x14ac:dyDescent="0.25">
      <c r="A176" s="435" t="s">
        <v>1888</v>
      </c>
      <c r="B176" s="498">
        <v>150000</v>
      </c>
      <c r="D176" s="498">
        <f>VLOOKUP(A176,Maksājumu_pieprasījumu_iesn.!G:BL,40,0)</f>
        <v>150000</v>
      </c>
      <c r="E176" s="498">
        <f t="shared" si="2"/>
        <v>0</v>
      </c>
    </row>
    <row r="177" spans="1:5" x14ac:dyDescent="0.25">
      <c r="A177" s="435" t="s">
        <v>710</v>
      </c>
      <c r="B177" s="498">
        <v>2446409.71</v>
      </c>
      <c r="D177" s="498">
        <f>VLOOKUP(A177,Maksājumu_pieprasījumu_iesn.!G:BL,40,0)</f>
        <v>2446409.71</v>
      </c>
      <c r="E177" s="498">
        <f t="shared" si="2"/>
        <v>0</v>
      </c>
    </row>
    <row r="178" spans="1:5" x14ac:dyDescent="0.25">
      <c r="A178" s="435" t="s">
        <v>1943</v>
      </c>
      <c r="B178" s="498">
        <v>1700000</v>
      </c>
      <c r="D178" s="498">
        <f>VLOOKUP(A178,Maksājumu_pieprasījumu_iesn.!G:BL,40,0)</f>
        <v>1700000</v>
      </c>
      <c r="E178" s="498">
        <f t="shared" si="2"/>
        <v>0</v>
      </c>
    </row>
    <row r="179" spans="1:5" x14ac:dyDescent="0.25">
      <c r="A179" s="435" t="s">
        <v>921</v>
      </c>
      <c r="B179" s="498">
        <v>2776965</v>
      </c>
      <c r="D179" s="498">
        <f>VLOOKUP(A179,Maksājumu_pieprasījumu_iesn.!G:BL,40,0)</f>
        <v>2776965</v>
      </c>
      <c r="E179" s="498">
        <f t="shared" si="2"/>
        <v>0</v>
      </c>
    </row>
    <row r="180" spans="1:5" x14ac:dyDescent="0.25">
      <c r="A180" s="435" t="s">
        <v>923</v>
      </c>
      <c r="B180" s="498">
        <v>753440.60000000009</v>
      </c>
      <c r="D180" s="498">
        <f>VLOOKUP(A180,Maksājumu_pieprasījumu_iesn.!G:BL,40,0)</f>
        <v>753440.58000000007</v>
      </c>
      <c r="E180" s="498">
        <f t="shared" si="2"/>
        <v>-2.0000000018626451E-2</v>
      </c>
    </row>
    <row r="181" spans="1:5" x14ac:dyDescent="0.25">
      <c r="A181" s="435" t="s">
        <v>782</v>
      </c>
      <c r="B181" s="498">
        <v>1448286.55</v>
      </c>
      <c r="D181" s="498">
        <f>VLOOKUP(A181,Maksājumu_pieprasījumu_iesn.!G:BL,40,0)</f>
        <v>1448286.55</v>
      </c>
      <c r="E181" s="498">
        <f t="shared" si="2"/>
        <v>0</v>
      </c>
    </row>
    <row r="182" spans="1:5" x14ac:dyDescent="0.25">
      <c r="A182" s="435" t="s">
        <v>942</v>
      </c>
      <c r="B182" s="498">
        <v>767000</v>
      </c>
      <c r="D182" s="498">
        <f>VLOOKUP(A182,Maksājumu_pieprasījumu_iesn.!G:BL,40,0)</f>
        <v>767000</v>
      </c>
      <c r="E182" s="498">
        <f t="shared" si="2"/>
        <v>0</v>
      </c>
    </row>
    <row r="183" spans="1:5" x14ac:dyDescent="0.25">
      <c r="A183" s="435" t="s">
        <v>147</v>
      </c>
      <c r="B183" s="498">
        <v>8765826.4600000009</v>
      </c>
      <c r="D183" s="498">
        <f>VLOOKUP(A183,Maksājumu_pieprasījumu_iesn.!G:BL,40,0)</f>
        <v>8765826.4600000009</v>
      </c>
      <c r="E183" s="498">
        <f t="shared" si="2"/>
        <v>0</v>
      </c>
    </row>
    <row r="184" spans="1:5" x14ac:dyDescent="0.25">
      <c r="A184" s="435" t="s">
        <v>1991</v>
      </c>
      <c r="B184" s="498">
        <v>1350717.02</v>
      </c>
      <c r="D184" s="498">
        <f>VLOOKUP(A184,Maksājumu_pieprasījumu_iesn.!G:BL,40,0)</f>
        <v>1350717.02</v>
      </c>
      <c r="E184" s="498">
        <f t="shared" si="2"/>
        <v>0</v>
      </c>
    </row>
    <row r="185" spans="1:5" x14ac:dyDescent="0.25">
      <c r="A185" s="435" t="s">
        <v>1997</v>
      </c>
      <c r="B185" s="498">
        <v>2414094.83</v>
      </c>
      <c r="D185" s="498">
        <f>VLOOKUP(A185,Maksājumu_pieprasījumu_iesn.!G:BL,40,0)</f>
        <v>2414094.83</v>
      </c>
      <c r="E185" s="498">
        <f t="shared" si="2"/>
        <v>0</v>
      </c>
    </row>
    <row r="186" spans="1:5" x14ac:dyDescent="0.25">
      <c r="A186" s="435" t="s">
        <v>152</v>
      </c>
      <c r="B186" s="498">
        <v>579756.30000000005</v>
      </c>
      <c r="D186" s="498">
        <f>VLOOKUP(A186,Maksājumu_pieprasījumu_iesn.!G:BL,40,0)</f>
        <v>579756.30000000005</v>
      </c>
      <c r="E186" s="498">
        <f t="shared" si="2"/>
        <v>0</v>
      </c>
    </row>
    <row r="187" spans="1:5" x14ac:dyDescent="0.25">
      <c r="A187" s="435" t="s">
        <v>627</v>
      </c>
      <c r="B187" s="498">
        <v>881105.68</v>
      </c>
      <c r="D187" s="498">
        <f>VLOOKUP(A187,Maksājumu_pieprasījumu_iesn.!G:BL,40,0)</f>
        <v>881105.68</v>
      </c>
      <c r="E187" s="498">
        <f t="shared" si="2"/>
        <v>0</v>
      </c>
    </row>
    <row r="188" spans="1:5" x14ac:dyDescent="0.25">
      <c r="A188" s="435" t="s">
        <v>156</v>
      </c>
      <c r="B188" s="498">
        <v>426006.22</v>
      </c>
      <c r="D188" s="498">
        <f>VLOOKUP(A188,Maksājumu_pieprasījumu_iesn.!G:BL,40,0)</f>
        <v>426006.22</v>
      </c>
      <c r="E188" s="498">
        <f t="shared" si="2"/>
        <v>0</v>
      </c>
    </row>
    <row r="189" spans="1:5" x14ac:dyDescent="0.25">
      <c r="A189" s="435" t="s">
        <v>158</v>
      </c>
      <c r="B189" s="498">
        <v>4701.59</v>
      </c>
      <c r="D189" s="498">
        <f>VLOOKUP(A189,Maksājumu_pieprasījumu_iesn.!G:BL,40,0)</f>
        <v>4701.59</v>
      </c>
      <c r="E189" s="498">
        <f t="shared" si="2"/>
        <v>0</v>
      </c>
    </row>
    <row r="190" spans="1:5" x14ac:dyDescent="0.25">
      <c r="A190" s="435" t="s">
        <v>160</v>
      </c>
      <c r="B190" s="498">
        <v>210085.6</v>
      </c>
      <c r="D190" s="498">
        <f>VLOOKUP(A190,Maksājumu_pieprasījumu_iesn.!G:BL,40,0)</f>
        <v>210085.6</v>
      </c>
      <c r="E190" s="498">
        <f t="shared" si="2"/>
        <v>0</v>
      </c>
    </row>
    <row r="191" spans="1:5" x14ac:dyDescent="0.25">
      <c r="A191" s="435" t="s">
        <v>162</v>
      </c>
      <c r="B191" s="498">
        <v>985867.58</v>
      </c>
      <c r="D191" s="498">
        <f>VLOOKUP(A191,Maksājumu_pieprasījumu_iesn.!G:BL,40,0)</f>
        <v>985867.58</v>
      </c>
      <c r="E191" s="498">
        <f t="shared" si="2"/>
        <v>0</v>
      </c>
    </row>
    <row r="192" spans="1:5" x14ac:dyDescent="0.25">
      <c r="A192" s="435" t="s">
        <v>164</v>
      </c>
      <c r="B192" s="498">
        <v>7352227.4700000007</v>
      </c>
      <c r="D192" s="498">
        <f>VLOOKUP(A192,Maksājumu_pieprasījumu_iesn.!G:BL,40,0)</f>
        <v>7352227.4700000007</v>
      </c>
      <c r="E192" s="498">
        <f t="shared" si="2"/>
        <v>0</v>
      </c>
    </row>
    <row r="193" spans="1:5" x14ac:dyDescent="0.25">
      <c r="A193" s="435" t="s">
        <v>166</v>
      </c>
      <c r="B193" s="498">
        <v>4132084.85</v>
      </c>
      <c r="D193" s="498">
        <f>VLOOKUP(A193,Maksājumu_pieprasījumu_iesn.!G:BL,40,0)</f>
        <v>4132084.85</v>
      </c>
      <c r="E193" s="498">
        <f t="shared" si="2"/>
        <v>0</v>
      </c>
    </row>
    <row r="194" spans="1:5" x14ac:dyDescent="0.25">
      <c r="A194" s="435" t="s">
        <v>168</v>
      </c>
      <c r="B194" s="498">
        <v>2185652.7599999998</v>
      </c>
      <c r="D194" s="498">
        <f>VLOOKUP(A194,Maksājumu_pieprasījumu_iesn.!G:BL,40,0)</f>
        <v>2185652.7599999998</v>
      </c>
      <c r="E194" s="498">
        <f t="shared" ref="E194:E257" si="3">D194-B194</f>
        <v>0</v>
      </c>
    </row>
    <row r="195" spans="1:5" x14ac:dyDescent="0.25">
      <c r="A195" s="435" t="s">
        <v>717</v>
      </c>
      <c r="B195" s="498">
        <v>3093757.88</v>
      </c>
      <c r="D195" s="498">
        <f>VLOOKUP(A195,Maksājumu_pieprasījumu_iesn.!G:BL,40,0)</f>
        <v>3093757.88</v>
      </c>
      <c r="E195" s="498">
        <f t="shared" si="3"/>
        <v>0</v>
      </c>
    </row>
    <row r="196" spans="1:5" x14ac:dyDescent="0.25">
      <c r="A196" s="435" t="s">
        <v>170</v>
      </c>
      <c r="B196" s="498">
        <v>8192676.2400000002</v>
      </c>
      <c r="D196" s="498">
        <f>VLOOKUP(A196,Maksājumu_pieprasījumu_iesn.!G:BL,40,0)</f>
        <v>8192676.2400000002</v>
      </c>
      <c r="E196" s="498">
        <f t="shared" si="3"/>
        <v>0</v>
      </c>
    </row>
    <row r="197" spans="1:5" x14ac:dyDescent="0.25">
      <c r="A197" s="435" t="s">
        <v>783</v>
      </c>
      <c r="B197" s="498">
        <v>4253871.2</v>
      </c>
      <c r="D197" s="498">
        <f>VLOOKUP(A197,Maksājumu_pieprasījumu_iesn.!G:BL,40,0)</f>
        <v>4253871.2</v>
      </c>
      <c r="E197" s="498">
        <f t="shared" si="3"/>
        <v>0</v>
      </c>
    </row>
    <row r="198" spans="1:5" x14ac:dyDescent="0.25">
      <c r="A198" s="435" t="s">
        <v>2002</v>
      </c>
      <c r="B198" s="498">
        <v>104778.26</v>
      </c>
      <c r="D198" s="498">
        <f>VLOOKUP(A198,Maksājumu_pieprasījumu_iesn.!G:BL,40,0)</f>
        <v>104778.26</v>
      </c>
      <c r="E198" s="498">
        <f t="shared" si="3"/>
        <v>0</v>
      </c>
    </row>
    <row r="199" spans="1:5" x14ac:dyDescent="0.25">
      <c r="A199" s="435" t="s">
        <v>2684</v>
      </c>
      <c r="B199" s="498">
        <v>3581.83</v>
      </c>
      <c r="D199" s="498">
        <f>VLOOKUP(A199,Maksājumu_pieprasījumu_iesn.!G:BL,40,0)</f>
        <v>3581.83</v>
      </c>
      <c r="E199" s="498">
        <f t="shared" si="3"/>
        <v>0</v>
      </c>
    </row>
    <row r="200" spans="1:5" x14ac:dyDescent="0.25">
      <c r="A200" s="435" t="s">
        <v>174</v>
      </c>
      <c r="B200" s="498">
        <v>83359.839999999997</v>
      </c>
      <c r="D200" s="498">
        <f>VLOOKUP(A200,Maksājumu_pieprasījumu_iesn.!G:BL,40,0)</f>
        <v>83359.839999999997</v>
      </c>
      <c r="E200" s="498">
        <f t="shared" si="3"/>
        <v>0</v>
      </c>
    </row>
    <row r="201" spans="1:5" x14ac:dyDescent="0.25">
      <c r="A201" s="435" t="s">
        <v>180</v>
      </c>
      <c r="B201" s="498">
        <v>373852.07</v>
      </c>
      <c r="D201" s="498">
        <f>VLOOKUP(A201,Maksājumu_pieprasījumu_iesn.!G:BL,40,0)</f>
        <v>373852.07</v>
      </c>
      <c r="E201" s="498">
        <f t="shared" si="3"/>
        <v>0</v>
      </c>
    </row>
    <row r="202" spans="1:5" x14ac:dyDescent="0.25">
      <c r="A202" s="435" t="s">
        <v>182</v>
      </c>
      <c r="B202" s="498">
        <v>1962599.4</v>
      </c>
      <c r="D202" s="498">
        <f>VLOOKUP(A202,Maksājumu_pieprasījumu_iesn.!G:BL,40,0)</f>
        <v>1962599.4</v>
      </c>
      <c r="E202" s="498">
        <f t="shared" si="3"/>
        <v>0</v>
      </c>
    </row>
    <row r="203" spans="1:5" x14ac:dyDescent="0.25">
      <c r="A203" s="435" t="s">
        <v>184</v>
      </c>
      <c r="B203" s="498">
        <v>205473.03</v>
      </c>
      <c r="D203" s="498">
        <f>VLOOKUP(A203,Maksājumu_pieprasījumu_iesn.!G:BL,40,0)</f>
        <v>205473.03</v>
      </c>
      <c r="E203" s="498">
        <f t="shared" si="3"/>
        <v>0</v>
      </c>
    </row>
    <row r="204" spans="1:5" x14ac:dyDescent="0.25">
      <c r="A204" s="435" t="s">
        <v>186</v>
      </c>
      <c r="B204" s="498">
        <v>4754589.09</v>
      </c>
      <c r="D204" s="498">
        <f>VLOOKUP(A204,Maksājumu_pieprasījumu_iesn.!G:BL,40,0)</f>
        <v>4754589.09</v>
      </c>
      <c r="E204" s="498">
        <f t="shared" si="3"/>
        <v>0</v>
      </c>
    </row>
    <row r="205" spans="1:5" x14ac:dyDescent="0.25">
      <c r="A205" s="435" t="s">
        <v>188</v>
      </c>
      <c r="B205" s="498">
        <v>314032.11</v>
      </c>
      <c r="D205" s="498">
        <f>VLOOKUP(A205,Maksājumu_pieprasījumu_iesn.!G:BL,40,0)</f>
        <v>314032.11</v>
      </c>
      <c r="E205" s="498">
        <f t="shared" si="3"/>
        <v>0</v>
      </c>
    </row>
    <row r="206" spans="1:5" x14ac:dyDescent="0.25">
      <c r="A206" s="435" t="s">
        <v>190</v>
      </c>
      <c r="B206" s="498">
        <v>4347016.8</v>
      </c>
      <c r="D206" s="498">
        <f>VLOOKUP(A206,Maksājumu_pieprasījumu_iesn.!G:BL,40,0)</f>
        <v>4347016.8</v>
      </c>
      <c r="E206" s="498">
        <f t="shared" si="3"/>
        <v>0</v>
      </c>
    </row>
    <row r="207" spans="1:5" x14ac:dyDescent="0.25">
      <c r="A207" s="435" t="s">
        <v>192</v>
      </c>
      <c r="B207" s="498">
        <v>2013073.65</v>
      </c>
      <c r="D207" s="498">
        <f>VLOOKUP(A207,Maksājumu_pieprasījumu_iesn.!G:BL,40,0)</f>
        <v>2013073.65</v>
      </c>
      <c r="E207" s="498">
        <f t="shared" si="3"/>
        <v>0</v>
      </c>
    </row>
    <row r="208" spans="1:5" x14ac:dyDescent="0.25">
      <c r="A208" s="435" t="s">
        <v>194</v>
      </c>
      <c r="B208" s="498">
        <v>3758931.6899999995</v>
      </c>
      <c r="D208" s="498">
        <f>VLOOKUP(A208,Maksājumu_pieprasījumu_iesn.!G:BL,40,0)</f>
        <v>3758931.69</v>
      </c>
      <c r="E208" s="498">
        <f t="shared" si="3"/>
        <v>0</v>
      </c>
    </row>
    <row r="209" spans="1:5" x14ac:dyDescent="0.25">
      <c r="A209" s="435" t="s">
        <v>196</v>
      </c>
      <c r="B209" s="498">
        <v>2012767.22</v>
      </c>
      <c r="D209" s="498">
        <f>VLOOKUP(A209,Maksājumu_pieprasījumu_iesn.!G:BL,40,0)</f>
        <v>2012767.2200000002</v>
      </c>
      <c r="E209" s="498">
        <f t="shared" si="3"/>
        <v>0</v>
      </c>
    </row>
    <row r="210" spans="1:5" x14ac:dyDescent="0.25">
      <c r="A210" s="435" t="s">
        <v>198</v>
      </c>
      <c r="B210" s="498">
        <v>2037059.77</v>
      </c>
      <c r="D210" s="498">
        <f>VLOOKUP(A210,Maksājumu_pieprasījumu_iesn.!G:BL,40,0)</f>
        <v>2037059.77</v>
      </c>
      <c r="E210" s="498">
        <f t="shared" si="3"/>
        <v>0</v>
      </c>
    </row>
    <row r="211" spans="1:5" x14ac:dyDescent="0.25">
      <c r="A211" s="435" t="s">
        <v>200</v>
      </c>
      <c r="B211" s="498">
        <v>3493215.4</v>
      </c>
      <c r="D211" s="498">
        <f>VLOOKUP(A211,Maksājumu_pieprasījumu_iesn.!G:BL,40,0)</f>
        <v>3493215.4</v>
      </c>
      <c r="E211" s="498">
        <f t="shared" si="3"/>
        <v>0</v>
      </c>
    </row>
    <row r="212" spans="1:5" x14ac:dyDescent="0.25">
      <c r="A212" s="435" t="s">
        <v>202</v>
      </c>
      <c r="B212" s="498">
        <v>114.75</v>
      </c>
      <c r="D212" s="498">
        <f>VLOOKUP(A212,Maksājumu_pieprasījumu_iesn.!G:BL,40,0)</f>
        <v>114.75</v>
      </c>
      <c r="E212" s="498">
        <f t="shared" si="3"/>
        <v>0</v>
      </c>
    </row>
    <row r="213" spans="1:5" x14ac:dyDescent="0.25">
      <c r="A213" s="435" t="s">
        <v>204</v>
      </c>
      <c r="B213" s="498">
        <v>2951251.32</v>
      </c>
      <c r="D213" s="498">
        <f>VLOOKUP(A213,Maksājumu_pieprasījumu_iesn.!G:BL,40,0)</f>
        <v>2951251.32</v>
      </c>
      <c r="E213" s="498">
        <f t="shared" si="3"/>
        <v>0</v>
      </c>
    </row>
    <row r="214" spans="1:5" x14ac:dyDescent="0.25">
      <c r="A214" s="435" t="s">
        <v>863</v>
      </c>
      <c r="B214" s="498">
        <v>1682023.38</v>
      </c>
      <c r="D214" s="498">
        <f>VLOOKUP(A214,Maksājumu_pieprasījumu_iesn.!G:BL,40,0)</f>
        <v>1682023.38</v>
      </c>
      <c r="E214" s="498">
        <f t="shared" si="3"/>
        <v>0</v>
      </c>
    </row>
    <row r="215" spans="1:5" x14ac:dyDescent="0.25">
      <c r="A215" s="435" t="s">
        <v>865</v>
      </c>
      <c r="B215" s="498">
        <v>3121850.85</v>
      </c>
      <c r="D215" s="498">
        <f>VLOOKUP(A215,Maksājumu_pieprasījumu_iesn.!G:BL,40,0)</f>
        <v>3121850.85</v>
      </c>
      <c r="E215" s="498">
        <f t="shared" si="3"/>
        <v>0</v>
      </c>
    </row>
    <row r="216" spans="1:5" x14ac:dyDescent="0.25">
      <c r="A216" s="435" t="s">
        <v>206</v>
      </c>
      <c r="B216" s="498">
        <v>4668077.04</v>
      </c>
      <c r="D216" s="498">
        <f>VLOOKUP(A216,Maksājumu_pieprasījumu_iesn.!G:BL,40,0)</f>
        <v>4668077.0399999991</v>
      </c>
      <c r="E216" s="498">
        <f t="shared" si="3"/>
        <v>0</v>
      </c>
    </row>
    <row r="217" spans="1:5" x14ac:dyDescent="0.25">
      <c r="A217" s="435" t="s">
        <v>945</v>
      </c>
      <c r="B217" s="498">
        <v>1345058.6600000001</v>
      </c>
      <c r="D217" s="498">
        <f>VLOOKUP(A217,Maksājumu_pieprasījumu_iesn.!G:BL,40,0)</f>
        <v>1345058.6600000001</v>
      </c>
      <c r="E217" s="498">
        <f t="shared" si="3"/>
        <v>0</v>
      </c>
    </row>
    <row r="218" spans="1:5" x14ac:dyDescent="0.25">
      <c r="A218" s="435" t="s">
        <v>2066</v>
      </c>
      <c r="B218" s="498">
        <v>1713766.95</v>
      </c>
      <c r="D218" s="498">
        <f>VLOOKUP(A218,Maksājumu_pieprasījumu_iesn.!G:BL,40,0)</f>
        <v>1713766.95</v>
      </c>
      <c r="E218" s="498">
        <f t="shared" si="3"/>
        <v>0</v>
      </c>
    </row>
    <row r="219" spans="1:5" x14ac:dyDescent="0.25">
      <c r="A219" s="435" t="s">
        <v>2686</v>
      </c>
      <c r="B219" s="498">
        <v>1820536.43</v>
      </c>
      <c r="D219" s="498">
        <f>VLOOKUP(A219,Maksājumu_pieprasījumu_iesn.!G:BL,40,0)</f>
        <v>1820536.43</v>
      </c>
      <c r="E219" s="498">
        <f t="shared" si="3"/>
        <v>0</v>
      </c>
    </row>
    <row r="220" spans="1:5" x14ac:dyDescent="0.25">
      <c r="A220" s="435" t="s">
        <v>211</v>
      </c>
      <c r="B220" s="498">
        <v>11303623.309999999</v>
      </c>
      <c r="D220" s="498">
        <f>VLOOKUP(A220,Maksājumu_pieprasījumu_iesn.!G:BL,40,0)</f>
        <v>11303623.310000001</v>
      </c>
      <c r="E220" s="498">
        <f t="shared" si="3"/>
        <v>0</v>
      </c>
    </row>
    <row r="221" spans="1:5" x14ac:dyDescent="0.25">
      <c r="A221" s="435" t="s">
        <v>216</v>
      </c>
      <c r="B221" s="498">
        <v>63329.1</v>
      </c>
      <c r="D221" s="498">
        <f>VLOOKUP(A221,Maksājumu_pieprasījumu_iesn.!G:BL,40,0)</f>
        <v>63329.1</v>
      </c>
      <c r="E221" s="498">
        <f t="shared" si="3"/>
        <v>0</v>
      </c>
    </row>
    <row r="222" spans="1:5" x14ac:dyDescent="0.25">
      <c r="A222" s="435" t="s">
        <v>219</v>
      </c>
      <c r="B222" s="498">
        <v>187125.41999999998</v>
      </c>
      <c r="D222" s="498">
        <f>VLOOKUP(A222,Maksājumu_pieprasījumu_iesn.!G:BL,40,0)</f>
        <v>187125.41999999998</v>
      </c>
      <c r="E222" s="498">
        <f t="shared" si="3"/>
        <v>0</v>
      </c>
    </row>
    <row r="223" spans="1:5" x14ac:dyDescent="0.25">
      <c r="A223" s="435" t="s">
        <v>635</v>
      </c>
      <c r="B223" s="498">
        <v>8578178.5199999996</v>
      </c>
      <c r="D223" s="498">
        <f>VLOOKUP(A223,Maksājumu_pieprasījumu_iesn.!G:BL,40,0)</f>
        <v>8578178.5199999996</v>
      </c>
      <c r="E223" s="498">
        <f t="shared" si="3"/>
        <v>0</v>
      </c>
    </row>
    <row r="224" spans="1:5" x14ac:dyDescent="0.25">
      <c r="A224" s="435" t="s">
        <v>222</v>
      </c>
      <c r="B224" s="498">
        <v>5563475.8399999999</v>
      </c>
      <c r="D224" s="498">
        <f>VLOOKUP(A224,Maksājumu_pieprasījumu_iesn.!G:BL,40,0)</f>
        <v>5563475.8399999999</v>
      </c>
      <c r="E224" s="498">
        <f t="shared" si="3"/>
        <v>0</v>
      </c>
    </row>
    <row r="225" spans="1:5" x14ac:dyDescent="0.25">
      <c r="A225" s="435" t="s">
        <v>226</v>
      </c>
      <c r="B225" s="498">
        <v>232490.02000000002</v>
      </c>
      <c r="D225" s="498">
        <f>VLOOKUP(A225,Maksājumu_pieprasījumu_iesn.!G:BL,40,0)</f>
        <v>232490.02000000002</v>
      </c>
      <c r="E225" s="498">
        <f t="shared" si="3"/>
        <v>0</v>
      </c>
    </row>
    <row r="226" spans="1:5" x14ac:dyDescent="0.25">
      <c r="A226" s="435" t="s">
        <v>231</v>
      </c>
      <c r="B226" s="498">
        <v>59686.879999999997</v>
      </c>
      <c r="D226" s="498">
        <f>VLOOKUP(A226,Maksājumu_pieprasījumu_iesn.!G:BL,40,0)</f>
        <v>59686.880000000005</v>
      </c>
      <c r="E226" s="498">
        <f t="shared" si="3"/>
        <v>0</v>
      </c>
    </row>
    <row r="227" spans="1:5" x14ac:dyDescent="0.25">
      <c r="A227" s="435" t="s">
        <v>2813</v>
      </c>
      <c r="B227" s="498">
        <v>559433.4</v>
      </c>
      <c r="D227" s="498">
        <f>VLOOKUP(A227,Maksājumu_pieprasījumu_iesn.!G:BL,40,0)</f>
        <v>559433.4</v>
      </c>
      <c r="E227" s="498">
        <f t="shared" si="3"/>
        <v>0</v>
      </c>
    </row>
    <row r="228" spans="1:5" x14ac:dyDescent="0.25">
      <c r="A228" s="435" t="s">
        <v>2849</v>
      </c>
      <c r="B228" s="498">
        <v>102778.24000000001</v>
      </c>
      <c r="D228" s="498">
        <f>VLOOKUP(A228,Maksājumu_pieprasījumu_iesn.!G:BL,40,0)</f>
        <v>102778.24000000001</v>
      </c>
      <c r="E228" s="498">
        <f t="shared" si="3"/>
        <v>0</v>
      </c>
    </row>
    <row r="229" spans="1:5" x14ac:dyDescent="0.25">
      <c r="A229" s="435" t="s">
        <v>2850</v>
      </c>
      <c r="B229" s="498">
        <v>61524.85</v>
      </c>
      <c r="D229" s="498">
        <f>VLOOKUP(A229,Maksājumu_pieprasījumu_iesn.!G:BL,40,0)</f>
        <v>61524.85</v>
      </c>
      <c r="E229" s="498">
        <f t="shared" si="3"/>
        <v>0</v>
      </c>
    </row>
    <row r="230" spans="1:5" x14ac:dyDescent="0.25">
      <c r="A230" s="435" t="s">
        <v>2202</v>
      </c>
      <c r="B230" s="498">
        <v>2313007</v>
      </c>
      <c r="D230" s="498">
        <f>VLOOKUP(A230,Maksājumu_pieprasījumu_iesn.!G:BL,40,0)</f>
        <v>2313007</v>
      </c>
      <c r="E230" s="498">
        <f t="shared" si="3"/>
        <v>0</v>
      </c>
    </row>
    <row r="231" spans="1:5" x14ac:dyDescent="0.25">
      <c r="A231" s="435" t="s">
        <v>2681</v>
      </c>
      <c r="B231" s="498">
        <v>1050817.05</v>
      </c>
      <c r="D231" s="498">
        <f>VLOOKUP(A231,Maksājumu_pieprasījumu_iesn.!G:BL,40,0)</f>
        <v>1050817.05</v>
      </c>
      <c r="E231" s="498">
        <f t="shared" si="3"/>
        <v>0</v>
      </c>
    </row>
    <row r="232" spans="1:5" x14ac:dyDescent="0.25">
      <c r="A232" s="435" t="s">
        <v>2851</v>
      </c>
      <c r="B232" s="498">
        <v>2207735.91</v>
      </c>
      <c r="D232" s="498">
        <f>VLOOKUP(A232,Maksājumu_pieprasījumu_iesn.!G:BL,40,0)</f>
        <v>2207735.91</v>
      </c>
      <c r="E232" s="498">
        <f t="shared" si="3"/>
        <v>0</v>
      </c>
    </row>
    <row r="233" spans="1:5" x14ac:dyDescent="0.25">
      <c r="A233" s="435" t="s">
        <v>270</v>
      </c>
      <c r="B233" s="498">
        <v>38154.339999999997</v>
      </c>
      <c r="D233" s="498">
        <f>VLOOKUP(A233,Maksājumu_pieprasījumu_iesn.!G:BL,40,0)</f>
        <v>38154.339999999997</v>
      </c>
      <c r="E233" s="498">
        <f t="shared" si="3"/>
        <v>0</v>
      </c>
    </row>
    <row r="234" spans="1:5" x14ac:dyDescent="0.25">
      <c r="A234" s="435" t="s">
        <v>250</v>
      </c>
      <c r="B234" s="498">
        <v>13497.189999999999</v>
      </c>
      <c r="D234" s="498">
        <f>VLOOKUP(A234,Maksājumu_pieprasījumu_iesn.!G:BL,40,0)</f>
        <v>13497.189999999999</v>
      </c>
      <c r="E234" s="498">
        <f t="shared" si="3"/>
        <v>0</v>
      </c>
    </row>
    <row r="235" spans="1:5" x14ac:dyDescent="0.25">
      <c r="A235" s="435" t="s">
        <v>253</v>
      </c>
      <c r="B235" s="498">
        <v>20875.28</v>
      </c>
      <c r="D235" s="498">
        <f>VLOOKUP(A235,Maksājumu_pieprasījumu_iesn.!G:BL,40,0)</f>
        <v>20875.28</v>
      </c>
      <c r="E235" s="498">
        <f t="shared" si="3"/>
        <v>0</v>
      </c>
    </row>
    <row r="236" spans="1:5" x14ac:dyDescent="0.25">
      <c r="A236" s="435" t="s">
        <v>264</v>
      </c>
      <c r="B236" s="498">
        <v>119837.91</v>
      </c>
      <c r="D236" s="498">
        <f>VLOOKUP(A236,Maksājumu_pieprasījumu_iesn.!G:BL,40,0)</f>
        <v>119837.91000000002</v>
      </c>
      <c r="E236" s="498">
        <f t="shared" si="3"/>
        <v>0</v>
      </c>
    </row>
    <row r="237" spans="1:5" x14ac:dyDescent="0.25">
      <c r="A237" s="435" t="s">
        <v>241</v>
      </c>
      <c r="B237" s="498">
        <v>425523.43000000005</v>
      </c>
      <c r="D237" s="498">
        <f>VLOOKUP(A237,Maksājumu_pieprasījumu_iesn.!G:BL,40,0)</f>
        <v>425523.43000000005</v>
      </c>
      <c r="E237" s="498">
        <f t="shared" si="3"/>
        <v>0</v>
      </c>
    </row>
    <row r="238" spans="1:5" x14ac:dyDescent="0.25">
      <c r="A238" s="435" t="s">
        <v>247</v>
      </c>
      <c r="B238" s="498">
        <v>19085.11</v>
      </c>
      <c r="D238" s="498">
        <f>VLOOKUP(A238,Maksājumu_pieprasījumu_iesn.!G:BL,40,0)</f>
        <v>19085.11</v>
      </c>
      <c r="E238" s="498">
        <f t="shared" si="3"/>
        <v>0</v>
      </c>
    </row>
    <row r="239" spans="1:5" x14ac:dyDescent="0.25">
      <c r="A239" s="435" t="s">
        <v>244</v>
      </c>
      <c r="B239" s="498">
        <v>55483.41</v>
      </c>
      <c r="D239" s="498">
        <f>VLOOKUP(A239,Maksājumu_pieprasījumu_iesn.!G:BL,40,0)</f>
        <v>55483.409999999996</v>
      </c>
      <c r="E239" s="498">
        <f t="shared" si="3"/>
        <v>0</v>
      </c>
    </row>
    <row r="240" spans="1:5" x14ac:dyDescent="0.25">
      <c r="A240" s="435" t="s">
        <v>255</v>
      </c>
      <c r="B240" s="498">
        <v>42393.22</v>
      </c>
      <c r="D240" s="498">
        <f>VLOOKUP(A240,Maksājumu_pieprasījumu_iesn.!G:BL,40,0)</f>
        <v>42393.22</v>
      </c>
      <c r="E240" s="498">
        <f t="shared" si="3"/>
        <v>0</v>
      </c>
    </row>
    <row r="241" spans="1:5" x14ac:dyDescent="0.25">
      <c r="A241" s="435" t="s">
        <v>258</v>
      </c>
      <c r="B241" s="498">
        <v>53954.92</v>
      </c>
      <c r="D241" s="498">
        <f>VLOOKUP(A241,Maksājumu_pieprasījumu_iesn.!G:BL,40,0)</f>
        <v>53954.92</v>
      </c>
      <c r="E241" s="498">
        <f t="shared" si="3"/>
        <v>0</v>
      </c>
    </row>
    <row r="242" spans="1:5" x14ac:dyDescent="0.25">
      <c r="A242" s="435" t="s">
        <v>2222</v>
      </c>
      <c r="B242" s="498">
        <v>2027.82</v>
      </c>
      <c r="D242" s="498">
        <f>VLOOKUP(A242,Maksājumu_pieprasījumu_iesn.!G:BL,40,0)</f>
        <v>2027.82</v>
      </c>
      <c r="E242" s="498">
        <f t="shared" si="3"/>
        <v>0</v>
      </c>
    </row>
    <row r="243" spans="1:5" x14ac:dyDescent="0.25">
      <c r="A243" s="435" t="s">
        <v>267</v>
      </c>
      <c r="B243" s="498">
        <v>55122.899999999994</v>
      </c>
      <c r="D243" s="498">
        <f>VLOOKUP(A243,Maksājumu_pieprasījumu_iesn.!G:BL,40,0)</f>
        <v>55122.899999999994</v>
      </c>
      <c r="E243" s="498">
        <f t="shared" si="3"/>
        <v>0</v>
      </c>
    </row>
    <row r="244" spans="1:5" x14ac:dyDescent="0.25">
      <c r="A244" s="435" t="s">
        <v>784</v>
      </c>
      <c r="B244" s="498">
        <v>28996.269999999997</v>
      </c>
      <c r="D244" s="498">
        <f>VLOOKUP(A244,Maksājumu_pieprasījumu_iesn.!G:BL,40,0)</f>
        <v>28996.269999999997</v>
      </c>
      <c r="E244" s="498">
        <f t="shared" si="3"/>
        <v>0</v>
      </c>
    </row>
    <row r="245" spans="1:5" x14ac:dyDescent="0.25">
      <c r="A245" s="435" t="s">
        <v>238</v>
      </c>
      <c r="B245" s="498">
        <v>23871.980000000003</v>
      </c>
      <c r="D245" s="498">
        <f>VLOOKUP(A245,Maksājumu_pieprasījumu_iesn.!G:BL,40,0)</f>
        <v>23871.98</v>
      </c>
      <c r="E245" s="498">
        <f t="shared" si="3"/>
        <v>0</v>
      </c>
    </row>
    <row r="246" spans="1:5" x14ac:dyDescent="0.25">
      <c r="A246" s="435" t="s">
        <v>273</v>
      </c>
      <c r="B246" s="498">
        <v>2513658.39</v>
      </c>
      <c r="D246" s="498">
        <f>VLOOKUP(A246,Maksājumu_pieprasījumu_iesn.!G:BL,40,0)</f>
        <v>2513658.3899999997</v>
      </c>
      <c r="E246" s="498">
        <f t="shared" si="3"/>
        <v>0</v>
      </c>
    </row>
    <row r="247" spans="1:5" x14ac:dyDescent="0.25">
      <c r="A247" s="435" t="s">
        <v>235</v>
      </c>
      <c r="B247" s="498">
        <v>88962.54</v>
      </c>
      <c r="D247" s="498">
        <f>VLOOKUP(A247,Maksājumu_pieprasījumu_iesn.!G:BL,40,0)</f>
        <v>88962.54</v>
      </c>
      <c r="E247" s="498">
        <f t="shared" si="3"/>
        <v>0</v>
      </c>
    </row>
    <row r="248" spans="1:5" x14ac:dyDescent="0.25">
      <c r="A248" s="435" t="s">
        <v>261</v>
      </c>
      <c r="B248" s="498">
        <v>20706.849999999999</v>
      </c>
      <c r="D248" s="498">
        <f>VLOOKUP(A248,Maksājumu_pieprasījumu_iesn.!G:BL,40,0)</f>
        <v>20706.870000000003</v>
      </c>
      <c r="E248" s="498">
        <f t="shared" si="3"/>
        <v>2.0000000004074536E-2</v>
      </c>
    </row>
    <row r="249" spans="1:5" x14ac:dyDescent="0.25">
      <c r="A249" s="435" t="s">
        <v>785</v>
      </c>
      <c r="B249" s="498">
        <v>12402.86</v>
      </c>
      <c r="D249" s="498">
        <f>VLOOKUP(A249,Maksājumu_pieprasījumu_iesn.!G:BL,40,0)</f>
        <v>12402.86</v>
      </c>
      <c r="E249" s="498">
        <f t="shared" si="3"/>
        <v>0</v>
      </c>
    </row>
    <row r="250" spans="1:5" x14ac:dyDescent="0.25">
      <c r="A250" s="435" t="s">
        <v>2687</v>
      </c>
      <c r="B250" s="498">
        <v>40301.67</v>
      </c>
      <c r="D250" s="498">
        <f>VLOOKUP(A250,Maksājumu_pieprasījumu_iesn.!G:BL,40,0)</f>
        <v>40301.67</v>
      </c>
      <c r="E250" s="498">
        <f t="shared" si="3"/>
        <v>0</v>
      </c>
    </row>
    <row r="251" spans="1:5" x14ac:dyDescent="0.25">
      <c r="A251" s="435" t="s">
        <v>2852</v>
      </c>
      <c r="B251" s="498">
        <v>73545.03</v>
      </c>
      <c r="D251" s="498">
        <f>VLOOKUP(A251,Maksājumu_pieprasījumu_iesn.!G:BL,40,0)</f>
        <v>73545.03</v>
      </c>
      <c r="E251" s="498">
        <f t="shared" si="3"/>
        <v>0</v>
      </c>
    </row>
    <row r="252" spans="1:5" x14ac:dyDescent="0.25">
      <c r="A252" s="435" t="s">
        <v>2237</v>
      </c>
      <c r="B252" s="498">
        <v>6503.04</v>
      </c>
      <c r="D252" s="498">
        <f>VLOOKUP(A252,Maksājumu_pieprasījumu_iesn.!G:BL,40,0)</f>
        <v>6503.04</v>
      </c>
      <c r="E252" s="498">
        <f t="shared" si="3"/>
        <v>0</v>
      </c>
    </row>
    <row r="253" spans="1:5" x14ac:dyDescent="0.25">
      <c r="A253" s="435" t="s">
        <v>2241</v>
      </c>
      <c r="B253" s="498">
        <v>11455.6</v>
      </c>
      <c r="D253" s="498">
        <f>VLOOKUP(A253,Maksājumu_pieprasījumu_iesn.!G:BL,40,0)</f>
        <v>11455.6</v>
      </c>
      <c r="E253" s="498">
        <f t="shared" si="3"/>
        <v>0</v>
      </c>
    </row>
    <row r="254" spans="1:5" x14ac:dyDescent="0.25">
      <c r="A254" s="435" t="s">
        <v>2248</v>
      </c>
      <c r="B254" s="498">
        <v>2040</v>
      </c>
      <c r="D254" s="498">
        <f>VLOOKUP(A254,Maksājumu_pieprasījumu_iesn.!G:BL,40,0)</f>
        <v>2040</v>
      </c>
      <c r="E254" s="498">
        <f t="shared" si="3"/>
        <v>0</v>
      </c>
    </row>
    <row r="255" spans="1:5" x14ac:dyDescent="0.25">
      <c r="A255" s="435" t="s">
        <v>2258</v>
      </c>
      <c r="B255" s="498">
        <v>208795.25</v>
      </c>
      <c r="D255" s="498">
        <f>VLOOKUP(A255,Maksājumu_pieprasījumu_iesn.!G:BL,40,0)</f>
        <v>208795.25</v>
      </c>
      <c r="E255" s="498">
        <f t="shared" si="3"/>
        <v>0</v>
      </c>
    </row>
    <row r="256" spans="1:5" x14ac:dyDescent="0.25">
      <c r="A256" s="435" t="s">
        <v>278</v>
      </c>
      <c r="B256" s="498">
        <v>398772.18999999994</v>
      </c>
      <c r="D256" s="498">
        <f>VLOOKUP(A256,Maksājumu_pieprasījumu_iesn.!G:BL,40,0)</f>
        <v>398772.19</v>
      </c>
      <c r="E256" s="498">
        <f t="shared" si="3"/>
        <v>0</v>
      </c>
    </row>
    <row r="257" spans="1:5" x14ac:dyDescent="0.25">
      <c r="A257" s="435" t="s">
        <v>284</v>
      </c>
      <c r="B257" s="498">
        <v>1551327.5</v>
      </c>
      <c r="D257" s="498">
        <f>VLOOKUP(A257,Maksājumu_pieprasījumu_iesn.!G:BL,40,0)</f>
        <v>1551327.5</v>
      </c>
      <c r="E257" s="498">
        <f t="shared" si="3"/>
        <v>0</v>
      </c>
    </row>
    <row r="258" spans="1:5" x14ac:dyDescent="0.25">
      <c r="A258" s="435" t="s">
        <v>289</v>
      </c>
      <c r="B258" s="498">
        <v>368079.57999999996</v>
      </c>
      <c r="D258" s="498">
        <f>VLOOKUP(A258,Maksājumu_pieprasījumu_iesn.!G:BL,40,0)</f>
        <v>368079.57999999996</v>
      </c>
      <c r="E258" s="498">
        <f t="shared" ref="E258:E321" si="4">D258-B258</f>
        <v>0</v>
      </c>
    </row>
    <row r="259" spans="1:5" x14ac:dyDescent="0.25">
      <c r="A259" s="435" t="s">
        <v>293</v>
      </c>
      <c r="B259" s="498">
        <v>146309.07999999999</v>
      </c>
      <c r="D259" s="498">
        <f>VLOOKUP(A259,Maksājumu_pieprasījumu_iesn.!G:BL,40,0)</f>
        <v>146309.08000000002</v>
      </c>
      <c r="E259" s="498">
        <f t="shared" si="4"/>
        <v>0</v>
      </c>
    </row>
    <row r="260" spans="1:5" x14ac:dyDescent="0.25">
      <c r="A260" s="435" t="s">
        <v>296</v>
      </c>
      <c r="B260" s="498">
        <v>393766.53</v>
      </c>
      <c r="D260" s="498">
        <f>VLOOKUP(A260,Maksājumu_pieprasījumu_iesn.!G:BL,40,0)</f>
        <v>393766.53</v>
      </c>
      <c r="E260" s="498">
        <f t="shared" si="4"/>
        <v>0</v>
      </c>
    </row>
    <row r="261" spans="1:5" x14ac:dyDescent="0.25">
      <c r="A261" s="435" t="s">
        <v>301</v>
      </c>
      <c r="B261" s="498">
        <v>30971.11</v>
      </c>
      <c r="D261" s="498">
        <f>VLOOKUP(A261,Maksājumu_pieprasījumu_iesn.!G:BL,40,0)</f>
        <v>30971.11</v>
      </c>
      <c r="E261" s="498">
        <f t="shared" si="4"/>
        <v>0</v>
      </c>
    </row>
    <row r="262" spans="1:5" x14ac:dyDescent="0.25">
      <c r="A262" s="435" t="s">
        <v>306</v>
      </c>
      <c r="B262" s="498">
        <v>1282991.7799999998</v>
      </c>
      <c r="D262" s="498">
        <f>VLOOKUP(A262,Maksājumu_pieprasījumu_iesn.!G:BL,40,0)</f>
        <v>1282991.78</v>
      </c>
      <c r="E262" s="498">
        <f t="shared" si="4"/>
        <v>0</v>
      </c>
    </row>
    <row r="263" spans="1:5" x14ac:dyDescent="0.25">
      <c r="A263" s="435" t="s">
        <v>310</v>
      </c>
      <c r="B263" s="498">
        <v>602295.58000000007</v>
      </c>
      <c r="D263" s="498">
        <f>VLOOKUP(A263,Maksājumu_pieprasījumu_iesn.!G:BL,40,0)</f>
        <v>602295.58000000007</v>
      </c>
      <c r="E263" s="498">
        <f t="shared" si="4"/>
        <v>0</v>
      </c>
    </row>
    <row r="264" spans="1:5" x14ac:dyDescent="0.25">
      <c r="A264" s="435" t="s">
        <v>315</v>
      </c>
      <c r="B264" s="498">
        <v>142995.29</v>
      </c>
      <c r="D264" s="498">
        <f>VLOOKUP(A264,Maksājumu_pieprasījumu_iesn.!G:BL,40,0)</f>
        <v>142995.29</v>
      </c>
      <c r="E264" s="498">
        <f t="shared" si="4"/>
        <v>0</v>
      </c>
    </row>
    <row r="265" spans="1:5" x14ac:dyDescent="0.25">
      <c r="A265" s="435" t="s">
        <v>319</v>
      </c>
      <c r="B265" s="498">
        <v>689189.71</v>
      </c>
      <c r="D265" s="498">
        <f>VLOOKUP(A265,Maksājumu_pieprasījumu_iesn.!G:BL,40,0)</f>
        <v>689189.71000000008</v>
      </c>
      <c r="E265" s="498">
        <f t="shared" si="4"/>
        <v>0</v>
      </c>
    </row>
    <row r="266" spans="1:5" x14ac:dyDescent="0.25">
      <c r="A266" s="435" t="s">
        <v>324</v>
      </c>
      <c r="B266" s="498">
        <v>294566.91000000003</v>
      </c>
      <c r="D266" s="498">
        <f>VLOOKUP(A266,Maksājumu_pieprasījumu_iesn.!G:BL,40,0)</f>
        <v>294566.91000000003</v>
      </c>
      <c r="E266" s="498">
        <f t="shared" si="4"/>
        <v>0</v>
      </c>
    </row>
    <row r="267" spans="1:5" x14ac:dyDescent="0.25">
      <c r="A267" s="435" t="s">
        <v>328</v>
      </c>
      <c r="B267" s="498">
        <v>370804.83999999997</v>
      </c>
      <c r="D267" s="498">
        <f>VLOOKUP(A267,Maksājumu_pieprasījumu_iesn.!G:BL,40,0)</f>
        <v>370804.84</v>
      </c>
      <c r="E267" s="498">
        <f t="shared" si="4"/>
        <v>0</v>
      </c>
    </row>
    <row r="268" spans="1:5" x14ac:dyDescent="0.25">
      <c r="A268" s="435" t="s">
        <v>332</v>
      </c>
      <c r="B268" s="498">
        <v>4469286.13</v>
      </c>
      <c r="D268" s="498">
        <f>VLOOKUP(A268,Maksājumu_pieprasījumu_iesn.!G:BL,40,0)</f>
        <v>4469286.13</v>
      </c>
      <c r="E268" s="498">
        <f t="shared" si="4"/>
        <v>0</v>
      </c>
    </row>
    <row r="269" spans="1:5" x14ac:dyDescent="0.25">
      <c r="A269" s="435" t="s">
        <v>335</v>
      </c>
      <c r="B269" s="498">
        <v>2149500.44</v>
      </c>
      <c r="D269" s="498">
        <f>VLOOKUP(A269,Maksājumu_pieprasījumu_iesn.!G:BL,40,0)</f>
        <v>2149500.44</v>
      </c>
      <c r="E269" s="498">
        <f t="shared" si="4"/>
        <v>0</v>
      </c>
    </row>
    <row r="270" spans="1:5" x14ac:dyDescent="0.25">
      <c r="A270" s="435" t="s">
        <v>339</v>
      </c>
      <c r="B270" s="498">
        <v>321483.7</v>
      </c>
      <c r="D270" s="498">
        <f>VLOOKUP(A270,Maksājumu_pieprasījumu_iesn.!G:BL,40,0)</f>
        <v>321483.7</v>
      </c>
      <c r="E270" s="498">
        <f t="shared" si="4"/>
        <v>0</v>
      </c>
    </row>
    <row r="271" spans="1:5" x14ac:dyDescent="0.25">
      <c r="A271" s="435" t="s">
        <v>343</v>
      </c>
      <c r="B271" s="498">
        <v>101553.18</v>
      </c>
      <c r="D271" s="498">
        <f>VLOOKUP(A271,Maksājumu_pieprasījumu_iesn.!G:BL,40,0)</f>
        <v>101553.18</v>
      </c>
      <c r="E271" s="498">
        <f t="shared" si="4"/>
        <v>0</v>
      </c>
    </row>
    <row r="272" spans="1:5" x14ac:dyDescent="0.25">
      <c r="A272" s="435" t="s">
        <v>348</v>
      </c>
      <c r="B272" s="498">
        <v>223033.69</v>
      </c>
      <c r="D272" s="498">
        <f>VLOOKUP(A272,Maksājumu_pieprasījumu_iesn.!G:BL,40,0)</f>
        <v>223033.69</v>
      </c>
      <c r="E272" s="498">
        <f t="shared" si="4"/>
        <v>0</v>
      </c>
    </row>
    <row r="273" spans="1:5" x14ac:dyDescent="0.25">
      <c r="A273" s="435" t="s">
        <v>353</v>
      </c>
      <c r="B273" s="498">
        <v>138802.77000000002</v>
      </c>
      <c r="D273" s="498">
        <f>VLOOKUP(A273,Maksājumu_pieprasījumu_iesn.!G:BL,40,0)</f>
        <v>138802.77000000002</v>
      </c>
      <c r="E273" s="498">
        <f t="shared" si="4"/>
        <v>0</v>
      </c>
    </row>
    <row r="274" spans="1:5" x14ac:dyDescent="0.25">
      <c r="A274" s="435" t="s">
        <v>357</v>
      </c>
      <c r="B274" s="498">
        <v>86885.669999999984</v>
      </c>
      <c r="D274" s="498">
        <f>VLOOKUP(A274,Maksājumu_pieprasījumu_iesn.!G:BL,40,0)</f>
        <v>86885.67</v>
      </c>
      <c r="E274" s="498">
        <f t="shared" si="4"/>
        <v>0</v>
      </c>
    </row>
    <row r="275" spans="1:5" x14ac:dyDescent="0.25">
      <c r="A275" s="435" t="s">
        <v>361</v>
      </c>
      <c r="B275" s="498">
        <v>36258.42</v>
      </c>
      <c r="D275" s="498">
        <f>VLOOKUP(A275,Maksājumu_pieprasījumu_iesn.!G:BL,40,0)</f>
        <v>36258.42</v>
      </c>
      <c r="E275" s="498">
        <f t="shared" si="4"/>
        <v>0</v>
      </c>
    </row>
    <row r="276" spans="1:5" x14ac:dyDescent="0.25">
      <c r="A276" s="435" t="s">
        <v>365</v>
      </c>
      <c r="B276" s="498">
        <v>332455.74</v>
      </c>
      <c r="D276" s="498">
        <f>VLOOKUP(A276,Maksājumu_pieprasījumu_iesn.!G:BL,40,0)</f>
        <v>332455.74</v>
      </c>
      <c r="E276" s="498">
        <f t="shared" si="4"/>
        <v>0</v>
      </c>
    </row>
    <row r="277" spans="1:5" x14ac:dyDescent="0.25">
      <c r="A277" s="435" t="s">
        <v>371</v>
      </c>
      <c r="B277" s="498">
        <v>260693.95</v>
      </c>
      <c r="D277" s="498">
        <f>VLOOKUP(A277,Maksājumu_pieprasījumu_iesn.!G:BL,40,0)</f>
        <v>260693.95</v>
      </c>
      <c r="E277" s="498">
        <f t="shared" si="4"/>
        <v>0</v>
      </c>
    </row>
    <row r="278" spans="1:5" x14ac:dyDescent="0.25">
      <c r="A278" s="435" t="s">
        <v>374</v>
      </c>
      <c r="B278" s="498">
        <v>135026.10999999999</v>
      </c>
      <c r="D278" s="498">
        <f>VLOOKUP(A278,Maksājumu_pieprasījumu_iesn.!G:BL,40,0)</f>
        <v>135026.10999999999</v>
      </c>
      <c r="E278" s="498">
        <f t="shared" si="4"/>
        <v>0</v>
      </c>
    </row>
    <row r="279" spans="1:5" x14ac:dyDescent="0.25">
      <c r="A279" s="435" t="s">
        <v>376</v>
      </c>
      <c r="B279" s="498">
        <v>286953.55000000005</v>
      </c>
      <c r="D279" s="498">
        <f>VLOOKUP(A279,Maksājumu_pieprasījumu_iesn.!G:BL,40,0)</f>
        <v>286953.55000000005</v>
      </c>
      <c r="E279" s="498">
        <f t="shared" si="4"/>
        <v>0</v>
      </c>
    </row>
    <row r="280" spans="1:5" x14ac:dyDescent="0.25">
      <c r="A280" s="435" t="s">
        <v>382</v>
      </c>
      <c r="B280" s="498">
        <v>325059.96000000002</v>
      </c>
      <c r="D280" s="498">
        <f>VLOOKUP(A280,Maksājumu_pieprasījumu_iesn.!G:BL,40,0)</f>
        <v>325059.96000000002</v>
      </c>
      <c r="E280" s="498">
        <f t="shared" si="4"/>
        <v>0</v>
      </c>
    </row>
    <row r="281" spans="1:5" x14ac:dyDescent="0.25">
      <c r="A281" s="435" t="s">
        <v>385</v>
      </c>
      <c r="B281" s="498">
        <v>414996.26</v>
      </c>
      <c r="D281" s="498">
        <f>VLOOKUP(A281,Maksājumu_pieprasījumu_iesn.!G:BL,40,0)</f>
        <v>414996.26</v>
      </c>
      <c r="E281" s="498">
        <f t="shared" si="4"/>
        <v>0</v>
      </c>
    </row>
    <row r="282" spans="1:5" x14ac:dyDescent="0.25">
      <c r="A282" s="435" t="s">
        <v>388</v>
      </c>
      <c r="B282" s="498">
        <v>272972.51</v>
      </c>
      <c r="D282" s="498">
        <f>VLOOKUP(A282,Maksājumu_pieprasījumu_iesn.!G:BL,40,0)</f>
        <v>272972.51</v>
      </c>
      <c r="E282" s="498">
        <f t="shared" si="4"/>
        <v>0</v>
      </c>
    </row>
    <row r="283" spans="1:5" x14ac:dyDescent="0.25">
      <c r="A283" s="435" t="s">
        <v>391</v>
      </c>
      <c r="B283" s="498">
        <v>236235.75</v>
      </c>
      <c r="D283" s="498">
        <f>VLOOKUP(A283,Maksājumu_pieprasījumu_iesn.!G:BL,40,0)</f>
        <v>236235.96</v>
      </c>
      <c r="E283" s="498">
        <f t="shared" si="4"/>
        <v>0.20999999999185093</v>
      </c>
    </row>
    <row r="284" spans="1:5" x14ac:dyDescent="0.25">
      <c r="A284" s="435" t="s">
        <v>394</v>
      </c>
      <c r="B284" s="498">
        <v>240546.95</v>
      </c>
      <c r="D284" s="498">
        <f>VLOOKUP(A284,Maksājumu_pieprasījumu_iesn.!G:BL,40,0)</f>
        <v>240546.95</v>
      </c>
      <c r="E284" s="498">
        <f t="shared" si="4"/>
        <v>0</v>
      </c>
    </row>
    <row r="285" spans="1:5" x14ac:dyDescent="0.25">
      <c r="A285" s="435" t="s">
        <v>399</v>
      </c>
      <c r="B285" s="498">
        <v>143115.66999999998</v>
      </c>
      <c r="D285" s="498">
        <f>VLOOKUP(A285,Maksājumu_pieprasījumu_iesn.!G:BL,40,0)</f>
        <v>143115.66999999998</v>
      </c>
      <c r="E285" s="498">
        <f t="shared" si="4"/>
        <v>0</v>
      </c>
    </row>
    <row r="286" spans="1:5" x14ac:dyDescent="0.25">
      <c r="A286" s="435" t="s">
        <v>403</v>
      </c>
      <c r="B286" s="498">
        <v>793040.59</v>
      </c>
      <c r="D286" s="498">
        <f>VLOOKUP(A286,Maksājumu_pieprasījumu_iesn.!G:BL,40,0)</f>
        <v>793040.59</v>
      </c>
      <c r="E286" s="498">
        <f t="shared" si="4"/>
        <v>0</v>
      </c>
    </row>
    <row r="287" spans="1:5" x14ac:dyDescent="0.25">
      <c r="A287" s="435" t="s">
        <v>408</v>
      </c>
      <c r="B287" s="498">
        <v>111716.45000000001</v>
      </c>
      <c r="D287" s="498">
        <f>VLOOKUP(A287,Maksājumu_pieprasījumu_iesn.!G:BL,40,0)</f>
        <v>111716.45000000001</v>
      </c>
      <c r="E287" s="498">
        <f t="shared" si="4"/>
        <v>0</v>
      </c>
    </row>
    <row r="288" spans="1:5" x14ac:dyDescent="0.25">
      <c r="A288" s="435" t="s">
        <v>412</v>
      </c>
      <c r="B288" s="498">
        <v>28193.66</v>
      </c>
      <c r="D288" s="498">
        <f>VLOOKUP(A288,Maksājumu_pieprasījumu_iesn.!G:BL,40,0)</f>
        <v>28193.66</v>
      </c>
      <c r="E288" s="498">
        <f t="shared" si="4"/>
        <v>0</v>
      </c>
    </row>
    <row r="289" spans="1:5" x14ac:dyDescent="0.25">
      <c r="A289" s="435" t="s">
        <v>415</v>
      </c>
      <c r="B289" s="498">
        <v>4259.34</v>
      </c>
      <c r="D289" s="498">
        <f>VLOOKUP(A289,Maksājumu_pieprasījumu_iesn.!G:BL,40,0)</f>
        <v>4259.34</v>
      </c>
      <c r="E289" s="498">
        <f t="shared" si="4"/>
        <v>0</v>
      </c>
    </row>
    <row r="290" spans="1:5" x14ac:dyDescent="0.25">
      <c r="A290" s="435" t="s">
        <v>418</v>
      </c>
      <c r="B290" s="498">
        <v>60687.77</v>
      </c>
      <c r="D290" s="498">
        <f>VLOOKUP(A290,Maksājumu_pieprasījumu_iesn.!G:BL,40,0)</f>
        <v>60687.77</v>
      </c>
      <c r="E290" s="498">
        <f t="shared" si="4"/>
        <v>0</v>
      </c>
    </row>
    <row r="291" spans="1:5" x14ac:dyDescent="0.25">
      <c r="A291" s="435" t="s">
        <v>719</v>
      </c>
      <c r="B291" s="498">
        <v>34552.69</v>
      </c>
      <c r="D291" s="498">
        <f>VLOOKUP(A291,Maksājumu_pieprasījumu_iesn.!G:BL,40,0)</f>
        <v>34552.69</v>
      </c>
      <c r="E291" s="498">
        <f t="shared" si="4"/>
        <v>0</v>
      </c>
    </row>
    <row r="292" spans="1:5" x14ac:dyDescent="0.25">
      <c r="A292" s="435" t="s">
        <v>421</v>
      </c>
      <c r="B292" s="498">
        <v>24541.95</v>
      </c>
      <c r="D292" s="498">
        <f>VLOOKUP(A292,Maksājumu_pieprasījumu_iesn.!G:BL,40,0)</f>
        <v>24541.95</v>
      </c>
      <c r="E292" s="498">
        <f t="shared" si="4"/>
        <v>0</v>
      </c>
    </row>
    <row r="293" spans="1:5" x14ac:dyDescent="0.25">
      <c r="A293" s="435" t="s">
        <v>869</v>
      </c>
      <c r="B293" s="498">
        <v>4896.6900000000005</v>
      </c>
      <c r="D293" s="498">
        <f>VLOOKUP(A293,Maksājumu_pieprasījumu_iesn.!G:BL,40,0)</f>
        <v>4896.6900000000005</v>
      </c>
      <c r="E293" s="498">
        <f t="shared" si="4"/>
        <v>0</v>
      </c>
    </row>
    <row r="294" spans="1:5" x14ac:dyDescent="0.25">
      <c r="A294" s="435" t="s">
        <v>721</v>
      </c>
      <c r="B294" s="498">
        <v>58456.89</v>
      </c>
      <c r="D294" s="498">
        <f>VLOOKUP(A294,Maksājumu_pieprasījumu_iesn.!G:BL,40,0)</f>
        <v>58456.89</v>
      </c>
      <c r="E294" s="498">
        <f t="shared" si="4"/>
        <v>0</v>
      </c>
    </row>
    <row r="295" spans="1:5" x14ac:dyDescent="0.25">
      <c r="A295" s="435" t="s">
        <v>424</v>
      </c>
      <c r="B295" s="498">
        <v>117829.02</v>
      </c>
      <c r="D295" s="498">
        <f>VLOOKUP(A295,Maksājumu_pieprasījumu_iesn.!G:BL,40,0)</f>
        <v>117828.62</v>
      </c>
      <c r="E295" s="498">
        <f t="shared" si="4"/>
        <v>-0.40000000000873115</v>
      </c>
    </row>
    <row r="296" spans="1:5" x14ac:dyDescent="0.25">
      <c r="A296" s="435" t="s">
        <v>786</v>
      </c>
      <c r="B296" s="498">
        <v>7089.61</v>
      </c>
      <c r="D296" s="498">
        <f>VLOOKUP(A296,Maksājumu_pieprasījumu_iesn.!G:BL,40,0)</f>
        <v>7089.2</v>
      </c>
      <c r="E296" s="498">
        <f t="shared" si="4"/>
        <v>-0.40999999999985448</v>
      </c>
    </row>
    <row r="297" spans="1:5" x14ac:dyDescent="0.25">
      <c r="A297" s="435" t="s">
        <v>787</v>
      </c>
      <c r="B297" s="498">
        <v>29117.879999999997</v>
      </c>
      <c r="D297" s="498">
        <f>VLOOKUP(A297,Maksājumu_pieprasījumu_iesn.!G:BL,40,0)</f>
        <v>29117.879999999997</v>
      </c>
      <c r="E297" s="498">
        <f t="shared" si="4"/>
        <v>0</v>
      </c>
    </row>
    <row r="298" spans="1:5" x14ac:dyDescent="0.25">
      <c r="A298" s="435" t="s">
        <v>427</v>
      </c>
      <c r="B298" s="498">
        <v>16622.740000000002</v>
      </c>
      <c r="D298" s="498">
        <f>VLOOKUP(A298,Maksājumu_pieprasījumu_iesn.!G:BL,40,0)</f>
        <v>16622.739999999998</v>
      </c>
      <c r="E298" s="498">
        <f t="shared" si="4"/>
        <v>0</v>
      </c>
    </row>
    <row r="299" spans="1:5" x14ac:dyDescent="0.25">
      <c r="A299" s="435" t="s">
        <v>764</v>
      </c>
      <c r="B299" s="498">
        <v>6877.91</v>
      </c>
      <c r="D299" s="498">
        <f>VLOOKUP(A299,Maksājumu_pieprasījumu_iesn.!G:BL,40,0)</f>
        <v>6877.91</v>
      </c>
      <c r="E299" s="498">
        <f t="shared" si="4"/>
        <v>0</v>
      </c>
    </row>
    <row r="300" spans="1:5" x14ac:dyDescent="0.25">
      <c r="A300" s="435" t="s">
        <v>925</v>
      </c>
      <c r="B300" s="498">
        <v>11048.470000000001</v>
      </c>
      <c r="D300" s="498">
        <f>VLOOKUP(A300,Maksājumu_pieprasījumu_iesn.!G:BL,40,0)</f>
        <v>11048.470000000001</v>
      </c>
      <c r="E300" s="498">
        <f t="shared" si="4"/>
        <v>0</v>
      </c>
    </row>
    <row r="301" spans="1:5" x14ac:dyDescent="0.25">
      <c r="A301" s="435" t="s">
        <v>928</v>
      </c>
      <c r="B301" s="498">
        <v>45876.55</v>
      </c>
      <c r="D301" s="498">
        <f>VLOOKUP(A301,Maksājumu_pieprasījumu_iesn.!G:BL,40,0)</f>
        <v>45876.55</v>
      </c>
      <c r="E301" s="498">
        <f t="shared" si="4"/>
        <v>0</v>
      </c>
    </row>
    <row r="302" spans="1:5" x14ac:dyDescent="0.25">
      <c r="A302" s="435" t="s">
        <v>430</v>
      </c>
      <c r="B302" s="498">
        <v>21608.93</v>
      </c>
      <c r="D302" s="498">
        <f>VLOOKUP(A302,Maksājumu_pieprasījumu_iesn.!G:BL,40,0)</f>
        <v>21608.93</v>
      </c>
      <c r="E302" s="498">
        <f t="shared" si="4"/>
        <v>0</v>
      </c>
    </row>
    <row r="303" spans="1:5" x14ac:dyDescent="0.25">
      <c r="A303" s="435" t="s">
        <v>433</v>
      </c>
      <c r="B303" s="498">
        <v>30048.73</v>
      </c>
      <c r="D303" s="498">
        <f>VLOOKUP(A303,Maksājumu_pieprasījumu_iesn.!G:BL,40,0)</f>
        <v>30048.73</v>
      </c>
      <c r="E303" s="498">
        <f t="shared" si="4"/>
        <v>0</v>
      </c>
    </row>
    <row r="304" spans="1:5" x14ac:dyDescent="0.25">
      <c r="A304" s="435" t="s">
        <v>436</v>
      </c>
      <c r="B304" s="498">
        <v>492434.51999999996</v>
      </c>
      <c r="D304" s="498">
        <f>VLOOKUP(A304,Maksājumu_pieprasījumu_iesn.!G:BL,40,0)</f>
        <v>492434.70999999996</v>
      </c>
      <c r="E304" s="498">
        <f t="shared" si="4"/>
        <v>0.19000000000232831</v>
      </c>
    </row>
    <row r="305" spans="1:5" x14ac:dyDescent="0.25">
      <c r="A305" s="435" t="s">
        <v>872</v>
      </c>
      <c r="B305" s="498">
        <v>2769.63</v>
      </c>
      <c r="D305" s="498">
        <f>VLOOKUP(A305,Maksājumu_pieprasījumu_iesn.!G:BL,40,0)</f>
        <v>2769.63</v>
      </c>
      <c r="E305" s="498">
        <f t="shared" si="4"/>
        <v>0</v>
      </c>
    </row>
    <row r="306" spans="1:5" x14ac:dyDescent="0.25">
      <c r="A306" s="435" t="s">
        <v>771</v>
      </c>
      <c r="B306" s="498">
        <v>12906.16</v>
      </c>
      <c r="D306" s="498">
        <f>VLOOKUP(A306,Maksājumu_pieprasījumu_iesn.!G:BL,40,0)</f>
        <v>12906.16</v>
      </c>
      <c r="E306" s="498">
        <f t="shared" si="4"/>
        <v>0</v>
      </c>
    </row>
    <row r="307" spans="1:5" x14ac:dyDescent="0.25">
      <c r="A307" s="435" t="s">
        <v>930</v>
      </c>
      <c r="B307" s="498">
        <v>17794.489999999998</v>
      </c>
      <c r="D307" s="498">
        <f>VLOOKUP(A307,Maksājumu_pieprasījumu_iesn.!G:BL,40,0)</f>
        <v>17794.489999999998</v>
      </c>
      <c r="E307" s="498">
        <f t="shared" si="4"/>
        <v>0</v>
      </c>
    </row>
    <row r="308" spans="1:5" x14ac:dyDescent="0.25">
      <c r="A308" s="435" t="s">
        <v>2321</v>
      </c>
      <c r="B308" s="498">
        <v>18152.349999999999</v>
      </c>
      <c r="D308" s="498">
        <f>VLOOKUP(A308,Maksājumu_pieprasījumu_iesn.!G:BL,40,0)</f>
        <v>18152.349999999999</v>
      </c>
      <c r="E308" s="498">
        <f t="shared" si="4"/>
        <v>0</v>
      </c>
    </row>
    <row r="309" spans="1:5" x14ac:dyDescent="0.25">
      <c r="A309" s="435" t="s">
        <v>788</v>
      </c>
      <c r="B309" s="498">
        <v>36742.5</v>
      </c>
      <c r="D309" s="498">
        <f>VLOOKUP(A309,Maksājumu_pieprasījumu_iesn.!G:BL,40,0)</f>
        <v>36742.5</v>
      </c>
      <c r="E309" s="498">
        <f t="shared" si="4"/>
        <v>0</v>
      </c>
    </row>
    <row r="310" spans="1:5" x14ac:dyDescent="0.25">
      <c r="A310" s="435" t="s">
        <v>2324</v>
      </c>
      <c r="B310" s="498">
        <v>9422.33</v>
      </c>
      <c r="D310" s="498">
        <f>VLOOKUP(A310,Maksājumu_pieprasījumu_iesn.!G:BL,40,0)</f>
        <v>9422.33</v>
      </c>
      <c r="E310" s="498">
        <f t="shared" si="4"/>
        <v>0</v>
      </c>
    </row>
    <row r="311" spans="1:5" x14ac:dyDescent="0.25">
      <c r="A311" s="435" t="s">
        <v>2328</v>
      </c>
      <c r="B311" s="498">
        <v>13760.88</v>
      </c>
      <c r="D311" s="498">
        <f>VLOOKUP(A311,Maksājumu_pieprasījumu_iesn.!G:BL,40,0)</f>
        <v>13760.88</v>
      </c>
      <c r="E311" s="498">
        <f t="shared" si="4"/>
        <v>0</v>
      </c>
    </row>
    <row r="312" spans="1:5" x14ac:dyDescent="0.25">
      <c r="A312" s="435" t="s">
        <v>789</v>
      </c>
      <c r="B312" s="498">
        <v>88152.69</v>
      </c>
      <c r="D312" s="498">
        <f>VLOOKUP(A312,Maksājumu_pieprasījumu_iesn.!G:BL,40,0)</f>
        <v>88152.69</v>
      </c>
      <c r="E312" s="498">
        <f t="shared" si="4"/>
        <v>0</v>
      </c>
    </row>
    <row r="313" spans="1:5" x14ac:dyDescent="0.25">
      <c r="A313" s="435" t="s">
        <v>790</v>
      </c>
      <c r="B313" s="498">
        <v>77648.799999999988</v>
      </c>
      <c r="D313" s="498">
        <f>VLOOKUP(A313,Maksājumu_pieprasījumu_iesn.!G:BL,40,0)</f>
        <v>77648.799999999988</v>
      </c>
      <c r="E313" s="498">
        <f t="shared" si="4"/>
        <v>0</v>
      </c>
    </row>
    <row r="314" spans="1:5" x14ac:dyDescent="0.25">
      <c r="A314" s="435" t="s">
        <v>875</v>
      </c>
      <c r="B314" s="498">
        <v>16685.78</v>
      </c>
      <c r="D314" s="498">
        <f>VLOOKUP(A314,Maksājumu_pieprasījumu_iesn.!G:BL,40,0)</f>
        <v>16685.78</v>
      </c>
      <c r="E314" s="498">
        <f t="shared" si="4"/>
        <v>0</v>
      </c>
    </row>
    <row r="315" spans="1:5" x14ac:dyDescent="0.25">
      <c r="A315" s="435" t="s">
        <v>932</v>
      </c>
      <c r="B315" s="498">
        <v>29244.18</v>
      </c>
      <c r="D315" s="498">
        <f>VLOOKUP(A315,Maksājumu_pieprasījumu_iesn.!G:BL,40,0)</f>
        <v>29244.18</v>
      </c>
      <c r="E315" s="498">
        <f t="shared" si="4"/>
        <v>0</v>
      </c>
    </row>
    <row r="316" spans="1:5" x14ac:dyDescent="0.25">
      <c r="A316" s="435" t="s">
        <v>2331</v>
      </c>
      <c r="B316" s="498">
        <v>7467.0599999999995</v>
      </c>
      <c r="D316" s="498">
        <f>VLOOKUP(A316,Maksājumu_pieprasījumu_iesn.!G:BL,40,0)</f>
        <v>7467.0599999999995</v>
      </c>
      <c r="E316" s="498">
        <f t="shared" si="4"/>
        <v>0</v>
      </c>
    </row>
    <row r="317" spans="1:5" x14ac:dyDescent="0.25">
      <c r="A317" s="435" t="s">
        <v>439</v>
      </c>
      <c r="B317" s="498">
        <v>23726.46</v>
      </c>
      <c r="D317" s="498">
        <f>VLOOKUP(A317,Maksājumu_pieprasījumu_iesn.!G:BL,40,0)</f>
        <v>23726.46</v>
      </c>
      <c r="E317" s="498">
        <f t="shared" si="4"/>
        <v>0</v>
      </c>
    </row>
    <row r="318" spans="1:5" x14ac:dyDescent="0.25">
      <c r="A318" s="435" t="s">
        <v>2335</v>
      </c>
      <c r="B318" s="498">
        <v>2956.3</v>
      </c>
      <c r="D318" s="498">
        <f>VLOOKUP(A318,Maksājumu_pieprasījumu_iesn.!G:BL,40,0)</f>
        <v>2956.3</v>
      </c>
      <c r="E318" s="498">
        <f t="shared" si="4"/>
        <v>0</v>
      </c>
    </row>
    <row r="319" spans="1:5" x14ac:dyDescent="0.25">
      <c r="A319" s="435" t="s">
        <v>442</v>
      </c>
      <c r="B319" s="498">
        <v>18220.93</v>
      </c>
      <c r="D319" s="498">
        <f>VLOOKUP(A319,Maksājumu_pieprasījumu_iesn.!G:BL,40,0)</f>
        <v>18220.93</v>
      </c>
      <c r="E319" s="498">
        <f t="shared" si="4"/>
        <v>0</v>
      </c>
    </row>
    <row r="320" spans="1:5" x14ac:dyDescent="0.25">
      <c r="A320" s="435" t="s">
        <v>934</v>
      </c>
      <c r="B320" s="498">
        <v>10717.82</v>
      </c>
      <c r="D320" s="498">
        <f>VLOOKUP(A320,Maksājumu_pieprasījumu_iesn.!G:BL,40,0)</f>
        <v>10717.82</v>
      </c>
      <c r="E320" s="498">
        <f t="shared" si="4"/>
        <v>0</v>
      </c>
    </row>
    <row r="321" spans="1:5" x14ac:dyDescent="0.25">
      <c r="A321" s="435" t="s">
        <v>2338</v>
      </c>
      <c r="B321" s="498">
        <v>10856.07</v>
      </c>
      <c r="D321" s="498">
        <f>VLOOKUP(A321,Maksājumu_pieprasījumu_iesn.!G:BL,40,0)</f>
        <v>10856.07</v>
      </c>
      <c r="E321" s="498">
        <f t="shared" si="4"/>
        <v>0</v>
      </c>
    </row>
    <row r="322" spans="1:5" x14ac:dyDescent="0.25">
      <c r="A322" s="435" t="s">
        <v>878</v>
      </c>
      <c r="B322" s="498">
        <v>5459.56</v>
      </c>
      <c r="D322" s="498">
        <f>VLOOKUP(A322,Maksājumu_pieprasījumu_iesn.!G:BL,40,0)</f>
        <v>5459.56</v>
      </c>
      <c r="E322" s="498">
        <f t="shared" ref="E322:E384" si="5">D322-B322</f>
        <v>0</v>
      </c>
    </row>
    <row r="323" spans="1:5" x14ac:dyDescent="0.25">
      <c r="A323" s="435" t="s">
        <v>723</v>
      </c>
      <c r="B323" s="498">
        <v>103012.15</v>
      </c>
      <c r="D323" s="498">
        <f>VLOOKUP(A323,Maksājumu_pieprasījumu_iesn.!G:BL,40,0)</f>
        <v>103012.15</v>
      </c>
      <c r="E323" s="498">
        <f t="shared" si="5"/>
        <v>0</v>
      </c>
    </row>
    <row r="324" spans="1:5" x14ac:dyDescent="0.25">
      <c r="A324" s="435" t="s">
        <v>2342</v>
      </c>
      <c r="B324" s="498">
        <v>1190</v>
      </c>
      <c r="D324" s="498">
        <f>VLOOKUP(A324,Maksājumu_pieprasījumu_iesn.!G:BL,40,0)</f>
        <v>1190</v>
      </c>
      <c r="E324" s="498">
        <f t="shared" si="5"/>
        <v>0</v>
      </c>
    </row>
    <row r="325" spans="1:5" x14ac:dyDescent="0.25">
      <c r="A325" s="435" t="s">
        <v>791</v>
      </c>
      <c r="B325" s="498">
        <v>2642.48</v>
      </c>
      <c r="D325" s="498">
        <f>VLOOKUP(A325,Maksājumu_pieprasījumu_iesn.!G:BL,40,0)</f>
        <v>2642.5</v>
      </c>
      <c r="E325" s="498">
        <f t="shared" si="5"/>
        <v>1.999999999998181E-2</v>
      </c>
    </row>
    <row r="326" spans="1:5" x14ac:dyDescent="0.25">
      <c r="A326" s="435" t="s">
        <v>792</v>
      </c>
      <c r="B326" s="498">
        <v>26987.05</v>
      </c>
      <c r="D326" s="498">
        <f>VLOOKUP(A326,Maksājumu_pieprasījumu_iesn.!G:BL,40,0)</f>
        <v>26987.049999999996</v>
      </c>
      <c r="E326" s="498">
        <f t="shared" si="5"/>
        <v>0</v>
      </c>
    </row>
    <row r="327" spans="1:5" x14ac:dyDescent="0.25">
      <c r="A327" s="435" t="s">
        <v>2346</v>
      </c>
      <c r="B327" s="498">
        <v>1633.96</v>
      </c>
      <c r="D327" s="498">
        <f>VLOOKUP(A327,Maksājumu_pieprasījumu_iesn.!G:BL,40,0)</f>
        <v>1633.96</v>
      </c>
      <c r="E327" s="498">
        <f t="shared" si="5"/>
        <v>0</v>
      </c>
    </row>
    <row r="328" spans="1:5" x14ac:dyDescent="0.25">
      <c r="A328" s="435" t="s">
        <v>2350</v>
      </c>
      <c r="B328" s="498">
        <v>22467.040000000001</v>
      </c>
      <c r="D328" s="498">
        <f>VLOOKUP(A328,Maksājumu_pieprasījumu_iesn.!G:BL,40,0)</f>
        <v>22467.040000000001</v>
      </c>
      <c r="E328" s="498">
        <f t="shared" si="5"/>
        <v>0</v>
      </c>
    </row>
    <row r="329" spans="1:5" x14ac:dyDescent="0.25">
      <c r="A329" s="435" t="s">
        <v>793</v>
      </c>
      <c r="B329" s="498">
        <v>81677.930000000008</v>
      </c>
      <c r="D329" s="498">
        <f>VLOOKUP(A329,Maksājumu_pieprasījumu_iesn.!G:BL,40,0)</f>
        <v>81677.930000000008</v>
      </c>
      <c r="E329" s="498">
        <f t="shared" si="5"/>
        <v>0</v>
      </c>
    </row>
    <row r="330" spans="1:5" x14ac:dyDescent="0.25">
      <c r="A330" s="435" t="s">
        <v>2354</v>
      </c>
      <c r="B330" s="498">
        <v>11586.88</v>
      </c>
      <c r="D330" s="498">
        <f>VLOOKUP(A330,Maksājumu_pieprasījumu_iesn.!G:BL,40,0)</f>
        <v>11586.88</v>
      </c>
      <c r="E330" s="498">
        <f t="shared" si="5"/>
        <v>0</v>
      </c>
    </row>
    <row r="331" spans="1:5" x14ac:dyDescent="0.25">
      <c r="A331" s="435" t="s">
        <v>768</v>
      </c>
      <c r="B331" s="498">
        <v>46473.99</v>
      </c>
      <c r="D331" s="498">
        <f>VLOOKUP(A331,Maksājumu_pieprasījumu_iesn.!G:BL,40,0)</f>
        <v>46473.990000000005</v>
      </c>
      <c r="E331" s="498">
        <f t="shared" si="5"/>
        <v>0</v>
      </c>
    </row>
    <row r="332" spans="1:5" x14ac:dyDescent="0.25">
      <c r="A332" s="435" t="s">
        <v>2358</v>
      </c>
      <c r="B332" s="498">
        <v>26067.339999999997</v>
      </c>
      <c r="D332" s="498">
        <f>VLOOKUP(A332,Maksājumu_pieprasījumu_iesn.!G:BL,40,0)</f>
        <v>26067.339999999997</v>
      </c>
      <c r="E332" s="498">
        <f t="shared" si="5"/>
        <v>0</v>
      </c>
    </row>
    <row r="333" spans="1:5" x14ac:dyDescent="0.25">
      <c r="A333" s="435" t="s">
        <v>2361</v>
      </c>
      <c r="B333" s="498">
        <v>1594.06</v>
      </c>
      <c r="D333" s="498">
        <f>VLOOKUP(A333,Maksājumu_pieprasījumu_iesn.!G:BL,40,0)</f>
        <v>1594.06</v>
      </c>
      <c r="E333" s="498">
        <f t="shared" si="5"/>
        <v>0</v>
      </c>
    </row>
    <row r="334" spans="1:5" x14ac:dyDescent="0.25">
      <c r="A334" s="435" t="s">
        <v>794</v>
      </c>
      <c r="B334" s="498">
        <v>42975.37</v>
      </c>
      <c r="D334" s="498">
        <f>VLOOKUP(A334,Maksājumu_pieprasījumu_iesn.!G:BL,40,0)</f>
        <v>42975.37</v>
      </c>
      <c r="E334" s="498">
        <f t="shared" si="5"/>
        <v>0</v>
      </c>
    </row>
    <row r="335" spans="1:5" x14ac:dyDescent="0.25">
      <c r="A335" s="435" t="s">
        <v>2365</v>
      </c>
      <c r="B335" s="498">
        <v>2530.36</v>
      </c>
      <c r="D335" s="498">
        <f>VLOOKUP(A335,Maksājumu_pieprasījumu_iesn.!G:BL,40,0)</f>
        <v>2530.36</v>
      </c>
      <c r="E335" s="498">
        <f t="shared" si="5"/>
        <v>0</v>
      </c>
    </row>
    <row r="336" spans="1:5" x14ac:dyDescent="0.25">
      <c r="A336" s="435" t="s">
        <v>2369</v>
      </c>
      <c r="B336" s="498">
        <v>34640.89</v>
      </c>
      <c r="D336" s="498">
        <f>VLOOKUP(A336,Maksājumu_pieprasījumu_iesn.!G:BL,40,0)</f>
        <v>34640.89</v>
      </c>
      <c r="E336" s="498">
        <f t="shared" si="5"/>
        <v>0</v>
      </c>
    </row>
    <row r="337" spans="1:5" x14ac:dyDescent="0.25">
      <c r="A337" s="435" t="s">
        <v>726</v>
      </c>
      <c r="B337" s="498">
        <v>5254.18</v>
      </c>
      <c r="D337" s="498">
        <f>VLOOKUP(A337,Maksājumu_pieprasījumu_iesn.!G:BL,40,0)</f>
        <v>5254.18</v>
      </c>
      <c r="E337" s="498">
        <f t="shared" si="5"/>
        <v>0</v>
      </c>
    </row>
    <row r="338" spans="1:5" x14ac:dyDescent="0.25">
      <c r="A338" s="435" t="s">
        <v>2371</v>
      </c>
      <c r="B338" s="498">
        <v>0</v>
      </c>
      <c r="D338" s="498">
        <f>VLOOKUP(A338,Maksājumu_pieprasījumu_iesn.!G:BL,40,0)</f>
        <v>0</v>
      </c>
      <c r="E338" s="498">
        <f t="shared" si="5"/>
        <v>0</v>
      </c>
    </row>
    <row r="339" spans="1:5" x14ac:dyDescent="0.25">
      <c r="A339" s="435" t="s">
        <v>2373</v>
      </c>
      <c r="B339" s="498">
        <v>5992.5</v>
      </c>
      <c r="D339" s="498">
        <f>VLOOKUP(A339,Maksājumu_pieprasījumu_iesn.!G:BL,40,0)</f>
        <v>5992.5</v>
      </c>
      <c r="E339" s="498">
        <f t="shared" si="5"/>
        <v>0</v>
      </c>
    </row>
    <row r="340" spans="1:5" x14ac:dyDescent="0.25">
      <c r="A340" s="435" t="s">
        <v>2375</v>
      </c>
      <c r="B340" s="498">
        <v>15908.54</v>
      </c>
      <c r="D340" s="498">
        <f>VLOOKUP(A340,Maksājumu_pieprasījumu_iesn.!G:BL,40,0)</f>
        <v>15908.54</v>
      </c>
      <c r="E340" s="498">
        <f t="shared" si="5"/>
        <v>0</v>
      </c>
    </row>
    <row r="341" spans="1:5" x14ac:dyDescent="0.25">
      <c r="A341" s="435" t="s">
        <v>2378</v>
      </c>
      <c r="B341" s="498">
        <v>16938.099999999999</v>
      </c>
      <c r="D341" s="498">
        <f>VLOOKUP(A341,Maksājumu_pieprasījumu_iesn.!G:BL,40,0)</f>
        <v>16938.099999999999</v>
      </c>
      <c r="E341" s="498">
        <f t="shared" si="5"/>
        <v>0</v>
      </c>
    </row>
    <row r="342" spans="1:5" x14ac:dyDescent="0.25">
      <c r="A342" s="435" t="s">
        <v>2380</v>
      </c>
      <c r="B342" s="498">
        <v>4474.5200000000004</v>
      </c>
      <c r="D342" s="498">
        <f>VLOOKUP(A342,Maksājumu_pieprasījumu_iesn.!G:BL,40,0)</f>
        <v>4474.5200000000004</v>
      </c>
      <c r="E342" s="498">
        <f t="shared" si="5"/>
        <v>0</v>
      </c>
    </row>
    <row r="343" spans="1:5" x14ac:dyDescent="0.25">
      <c r="A343" s="435" t="s">
        <v>2384</v>
      </c>
      <c r="B343" s="498">
        <v>30734.73</v>
      </c>
      <c r="D343" s="498">
        <f>VLOOKUP(A343,Maksājumu_pieprasījumu_iesn.!G:BL,40,0)</f>
        <v>30734.73</v>
      </c>
      <c r="E343" s="498">
        <f t="shared" si="5"/>
        <v>0</v>
      </c>
    </row>
    <row r="344" spans="1:5" x14ac:dyDescent="0.25">
      <c r="A344" s="435" t="s">
        <v>2387</v>
      </c>
      <c r="B344" s="498">
        <v>11050</v>
      </c>
      <c r="D344" s="498">
        <f>VLOOKUP(A344,Maksājumu_pieprasījumu_iesn.!G:BL,40,0)</f>
        <v>11050</v>
      </c>
      <c r="E344" s="498">
        <f t="shared" si="5"/>
        <v>0</v>
      </c>
    </row>
    <row r="345" spans="1:5" x14ac:dyDescent="0.25">
      <c r="A345" s="435" t="s">
        <v>2394</v>
      </c>
      <c r="B345" s="498">
        <v>47717.25</v>
      </c>
      <c r="D345" s="498">
        <f>VLOOKUP(A345,Maksājumu_pieprasījumu_iesn.!G:BL,40,0)</f>
        <v>47717.25</v>
      </c>
      <c r="E345" s="498">
        <f t="shared" si="5"/>
        <v>0</v>
      </c>
    </row>
    <row r="346" spans="1:5" x14ac:dyDescent="0.25">
      <c r="A346" s="435" t="s">
        <v>881</v>
      </c>
      <c r="B346" s="498">
        <v>16288.310000000001</v>
      </c>
      <c r="D346" s="498">
        <f>VLOOKUP(A346,Maksājumu_pieprasījumu_iesn.!G:BL,40,0)</f>
        <v>16288.31</v>
      </c>
      <c r="E346" s="498">
        <f t="shared" si="5"/>
        <v>0</v>
      </c>
    </row>
    <row r="347" spans="1:5" x14ac:dyDescent="0.25">
      <c r="A347" s="435" t="s">
        <v>2396</v>
      </c>
      <c r="B347" s="498">
        <v>8185.6500000000005</v>
      </c>
      <c r="D347" s="498">
        <f>VLOOKUP(A347,Maksājumu_pieprasījumu_iesn.!G:BL,40,0)</f>
        <v>8185.6500000000005</v>
      </c>
      <c r="E347" s="498">
        <f t="shared" si="5"/>
        <v>0</v>
      </c>
    </row>
    <row r="348" spans="1:5" x14ac:dyDescent="0.25">
      <c r="A348" s="435" t="s">
        <v>2398</v>
      </c>
      <c r="B348" s="498">
        <v>4202.7700000000004</v>
      </c>
      <c r="D348" s="498">
        <f>VLOOKUP(A348,Maksājumu_pieprasījumu_iesn.!G:BL,40,0)</f>
        <v>4202.7700000000004</v>
      </c>
      <c r="E348" s="498">
        <f t="shared" si="5"/>
        <v>0</v>
      </c>
    </row>
    <row r="349" spans="1:5" x14ac:dyDescent="0.25">
      <c r="A349" s="435" t="s">
        <v>2401</v>
      </c>
      <c r="B349" s="498">
        <v>10137.439999999999</v>
      </c>
      <c r="D349" s="498">
        <f>VLOOKUP(A349,Maksājumu_pieprasījumu_iesn.!G:BL,40,0)</f>
        <v>10137.439999999999</v>
      </c>
      <c r="E349" s="498">
        <f t="shared" si="5"/>
        <v>0</v>
      </c>
    </row>
    <row r="350" spans="1:5" x14ac:dyDescent="0.25">
      <c r="A350" s="435" t="s">
        <v>795</v>
      </c>
      <c r="B350" s="498">
        <v>47776.33</v>
      </c>
      <c r="D350" s="498">
        <f>VLOOKUP(A350,Maksājumu_pieprasījumu_iesn.!G:BL,40,0)</f>
        <v>47776.33</v>
      </c>
      <c r="E350" s="498">
        <f t="shared" si="5"/>
        <v>0</v>
      </c>
    </row>
    <row r="351" spans="1:5" x14ac:dyDescent="0.25">
      <c r="A351" s="435" t="s">
        <v>796</v>
      </c>
      <c r="B351" s="498">
        <v>10147.48</v>
      </c>
      <c r="D351" s="498">
        <f>VLOOKUP(A351,Maksājumu_pieprasījumu_iesn.!G:BL,40,0)</f>
        <v>10147.48</v>
      </c>
      <c r="E351" s="498">
        <f t="shared" si="5"/>
        <v>0</v>
      </c>
    </row>
    <row r="352" spans="1:5" x14ac:dyDescent="0.25">
      <c r="A352" s="435" t="s">
        <v>2408</v>
      </c>
      <c r="B352" s="498">
        <v>1275</v>
      </c>
      <c r="D352" s="498">
        <f>VLOOKUP(A352,Maksājumu_pieprasījumu_iesn.!G:BL,40,0)</f>
        <v>1275</v>
      </c>
      <c r="E352" s="498">
        <f t="shared" si="5"/>
        <v>0</v>
      </c>
    </row>
    <row r="353" spans="1:5" x14ac:dyDescent="0.25">
      <c r="A353" s="435" t="s">
        <v>2411</v>
      </c>
      <c r="B353" s="498">
        <v>1267.6500000000001</v>
      </c>
      <c r="D353" s="498">
        <f>VLOOKUP(A353,Maksājumu_pieprasījumu_iesn.!G:BL,40,0)</f>
        <v>1267.6500000000001</v>
      </c>
      <c r="E353" s="498">
        <f t="shared" si="5"/>
        <v>0</v>
      </c>
    </row>
    <row r="354" spans="1:5" x14ac:dyDescent="0.25">
      <c r="A354" s="435" t="s">
        <v>937</v>
      </c>
      <c r="B354" s="498">
        <v>2622.71</v>
      </c>
      <c r="D354" s="498">
        <f>VLOOKUP(A354,Maksājumu_pieprasījumu_iesn.!G:BL,40,0)</f>
        <v>2622.71</v>
      </c>
      <c r="E354" s="498">
        <f t="shared" si="5"/>
        <v>0</v>
      </c>
    </row>
    <row r="355" spans="1:5" x14ac:dyDescent="0.25">
      <c r="A355" s="435" t="s">
        <v>2415</v>
      </c>
      <c r="B355" s="498">
        <v>2124.86</v>
      </c>
      <c r="D355" s="498">
        <f>VLOOKUP(A355,Maksājumu_pieprasījumu_iesn.!G:BL,40,0)</f>
        <v>2125</v>
      </c>
      <c r="E355" s="498">
        <f t="shared" si="5"/>
        <v>0.13999999999987267</v>
      </c>
    </row>
    <row r="356" spans="1:5" x14ac:dyDescent="0.25">
      <c r="A356" s="435" t="s">
        <v>2417</v>
      </c>
      <c r="B356" s="498">
        <v>5504.57</v>
      </c>
      <c r="D356" s="498">
        <f>VLOOKUP(A356,Maksājumu_pieprasījumu_iesn.!G:BL,40,0)</f>
        <v>5504.57</v>
      </c>
      <c r="E356" s="498">
        <f t="shared" si="5"/>
        <v>0</v>
      </c>
    </row>
    <row r="357" spans="1:5" x14ac:dyDescent="0.25">
      <c r="A357" s="435" t="s">
        <v>2420</v>
      </c>
      <c r="B357" s="498">
        <v>5787.19</v>
      </c>
      <c r="D357" s="498">
        <f>VLOOKUP(A357,Maksājumu_pieprasījumu_iesn.!G:BL,40,0)</f>
        <v>5787.19</v>
      </c>
      <c r="E357" s="498">
        <f t="shared" si="5"/>
        <v>0</v>
      </c>
    </row>
    <row r="358" spans="1:5" x14ac:dyDescent="0.25">
      <c r="A358" s="435" t="s">
        <v>2423</v>
      </c>
      <c r="B358" s="498">
        <v>7038</v>
      </c>
      <c r="D358" s="498">
        <f>VLOOKUP(A358,Maksājumu_pieprasījumu_iesn.!G:BL,40,0)</f>
        <v>7038</v>
      </c>
      <c r="E358" s="498">
        <f t="shared" si="5"/>
        <v>0</v>
      </c>
    </row>
    <row r="359" spans="1:5" x14ac:dyDescent="0.25">
      <c r="A359" s="435" t="s">
        <v>940</v>
      </c>
      <c r="B359" s="498">
        <v>12443.93</v>
      </c>
      <c r="D359" s="498">
        <f>VLOOKUP(A359,Maksājumu_pieprasījumu_iesn.!G:BL,40,0)</f>
        <v>12443.93</v>
      </c>
      <c r="E359" s="498">
        <f t="shared" si="5"/>
        <v>0</v>
      </c>
    </row>
    <row r="360" spans="1:5" x14ac:dyDescent="0.25">
      <c r="A360" s="435" t="s">
        <v>2432</v>
      </c>
      <c r="B360" s="498">
        <v>9188.7000000000007</v>
      </c>
      <c r="D360" s="498">
        <f>VLOOKUP(A360,Maksājumu_pieprasījumu_iesn.!G:BL,40,0)</f>
        <v>9188.7000000000007</v>
      </c>
      <c r="E360" s="498">
        <f t="shared" si="5"/>
        <v>0</v>
      </c>
    </row>
    <row r="361" spans="1:5" x14ac:dyDescent="0.25">
      <c r="A361" s="435" t="s">
        <v>729</v>
      </c>
      <c r="B361" s="498">
        <v>3886.2</v>
      </c>
      <c r="D361" s="498">
        <f>VLOOKUP(A361,Maksājumu_pieprasījumu_iesn.!G:BL,40,0)</f>
        <v>3886.2</v>
      </c>
      <c r="E361" s="498">
        <f t="shared" si="5"/>
        <v>0</v>
      </c>
    </row>
    <row r="362" spans="1:5" x14ac:dyDescent="0.25">
      <c r="A362" s="435" t="s">
        <v>732</v>
      </c>
      <c r="B362" s="498">
        <v>74859.22</v>
      </c>
      <c r="D362" s="498">
        <f>VLOOKUP(A362,Maksājumu_pieprasījumu_iesn.!G:BL,40,0)</f>
        <v>74859.22</v>
      </c>
      <c r="E362" s="498">
        <f t="shared" si="5"/>
        <v>0</v>
      </c>
    </row>
    <row r="363" spans="1:5" x14ac:dyDescent="0.25">
      <c r="A363" s="435" t="s">
        <v>2435</v>
      </c>
      <c r="B363" s="498">
        <v>16898.52</v>
      </c>
      <c r="D363" s="498">
        <f>VLOOKUP(A363,Maksājumu_pieprasījumu_iesn.!G:BL,40,0)</f>
        <v>16898.52</v>
      </c>
      <c r="E363" s="498">
        <f t="shared" si="5"/>
        <v>0</v>
      </c>
    </row>
    <row r="364" spans="1:5" x14ac:dyDescent="0.25">
      <c r="A364" s="435" t="s">
        <v>2439</v>
      </c>
      <c r="B364" s="498">
        <v>8574.7999999999993</v>
      </c>
      <c r="D364" s="498">
        <f>VLOOKUP(A364,Maksājumu_pieprasījumu_iesn.!G:BL,40,0)</f>
        <v>8574.7999999999993</v>
      </c>
      <c r="E364" s="498">
        <f t="shared" si="5"/>
        <v>0</v>
      </c>
    </row>
    <row r="365" spans="1:5" x14ac:dyDescent="0.25">
      <c r="A365" s="435" t="s">
        <v>800</v>
      </c>
      <c r="B365" s="498">
        <v>68805.77</v>
      </c>
      <c r="D365" s="498">
        <f>VLOOKUP(A365,Maksājumu_pieprasījumu_iesn.!G:BL,40,0)</f>
        <v>68805.77</v>
      </c>
      <c r="E365" s="498">
        <f t="shared" si="5"/>
        <v>0</v>
      </c>
    </row>
    <row r="366" spans="1:5" x14ac:dyDescent="0.25">
      <c r="A366" s="435" t="s">
        <v>2447</v>
      </c>
      <c r="B366" s="498">
        <v>20142</v>
      </c>
      <c r="D366" s="498">
        <f>VLOOKUP(A366,Maksājumu_pieprasījumu_iesn.!G:BL,40,0)</f>
        <v>20142</v>
      </c>
      <c r="E366" s="498">
        <f t="shared" si="5"/>
        <v>0</v>
      </c>
    </row>
    <row r="367" spans="1:5" x14ac:dyDescent="0.25">
      <c r="A367" s="435" t="s">
        <v>2451</v>
      </c>
      <c r="B367" s="498">
        <v>7224.24</v>
      </c>
      <c r="D367" s="498">
        <f>VLOOKUP(A367,Maksājumu_pieprasījumu_iesn.!G:BL,40,0)</f>
        <v>7224.24</v>
      </c>
      <c r="E367" s="498">
        <f t="shared" si="5"/>
        <v>0</v>
      </c>
    </row>
    <row r="368" spans="1:5" x14ac:dyDescent="0.25">
      <c r="A368" s="435" t="s">
        <v>2454</v>
      </c>
      <c r="B368" s="498">
        <v>19575.280000000002</v>
      </c>
      <c r="D368" s="498">
        <f>VLOOKUP(A368,Maksājumu_pieprasījumu_iesn.!G:BL,40,0)</f>
        <v>19575.280000000002</v>
      </c>
      <c r="E368" s="498">
        <f t="shared" si="5"/>
        <v>0</v>
      </c>
    </row>
    <row r="369" spans="1:5" x14ac:dyDescent="0.25">
      <c r="A369" s="435" t="s">
        <v>2463</v>
      </c>
      <c r="B369" s="498">
        <v>38587.769999999997</v>
      </c>
      <c r="D369" s="498">
        <f>VLOOKUP(A369,Maksājumu_pieprasījumu_iesn.!G:BL,40,0)</f>
        <v>38587.769999999997</v>
      </c>
      <c r="E369" s="498">
        <f t="shared" si="5"/>
        <v>0</v>
      </c>
    </row>
    <row r="370" spans="1:5" x14ac:dyDescent="0.25">
      <c r="A370" s="435" t="s">
        <v>2470</v>
      </c>
      <c r="B370" s="498">
        <v>8505.89</v>
      </c>
      <c r="D370" s="498">
        <f>VLOOKUP(A370,Maksājumu_pieprasījumu_iesn.!G:BL,40,0)</f>
        <v>8505.89</v>
      </c>
      <c r="E370" s="498">
        <f t="shared" si="5"/>
        <v>0</v>
      </c>
    </row>
    <row r="371" spans="1:5" x14ac:dyDescent="0.25">
      <c r="A371" s="435" t="s">
        <v>445</v>
      </c>
      <c r="B371" s="498">
        <v>3781.67</v>
      </c>
      <c r="D371" s="498">
        <f>VLOOKUP(A371,Maksājumu_pieprasījumu_iesn.!G:BL,40,0)</f>
        <v>3781.6800000000003</v>
      </c>
      <c r="E371" s="498">
        <f t="shared" si="5"/>
        <v>1.0000000000218279E-2</v>
      </c>
    </row>
    <row r="372" spans="1:5" x14ac:dyDescent="0.25">
      <c r="A372" s="435" t="s">
        <v>2474</v>
      </c>
      <c r="B372" s="498">
        <v>7444.49</v>
      </c>
      <c r="D372" s="498">
        <f>VLOOKUP(A372,Maksājumu_pieprasījumu_iesn.!G:BL,40,0)</f>
        <v>7444.49</v>
      </c>
      <c r="E372" s="498">
        <f t="shared" si="5"/>
        <v>0</v>
      </c>
    </row>
    <row r="373" spans="1:5" x14ac:dyDescent="0.25">
      <c r="A373" s="435" t="s">
        <v>2478</v>
      </c>
      <c r="B373" s="498">
        <v>15449.39</v>
      </c>
      <c r="D373" s="498">
        <f>VLOOKUP(A373,Maksājumu_pieprasījumu_iesn.!G:BL,40,0)</f>
        <v>15449.39</v>
      </c>
      <c r="E373" s="498">
        <f t="shared" si="5"/>
        <v>0</v>
      </c>
    </row>
    <row r="374" spans="1:5" x14ac:dyDescent="0.25">
      <c r="A374" s="435" t="s">
        <v>734</v>
      </c>
      <c r="B374" s="498">
        <v>59710.590000000004</v>
      </c>
      <c r="D374" s="498">
        <f>VLOOKUP(A374,Maksājumu_pieprasījumu_iesn.!G:BL,40,0)</f>
        <v>59710.590000000004</v>
      </c>
      <c r="E374" s="498">
        <f t="shared" si="5"/>
        <v>0</v>
      </c>
    </row>
    <row r="375" spans="1:5" x14ac:dyDescent="0.25">
      <c r="A375" s="435" t="s">
        <v>797</v>
      </c>
      <c r="B375" s="498">
        <v>59898.42</v>
      </c>
      <c r="D375" s="498">
        <f>VLOOKUP(A375,Maksājumu_pieprasījumu_iesn.!G:BL,40,0)</f>
        <v>59898.42</v>
      </c>
      <c r="E375" s="498">
        <f t="shared" si="5"/>
        <v>0</v>
      </c>
    </row>
    <row r="376" spans="1:5" x14ac:dyDescent="0.25">
      <c r="A376" s="435" t="s">
        <v>798</v>
      </c>
      <c r="B376" s="498">
        <v>11179.51</v>
      </c>
      <c r="D376" s="498">
        <f>VLOOKUP(A376,Maksājumu_pieprasījumu_iesn.!G:BL,40,0)</f>
        <v>11179.51</v>
      </c>
      <c r="E376" s="498">
        <f t="shared" si="5"/>
        <v>0</v>
      </c>
    </row>
    <row r="377" spans="1:5" x14ac:dyDescent="0.25">
      <c r="A377" s="435" t="s">
        <v>799</v>
      </c>
      <c r="B377" s="498">
        <v>35563.01</v>
      </c>
      <c r="D377" s="498">
        <f>VLOOKUP(A377,Maksājumu_pieprasījumu_iesn.!G:BL,40,0)</f>
        <v>35563.01</v>
      </c>
      <c r="E377" s="498">
        <f t="shared" si="5"/>
        <v>0</v>
      </c>
    </row>
    <row r="378" spans="1:5" x14ac:dyDescent="0.25">
      <c r="A378" s="435" t="s">
        <v>884</v>
      </c>
      <c r="B378" s="498">
        <v>57821.88</v>
      </c>
      <c r="D378" s="498">
        <f>VLOOKUP(A378,Maksājumu_pieprasījumu_iesn.!G:BL,40,0)</f>
        <v>57821.88</v>
      </c>
      <c r="E378" s="498">
        <f t="shared" si="5"/>
        <v>0</v>
      </c>
    </row>
    <row r="379" spans="1:5" x14ac:dyDescent="0.25">
      <c r="A379" s="435" t="s">
        <v>2853</v>
      </c>
      <c r="B379" s="498">
        <v>7069.51</v>
      </c>
      <c r="D379" s="498">
        <f>VLOOKUP(A379,Maksājumu_pieprasījumu_iesn.!G:BL,40,0)</f>
        <v>7069.51</v>
      </c>
      <c r="E379" s="498">
        <f t="shared" si="5"/>
        <v>0</v>
      </c>
    </row>
    <row r="380" spans="1:5" x14ac:dyDescent="0.25">
      <c r="A380" s="435" t="s">
        <v>450</v>
      </c>
      <c r="B380" s="498">
        <v>2576.52</v>
      </c>
      <c r="D380" s="498">
        <f>VLOOKUP(A380,Maksājumu_pieprasījumu_iesn.!G:BL,40,0)</f>
        <v>2576.52</v>
      </c>
      <c r="E380" s="498">
        <f t="shared" si="5"/>
        <v>0</v>
      </c>
    </row>
    <row r="381" spans="1:5" x14ac:dyDescent="0.25">
      <c r="A381" s="435" t="s">
        <v>2822</v>
      </c>
      <c r="B381" s="498">
        <v>703302.1</v>
      </c>
      <c r="D381" s="498">
        <f>VLOOKUP(A381,Maksājumu_pieprasījumu_iesn.!G:BL,40,0)</f>
        <v>703302.1</v>
      </c>
      <c r="E381" s="498">
        <f t="shared" si="5"/>
        <v>0</v>
      </c>
    </row>
    <row r="382" spans="1:5" x14ac:dyDescent="0.25">
      <c r="A382" s="435" t="s">
        <v>2814</v>
      </c>
      <c r="B382" s="498">
        <v>1000000</v>
      </c>
      <c r="D382" s="498">
        <f>VLOOKUP(A382,Maksājumu_pieprasījumu_iesn.!G:BL,40,0)</f>
        <v>1000000</v>
      </c>
      <c r="E382" s="498">
        <f t="shared" si="5"/>
        <v>0</v>
      </c>
    </row>
    <row r="383" spans="1:5" x14ac:dyDescent="0.25">
      <c r="A383" s="435" t="s">
        <v>2824</v>
      </c>
      <c r="B383" s="498">
        <v>13796.75</v>
      </c>
      <c r="D383" s="498">
        <f>VLOOKUP(A383,Maksājumu_pieprasījumu_iesn.!G:BL,40,0)</f>
        <v>13796.75</v>
      </c>
      <c r="E383" s="498">
        <f t="shared" si="5"/>
        <v>0</v>
      </c>
    </row>
    <row r="384" spans="1:5" x14ac:dyDescent="0.25">
      <c r="A384" s="435" t="s">
        <v>2854</v>
      </c>
      <c r="B384" s="498">
        <v>506019.53</v>
      </c>
      <c r="D384" s="498">
        <f>VLOOKUP(A384,Maksājumu_pieprasījumu_iesn.!G:BL,40,0)</f>
        <v>506019.53</v>
      </c>
      <c r="E384" s="498">
        <f t="shared" si="5"/>
        <v>0</v>
      </c>
    </row>
    <row r="385" spans="1:5" x14ac:dyDescent="0.25">
      <c r="A385" s="435" t="s">
        <v>2857</v>
      </c>
      <c r="B385" s="498">
        <v>73009.87</v>
      </c>
      <c r="D385" s="498">
        <f>VLOOKUP(A385,Maksājumu_pieprasījumu_iesn.!G:BL,40,0)</f>
        <v>73009.87</v>
      </c>
      <c r="E385" s="498">
        <f>D385-B385</f>
        <v>0</v>
      </c>
    </row>
    <row r="386" spans="1:5" x14ac:dyDescent="0.25">
      <c r="A386" s="435" t="s">
        <v>2858</v>
      </c>
      <c r="B386" s="498">
        <v>258644746.49000007</v>
      </c>
      <c r="D386" s="498" t="e">
        <f>VLOOKUP(A386,Maksājumu_pieprasījumu_iesn.!G:BL,40,0)</f>
        <v>#N/A</v>
      </c>
    </row>
    <row r="387" spans="1:5" x14ac:dyDescent="0.25">
      <c r="A387" s="435"/>
    </row>
    <row r="388" spans="1:5" x14ac:dyDescent="0.25">
      <c r="A388" s="435"/>
    </row>
    <row r="389" spans="1:5" x14ac:dyDescent="0.25">
      <c r="A389" s="435"/>
    </row>
    <row r="390" spans="1:5" x14ac:dyDescent="0.25">
      <c r="A390" s="435"/>
    </row>
    <row r="391" spans="1:5" x14ac:dyDescent="0.25">
      <c r="A391" s="435"/>
    </row>
    <row r="392" spans="1:5" x14ac:dyDescent="0.25">
      <c r="A392" s="435"/>
    </row>
  </sheetData>
  <autoFilter ref="A1:E386"/>
  <customSheetViews>
    <customSheetView guid="{31BFF91F-CC67-47B5-A533-CBCA2A3DFD88}" showAutoFilter="1" state="hidden" topLeftCell="A97">
      <selection activeCell="A387" sqref="A387:XFD387"/>
      <pageMargins left="0.7" right="0.7" top="0.75" bottom="0.75" header="0.3" footer="0.3"/>
      <autoFilter ref="A1:E386"/>
    </customSheetView>
    <customSheetView guid="{1CE1816D-2CE4-45E4-84A5-7ECDB5D0D0D3}" showAutoFilter="1" state="hidden" topLeftCell="A97">
      <selection activeCell="A387" sqref="A387:XFD387"/>
      <pageMargins left="0.7" right="0.7" top="0.75" bottom="0.75" header="0.3" footer="0.3"/>
      <autoFilter ref="A1:E386"/>
    </customSheetView>
    <customSheetView guid="{C7376C49-7C70-4EE7-9CF7-79151FBD2399}" showAutoFilter="1" state="hidden" topLeftCell="A97">
      <selection activeCell="A387" sqref="A387:XFD387"/>
      <pageMargins left="0.7" right="0.7" top="0.75" bottom="0.75" header="0.3" footer="0.3"/>
      <autoFilter ref="A1:E386"/>
    </customSheetView>
  </customSheetView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6"/>
  <sheetViews>
    <sheetView topLeftCell="A192" workbookViewId="0">
      <selection activeCell="J211" sqref="J211"/>
    </sheetView>
  </sheetViews>
  <sheetFormatPr defaultRowHeight="15.75" x14ac:dyDescent="0.25"/>
  <cols>
    <col min="1" max="1" width="16.25" bestFit="1" customWidth="1"/>
    <col min="2" max="2" width="17.75" style="498" bestFit="1" customWidth="1"/>
    <col min="3" max="3" width="10.75" style="498" customWidth="1"/>
    <col min="4" max="4" width="9.875" style="498" bestFit="1" customWidth="1"/>
    <col min="5" max="5" width="16.25" bestFit="1" customWidth="1"/>
    <col min="6" max="6" width="10.875" bestFit="1" customWidth="1"/>
  </cols>
  <sheetData>
    <row r="1" spans="1:5" x14ac:dyDescent="0.25">
      <c r="A1" t="s">
        <v>2680</v>
      </c>
      <c r="B1" s="498" t="s">
        <v>2876</v>
      </c>
    </row>
    <row r="2" spans="1:5" x14ac:dyDescent="0.25">
      <c r="A2" s="435" t="s">
        <v>2779</v>
      </c>
      <c r="B2" s="498">
        <v>1248797.07</v>
      </c>
      <c r="D2" s="498">
        <f>VLOOKUP(A2,Maksājumu_pieprasījumu_iesn.!G:BL,37,0)</f>
        <v>1248797.07</v>
      </c>
      <c r="E2" s="498">
        <f>D2-B2</f>
        <v>0</v>
      </c>
    </row>
    <row r="3" spans="1:5" x14ac:dyDescent="0.25">
      <c r="A3" s="435" t="s">
        <v>2845</v>
      </c>
      <c r="B3" s="498">
        <v>144639.31</v>
      </c>
      <c r="D3" s="498">
        <f>VLOOKUP(A3,Maksājumu_pieprasījumu_iesn.!G:BL,37,0)</f>
        <v>144639.31</v>
      </c>
      <c r="E3" s="498">
        <f t="shared" ref="E3:E66" si="0">D3-B3</f>
        <v>0</v>
      </c>
    </row>
    <row r="4" spans="1:5" x14ac:dyDescent="0.25">
      <c r="A4" s="435" t="s">
        <v>656</v>
      </c>
      <c r="B4" s="498">
        <v>220658.22</v>
      </c>
      <c r="D4" s="498">
        <f>VLOOKUP(A4,Maksājumu_pieprasījumu_iesn.!G:BL,37,0)</f>
        <v>220658.22</v>
      </c>
      <c r="E4" s="498">
        <f t="shared" si="0"/>
        <v>0</v>
      </c>
    </row>
    <row r="5" spans="1:5" x14ac:dyDescent="0.25">
      <c r="A5" s="435" t="s">
        <v>455</v>
      </c>
      <c r="B5" s="498">
        <v>64429.96</v>
      </c>
      <c r="D5" s="498">
        <f>VLOOKUP(A5,Maksājumu_pieprasījumu_iesn.!G:BL,37,0)</f>
        <v>64429.96</v>
      </c>
      <c r="E5" s="498">
        <f t="shared" si="0"/>
        <v>0</v>
      </c>
    </row>
    <row r="6" spans="1:5" x14ac:dyDescent="0.25">
      <c r="A6" s="435" t="s">
        <v>460</v>
      </c>
      <c r="B6" s="498">
        <v>40846.339999999997</v>
      </c>
      <c r="D6" s="498">
        <f>VLOOKUP(A6,Maksājumu_pieprasījumu_iesn.!G:BL,37,0)</f>
        <v>40846.339999999997</v>
      </c>
      <c r="E6" s="498">
        <f t="shared" si="0"/>
        <v>0</v>
      </c>
    </row>
    <row r="7" spans="1:5" x14ac:dyDescent="0.25">
      <c r="A7" s="435" t="s">
        <v>463</v>
      </c>
      <c r="B7" s="498">
        <v>90.18</v>
      </c>
      <c r="D7" s="498">
        <f>VLOOKUP(A7,Maksājumu_pieprasījumu_iesn.!G:BL,37,0)</f>
        <v>90.18</v>
      </c>
      <c r="E7" s="498">
        <f t="shared" si="0"/>
        <v>0</v>
      </c>
    </row>
    <row r="8" spans="1:5" x14ac:dyDescent="0.25">
      <c r="A8" s="435" t="s">
        <v>467</v>
      </c>
      <c r="B8" s="498">
        <v>2684.05</v>
      </c>
      <c r="D8" s="498">
        <f>VLOOKUP(A8,Maksājumu_pieprasījumu_iesn.!G:BL,37,0)</f>
        <v>2684.05</v>
      </c>
      <c r="E8" s="498">
        <f t="shared" si="0"/>
        <v>0</v>
      </c>
    </row>
    <row r="9" spans="1:5" x14ac:dyDescent="0.25">
      <c r="A9" s="435" t="s">
        <v>470</v>
      </c>
      <c r="B9" s="498">
        <v>3074.95</v>
      </c>
      <c r="D9" s="498">
        <f>VLOOKUP(A9,Maksājumu_pieprasījumu_iesn.!G:BL,37,0)</f>
        <v>3074.95</v>
      </c>
      <c r="E9" s="498">
        <f t="shared" si="0"/>
        <v>0</v>
      </c>
    </row>
    <row r="10" spans="1:5" x14ac:dyDescent="0.25">
      <c r="A10" s="435" t="s">
        <v>472</v>
      </c>
      <c r="B10" s="498">
        <v>6022.09</v>
      </c>
      <c r="D10" s="498">
        <f>VLOOKUP(A10,Maksājumu_pieprasījumu_iesn.!G:BL,37,0)</f>
        <v>6022.09</v>
      </c>
      <c r="E10" s="498">
        <f t="shared" si="0"/>
        <v>0</v>
      </c>
    </row>
    <row r="11" spans="1:5" x14ac:dyDescent="0.25">
      <c r="A11" s="435" t="s">
        <v>476</v>
      </c>
      <c r="B11" s="498">
        <v>145</v>
      </c>
      <c r="D11" s="498">
        <f>VLOOKUP(A11,Maksājumu_pieprasījumu_iesn.!G:BL,37,0)</f>
        <v>145</v>
      </c>
      <c r="E11" s="498">
        <f t="shared" si="0"/>
        <v>0</v>
      </c>
    </row>
    <row r="12" spans="1:5" x14ac:dyDescent="0.25">
      <c r="A12" s="435" t="s">
        <v>479</v>
      </c>
      <c r="B12" s="498">
        <v>10247.540000000001</v>
      </c>
      <c r="D12" s="498">
        <f>VLOOKUP(A12,Maksājumu_pieprasījumu_iesn.!G:BL,37,0)</f>
        <v>10247.540000000001</v>
      </c>
      <c r="E12" s="498">
        <f t="shared" si="0"/>
        <v>0</v>
      </c>
    </row>
    <row r="13" spans="1:5" x14ac:dyDescent="0.25">
      <c r="A13" s="435" t="s">
        <v>483</v>
      </c>
      <c r="B13" s="498">
        <v>13755.58</v>
      </c>
      <c r="D13" s="498">
        <f>VLOOKUP(A13,Maksājumu_pieprasījumu_iesn.!G:BL,37,0)</f>
        <v>13755.58</v>
      </c>
      <c r="E13" s="498">
        <f t="shared" si="0"/>
        <v>0</v>
      </c>
    </row>
    <row r="14" spans="1:5" x14ac:dyDescent="0.25">
      <c r="A14" s="435" t="s">
        <v>487</v>
      </c>
      <c r="B14" s="498">
        <v>3129.13</v>
      </c>
      <c r="D14" s="498">
        <f>VLOOKUP(A14,Maksājumu_pieprasījumu_iesn.!G:BL,37,0)</f>
        <v>3129.13</v>
      </c>
      <c r="E14" s="498">
        <f t="shared" si="0"/>
        <v>0</v>
      </c>
    </row>
    <row r="15" spans="1:5" x14ac:dyDescent="0.25">
      <c r="A15" s="435" t="s">
        <v>490</v>
      </c>
      <c r="B15" s="498">
        <v>30817.54</v>
      </c>
      <c r="D15" s="498">
        <f>VLOOKUP(A15,Maksājumu_pieprasījumu_iesn.!G:BL,37,0)</f>
        <v>30817.54</v>
      </c>
      <c r="E15" s="498">
        <f t="shared" si="0"/>
        <v>0</v>
      </c>
    </row>
    <row r="16" spans="1:5" x14ac:dyDescent="0.25">
      <c r="A16" s="435" t="s">
        <v>493</v>
      </c>
      <c r="B16" s="498">
        <v>33570.67</v>
      </c>
      <c r="D16" s="498">
        <f>VLOOKUP(A16,Maksājumu_pieprasījumu_iesn.!G:BL,37,0)</f>
        <v>33570.67</v>
      </c>
      <c r="E16" s="498">
        <f t="shared" si="0"/>
        <v>0</v>
      </c>
    </row>
    <row r="17" spans="1:5" x14ac:dyDescent="0.25">
      <c r="A17" s="435" t="s">
        <v>498</v>
      </c>
      <c r="B17" s="498">
        <v>3122.7</v>
      </c>
      <c r="D17" s="498">
        <f>VLOOKUP(A17,Maksājumu_pieprasījumu_iesn.!G:BL,37,0)</f>
        <v>3122.7</v>
      </c>
      <c r="E17" s="498">
        <f t="shared" si="0"/>
        <v>0</v>
      </c>
    </row>
    <row r="18" spans="1:5" x14ac:dyDescent="0.25">
      <c r="A18" s="435" t="s">
        <v>501</v>
      </c>
      <c r="B18" s="498">
        <v>35338.120000000003</v>
      </c>
      <c r="D18" s="498">
        <f>VLOOKUP(A18,Maksājumu_pieprasījumu_iesn.!G:BL,37,0)</f>
        <v>35338.120000000003</v>
      </c>
      <c r="E18" s="498">
        <f t="shared" si="0"/>
        <v>0</v>
      </c>
    </row>
    <row r="19" spans="1:5" x14ac:dyDescent="0.25">
      <c r="A19" s="435" t="s">
        <v>503</v>
      </c>
      <c r="B19" s="498">
        <v>12491.54</v>
      </c>
      <c r="D19" s="498">
        <f>VLOOKUP(A19,Maksājumu_pieprasījumu_iesn.!G:BL,37,0)</f>
        <v>12491.54</v>
      </c>
      <c r="E19" s="498">
        <f t="shared" si="0"/>
        <v>0</v>
      </c>
    </row>
    <row r="20" spans="1:5" x14ac:dyDescent="0.25">
      <c r="A20" s="435" t="s">
        <v>887</v>
      </c>
      <c r="B20" s="498">
        <v>4894.66</v>
      </c>
      <c r="D20" s="498">
        <f>VLOOKUP(A20,Maksājumu_pieprasījumu_iesn.!G:BL,37,0)</f>
        <v>4894.66</v>
      </c>
      <c r="E20" s="498">
        <f t="shared" si="0"/>
        <v>0</v>
      </c>
    </row>
    <row r="21" spans="1:5" x14ac:dyDescent="0.25">
      <c r="A21" s="435" t="s">
        <v>510</v>
      </c>
      <c r="B21" s="498">
        <v>233817.63</v>
      </c>
      <c r="D21" s="498">
        <f>VLOOKUP(A21,Maksājumu_pieprasījumu_iesn.!G:BL,37,0)</f>
        <v>233817.63</v>
      </c>
      <c r="E21" s="498">
        <f t="shared" si="0"/>
        <v>0</v>
      </c>
    </row>
    <row r="22" spans="1:5" x14ac:dyDescent="0.25">
      <c r="A22" s="435" t="s">
        <v>514</v>
      </c>
      <c r="B22" s="498">
        <v>30725.58</v>
      </c>
      <c r="D22" s="498">
        <f>VLOOKUP(A22,Maksājumu_pieprasījumu_iesn.!G:BL,37,0)</f>
        <v>30725.58</v>
      </c>
      <c r="E22" s="498">
        <f t="shared" si="0"/>
        <v>0</v>
      </c>
    </row>
    <row r="23" spans="1:5" x14ac:dyDescent="0.25">
      <c r="A23" s="435" t="s">
        <v>516</v>
      </c>
      <c r="B23" s="498">
        <v>127447.67</v>
      </c>
      <c r="D23" s="498">
        <f>VLOOKUP(A23,Maksājumu_pieprasījumu_iesn.!G:BL,37,0)</f>
        <v>127447.67</v>
      </c>
      <c r="E23" s="498">
        <f t="shared" si="0"/>
        <v>0</v>
      </c>
    </row>
    <row r="24" spans="1:5" x14ac:dyDescent="0.25">
      <c r="A24" s="435" t="s">
        <v>518</v>
      </c>
      <c r="B24" s="498">
        <v>3313.84</v>
      </c>
      <c r="D24" s="498">
        <f>VLOOKUP(A24,Maksājumu_pieprasījumu_iesn.!G:BL,37,0)</f>
        <v>3313.84</v>
      </c>
      <c r="E24" s="498">
        <f t="shared" si="0"/>
        <v>0</v>
      </c>
    </row>
    <row r="25" spans="1:5" x14ac:dyDescent="0.25">
      <c r="A25" s="435" t="s">
        <v>521</v>
      </c>
      <c r="B25" s="498">
        <v>68657.72</v>
      </c>
      <c r="D25" s="498">
        <f>VLOOKUP(A25,Maksājumu_pieprasījumu_iesn.!G:BL,37,0)</f>
        <v>68657.72</v>
      </c>
      <c r="E25" s="498">
        <f t="shared" si="0"/>
        <v>0</v>
      </c>
    </row>
    <row r="26" spans="1:5" x14ac:dyDescent="0.25">
      <c r="A26" s="435" t="s">
        <v>523</v>
      </c>
      <c r="B26" s="498">
        <v>2739.59</v>
      </c>
      <c r="D26" s="498">
        <f>VLOOKUP(A26,Maksājumu_pieprasījumu_iesn.!G:BL,37,0)</f>
        <v>2739.59</v>
      </c>
      <c r="E26" s="498">
        <f t="shared" si="0"/>
        <v>0</v>
      </c>
    </row>
    <row r="27" spans="1:5" x14ac:dyDescent="0.25">
      <c r="A27" s="435" t="s">
        <v>526</v>
      </c>
      <c r="B27" s="498">
        <v>2978.24</v>
      </c>
      <c r="D27" s="498">
        <f>VLOOKUP(A27,Maksājumu_pieprasījumu_iesn.!G:BL,37,0)</f>
        <v>2978.24</v>
      </c>
      <c r="E27" s="498">
        <f t="shared" si="0"/>
        <v>0</v>
      </c>
    </row>
    <row r="28" spans="1:5" x14ac:dyDescent="0.25">
      <c r="A28" s="435" t="s">
        <v>529</v>
      </c>
      <c r="B28" s="498">
        <v>3448.79</v>
      </c>
      <c r="D28" s="498">
        <f>VLOOKUP(A28,Maksājumu_pieprasījumu_iesn.!G:BL,37,0)</f>
        <v>3448.79</v>
      </c>
      <c r="E28" s="498">
        <f t="shared" si="0"/>
        <v>0</v>
      </c>
    </row>
    <row r="29" spans="1:5" x14ac:dyDescent="0.25">
      <c r="A29" s="435" t="s">
        <v>532</v>
      </c>
      <c r="B29" s="498">
        <v>194421.18</v>
      </c>
      <c r="D29" s="498">
        <f>VLOOKUP(A29,Maksājumu_pieprasījumu_iesn.!G:BL,37,0)</f>
        <v>194421.18</v>
      </c>
      <c r="E29" s="498">
        <f t="shared" si="0"/>
        <v>0</v>
      </c>
    </row>
    <row r="30" spans="1:5" x14ac:dyDescent="0.25">
      <c r="A30" s="435" t="s">
        <v>539</v>
      </c>
      <c r="B30" s="498">
        <v>94851.25</v>
      </c>
      <c r="D30" s="498">
        <f>VLOOKUP(A30,Maksājumu_pieprasījumu_iesn.!G:BL,37,0)</f>
        <v>94851.25</v>
      </c>
      <c r="E30" s="498">
        <f t="shared" si="0"/>
        <v>0</v>
      </c>
    </row>
    <row r="31" spans="1:5" x14ac:dyDescent="0.25">
      <c r="A31" s="435" t="s">
        <v>543</v>
      </c>
      <c r="B31" s="498">
        <v>7921.45</v>
      </c>
      <c r="D31" s="498">
        <f>VLOOKUP(A31,Maksājumu_pieprasījumu_iesn.!G:BL,37,0)</f>
        <v>7921.45</v>
      </c>
      <c r="E31" s="498">
        <f t="shared" si="0"/>
        <v>0</v>
      </c>
    </row>
    <row r="32" spans="1:5" x14ac:dyDescent="0.25">
      <c r="A32" s="435" t="s">
        <v>547</v>
      </c>
      <c r="B32" s="498">
        <v>6634.61</v>
      </c>
      <c r="D32" s="498">
        <f>VLOOKUP(A32,Maksājumu_pieprasījumu_iesn.!G:BL,37,0)</f>
        <v>6634.61</v>
      </c>
      <c r="E32" s="498">
        <f t="shared" si="0"/>
        <v>0</v>
      </c>
    </row>
    <row r="33" spans="1:5" x14ac:dyDescent="0.25">
      <c r="A33" s="435" t="s">
        <v>30</v>
      </c>
      <c r="B33" s="498">
        <v>118663.74</v>
      </c>
      <c r="D33" s="498">
        <f>VLOOKUP(A33,Maksājumu_pieprasījumu_iesn.!G:BL,37,0)</f>
        <v>118663.74</v>
      </c>
      <c r="E33" s="498">
        <f t="shared" si="0"/>
        <v>0</v>
      </c>
    </row>
    <row r="34" spans="1:5" x14ac:dyDescent="0.25">
      <c r="A34" s="435" t="s">
        <v>36</v>
      </c>
      <c r="B34" s="498">
        <v>135948.32999999999</v>
      </c>
      <c r="D34" s="498">
        <f>VLOOKUP(A34,Maksājumu_pieprasījumu_iesn.!G:BL,37,0)</f>
        <v>135948.32999999999</v>
      </c>
      <c r="E34" s="498">
        <f t="shared" si="0"/>
        <v>0</v>
      </c>
    </row>
    <row r="35" spans="1:5" x14ac:dyDescent="0.25">
      <c r="A35" s="435" t="s">
        <v>743</v>
      </c>
      <c r="B35" s="498">
        <v>162761.07999999999</v>
      </c>
      <c r="D35" s="498">
        <f>VLOOKUP(A35,Maksājumu_pieprasījumu_iesn.!G:BL,37,0)</f>
        <v>162761.07999999999</v>
      </c>
      <c r="E35" s="498">
        <f t="shared" si="0"/>
        <v>0</v>
      </c>
    </row>
    <row r="36" spans="1:5" x14ac:dyDescent="0.25">
      <c r="A36" s="435" t="s">
        <v>1097</v>
      </c>
      <c r="B36" s="498">
        <v>471623.27</v>
      </c>
      <c r="D36" s="498">
        <f>VLOOKUP(A36,Maksājumu_pieprasījumu_iesn.!G:BL,37,0)</f>
        <v>471623.27</v>
      </c>
      <c r="E36" s="498">
        <f t="shared" si="0"/>
        <v>0</v>
      </c>
    </row>
    <row r="37" spans="1:5" x14ac:dyDescent="0.25">
      <c r="A37" s="435" t="s">
        <v>45</v>
      </c>
      <c r="B37" s="498">
        <v>554416.72</v>
      </c>
      <c r="D37" s="498">
        <f>VLOOKUP(A37,Maksājumu_pieprasījumu_iesn.!G:BL,37,0)</f>
        <v>554416.72</v>
      </c>
      <c r="E37" s="498">
        <f t="shared" si="0"/>
        <v>0</v>
      </c>
    </row>
    <row r="38" spans="1:5" x14ac:dyDescent="0.25">
      <c r="A38" s="435" t="s">
        <v>55</v>
      </c>
      <c r="B38" s="498">
        <v>280484.78999999998</v>
      </c>
      <c r="D38" s="498">
        <f>VLOOKUP(A38,Maksājumu_pieprasījumu_iesn.!G:BL,37,0)</f>
        <v>280484.78999999998</v>
      </c>
      <c r="E38" s="498">
        <f t="shared" si="0"/>
        <v>0</v>
      </c>
    </row>
    <row r="39" spans="1:5" x14ac:dyDescent="0.25">
      <c r="A39" s="435" t="s">
        <v>62</v>
      </c>
      <c r="B39" s="498">
        <v>56795.13</v>
      </c>
      <c r="D39" s="498">
        <f>VLOOKUP(A39,Maksājumu_pieprasījumu_iesn.!G:BL,37,0)</f>
        <v>56795.13</v>
      </c>
      <c r="E39" s="498">
        <f t="shared" si="0"/>
        <v>0</v>
      </c>
    </row>
    <row r="40" spans="1:5" x14ac:dyDescent="0.25">
      <c r="A40" s="435" t="s">
        <v>661</v>
      </c>
      <c r="B40" s="498">
        <v>110007.18</v>
      </c>
      <c r="D40" s="498">
        <f>VLOOKUP(A40,Maksājumu_pieprasījumu_iesn.!G:BL,37,0)</f>
        <v>110007.18</v>
      </c>
      <c r="E40" s="498">
        <f t="shared" si="0"/>
        <v>0</v>
      </c>
    </row>
    <row r="41" spans="1:5" x14ac:dyDescent="0.25">
      <c r="A41" s="435" t="s">
        <v>59</v>
      </c>
      <c r="B41" s="498">
        <v>809083.95</v>
      </c>
      <c r="D41" s="498">
        <f>VLOOKUP(A41,Maksājumu_pieprasījumu_iesn.!G:BL,37,0)</f>
        <v>809083.95</v>
      </c>
      <c r="E41" s="498">
        <f t="shared" si="0"/>
        <v>0</v>
      </c>
    </row>
    <row r="42" spans="1:5" x14ac:dyDescent="0.25">
      <c r="A42" s="435" t="s">
        <v>65</v>
      </c>
      <c r="B42" s="498">
        <v>159996.89000000001</v>
      </c>
      <c r="D42" s="498">
        <f>VLOOKUP(A42,Maksājumu_pieprasījumu_iesn.!G:BL,37,0)</f>
        <v>159996.89000000001</v>
      </c>
      <c r="E42" s="498">
        <f t="shared" si="0"/>
        <v>0</v>
      </c>
    </row>
    <row r="43" spans="1:5" x14ac:dyDescent="0.25">
      <c r="A43" s="435" t="s">
        <v>859</v>
      </c>
      <c r="B43" s="498">
        <v>80203.740000000005</v>
      </c>
      <c r="D43" s="498">
        <f>VLOOKUP(A43,Maksājumu_pieprasījumu_iesn.!G:BL,37,0)</f>
        <v>80203.740000000005</v>
      </c>
      <c r="E43" s="498">
        <f t="shared" si="0"/>
        <v>0</v>
      </c>
    </row>
    <row r="44" spans="1:5" x14ac:dyDescent="0.25">
      <c r="A44" s="435" t="s">
        <v>899</v>
      </c>
      <c r="B44" s="498">
        <v>143875.67000000001</v>
      </c>
      <c r="D44" s="498">
        <f>VLOOKUP(A44,Maksājumu_pieprasījumu_iesn.!G:BL,37,0)</f>
        <v>143875.67000000001</v>
      </c>
      <c r="E44" s="498">
        <f t="shared" si="0"/>
        <v>0</v>
      </c>
    </row>
    <row r="45" spans="1:5" x14ac:dyDescent="0.25">
      <c r="A45" s="435" t="s">
        <v>667</v>
      </c>
      <c r="B45" s="498">
        <v>338134.66</v>
      </c>
      <c r="D45" s="498">
        <f>VLOOKUP(A45,Maksājumu_pieprasījumu_iesn.!G:BL,37,0)</f>
        <v>338134.66</v>
      </c>
      <c r="E45" s="498">
        <f t="shared" si="0"/>
        <v>0</v>
      </c>
    </row>
    <row r="46" spans="1:5" x14ac:dyDescent="0.25">
      <c r="A46" s="435" t="s">
        <v>676</v>
      </c>
      <c r="B46" s="498">
        <v>4642.53</v>
      </c>
      <c r="D46" s="498">
        <f>VLOOKUP(A46,Maksājumu_pieprasījumu_iesn.!G:BL,37,0)</f>
        <v>4642.53</v>
      </c>
      <c r="E46" s="498">
        <f t="shared" si="0"/>
        <v>0</v>
      </c>
    </row>
    <row r="47" spans="1:5" x14ac:dyDescent="0.25">
      <c r="A47" s="435" t="s">
        <v>1206</v>
      </c>
      <c r="B47" s="498">
        <v>822325.78</v>
      </c>
      <c r="D47" s="498">
        <f>VLOOKUP(A47,Maksājumu_pieprasījumu_iesn.!G:BL,37,0)</f>
        <v>822325.78</v>
      </c>
      <c r="E47" s="498">
        <f t="shared" si="0"/>
        <v>0</v>
      </c>
    </row>
    <row r="48" spans="1:5" x14ac:dyDescent="0.25">
      <c r="A48" s="435" t="s">
        <v>1303</v>
      </c>
      <c r="B48" s="498">
        <v>408623.45</v>
      </c>
      <c r="D48" s="498">
        <f>VLOOKUP(A48,Maksājumu_pieprasījumu_iesn.!G:BL,37,0)</f>
        <v>408623.45</v>
      </c>
      <c r="E48" s="498">
        <f t="shared" si="0"/>
        <v>0</v>
      </c>
    </row>
    <row r="49" spans="1:5" x14ac:dyDescent="0.25">
      <c r="A49" s="435" t="s">
        <v>1336</v>
      </c>
      <c r="B49" s="498">
        <v>384218.1</v>
      </c>
      <c r="D49" s="498">
        <f>VLOOKUP(A49,Maksājumu_pieprasījumu_iesn.!G:BL,37,0)</f>
        <v>384218.1</v>
      </c>
      <c r="E49" s="498">
        <f t="shared" si="0"/>
        <v>0</v>
      </c>
    </row>
    <row r="50" spans="1:5" x14ac:dyDescent="0.25">
      <c r="A50" s="435" t="s">
        <v>2780</v>
      </c>
      <c r="B50" s="498">
        <v>383000</v>
      </c>
      <c r="D50" s="498">
        <f>VLOOKUP(A50,Maksājumu_pieprasījumu_iesn.!G:BL,37,0)</f>
        <v>383000</v>
      </c>
      <c r="E50" s="498">
        <f t="shared" si="0"/>
        <v>0</v>
      </c>
    </row>
    <row r="51" spans="1:5" x14ac:dyDescent="0.25">
      <c r="A51" s="435" t="s">
        <v>943</v>
      </c>
      <c r="B51" s="498">
        <v>100000</v>
      </c>
      <c r="D51" s="498">
        <f>VLOOKUP(A51,Maksājumu_pieprasījumu_iesn.!G:BL,37,0)</f>
        <v>100000</v>
      </c>
      <c r="E51" s="498">
        <f t="shared" si="0"/>
        <v>0</v>
      </c>
    </row>
    <row r="52" spans="1:5" x14ac:dyDescent="0.25">
      <c r="A52" s="435" t="s">
        <v>615</v>
      </c>
      <c r="B52" s="498">
        <v>256882.37</v>
      </c>
      <c r="D52" s="498">
        <f>VLOOKUP(A52,Maksājumu_pieprasījumu_iesn.!G:BL,37,0)</f>
        <v>256882.37</v>
      </c>
      <c r="E52" s="498">
        <f t="shared" si="0"/>
        <v>0</v>
      </c>
    </row>
    <row r="53" spans="1:5" x14ac:dyDescent="0.25">
      <c r="A53" s="435" t="s">
        <v>78</v>
      </c>
      <c r="B53" s="498">
        <v>106247.98</v>
      </c>
      <c r="D53" s="498">
        <f>VLOOKUP(A53,Maksājumu_pieprasījumu_iesn.!G:BL,37,0)</f>
        <v>106247.98</v>
      </c>
      <c r="E53" s="498">
        <f t="shared" si="0"/>
        <v>0</v>
      </c>
    </row>
    <row r="54" spans="1:5" x14ac:dyDescent="0.25">
      <c r="A54" s="435" t="s">
        <v>81</v>
      </c>
      <c r="B54" s="498">
        <v>90839.12</v>
      </c>
      <c r="D54" s="498">
        <f>VLOOKUP(A54,Maksājumu_pieprasījumu_iesn.!G:BL,37,0)</f>
        <v>90839.12</v>
      </c>
      <c r="E54" s="498">
        <f t="shared" si="0"/>
        <v>0</v>
      </c>
    </row>
    <row r="55" spans="1:5" x14ac:dyDescent="0.25">
      <c r="A55" s="435" t="s">
        <v>83</v>
      </c>
      <c r="B55" s="498">
        <v>8308.16</v>
      </c>
      <c r="D55" s="498">
        <f>VLOOKUP(A55,Maksājumu_pieprasījumu_iesn.!G:BL,37,0)</f>
        <v>8308.16</v>
      </c>
      <c r="E55" s="498">
        <f t="shared" si="0"/>
        <v>0</v>
      </c>
    </row>
    <row r="56" spans="1:5" x14ac:dyDescent="0.25">
      <c r="A56" s="435" t="s">
        <v>86</v>
      </c>
      <c r="B56" s="498">
        <v>5937.36</v>
      </c>
      <c r="D56" s="498">
        <f>VLOOKUP(A56,Maksājumu_pieprasījumu_iesn.!G:BL,37,0)</f>
        <v>5937.36</v>
      </c>
      <c r="E56" s="498">
        <f t="shared" si="0"/>
        <v>0</v>
      </c>
    </row>
    <row r="57" spans="1:5" x14ac:dyDescent="0.25">
      <c r="A57" s="435" t="s">
        <v>772</v>
      </c>
      <c r="B57" s="498">
        <v>41070.300000000003</v>
      </c>
      <c r="D57" s="498">
        <f>VLOOKUP(A57,Maksājumu_pieprasījumu_iesn.!G:BL,37,0)</f>
        <v>41070.300000000003</v>
      </c>
      <c r="E57" s="498">
        <f t="shared" si="0"/>
        <v>0</v>
      </c>
    </row>
    <row r="58" spans="1:5" x14ac:dyDescent="0.25">
      <c r="A58" s="435" t="s">
        <v>1360</v>
      </c>
      <c r="B58" s="498">
        <v>88482.14</v>
      </c>
      <c r="D58" s="498">
        <f>VLOOKUP(A58,Maksājumu_pieprasījumu_iesn.!G:BL,37,0)</f>
        <v>88482.14</v>
      </c>
      <c r="E58" s="498">
        <f t="shared" si="0"/>
        <v>0</v>
      </c>
    </row>
    <row r="59" spans="1:5" x14ac:dyDescent="0.25">
      <c r="A59" s="435" t="s">
        <v>902</v>
      </c>
      <c r="B59" s="498">
        <v>4452.47</v>
      </c>
      <c r="D59" s="498">
        <f>VLOOKUP(A59,Maksājumu_pieprasījumu_iesn.!G:BL,37,0)</f>
        <v>4452.47</v>
      </c>
      <c r="E59" s="498">
        <f t="shared" si="0"/>
        <v>0</v>
      </c>
    </row>
    <row r="60" spans="1:5" x14ac:dyDescent="0.25">
      <c r="A60" s="435" t="s">
        <v>2846</v>
      </c>
      <c r="B60" s="498">
        <v>332734.46000000002</v>
      </c>
      <c r="D60" s="498">
        <f>VLOOKUP(A60,Maksājumu_pieprasījumu_iesn.!G:BL,37,0)</f>
        <v>332734.46000000002</v>
      </c>
      <c r="E60" s="498">
        <f t="shared" si="0"/>
        <v>0</v>
      </c>
    </row>
    <row r="61" spans="1:5" x14ac:dyDescent="0.25">
      <c r="A61" s="435" t="s">
        <v>904</v>
      </c>
      <c r="B61" s="498">
        <v>51836.24</v>
      </c>
      <c r="D61" s="498">
        <f>VLOOKUP(A61,Maksājumu_pieprasījumu_iesn.!G:BL,37,0)</f>
        <v>51836.24</v>
      </c>
      <c r="E61" s="498">
        <f t="shared" si="0"/>
        <v>0</v>
      </c>
    </row>
    <row r="62" spans="1:5" x14ac:dyDescent="0.25">
      <c r="A62" s="435" t="s">
        <v>1446</v>
      </c>
      <c r="B62" s="498">
        <v>54677.67</v>
      </c>
      <c r="D62" s="498">
        <f>VLOOKUP(A62,Maksājumu_pieprasījumu_iesn.!G:BL,37,0)</f>
        <v>54677.67</v>
      </c>
      <c r="E62" s="498">
        <f t="shared" si="0"/>
        <v>0</v>
      </c>
    </row>
    <row r="63" spans="1:5" x14ac:dyDescent="0.25">
      <c r="A63" s="435" t="s">
        <v>1574</v>
      </c>
      <c r="B63" s="498">
        <v>264621.07</v>
      </c>
      <c r="D63" s="498">
        <f>VLOOKUP(A63,Maksājumu_pieprasījumu_iesn.!G:BL,37,0)</f>
        <v>264621.07</v>
      </c>
      <c r="E63" s="498">
        <f t="shared" si="0"/>
        <v>0</v>
      </c>
    </row>
    <row r="64" spans="1:5" x14ac:dyDescent="0.25">
      <c r="A64" s="435" t="s">
        <v>2847</v>
      </c>
      <c r="B64" s="498">
        <v>116200</v>
      </c>
      <c r="D64" s="498">
        <f>VLOOKUP(A64,Maksājumu_pieprasījumu_iesn.!G:BL,37,0)</f>
        <v>116200</v>
      </c>
      <c r="E64" s="498">
        <f t="shared" si="0"/>
        <v>0</v>
      </c>
    </row>
    <row r="65" spans="1:5" x14ac:dyDescent="0.25">
      <c r="A65" s="435" t="s">
        <v>1516</v>
      </c>
      <c r="B65" s="498">
        <v>57514.5</v>
      </c>
      <c r="D65" s="498">
        <f>VLOOKUP(A65,Maksājumu_pieprasījumu_iesn.!G:BL,37,0)</f>
        <v>57514.5</v>
      </c>
      <c r="E65" s="498">
        <f t="shared" si="0"/>
        <v>0</v>
      </c>
    </row>
    <row r="66" spans="1:5" x14ac:dyDescent="0.25">
      <c r="A66" s="435" t="s">
        <v>1454</v>
      </c>
      <c r="B66" s="498">
        <v>89258.53</v>
      </c>
      <c r="D66" s="498">
        <f>VLOOKUP(A66,Maksājumu_pieprasījumu_iesn.!G:BL,37,0)</f>
        <v>89258.53</v>
      </c>
      <c r="E66" s="498">
        <f t="shared" si="0"/>
        <v>0</v>
      </c>
    </row>
    <row r="67" spans="1:5" x14ac:dyDescent="0.25">
      <c r="A67" s="435" t="s">
        <v>97</v>
      </c>
      <c r="B67" s="498">
        <v>186740.01</v>
      </c>
      <c r="D67" s="498">
        <f>VLOOKUP(A67,Maksājumu_pieprasījumu_iesn.!G:BL,37,0)</f>
        <v>186740.01</v>
      </c>
      <c r="E67" s="498">
        <f t="shared" ref="E67:E130" si="1">D67-B67</f>
        <v>0</v>
      </c>
    </row>
    <row r="68" spans="1:5" x14ac:dyDescent="0.25">
      <c r="A68" s="435" t="s">
        <v>103</v>
      </c>
      <c r="B68" s="498">
        <v>704024.5</v>
      </c>
      <c r="D68" s="498">
        <f>VLOOKUP(A68,Maksājumu_pieprasījumu_iesn.!G:BL,37,0)</f>
        <v>704024.5</v>
      </c>
      <c r="E68" s="498">
        <f t="shared" si="1"/>
        <v>0</v>
      </c>
    </row>
    <row r="69" spans="1:5" x14ac:dyDescent="0.25">
      <c r="A69" s="435" t="s">
        <v>625</v>
      </c>
      <c r="B69" s="498">
        <v>846573.14</v>
      </c>
      <c r="D69" s="498">
        <f>VLOOKUP(A69,Maksājumu_pieprasījumu_iesn.!G:BL,37,0)</f>
        <v>846573.14</v>
      </c>
      <c r="E69" s="498">
        <f t="shared" si="1"/>
        <v>0</v>
      </c>
    </row>
    <row r="70" spans="1:5" x14ac:dyDescent="0.25">
      <c r="A70" s="435" t="s">
        <v>110</v>
      </c>
      <c r="B70" s="498">
        <v>107231.03999999999</v>
      </c>
      <c r="D70" s="498">
        <f>VLOOKUP(A70,Maksājumu_pieprasījumu_iesn.!G:BL,37,0)</f>
        <v>107231.03999999999</v>
      </c>
      <c r="E70" s="498">
        <f t="shared" si="1"/>
        <v>0</v>
      </c>
    </row>
    <row r="71" spans="1:5" x14ac:dyDescent="0.25">
      <c r="A71" s="435" t="s">
        <v>113</v>
      </c>
      <c r="B71" s="498">
        <v>1460.33</v>
      </c>
      <c r="D71" s="498">
        <f>VLOOKUP(A71,Maksājumu_pieprasījumu_iesn.!G:BL,37,0)</f>
        <v>1460.33</v>
      </c>
      <c r="E71" s="498">
        <f t="shared" si="1"/>
        <v>0</v>
      </c>
    </row>
    <row r="72" spans="1:5" x14ac:dyDescent="0.25">
      <c r="A72" s="435" t="s">
        <v>115</v>
      </c>
      <c r="B72" s="498">
        <v>67920.41</v>
      </c>
      <c r="D72" s="498">
        <f>VLOOKUP(A72,Maksājumu_pieprasījumu_iesn.!G:BL,37,0)</f>
        <v>67920.41</v>
      </c>
      <c r="E72" s="498">
        <f t="shared" si="1"/>
        <v>0</v>
      </c>
    </row>
    <row r="73" spans="1:5" x14ac:dyDescent="0.25">
      <c r="A73" s="435" t="s">
        <v>738</v>
      </c>
      <c r="B73" s="498">
        <v>144585</v>
      </c>
      <c r="D73" s="498">
        <f>VLOOKUP(A73,Maksājumu_pieprasījumu_iesn.!G:BL,37,0)</f>
        <v>144585</v>
      </c>
      <c r="E73" s="498">
        <f t="shared" si="1"/>
        <v>0</v>
      </c>
    </row>
    <row r="74" spans="1:5" x14ac:dyDescent="0.25">
      <c r="A74" s="435" t="s">
        <v>736</v>
      </c>
      <c r="B74" s="498">
        <v>171360</v>
      </c>
      <c r="D74" s="498">
        <f>VLOOKUP(A74,Maksājumu_pieprasījumu_iesn.!G:BL,37,0)</f>
        <v>171360</v>
      </c>
      <c r="E74" s="498">
        <f t="shared" si="1"/>
        <v>0</v>
      </c>
    </row>
    <row r="75" spans="1:5" x14ac:dyDescent="0.25">
      <c r="A75" s="435" t="s">
        <v>918</v>
      </c>
      <c r="B75" s="498">
        <v>47129.37</v>
      </c>
      <c r="D75" s="498">
        <f>VLOOKUP(A75,Maksājumu_pieprasījumu_iesn.!G:BL,37,0)</f>
        <v>47129.37</v>
      </c>
      <c r="E75" s="498">
        <f t="shared" si="1"/>
        <v>0</v>
      </c>
    </row>
    <row r="76" spans="1:5" x14ac:dyDescent="0.25">
      <c r="A76" s="435" t="s">
        <v>914</v>
      </c>
      <c r="B76" s="498">
        <v>31943.58</v>
      </c>
      <c r="D76" s="498">
        <f>VLOOKUP(A76,Maksājumu_pieprasījumu_iesn.!G:BL,37,0)</f>
        <v>31943.58</v>
      </c>
      <c r="E76" s="498">
        <f t="shared" si="1"/>
        <v>0</v>
      </c>
    </row>
    <row r="77" spans="1:5" x14ac:dyDescent="0.25">
      <c r="A77" s="435" t="s">
        <v>695</v>
      </c>
      <c r="B77" s="498">
        <v>29021.54</v>
      </c>
      <c r="D77" s="498">
        <f>VLOOKUP(A77,Maksājumu_pieprasījumu_iesn.!G:BL,37,0)</f>
        <v>29021.54</v>
      </c>
      <c r="E77" s="498">
        <f t="shared" si="1"/>
        <v>0</v>
      </c>
    </row>
    <row r="78" spans="1:5" x14ac:dyDescent="0.25">
      <c r="A78" s="435" t="s">
        <v>752</v>
      </c>
      <c r="B78" s="498">
        <v>3420090.24</v>
      </c>
      <c r="D78" s="498">
        <f>VLOOKUP(A78,Maksājumu_pieprasījumu_iesn.!G:BL,37,0)</f>
        <v>3420090.24</v>
      </c>
      <c r="E78" s="498">
        <f t="shared" si="1"/>
        <v>0</v>
      </c>
    </row>
    <row r="79" spans="1:5" x14ac:dyDescent="0.25">
      <c r="A79" s="435" t="s">
        <v>127</v>
      </c>
      <c r="B79" s="498">
        <v>286189.98</v>
      </c>
      <c r="D79" s="498">
        <f>VLOOKUP(A79,Maksājumu_pieprasījumu_iesn.!G:BL,37,0)</f>
        <v>286189.98</v>
      </c>
      <c r="E79" s="498">
        <f t="shared" si="1"/>
        <v>0</v>
      </c>
    </row>
    <row r="80" spans="1:5" x14ac:dyDescent="0.25">
      <c r="A80" s="435" t="s">
        <v>776</v>
      </c>
      <c r="B80" s="498">
        <v>36516.1</v>
      </c>
      <c r="D80" s="498">
        <f>VLOOKUP(A80,Maksājumu_pieprasījumu_iesn.!G:BL,37,0)</f>
        <v>36516.1</v>
      </c>
      <c r="E80" s="498">
        <f t="shared" si="1"/>
        <v>0</v>
      </c>
    </row>
    <row r="81" spans="1:5" x14ac:dyDescent="0.25">
      <c r="A81" s="435" t="s">
        <v>121</v>
      </c>
      <c r="B81" s="498">
        <v>105539.04</v>
      </c>
      <c r="D81" s="498">
        <f>VLOOKUP(A81,Maksājumu_pieprasījumu_iesn.!G:BL,37,0)</f>
        <v>105539.04</v>
      </c>
      <c r="E81" s="498">
        <f t="shared" si="1"/>
        <v>0</v>
      </c>
    </row>
    <row r="82" spans="1:5" x14ac:dyDescent="0.25">
      <c r="A82" s="435" t="s">
        <v>689</v>
      </c>
      <c r="B82" s="498">
        <v>154710.29</v>
      </c>
      <c r="D82" s="498">
        <f>VLOOKUP(A82,Maksājumu_pieprasījumu_iesn.!G:BL,37,0)</f>
        <v>154710.29</v>
      </c>
      <c r="E82" s="498">
        <f t="shared" si="1"/>
        <v>0</v>
      </c>
    </row>
    <row r="83" spans="1:5" x14ac:dyDescent="0.25">
      <c r="A83" s="435" t="s">
        <v>135</v>
      </c>
      <c r="B83" s="498">
        <v>638559.02</v>
      </c>
      <c r="D83" s="498">
        <f>VLOOKUP(A83,Maksājumu_pieprasījumu_iesn.!G:BL,37,0)</f>
        <v>638559.02</v>
      </c>
      <c r="E83" s="498">
        <f t="shared" si="1"/>
        <v>0</v>
      </c>
    </row>
    <row r="84" spans="1:5" x14ac:dyDescent="0.25">
      <c r="A84" s="435" t="s">
        <v>2848</v>
      </c>
      <c r="B84" s="498">
        <v>486239.14</v>
      </c>
      <c r="D84" s="498">
        <f>VLOOKUP(A84,Maksājumu_pieprasījumu_iesn.!G:BL,37,0)</f>
        <v>486239.14</v>
      </c>
      <c r="E84" s="498">
        <f t="shared" si="1"/>
        <v>0</v>
      </c>
    </row>
    <row r="85" spans="1:5" x14ac:dyDescent="0.25">
      <c r="A85" s="435" t="s">
        <v>777</v>
      </c>
      <c r="B85" s="498">
        <v>422456.31</v>
      </c>
      <c r="D85" s="498">
        <f>VLOOKUP(A85,Maksājumu_pieprasījumu_iesn.!G:BL,37,0)</f>
        <v>422456.31</v>
      </c>
      <c r="E85" s="498">
        <f t="shared" si="1"/>
        <v>0</v>
      </c>
    </row>
    <row r="86" spans="1:5" x14ac:dyDescent="0.25">
      <c r="A86" s="435" t="s">
        <v>778</v>
      </c>
      <c r="B86" s="498">
        <v>246361.74</v>
      </c>
      <c r="D86" s="498">
        <f>VLOOKUP(A86,Maksājumu_pieprasījumu_iesn.!G:BL,37,0)</f>
        <v>246361.74</v>
      </c>
      <c r="E86" s="498">
        <f t="shared" si="1"/>
        <v>0</v>
      </c>
    </row>
    <row r="87" spans="1:5" x14ac:dyDescent="0.25">
      <c r="A87" s="435" t="s">
        <v>705</v>
      </c>
      <c r="B87" s="498">
        <v>239521.88</v>
      </c>
      <c r="D87" s="498">
        <f>VLOOKUP(A87,Maksājumu_pieprasījumu_iesn.!G:BL,37,0)</f>
        <v>239521.88</v>
      </c>
      <c r="E87" s="498">
        <f t="shared" si="1"/>
        <v>0</v>
      </c>
    </row>
    <row r="88" spans="1:5" x14ac:dyDescent="0.25">
      <c r="A88" s="435" t="s">
        <v>715</v>
      </c>
      <c r="B88" s="498">
        <v>596583.56000000006</v>
      </c>
      <c r="D88" s="498">
        <f>VLOOKUP(A88,Maksājumu_pieprasījumu_iesn.!G:BL,37,0)</f>
        <v>596583.56000000006</v>
      </c>
      <c r="E88" s="498">
        <f t="shared" si="1"/>
        <v>0</v>
      </c>
    </row>
    <row r="89" spans="1:5" x14ac:dyDescent="0.25">
      <c r="A89" s="435" t="s">
        <v>1896</v>
      </c>
      <c r="B89" s="498">
        <v>79633.960000000006</v>
      </c>
      <c r="D89" s="498">
        <f>VLOOKUP(A89,Maksājumu_pieprasījumu_iesn.!G:BL,37,0)</f>
        <v>79633.960000000006</v>
      </c>
      <c r="E89" s="498">
        <f t="shared" si="1"/>
        <v>0</v>
      </c>
    </row>
    <row r="90" spans="1:5" x14ac:dyDescent="0.25">
      <c r="A90" s="435" t="s">
        <v>707</v>
      </c>
      <c r="B90" s="498">
        <v>299646.46000000002</v>
      </c>
      <c r="D90" s="498">
        <f>VLOOKUP(A90,Maksājumu_pieprasījumu_iesn.!G:BL,37,0)</f>
        <v>299646.46000000002</v>
      </c>
      <c r="E90" s="498">
        <f t="shared" si="1"/>
        <v>0</v>
      </c>
    </row>
    <row r="91" spans="1:5" x14ac:dyDescent="0.25">
      <c r="A91" s="435" t="s">
        <v>1888</v>
      </c>
      <c r="B91" s="498">
        <v>150000</v>
      </c>
      <c r="D91" s="498">
        <f>VLOOKUP(A91,Maksājumu_pieprasījumu_iesn.!G:BL,37,0)</f>
        <v>150000</v>
      </c>
      <c r="E91" s="498">
        <f t="shared" si="1"/>
        <v>0</v>
      </c>
    </row>
    <row r="92" spans="1:5" x14ac:dyDescent="0.25">
      <c r="A92" s="435" t="s">
        <v>710</v>
      </c>
      <c r="B92" s="498">
        <v>381552.88</v>
      </c>
      <c r="D92" s="498">
        <f>VLOOKUP(A92,Maksājumu_pieprasījumu_iesn.!G:BL,37,0)</f>
        <v>381552.88</v>
      </c>
      <c r="E92" s="498">
        <f t="shared" si="1"/>
        <v>0</v>
      </c>
    </row>
    <row r="93" spans="1:5" x14ac:dyDescent="0.25">
      <c r="A93" s="435" t="s">
        <v>1943</v>
      </c>
      <c r="B93" s="498">
        <v>1700000</v>
      </c>
      <c r="D93" s="498">
        <f>VLOOKUP(A93,Maksājumu_pieprasījumu_iesn.!G:BL,37,0)</f>
        <v>1700000</v>
      </c>
      <c r="E93" s="498">
        <f t="shared" si="1"/>
        <v>0</v>
      </c>
    </row>
    <row r="94" spans="1:5" x14ac:dyDescent="0.25">
      <c r="A94" s="435" t="s">
        <v>921</v>
      </c>
      <c r="B94" s="498">
        <v>776965</v>
      </c>
      <c r="D94" s="498">
        <f>VLOOKUP(A94,Maksājumu_pieprasījumu_iesn.!G:BL,37,0)</f>
        <v>776965</v>
      </c>
      <c r="E94" s="498">
        <f t="shared" si="1"/>
        <v>0</v>
      </c>
    </row>
    <row r="95" spans="1:5" x14ac:dyDescent="0.25">
      <c r="A95" s="435" t="s">
        <v>782</v>
      </c>
      <c r="B95" s="498">
        <v>676968.55</v>
      </c>
      <c r="D95" s="498">
        <f>VLOOKUP(A95,Maksājumu_pieprasījumu_iesn.!G:BL,37,0)</f>
        <v>676968.55</v>
      </c>
      <c r="E95" s="498">
        <f t="shared" si="1"/>
        <v>0</v>
      </c>
    </row>
    <row r="96" spans="1:5" x14ac:dyDescent="0.25">
      <c r="A96" s="435" t="s">
        <v>942</v>
      </c>
      <c r="B96" s="498">
        <v>767000</v>
      </c>
      <c r="D96" s="498">
        <f>VLOOKUP(A96,Maksājumu_pieprasījumu_iesn.!G:BL,37,0)</f>
        <v>767000</v>
      </c>
      <c r="E96" s="498">
        <f t="shared" si="1"/>
        <v>0</v>
      </c>
    </row>
    <row r="97" spans="1:5" x14ac:dyDescent="0.25">
      <c r="A97" s="435" t="s">
        <v>147</v>
      </c>
      <c r="B97" s="498">
        <v>325229.73</v>
      </c>
      <c r="D97" s="498">
        <f>VLOOKUP(A97,Maksājumu_pieprasījumu_iesn.!G:BL,37,0)</f>
        <v>325229.73</v>
      </c>
      <c r="E97" s="498">
        <f t="shared" si="1"/>
        <v>0</v>
      </c>
    </row>
    <row r="98" spans="1:5" x14ac:dyDescent="0.25">
      <c r="A98" s="435" t="s">
        <v>1991</v>
      </c>
      <c r="B98" s="498">
        <v>1350717.02</v>
      </c>
      <c r="D98" s="498">
        <f>VLOOKUP(A98,Maksājumu_pieprasījumu_iesn.!G:BL,37,0)</f>
        <v>1350717.02</v>
      </c>
      <c r="E98" s="498">
        <f t="shared" si="1"/>
        <v>0</v>
      </c>
    </row>
    <row r="99" spans="1:5" x14ac:dyDescent="0.25">
      <c r="A99" s="435" t="s">
        <v>1997</v>
      </c>
      <c r="B99" s="498">
        <v>899807.75</v>
      </c>
      <c r="D99" s="498">
        <f>VLOOKUP(A99,Maksājumu_pieprasījumu_iesn.!G:BL,37,0)</f>
        <v>899807.75</v>
      </c>
      <c r="E99" s="498">
        <f t="shared" si="1"/>
        <v>0</v>
      </c>
    </row>
    <row r="100" spans="1:5" x14ac:dyDescent="0.25">
      <c r="A100" s="435" t="s">
        <v>627</v>
      </c>
      <c r="B100" s="498">
        <v>119189.24</v>
      </c>
      <c r="D100" s="498">
        <f>VLOOKUP(A100,Maksājumu_pieprasījumu_iesn.!G:BL,37,0)</f>
        <v>119189.24</v>
      </c>
      <c r="E100" s="498">
        <f t="shared" si="1"/>
        <v>0</v>
      </c>
    </row>
    <row r="101" spans="1:5" x14ac:dyDescent="0.25">
      <c r="A101" s="435" t="s">
        <v>164</v>
      </c>
      <c r="B101" s="498">
        <v>1020504.17</v>
      </c>
      <c r="D101" s="498">
        <f>VLOOKUP(A101,Maksājumu_pieprasījumu_iesn.!G:BL,37,0)</f>
        <v>1020504.17</v>
      </c>
      <c r="E101" s="498">
        <f t="shared" si="1"/>
        <v>0</v>
      </c>
    </row>
    <row r="102" spans="1:5" x14ac:dyDescent="0.25">
      <c r="A102" s="435" t="s">
        <v>170</v>
      </c>
      <c r="B102" s="498">
        <v>2521218.39</v>
      </c>
      <c r="D102" s="498">
        <f>VLOOKUP(A102,Maksājumu_pieprasījumu_iesn.!G:BL,37,0)</f>
        <v>2521218.39</v>
      </c>
      <c r="E102" s="498">
        <f t="shared" si="1"/>
        <v>0</v>
      </c>
    </row>
    <row r="103" spans="1:5" x14ac:dyDescent="0.25">
      <c r="A103" s="435" t="s">
        <v>2684</v>
      </c>
      <c r="B103" s="498">
        <v>3581.83</v>
      </c>
      <c r="D103" s="498">
        <f>VLOOKUP(A103,Maksājumu_pieprasījumu_iesn.!G:BL,37,0)</f>
        <v>3581.83</v>
      </c>
      <c r="E103" s="498">
        <f t="shared" si="1"/>
        <v>0</v>
      </c>
    </row>
    <row r="104" spans="1:5" x14ac:dyDescent="0.25">
      <c r="A104" s="435" t="s">
        <v>186</v>
      </c>
      <c r="B104" s="498">
        <v>1453772.6</v>
      </c>
      <c r="D104" s="498">
        <f>VLOOKUP(A104,Maksājumu_pieprasījumu_iesn.!G:BL,37,0)</f>
        <v>1453772.6</v>
      </c>
      <c r="E104" s="498">
        <f t="shared" si="1"/>
        <v>0</v>
      </c>
    </row>
    <row r="105" spans="1:5" x14ac:dyDescent="0.25">
      <c r="A105" s="435" t="s">
        <v>194</v>
      </c>
      <c r="B105" s="498">
        <v>1945327.22</v>
      </c>
      <c r="D105" s="498">
        <f>VLOOKUP(A105,Maksājumu_pieprasījumu_iesn.!G:BL,37,0)</f>
        <v>1945327.22</v>
      </c>
      <c r="E105" s="498">
        <f t="shared" si="1"/>
        <v>0</v>
      </c>
    </row>
    <row r="106" spans="1:5" x14ac:dyDescent="0.25">
      <c r="A106" s="435" t="s">
        <v>196</v>
      </c>
      <c r="B106" s="498">
        <v>422217.29</v>
      </c>
      <c r="D106" s="498">
        <f>VLOOKUP(A106,Maksājumu_pieprasījumu_iesn.!G:BL,37,0)</f>
        <v>422217.29</v>
      </c>
      <c r="E106" s="498">
        <f t="shared" si="1"/>
        <v>0</v>
      </c>
    </row>
    <row r="107" spans="1:5" x14ac:dyDescent="0.25">
      <c r="A107" s="435" t="s">
        <v>198</v>
      </c>
      <c r="B107" s="498">
        <v>139953.04</v>
      </c>
      <c r="D107" s="498">
        <f>VLOOKUP(A107,Maksājumu_pieprasījumu_iesn.!G:BL,37,0)</f>
        <v>139953.04</v>
      </c>
      <c r="E107" s="498">
        <f t="shared" si="1"/>
        <v>0</v>
      </c>
    </row>
    <row r="108" spans="1:5" x14ac:dyDescent="0.25">
      <c r="A108" s="435" t="s">
        <v>200</v>
      </c>
      <c r="B108" s="498">
        <v>72243.55</v>
      </c>
      <c r="D108" s="498">
        <f>VLOOKUP(A108,Maksājumu_pieprasījumu_iesn.!G:BL,37,0)</f>
        <v>72243.55</v>
      </c>
      <c r="E108" s="498">
        <f t="shared" si="1"/>
        <v>0</v>
      </c>
    </row>
    <row r="109" spans="1:5" x14ac:dyDescent="0.25">
      <c r="A109" s="435" t="s">
        <v>204</v>
      </c>
      <c r="B109" s="498">
        <v>1870819.9</v>
      </c>
      <c r="D109" s="498">
        <f>VLOOKUP(A109,Maksājumu_pieprasījumu_iesn.!G:BL,37,0)</f>
        <v>1870819.9</v>
      </c>
      <c r="E109" s="498">
        <f t="shared" si="1"/>
        <v>0</v>
      </c>
    </row>
    <row r="110" spans="1:5" x14ac:dyDescent="0.25">
      <c r="A110" s="435" t="s">
        <v>863</v>
      </c>
      <c r="B110" s="498">
        <v>886122.51</v>
      </c>
      <c r="D110" s="498">
        <f>VLOOKUP(A110,Maksājumu_pieprasījumu_iesn.!G:BL,37,0)</f>
        <v>886122.51</v>
      </c>
      <c r="E110" s="498">
        <f t="shared" si="1"/>
        <v>0</v>
      </c>
    </row>
    <row r="111" spans="1:5" x14ac:dyDescent="0.25">
      <c r="A111" s="435" t="s">
        <v>865</v>
      </c>
      <c r="B111" s="498">
        <v>3121693.6</v>
      </c>
      <c r="D111" s="498">
        <f>VLOOKUP(A111,Maksājumu_pieprasījumu_iesn.!G:BL,37,0)</f>
        <v>3121693.6</v>
      </c>
      <c r="E111" s="498">
        <f t="shared" si="1"/>
        <v>0</v>
      </c>
    </row>
    <row r="112" spans="1:5" x14ac:dyDescent="0.25">
      <c r="A112" s="435" t="s">
        <v>206</v>
      </c>
      <c r="B112" s="498">
        <v>2034236.63</v>
      </c>
      <c r="D112" s="498">
        <f>VLOOKUP(A112,Maksājumu_pieprasījumu_iesn.!G:BL,37,0)</f>
        <v>2034236.63</v>
      </c>
      <c r="E112" s="498">
        <f t="shared" si="1"/>
        <v>0</v>
      </c>
    </row>
    <row r="113" spans="1:5" x14ac:dyDescent="0.25">
      <c r="A113" s="435" t="s">
        <v>945</v>
      </c>
      <c r="B113" s="498">
        <v>1178845.1100000001</v>
      </c>
      <c r="D113" s="498">
        <f>VLOOKUP(A113,Maksājumu_pieprasījumu_iesn.!G:BL,37,0)</f>
        <v>1178845.1100000001</v>
      </c>
      <c r="E113" s="498">
        <f t="shared" si="1"/>
        <v>0</v>
      </c>
    </row>
    <row r="114" spans="1:5" x14ac:dyDescent="0.25">
      <c r="A114" s="435" t="s">
        <v>2066</v>
      </c>
      <c r="B114" s="498">
        <v>1713766.95</v>
      </c>
      <c r="D114" s="498">
        <f>VLOOKUP(A114,Maksājumu_pieprasījumu_iesn.!G:BL,37,0)</f>
        <v>1713766.95</v>
      </c>
      <c r="E114" s="498">
        <f t="shared" si="1"/>
        <v>0</v>
      </c>
    </row>
    <row r="115" spans="1:5" x14ac:dyDescent="0.25">
      <c r="A115" s="435" t="s">
        <v>2686</v>
      </c>
      <c r="B115" s="498">
        <v>1820536.43</v>
      </c>
      <c r="D115" s="498">
        <f>VLOOKUP(A115,Maksājumu_pieprasījumu_iesn.!G:BL,37,0)</f>
        <v>1820536.43</v>
      </c>
      <c r="E115" s="498">
        <f t="shared" si="1"/>
        <v>0</v>
      </c>
    </row>
    <row r="116" spans="1:5" x14ac:dyDescent="0.25">
      <c r="A116" s="435" t="s">
        <v>211</v>
      </c>
      <c r="B116" s="498">
        <v>3481807.26</v>
      </c>
      <c r="D116" s="498">
        <f>VLOOKUP(A116,Maksājumu_pieprasījumu_iesn.!G:BL,37,0)</f>
        <v>3481807.26</v>
      </c>
      <c r="E116" s="498">
        <f t="shared" si="1"/>
        <v>0</v>
      </c>
    </row>
    <row r="117" spans="1:5" x14ac:dyDescent="0.25">
      <c r="A117" s="435" t="s">
        <v>635</v>
      </c>
      <c r="B117" s="498">
        <v>2196688.16</v>
      </c>
      <c r="D117" s="498">
        <f>VLOOKUP(A117,Maksājumu_pieprasījumu_iesn.!G:BL,37,0)</f>
        <v>2196688.16</v>
      </c>
      <c r="E117" s="498">
        <f t="shared" si="1"/>
        <v>0</v>
      </c>
    </row>
    <row r="118" spans="1:5" x14ac:dyDescent="0.25">
      <c r="A118" s="435" t="s">
        <v>226</v>
      </c>
      <c r="B118" s="498">
        <v>73964.75</v>
      </c>
      <c r="D118" s="498">
        <f>VLOOKUP(A118,Maksājumu_pieprasījumu_iesn.!G:BL,37,0)</f>
        <v>73964.75</v>
      </c>
      <c r="E118" s="498">
        <f t="shared" si="1"/>
        <v>0</v>
      </c>
    </row>
    <row r="119" spans="1:5" x14ac:dyDescent="0.25">
      <c r="A119" s="435" t="s">
        <v>231</v>
      </c>
      <c r="B119" s="498">
        <v>26034.67</v>
      </c>
      <c r="D119" s="498">
        <f>VLOOKUP(A119,Maksājumu_pieprasījumu_iesn.!G:BL,37,0)</f>
        <v>26034.67</v>
      </c>
      <c r="E119" s="498">
        <f t="shared" si="1"/>
        <v>0</v>
      </c>
    </row>
    <row r="120" spans="1:5" x14ac:dyDescent="0.25">
      <c r="A120" s="435" t="s">
        <v>2813</v>
      </c>
      <c r="B120" s="498">
        <v>517843.12</v>
      </c>
      <c r="D120" s="498">
        <f>VLOOKUP(A120,Maksājumu_pieprasījumu_iesn.!G:BL,37,0)</f>
        <v>517843.12</v>
      </c>
      <c r="E120" s="498">
        <f t="shared" si="1"/>
        <v>0</v>
      </c>
    </row>
    <row r="121" spans="1:5" x14ac:dyDescent="0.25">
      <c r="A121" s="435" t="s">
        <v>2849</v>
      </c>
      <c r="B121" s="498">
        <v>102778.24000000001</v>
      </c>
      <c r="D121" s="498">
        <f>VLOOKUP(A121,Maksājumu_pieprasījumu_iesn.!G:BL,37,0)</f>
        <v>102778.24000000001</v>
      </c>
      <c r="E121" s="498">
        <f t="shared" si="1"/>
        <v>0</v>
      </c>
    </row>
    <row r="122" spans="1:5" x14ac:dyDescent="0.25">
      <c r="A122" s="435" t="s">
        <v>2850</v>
      </c>
      <c r="B122" s="498">
        <v>61524.85</v>
      </c>
      <c r="D122" s="498">
        <f>VLOOKUP(A122,Maksājumu_pieprasījumu_iesn.!G:BL,37,0)</f>
        <v>61524.85</v>
      </c>
      <c r="E122" s="498">
        <f t="shared" si="1"/>
        <v>0</v>
      </c>
    </row>
    <row r="123" spans="1:5" x14ac:dyDescent="0.25">
      <c r="A123" s="435" t="s">
        <v>2851</v>
      </c>
      <c r="B123" s="498">
        <v>2207735.91</v>
      </c>
      <c r="D123" s="498">
        <f>VLOOKUP(A123,Maksājumu_pieprasījumu_iesn.!G:BL,37,0)</f>
        <v>2207735.91</v>
      </c>
      <c r="E123" s="498">
        <f t="shared" si="1"/>
        <v>0</v>
      </c>
    </row>
    <row r="124" spans="1:5" x14ac:dyDescent="0.25">
      <c r="A124" s="435" t="s">
        <v>241</v>
      </c>
      <c r="B124" s="498">
        <v>382163.52</v>
      </c>
      <c r="D124" s="498">
        <f>VLOOKUP(A124,Maksājumu_pieprasījumu_iesn.!G:BL,37,0)</f>
        <v>382163.52</v>
      </c>
      <c r="E124" s="498">
        <f t="shared" si="1"/>
        <v>0</v>
      </c>
    </row>
    <row r="125" spans="1:5" x14ac:dyDescent="0.25">
      <c r="A125" s="435" t="s">
        <v>258</v>
      </c>
      <c r="B125" s="498">
        <v>28999.19</v>
      </c>
      <c r="D125" s="498">
        <f>VLOOKUP(A125,Maksājumu_pieprasījumu_iesn.!G:BL,37,0)</f>
        <v>28999.19</v>
      </c>
      <c r="E125" s="498">
        <f t="shared" si="1"/>
        <v>0</v>
      </c>
    </row>
    <row r="126" spans="1:5" x14ac:dyDescent="0.25">
      <c r="A126" s="435" t="s">
        <v>2222</v>
      </c>
      <c r="B126" s="498">
        <v>2027.82</v>
      </c>
      <c r="D126" s="498">
        <f>VLOOKUP(A126,Maksājumu_pieprasījumu_iesn.!G:BL,37,0)</f>
        <v>2027.82</v>
      </c>
      <c r="E126" s="498">
        <f t="shared" si="1"/>
        <v>0</v>
      </c>
    </row>
    <row r="127" spans="1:5" x14ac:dyDescent="0.25">
      <c r="A127" s="435" t="s">
        <v>2687</v>
      </c>
      <c r="B127" s="498">
        <v>31118.98</v>
      </c>
      <c r="D127" s="498">
        <f>VLOOKUP(A127,Maksājumu_pieprasījumu_iesn.!G:BL,37,0)</f>
        <v>31118.98</v>
      </c>
      <c r="E127" s="498">
        <f t="shared" si="1"/>
        <v>0</v>
      </c>
    </row>
    <row r="128" spans="1:5" x14ac:dyDescent="0.25">
      <c r="A128" s="435" t="s">
        <v>2852</v>
      </c>
      <c r="B128" s="498">
        <v>73545.03</v>
      </c>
      <c r="D128" s="498">
        <f>VLOOKUP(A128,Maksājumu_pieprasījumu_iesn.!G:BL,37,0)</f>
        <v>73545.03</v>
      </c>
      <c r="E128" s="498">
        <f t="shared" si="1"/>
        <v>0</v>
      </c>
    </row>
    <row r="129" spans="1:5" x14ac:dyDescent="0.25">
      <c r="A129" s="435" t="s">
        <v>2241</v>
      </c>
      <c r="B129" s="498">
        <v>11455.6</v>
      </c>
      <c r="D129" s="498">
        <f>VLOOKUP(A129,Maksājumu_pieprasījumu_iesn.!G:BL,37,0)</f>
        <v>11455.6</v>
      </c>
      <c r="E129" s="498">
        <f t="shared" si="1"/>
        <v>0</v>
      </c>
    </row>
    <row r="130" spans="1:5" x14ac:dyDescent="0.25">
      <c r="A130" s="435" t="s">
        <v>2258</v>
      </c>
      <c r="B130" s="498">
        <v>208795.25</v>
      </c>
      <c r="D130" s="498">
        <f>VLOOKUP(A130,Maksājumu_pieprasījumu_iesn.!G:BL,37,0)</f>
        <v>208795.25</v>
      </c>
      <c r="E130" s="498">
        <f t="shared" si="1"/>
        <v>0</v>
      </c>
    </row>
    <row r="131" spans="1:5" x14ac:dyDescent="0.25">
      <c r="A131" s="435" t="s">
        <v>278</v>
      </c>
      <c r="B131" s="498">
        <v>44673.35</v>
      </c>
      <c r="D131" s="498">
        <f>VLOOKUP(A131,Maksājumu_pieprasījumu_iesn.!G:BL,37,0)</f>
        <v>44673.35</v>
      </c>
      <c r="E131" s="498">
        <f t="shared" ref="E131:E194" si="2">D131-B131</f>
        <v>0</v>
      </c>
    </row>
    <row r="132" spans="1:5" x14ac:dyDescent="0.25">
      <c r="A132" s="435" t="s">
        <v>289</v>
      </c>
      <c r="B132" s="498">
        <v>79322.47</v>
      </c>
      <c r="D132" s="498">
        <f>VLOOKUP(A132,Maksājumu_pieprasījumu_iesn.!G:BL,37,0)</f>
        <v>79322.47</v>
      </c>
      <c r="E132" s="498">
        <f t="shared" si="2"/>
        <v>0</v>
      </c>
    </row>
    <row r="133" spans="1:5" x14ac:dyDescent="0.25">
      <c r="A133" s="435" t="s">
        <v>293</v>
      </c>
      <c r="B133" s="498">
        <v>32838.18</v>
      </c>
      <c r="D133" s="498">
        <f>VLOOKUP(A133,Maksājumu_pieprasījumu_iesn.!G:BL,37,0)</f>
        <v>32838.18</v>
      </c>
      <c r="E133" s="498">
        <f t="shared" si="2"/>
        <v>0</v>
      </c>
    </row>
    <row r="134" spans="1:5" x14ac:dyDescent="0.25">
      <c r="A134" s="435" t="s">
        <v>310</v>
      </c>
      <c r="B134" s="498">
        <v>64647.53</v>
      </c>
      <c r="D134" s="498">
        <f>VLOOKUP(A134,Maksājumu_pieprasījumu_iesn.!G:BL,37,0)</f>
        <v>64647.53</v>
      </c>
      <c r="E134" s="498">
        <f t="shared" si="2"/>
        <v>0</v>
      </c>
    </row>
    <row r="135" spans="1:5" x14ac:dyDescent="0.25">
      <c r="A135" s="435" t="s">
        <v>315</v>
      </c>
      <c r="B135" s="498">
        <v>52436.43</v>
      </c>
      <c r="D135" s="498">
        <f>VLOOKUP(A135,Maksājumu_pieprasījumu_iesn.!G:BL,37,0)</f>
        <v>52436.43</v>
      </c>
      <c r="E135" s="498">
        <f t="shared" si="2"/>
        <v>0</v>
      </c>
    </row>
    <row r="136" spans="1:5" x14ac:dyDescent="0.25">
      <c r="A136" s="435" t="s">
        <v>319</v>
      </c>
      <c r="B136" s="498">
        <v>71313.13</v>
      </c>
      <c r="D136" s="498">
        <f>VLOOKUP(A136,Maksājumu_pieprasījumu_iesn.!G:BL,37,0)</f>
        <v>71313.13</v>
      </c>
      <c r="E136" s="498">
        <f t="shared" si="2"/>
        <v>0</v>
      </c>
    </row>
    <row r="137" spans="1:5" x14ac:dyDescent="0.25">
      <c r="A137" s="435" t="s">
        <v>324</v>
      </c>
      <c r="B137" s="498">
        <v>116823.82</v>
      </c>
      <c r="D137" s="498">
        <f>VLOOKUP(A137,Maksājumu_pieprasījumu_iesn.!G:BL,37,0)</f>
        <v>116823.82</v>
      </c>
      <c r="E137" s="498">
        <f t="shared" si="2"/>
        <v>0</v>
      </c>
    </row>
    <row r="138" spans="1:5" x14ac:dyDescent="0.25">
      <c r="A138" s="435" t="s">
        <v>328</v>
      </c>
      <c r="B138" s="498">
        <v>120371.44</v>
      </c>
      <c r="D138" s="498">
        <f>VLOOKUP(A138,Maksājumu_pieprasījumu_iesn.!G:BL,37,0)</f>
        <v>120371.44</v>
      </c>
      <c r="E138" s="498">
        <f t="shared" si="2"/>
        <v>0</v>
      </c>
    </row>
    <row r="139" spans="1:5" x14ac:dyDescent="0.25">
      <c r="A139" s="435" t="s">
        <v>332</v>
      </c>
      <c r="B139" s="498">
        <v>1316944.43</v>
      </c>
      <c r="D139" s="498">
        <f>VLOOKUP(A139,Maksājumu_pieprasījumu_iesn.!G:BL,37,0)</f>
        <v>1316944.43</v>
      </c>
      <c r="E139" s="498">
        <f t="shared" si="2"/>
        <v>0</v>
      </c>
    </row>
    <row r="140" spans="1:5" x14ac:dyDescent="0.25">
      <c r="A140" s="435" t="s">
        <v>335</v>
      </c>
      <c r="B140" s="498">
        <v>927776.79</v>
      </c>
      <c r="D140" s="498">
        <f>VLOOKUP(A140,Maksājumu_pieprasījumu_iesn.!G:BL,37,0)</f>
        <v>927776.79</v>
      </c>
      <c r="E140" s="498">
        <f t="shared" si="2"/>
        <v>0</v>
      </c>
    </row>
    <row r="141" spans="1:5" x14ac:dyDescent="0.25">
      <c r="A141" s="435" t="s">
        <v>339</v>
      </c>
      <c r="B141" s="498">
        <v>90947.37</v>
      </c>
      <c r="D141" s="498">
        <f>VLOOKUP(A141,Maksājumu_pieprasījumu_iesn.!G:BL,37,0)</f>
        <v>90947.37</v>
      </c>
      <c r="E141" s="498">
        <f t="shared" si="2"/>
        <v>0</v>
      </c>
    </row>
    <row r="142" spans="1:5" x14ac:dyDescent="0.25">
      <c r="A142" s="435" t="s">
        <v>348</v>
      </c>
      <c r="B142" s="498">
        <v>83990.46</v>
      </c>
      <c r="D142" s="498">
        <f>VLOOKUP(A142,Maksājumu_pieprasījumu_iesn.!G:BL,37,0)</f>
        <v>83990.46</v>
      </c>
      <c r="E142" s="498">
        <f t="shared" si="2"/>
        <v>0</v>
      </c>
    </row>
    <row r="143" spans="1:5" x14ac:dyDescent="0.25">
      <c r="A143" s="435" t="s">
        <v>353</v>
      </c>
      <c r="B143" s="498">
        <v>47142.8</v>
      </c>
      <c r="D143" s="498">
        <f>VLOOKUP(A143,Maksājumu_pieprasījumu_iesn.!G:BL,37,0)</f>
        <v>47142.8</v>
      </c>
      <c r="E143" s="498">
        <f t="shared" si="2"/>
        <v>0</v>
      </c>
    </row>
    <row r="144" spans="1:5" x14ac:dyDescent="0.25">
      <c r="A144" s="435" t="s">
        <v>357</v>
      </c>
      <c r="B144" s="498">
        <v>16063.09</v>
      </c>
      <c r="D144" s="498">
        <f>VLOOKUP(A144,Maksājumu_pieprasījumu_iesn.!G:BL,37,0)</f>
        <v>16063.09</v>
      </c>
      <c r="E144" s="498">
        <f t="shared" si="2"/>
        <v>0</v>
      </c>
    </row>
    <row r="145" spans="1:5" x14ac:dyDescent="0.25">
      <c r="A145" s="435" t="s">
        <v>361</v>
      </c>
      <c r="B145" s="498">
        <v>17433.64</v>
      </c>
      <c r="D145" s="498">
        <f>VLOOKUP(A145,Maksājumu_pieprasījumu_iesn.!G:BL,37,0)</f>
        <v>17433.64</v>
      </c>
      <c r="E145" s="498">
        <f t="shared" si="2"/>
        <v>0</v>
      </c>
    </row>
    <row r="146" spans="1:5" x14ac:dyDescent="0.25">
      <c r="A146" s="435" t="s">
        <v>365</v>
      </c>
      <c r="B146" s="498">
        <v>111076.83</v>
      </c>
      <c r="D146" s="498">
        <f>VLOOKUP(A146,Maksājumu_pieprasījumu_iesn.!G:BL,37,0)</f>
        <v>111076.83</v>
      </c>
      <c r="E146" s="498">
        <f t="shared" si="2"/>
        <v>0</v>
      </c>
    </row>
    <row r="147" spans="1:5" x14ac:dyDescent="0.25">
      <c r="A147" s="435" t="s">
        <v>385</v>
      </c>
      <c r="B147" s="498">
        <v>46400.03</v>
      </c>
      <c r="D147" s="498">
        <f>VLOOKUP(A147,Maksājumu_pieprasījumu_iesn.!G:BL,37,0)</f>
        <v>46400.03</v>
      </c>
      <c r="E147" s="498">
        <f t="shared" si="2"/>
        <v>0</v>
      </c>
    </row>
    <row r="148" spans="1:5" x14ac:dyDescent="0.25">
      <c r="A148" s="435" t="s">
        <v>394</v>
      </c>
      <c r="B148" s="498">
        <v>57703.13</v>
      </c>
      <c r="D148" s="498">
        <f>VLOOKUP(A148,Maksājumu_pieprasījumu_iesn.!G:BL,37,0)</f>
        <v>57703.13</v>
      </c>
      <c r="E148" s="498">
        <f t="shared" si="2"/>
        <v>0</v>
      </c>
    </row>
    <row r="149" spans="1:5" x14ac:dyDescent="0.25">
      <c r="A149" s="435" t="s">
        <v>399</v>
      </c>
      <c r="B149" s="498">
        <v>43599.09</v>
      </c>
      <c r="D149" s="498">
        <f>VLOOKUP(A149,Maksājumu_pieprasījumu_iesn.!G:BL,37,0)</f>
        <v>43599.09</v>
      </c>
      <c r="E149" s="498">
        <f t="shared" si="2"/>
        <v>0</v>
      </c>
    </row>
    <row r="150" spans="1:5" x14ac:dyDescent="0.25">
      <c r="A150" s="435" t="s">
        <v>719</v>
      </c>
      <c r="B150" s="498">
        <v>8701.67</v>
      </c>
      <c r="D150" s="498">
        <f>VLOOKUP(A150,Maksājumu_pieprasījumu_iesn.!G:BL,37,0)</f>
        <v>8701.67</v>
      </c>
      <c r="E150" s="498">
        <f t="shared" si="2"/>
        <v>0</v>
      </c>
    </row>
    <row r="151" spans="1:5" x14ac:dyDescent="0.25">
      <c r="A151" s="435" t="s">
        <v>869</v>
      </c>
      <c r="B151" s="498">
        <v>2267.21</v>
      </c>
      <c r="D151" s="498">
        <f>VLOOKUP(A151,Maksājumu_pieprasījumu_iesn.!G:BL,37,0)</f>
        <v>2267.21</v>
      </c>
      <c r="E151" s="498">
        <f t="shared" si="2"/>
        <v>0</v>
      </c>
    </row>
    <row r="152" spans="1:5" x14ac:dyDescent="0.25">
      <c r="A152" s="435" t="s">
        <v>721</v>
      </c>
      <c r="B152" s="498">
        <v>9579.3700000000008</v>
      </c>
      <c r="D152" s="498">
        <f>VLOOKUP(A152,Maksājumu_pieprasījumu_iesn.!G:BL,37,0)</f>
        <v>9579.3700000000008</v>
      </c>
      <c r="E152" s="498">
        <f t="shared" si="2"/>
        <v>0</v>
      </c>
    </row>
    <row r="153" spans="1:5" x14ac:dyDescent="0.25">
      <c r="A153" s="435" t="s">
        <v>424</v>
      </c>
      <c r="B153" s="498">
        <v>53123.82</v>
      </c>
      <c r="D153" s="498">
        <f>VLOOKUP(A153,Maksājumu_pieprasījumu_iesn.!G:BL,37,0)</f>
        <v>53123.82</v>
      </c>
      <c r="E153" s="498">
        <f t="shared" si="2"/>
        <v>0</v>
      </c>
    </row>
    <row r="154" spans="1:5" x14ac:dyDescent="0.25">
      <c r="A154" s="435" t="s">
        <v>928</v>
      </c>
      <c r="B154" s="498">
        <v>12762.33</v>
      </c>
      <c r="D154" s="498">
        <f>VLOOKUP(A154,Maksājumu_pieprasījumu_iesn.!G:BL,37,0)</f>
        <v>12762.33</v>
      </c>
      <c r="E154" s="498">
        <f t="shared" si="2"/>
        <v>0</v>
      </c>
    </row>
    <row r="155" spans="1:5" x14ac:dyDescent="0.25">
      <c r="A155" s="435" t="s">
        <v>430</v>
      </c>
      <c r="B155" s="498">
        <v>3556.8</v>
      </c>
      <c r="D155" s="498">
        <f>VLOOKUP(A155,Maksājumu_pieprasījumu_iesn.!G:BL,37,0)</f>
        <v>3556.8</v>
      </c>
      <c r="E155" s="498">
        <f t="shared" si="2"/>
        <v>0</v>
      </c>
    </row>
    <row r="156" spans="1:5" x14ac:dyDescent="0.25">
      <c r="A156" s="435" t="s">
        <v>872</v>
      </c>
      <c r="B156" s="498">
        <v>960.5</v>
      </c>
      <c r="D156" s="498">
        <f>VLOOKUP(A156,Maksājumu_pieprasījumu_iesn.!G:BL,37,0)</f>
        <v>960.5</v>
      </c>
      <c r="E156" s="498">
        <f t="shared" si="2"/>
        <v>0</v>
      </c>
    </row>
    <row r="157" spans="1:5" x14ac:dyDescent="0.25">
      <c r="A157" s="435" t="s">
        <v>930</v>
      </c>
      <c r="B157" s="498">
        <v>10829.88</v>
      </c>
      <c r="D157" s="498">
        <f>VLOOKUP(A157,Maksājumu_pieprasījumu_iesn.!G:BL,37,0)</f>
        <v>10829.88</v>
      </c>
      <c r="E157" s="498">
        <f t="shared" si="2"/>
        <v>0</v>
      </c>
    </row>
    <row r="158" spans="1:5" x14ac:dyDescent="0.25">
      <c r="A158" s="435" t="s">
        <v>2321</v>
      </c>
      <c r="B158" s="498">
        <v>18152.349999999999</v>
      </c>
      <c r="D158" s="498">
        <f>VLOOKUP(A158,Maksājumu_pieprasījumu_iesn.!G:BL,37,0)</f>
        <v>18152.349999999999</v>
      </c>
      <c r="E158" s="498">
        <f t="shared" si="2"/>
        <v>0</v>
      </c>
    </row>
    <row r="159" spans="1:5" x14ac:dyDescent="0.25">
      <c r="A159" s="435" t="s">
        <v>788</v>
      </c>
      <c r="B159" s="498">
        <v>11590.43</v>
      </c>
      <c r="D159" s="498">
        <f>VLOOKUP(A159,Maksājumu_pieprasījumu_iesn.!G:BL,37,0)</f>
        <v>11590.43</v>
      </c>
      <c r="E159" s="498">
        <f t="shared" si="2"/>
        <v>0</v>
      </c>
    </row>
    <row r="160" spans="1:5" x14ac:dyDescent="0.25">
      <c r="A160" s="435" t="s">
        <v>2324</v>
      </c>
      <c r="B160" s="498">
        <v>9422.33</v>
      </c>
      <c r="D160" s="498">
        <f>VLOOKUP(A160,Maksājumu_pieprasījumu_iesn.!G:BL,37,0)</f>
        <v>9422.33</v>
      </c>
      <c r="E160" s="498">
        <f t="shared" si="2"/>
        <v>0</v>
      </c>
    </row>
    <row r="161" spans="1:5" x14ac:dyDescent="0.25">
      <c r="A161" s="435" t="s">
        <v>2328</v>
      </c>
      <c r="B161" s="498">
        <v>4932.8999999999996</v>
      </c>
      <c r="D161" s="498">
        <f>VLOOKUP(A161,Maksājumu_pieprasījumu_iesn.!G:BL,37,0)</f>
        <v>4932.8999999999996</v>
      </c>
      <c r="E161" s="498">
        <f t="shared" si="2"/>
        <v>0</v>
      </c>
    </row>
    <row r="162" spans="1:5" x14ac:dyDescent="0.25">
      <c r="A162" s="435" t="s">
        <v>789</v>
      </c>
      <c r="B162" s="498">
        <v>8563.4599999999991</v>
      </c>
      <c r="D162" s="498">
        <f>VLOOKUP(A162,Maksājumu_pieprasījumu_iesn.!G:BL,37,0)</f>
        <v>8563.4599999999991</v>
      </c>
      <c r="E162" s="498">
        <f t="shared" si="2"/>
        <v>0</v>
      </c>
    </row>
    <row r="163" spans="1:5" x14ac:dyDescent="0.25">
      <c r="A163" s="435" t="s">
        <v>875</v>
      </c>
      <c r="B163" s="498">
        <v>11893.68</v>
      </c>
      <c r="D163" s="498">
        <f>VLOOKUP(A163,Maksājumu_pieprasījumu_iesn.!G:BL,37,0)</f>
        <v>11893.68</v>
      </c>
      <c r="E163" s="498">
        <f t="shared" si="2"/>
        <v>0</v>
      </c>
    </row>
    <row r="164" spans="1:5" x14ac:dyDescent="0.25">
      <c r="A164" s="435" t="s">
        <v>2331</v>
      </c>
      <c r="B164" s="498">
        <v>1241</v>
      </c>
      <c r="D164" s="498">
        <f>VLOOKUP(A164,Maksājumu_pieprasījumu_iesn.!G:BL,37,0)</f>
        <v>1241</v>
      </c>
      <c r="E164" s="498">
        <f t="shared" si="2"/>
        <v>0</v>
      </c>
    </row>
    <row r="165" spans="1:5" x14ac:dyDescent="0.25">
      <c r="A165" s="435" t="s">
        <v>2338</v>
      </c>
      <c r="B165" s="498">
        <v>2833.33</v>
      </c>
      <c r="D165" s="498">
        <f>VLOOKUP(A165,Maksājumu_pieprasījumu_iesn.!G:BL,37,0)</f>
        <v>2833.33</v>
      </c>
      <c r="E165" s="498">
        <f t="shared" si="2"/>
        <v>0</v>
      </c>
    </row>
    <row r="166" spans="1:5" x14ac:dyDescent="0.25">
      <c r="A166" s="435" t="s">
        <v>723</v>
      </c>
      <c r="B166" s="498">
        <v>42450.559999999998</v>
      </c>
      <c r="D166" s="498">
        <f>VLOOKUP(A166,Maksājumu_pieprasījumu_iesn.!G:BL,37,0)</f>
        <v>42450.559999999998</v>
      </c>
      <c r="E166" s="498">
        <f t="shared" si="2"/>
        <v>0</v>
      </c>
    </row>
    <row r="167" spans="1:5" x14ac:dyDescent="0.25">
      <c r="A167" s="435" t="s">
        <v>791</v>
      </c>
      <c r="B167" s="498">
        <v>876.41</v>
      </c>
      <c r="D167" s="498">
        <f>VLOOKUP(A167,Maksājumu_pieprasījumu_iesn.!G:BL,37,0)</f>
        <v>876.41</v>
      </c>
      <c r="E167" s="498">
        <f t="shared" si="2"/>
        <v>0</v>
      </c>
    </row>
    <row r="168" spans="1:5" x14ac:dyDescent="0.25">
      <c r="A168" s="435" t="s">
        <v>792</v>
      </c>
      <c r="B168" s="498">
        <v>2554.91</v>
      </c>
      <c r="D168" s="498">
        <f>VLOOKUP(A168,Maksājumu_pieprasījumu_iesn.!G:BL,37,0)</f>
        <v>2554.91</v>
      </c>
      <c r="E168" s="498">
        <f t="shared" si="2"/>
        <v>0</v>
      </c>
    </row>
    <row r="169" spans="1:5" x14ac:dyDescent="0.25">
      <c r="A169" s="435" t="s">
        <v>2346</v>
      </c>
      <c r="B169" s="498">
        <v>1633.96</v>
      </c>
      <c r="D169" s="498">
        <f>VLOOKUP(A169,Maksājumu_pieprasījumu_iesn.!G:BL,37,0)</f>
        <v>1633.96</v>
      </c>
      <c r="E169" s="498">
        <f t="shared" si="2"/>
        <v>0</v>
      </c>
    </row>
    <row r="170" spans="1:5" x14ac:dyDescent="0.25">
      <c r="A170" s="435" t="s">
        <v>2350</v>
      </c>
      <c r="B170" s="498">
        <v>8826.66</v>
      </c>
      <c r="D170" s="498">
        <f>VLOOKUP(A170,Maksājumu_pieprasījumu_iesn.!G:BL,37,0)</f>
        <v>8826.66</v>
      </c>
      <c r="E170" s="498">
        <f t="shared" si="2"/>
        <v>0</v>
      </c>
    </row>
    <row r="171" spans="1:5" x14ac:dyDescent="0.25">
      <c r="A171" s="435" t="s">
        <v>2354</v>
      </c>
      <c r="B171" s="498">
        <v>6016.82</v>
      </c>
      <c r="D171" s="498">
        <f>VLOOKUP(A171,Maksājumu_pieprasījumu_iesn.!G:BL,37,0)</f>
        <v>6016.82</v>
      </c>
      <c r="E171" s="498">
        <f t="shared" si="2"/>
        <v>0</v>
      </c>
    </row>
    <row r="172" spans="1:5" x14ac:dyDescent="0.25">
      <c r="A172" s="435" t="s">
        <v>768</v>
      </c>
      <c r="B172" s="498">
        <v>14642.23</v>
      </c>
      <c r="D172" s="498">
        <f>VLOOKUP(A172,Maksājumu_pieprasījumu_iesn.!G:BL,37,0)</f>
        <v>14642.23</v>
      </c>
      <c r="E172" s="498">
        <f t="shared" si="2"/>
        <v>0</v>
      </c>
    </row>
    <row r="173" spans="1:5" x14ac:dyDescent="0.25">
      <c r="A173" s="435" t="s">
        <v>2358</v>
      </c>
      <c r="B173" s="498">
        <v>18418.189999999999</v>
      </c>
      <c r="D173" s="498">
        <f>VLOOKUP(A173,Maksājumu_pieprasījumu_iesn.!G:BL,37,0)</f>
        <v>18418.189999999999</v>
      </c>
      <c r="E173" s="498">
        <f t="shared" si="2"/>
        <v>0</v>
      </c>
    </row>
    <row r="174" spans="1:5" x14ac:dyDescent="0.25">
      <c r="A174" s="435" t="s">
        <v>2361</v>
      </c>
      <c r="B174" s="498">
        <v>1594.06</v>
      </c>
      <c r="D174" s="498">
        <f>VLOOKUP(A174,Maksājumu_pieprasījumu_iesn.!G:BL,37,0)</f>
        <v>1594.06</v>
      </c>
      <c r="E174" s="498">
        <f t="shared" si="2"/>
        <v>0</v>
      </c>
    </row>
    <row r="175" spans="1:5" x14ac:dyDescent="0.25">
      <c r="A175" s="435" t="s">
        <v>2365</v>
      </c>
      <c r="B175" s="498">
        <v>2530.36</v>
      </c>
      <c r="D175" s="498">
        <f>VLOOKUP(A175,Maksājumu_pieprasījumu_iesn.!G:BL,37,0)</f>
        <v>2530.36</v>
      </c>
      <c r="E175" s="498">
        <f t="shared" si="2"/>
        <v>0</v>
      </c>
    </row>
    <row r="176" spans="1:5" x14ac:dyDescent="0.25">
      <c r="A176" s="435" t="s">
        <v>726</v>
      </c>
      <c r="B176" s="498">
        <v>929</v>
      </c>
      <c r="D176" s="498">
        <f>VLOOKUP(A176,Maksājumu_pieprasījumu_iesn.!G:BL,37,0)</f>
        <v>929</v>
      </c>
      <c r="E176" s="498">
        <f t="shared" si="2"/>
        <v>0</v>
      </c>
    </row>
    <row r="177" spans="1:5" x14ac:dyDescent="0.25">
      <c r="A177" s="435" t="s">
        <v>2371</v>
      </c>
      <c r="B177" s="498">
        <v>0</v>
      </c>
      <c r="D177" s="498">
        <f>VLOOKUP(A177,Maksājumu_pieprasījumu_iesn.!G:BL,37,0)</f>
        <v>0</v>
      </c>
      <c r="E177" s="498">
        <f t="shared" si="2"/>
        <v>0</v>
      </c>
    </row>
    <row r="178" spans="1:5" x14ac:dyDescent="0.25">
      <c r="A178" s="435" t="s">
        <v>2373</v>
      </c>
      <c r="B178" s="498">
        <v>2592.5</v>
      </c>
      <c r="D178" s="498">
        <f>VLOOKUP(A178,Maksājumu_pieprasījumu_iesn.!G:BL,37,0)</f>
        <v>2592.5</v>
      </c>
      <c r="E178" s="498">
        <f t="shared" si="2"/>
        <v>0</v>
      </c>
    </row>
    <row r="179" spans="1:5" x14ac:dyDescent="0.25">
      <c r="A179" s="435" t="s">
        <v>2375</v>
      </c>
      <c r="B179" s="498">
        <v>2659.88</v>
      </c>
      <c r="D179" s="498">
        <f>VLOOKUP(A179,Maksājumu_pieprasījumu_iesn.!G:BL,37,0)</f>
        <v>2659.88</v>
      </c>
      <c r="E179" s="498">
        <f t="shared" si="2"/>
        <v>0</v>
      </c>
    </row>
    <row r="180" spans="1:5" x14ac:dyDescent="0.25">
      <c r="A180" s="435" t="s">
        <v>2380</v>
      </c>
      <c r="B180" s="498">
        <v>4474.5200000000004</v>
      </c>
      <c r="D180" s="498">
        <f>VLOOKUP(A180,Maksājumu_pieprasījumu_iesn.!G:BL,37,0)</f>
        <v>4474.5200000000004</v>
      </c>
      <c r="E180" s="498">
        <f t="shared" si="2"/>
        <v>0</v>
      </c>
    </row>
    <row r="181" spans="1:5" x14ac:dyDescent="0.25">
      <c r="A181" s="435" t="s">
        <v>2384</v>
      </c>
      <c r="B181" s="498">
        <v>22676.73</v>
      </c>
      <c r="D181" s="498">
        <f>VLOOKUP(A181,Maksājumu_pieprasījumu_iesn.!G:BL,37,0)</f>
        <v>22676.73</v>
      </c>
      <c r="E181" s="498">
        <f t="shared" si="2"/>
        <v>0</v>
      </c>
    </row>
    <row r="182" spans="1:5" x14ac:dyDescent="0.25">
      <c r="A182" s="435" t="s">
        <v>881</v>
      </c>
      <c r="B182" s="498">
        <v>1959.56</v>
      </c>
      <c r="D182" s="498">
        <f>VLOOKUP(A182,Maksājumu_pieprasījumu_iesn.!G:BL,37,0)</f>
        <v>1959.56</v>
      </c>
      <c r="E182" s="498">
        <f t="shared" si="2"/>
        <v>0</v>
      </c>
    </row>
    <row r="183" spans="1:5" x14ac:dyDescent="0.25">
      <c r="A183" s="435" t="s">
        <v>2401</v>
      </c>
      <c r="B183" s="498">
        <v>3724.7</v>
      </c>
      <c r="D183" s="498">
        <f>VLOOKUP(A183,Maksājumu_pieprasījumu_iesn.!G:BL,37,0)</f>
        <v>3724.7</v>
      </c>
      <c r="E183" s="498">
        <f t="shared" si="2"/>
        <v>0</v>
      </c>
    </row>
    <row r="184" spans="1:5" x14ac:dyDescent="0.25">
      <c r="A184" s="435" t="s">
        <v>795</v>
      </c>
      <c r="B184" s="498">
        <v>21683.14</v>
      </c>
      <c r="D184" s="498">
        <f>VLOOKUP(A184,Maksājumu_pieprasījumu_iesn.!G:BL,37,0)</f>
        <v>21683.14</v>
      </c>
      <c r="E184" s="498">
        <f t="shared" si="2"/>
        <v>0</v>
      </c>
    </row>
    <row r="185" spans="1:5" x14ac:dyDescent="0.25">
      <c r="A185" s="435" t="s">
        <v>937</v>
      </c>
      <c r="B185" s="498">
        <v>2622.71</v>
      </c>
      <c r="D185" s="498">
        <f>VLOOKUP(A185,Maksājumu_pieprasījumu_iesn.!G:BL,37,0)</f>
        <v>2622.71</v>
      </c>
      <c r="E185" s="498">
        <f t="shared" si="2"/>
        <v>0</v>
      </c>
    </row>
    <row r="186" spans="1:5" x14ac:dyDescent="0.25">
      <c r="A186" s="435" t="s">
        <v>2417</v>
      </c>
      <c r="B186" s="498">
        <v>2607.4299999999998</v>
      </c>
      <c r="D186" s="498">
        <f>VLOOKUP(A186,Maksājumu_pieprasījumu_iesn.!G:BL,37,0)</f>
        <v>2607.4299999999998</v>
      </c>
      <c r="E186" s="498">
        <f t="shared" si="2"/>
        <v>0</v>
      </c>
    </row>
    <row r="187" spans="1:5" x14ac:dyDescent="0.25">
      <c r="A187" s="435" t="s">
        <v>2420</v>
      </c>
      <c r="B187" s="498">
        <v>5787.19</v>
      </c>
      <c r="D187" s="498">
        <f>VLOOKUP(A187,Maksājumu_pieprasījumu_iesn.!G:BL,37,0)</f>
        <v>5787.19</v>
      </c>
      <c r="E187" s="498">
        <f t="shared" si="2"/>
        <v>0</v>
      </c>
    </row>
    <row r="188" spans="1:5" x14ac:dyDescent="0.25">
      <c r="A188" s="435" t="s">
        <v>2423</v>
      </c>
      <c r="B188" s="498">
        <v>3238.5</v>
      </c>
      <c r="D188" s="498">
        <f>VLOOKUP(A188,Maksājumu_pieprasījumu_iesn.!G:BL,37,0)</f>
        <v>3238.5</v>
      </c>
      <c r="E188" s="498">
        <f t="shared" si="2"/>
        <v>0</v>
      </c>
    </row>
    <row r="189" spans="1:5" x14ac:dyDescent="0.25">
      <c r="A189" s="435" t="s">
        <v>2432</v>
      </c>
      <c r="B189" s="498">
        <v>9188.7000000000007</v>
      </c>
      <c r="D189" s="498">
        <f>VLOOKUP(A189,Maksājumu_pieprasījumu_iesn.!G:BL,37,0)</f>
        <v>9188.7000000000007</v>
      </c>
      <c r="E189" s="498">
        <f t="shared" si="2"/>
        <v>0</v>
      </c>
    </row>
    <row r="190" spans="1:5" x14ac:dyDescent="0.25">
      <c r="A190" s="435" t="s">
        <v>729</v>
      </c>
      <c r="B190" s="498">
        <v>3886.2</v>
      </c>
      <c r="D190" s="498">
        <f>VLOOKUP(A190,Maksājumu_pieprasījumu_iesn.!G:BL,37,0)</f>
        <v>3886.2</v>
      </c>
      <c r="E190" s="498">
        <f t="shared" si="2"/>
        <v>0</v>
      </c>
    </row>
    <row r="191" spans="1:5" x14ac:dyDescent="0.25">
      <c r="A191" s="435" t="s">
        <v>2435</v>
      </c>
      <c r="B191" s="498">
        <v>9441.08</v>
      </c>
      <c r="D191" s="498">
        <f>VLOOKUP(A191,Maksājumu_pieprasījumu_iesn.!G:BL,37,0)</f>
        <v>9441.08</v>
      </c>
      <c r="E191" s="498">
        <f t="shared" si="2"/>
        <v>0</v>
      </c>
    </row>
    <row r="192" spans="1:5" x14ac:dyDescent="0.25">
      <c r="A192" s="435" t="s">
        <v>2439</v>
      </c>
      <c r="B192" s="498">
        <v>8574.7999999999993</v>
      </c>
      <c r="D192" s="498">
        <f>VLOOKUP(A192,Maksājumu_pieprasījumu_iesn.!G:BL,37,0)</f>
        <v>8574.7999999999993</v>
      </c>
      <c r="E192" s="498">
        <f t="shared" si="2"/>
        <v>0</v>
      </c>
    </row>
    <row r="193" spans="1:5" x14ac:dyDescent="0.25">
      <c r="A193" s="435" t="s">
        <v>2447</v>
      </c>
      <c r="B193" s="498">
        <v>20142</v>
      </c>
      <c r="D193" s="498">
        <f>VLOOKUP(A193,Maksājumu_pieprasījumu_iesn.!G:BL,37,0)</f>
        <v>20142</v>
      </c>
      <c r="E193" s="498">
        <f t="shared" si="2"/>
        <v>0</v>
      </c>
    </row>
    <row r="194" spans="1:5" x14ac:dyDescent="0.25">
      <c r="A194" s="435" t="s">
        <v>2451</v>
      </c>
      <c r="B194" s="498">
        <v>7224.24</v>
      </c>
      <c r="D194" s="498">
        <f>VLOOKUP(A194,Maksājumu_pieprasījumu_iesn.!G:BL,37,0)</f>
        <v>7224.24</v>
      </c>
      <c r="E194" s="498">
        <f t="shared" si="2"/>
        <v>0</v>
      </c>
    </row>
    <row r="195" spans="1:5" x14ac:dyDescent="0.25">
      <c r="A195" s="435" t="s">
        <v>2454</v>
      </c>
      <c r="B195" s="498">
        <v>19575.280000000002</v>
      </c>
      <c r="D195" s="498">
        <f>VLOOKUP(A195,Maksājumu_pieprasījumu_iesn.!G:BL,37,0)</f>
        <v>19575.280000000002</v>
      </c>
      <c r="E195" s="498">
        <f t="shared" ref="E195:E203" si="3">D195-B195</f>
        <v>0</v>
      </c>
    </row>
    <row r="196" spans="1:5" x14ac:dyDescent="0.25">
      <c r="A196" s="435" t="s">
        <v>2463</v>
      </c>
      <c r="B196" s="498">
        <v>38587.769999999997</v>
      </c>
      <c r="D196" s="498">
        <f>VLOOKUP(A196,Maksājumu_pieprasījumu_iesn.!G:BL,37,0)</f>
        <v>38587.769999999997</v>
      </c>
      <c r="E196" s="498">
        <f t="shared" si="3"/>
        <v>0</v>
      </c>
    </row>
    <row r="197" spans="1:5" x14ac:dyDescent="0.25">
      <c r="A197" s="435" t="s">
        <v>445</v>
      </c>
      <c r="B197" s="498">
        <v>1829.88</v>
      </c>
      <c r="D197" s="498">
        <f>VLOOKUP(A197,Maksājumu_pieprasījumu_iesn.!G:BL,37,0)</f>
        <v>1829.88</v>
      </c>
      <c r="E197" s="498">
        <f t="shared" si="3"/>
        <v>0</v>
      </c>
    </row>
    <row r="198" spans="1:5" x14ac:dyDescent="0.25">
      <c r="A198" s="435" t="s">
        <v>2474</v>
      </c>
      <c r="B198" s="498">
        <v>7444.49</v>
      </c>
      <c r="D198" s="498">
        <f>VLOOKUP(A198,Maksājumu_pieprasījumu_iesn.!G:BL,37,0)</f>
        <v>7444.49</v>
      </c>
      <c r="E198" s="498">
        <f t="shared" si="3"/>
        <v>0</v>
      </c>
    </row>
    <row r="199" spans="1:5" x14ac:dyDescent="0.25">
      <c r="A199" s="435" t="s">
        <v>884</v>
      </c>
      <c r="B199" s="498">
        <v>54740.7</v>
      </c>
      <c r="D199" s="498">
        <f>VLOOKUP(A199,Maksājumu_pieprasījumu_iesn.!G:BL,37,0)</f>
        <v>54740.7</v>
      </c>
      <c r="E199" s="498">
        <f t="shared" si="3"/>
        <v>0</v>
      </c>
    </row>
    <row r="200" spans="1:5" x14ac:dyDescent="0.25">
      <c r="A200" s="435" t="s">
        <v>2853</v>
      </c>
      <c r="B200" s="498">
        <v>7069.51</v>
      </c>
      <c r="D200" s="498">
        <f>VLOOKUP(A200,Maksājumu_pieprasījumu_iesn.!G:BL,37,0)</f>
        <v>7069.51</v>
      </c>
      <c r="E200" s="498">
        <f t="shared" si="3"/>
        <v>0</v>
      </c>
    </row>
    <row r="201" spans="1:5" x14ac:dyDescent="0.25">
      <c r="A201" s="435" t="s">
        <v>2822</v>
      </c>
      <c r="B201" s="498">
        <v>703302.1</v>
      </c>
      <c r="D201" s="498">
        <f>VLOOKUP(A201,Maksājumu_pieprasījumu_iesn.!G:BL,37,0)</f>
        <v>703302.1</v>
      </c>
      <c r="E201" s="498">
        <f t="shared" si="3"/>
        <v>0</v>
      </c>
    </row>
    <row r="202" spans="1:5" x14ac:dyDescent="0.25">
      <c r="A202" s="435" t="s">
        <v>2824</v>
      </c>
      <c r="B202" s="498">
        <v>13796.75</v>
      </c>
      <c r="D202" s="498">
        <f>VLOOKUP(A202,Maksājumu_pieprasījumu_iesn.!G:BL,37,0)</f>
        <v>13796.75</v>
      </c>
      <c r="E202" s="498">
        <f t="shared" si="3"/>
        <v>0</v>
      </c>
    </row>
    <row r="203" spans="1:5" x14ac:dyDescent="0.25">
      <c r="A203" s="435" t="s">
        <v>2854</v>
      </c>
      <c r="B203" s="498">
        <v>506019.53</v>
      </c>
      <c r="D203" s="498">
        <f>VLOOKUP(A203,Maksājumu_pieprasījumu_iesn.!G:BL,37,0)</f>
        <v>506019.53</v>
      </c>
      <c r="E203" s="498">
        <f t="shared" si="3"/>
        <v>0</v>
      </c>
    </row>
    <row r="204" spans="1:5" x14ac:dyDescent="0.25">
      <c r="A204" s="435" t="s">
        <v>2857</v>
      </c>
      <c r="B204" s="498">
        <v>73009.87</v>
      </c>
      <c r="D204" s="498">
        <f>VLOOKUP(A204,Maksājumu_pieprasījumu_iesn.!G:BL,37,0)</f>
        <v>73009.87</v>
      </c>
      <c r="E204" s="498">
        <f>D204-B204</f>
        <v>0</v>
      </c>
    </row>
    <row r="205" spans="1:5" x14ac:dyDescent="0.25">
      <c r="A205" s="435" t="s">
        <v>2858</v>
      </c>
      <c r="B205" s="498">
        <v>61028615.950000003</v>
      </c>
      <c r="D205" s="498">
        <f>SUM(D2:D204)</f>
        <v>61028615.950000003</v>
      </c>
      <c r="E205" s="498"/>
    </row>
    <row r="206" spans="1:5" x14ac:dyDescent="0.25">
      <c r="A206" s="506"/>
      <c r="B206" s="575"/>
    </row>
  </sheetData>
  <autoFilter ref="A1:D205"/>
  <customSheetViews>
    <customSheetView guid="{31BFF91F-CC67-47B5-A533-CBCA2A3DFD88}" showAutoFilter="1" state="hidden" topLeftCell="A192">
      <selection activeCell="J211" sqref="J211"/>
      <pageMargins left="0.7" right="0.7" top="0.75" bottom="0.75" header="0.3" footer="0.3"/>
      <autoFilter ref="A1:D205"/>
    </customSheetView>
    <customSheetView guid="{1CE1816D-2CE4-45E4-84A5-7ECDB5D0D0D3}" showAutoFilter="1" state="hidden" topLeftCell="A192">
      <selection activeCell="J211" sqref="J211"/>
      <pageMargins left="0.7" right="0.7" top="0.75" bottom="0.75" header="0.3" footer="0.3"/>
      <autoFilter ref="A1:D205"/>
    </customSheetView>
    <customSheetView guid="{C7376C49-7C70-4EE7-9CF7-79151FBD2399}" showAutoFilter="1" state="hidden" topLeftCell="A192">
      <selection activeCell="J211" sqref="J211"/>
      <pageMargins left="0.7" right="0.7" top="0.75" bottom="0.75" header="0.3" footer="0.3"/>
      <autoFilter ref="A1:D205"/>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Maksājumu_pieprasījumu_iesn.</vt:lpstr>
      <vt:lpstr>IPIA_MP_kavējumi</vt:lpstr>
      <vt:lpstr>Neizpildes_SAM</vt:lpstr>
      <vt:lpstr>oktobrī pievienoti</vt:lpstr>
      <vt:lpstr>2016</vt:lpstr>
      <vt:lpstr>2017</vt:lpstr>
      <vt:lpstr>IPIA</vt:lpstr>
      <vt:lpstr>kumul</vt:lpstr>
      <vt:lpstr>10</vt:lpstr>
      <vt:lpstr>IPIA_MP_kavējumi!Print_Area</vt:lpstr>
      <vt:lpstr>Maksājumu_pieprasījumu_iesn.!Print_Titles</vt:lpstr>
      <vt:lpstr>Neizpildes_SAM!Print_Titles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Ierobežotas projektu iesniegumu atlases (IPIA) projektiem noteikto maksājumu pieprasījumu iesniegšanas plānu līdz 2017.gada 1.septembrim neizpildes</dc:title>
  <dc:subject>Pielikums</dc:subject>
  <dc:creator>Ints Pelnis</dc:creator>
  <dc:description>ints.pelnis@fm.gov.lv_x000d_
67095470</dc:description>
  <cp:lastModifiedBy>Ilze Valaine</cp:lastModifiedBy>
  <cp:lastPrinted>2017-11-27T12:51:28Z</cp:lastPrinted>
  <dcterms:created xsi:type="dcterms:W3CDTF">2017-05-13T06:25:14Z</dcterms:created>
  <dcterms:modified xsi:type="dcterms:W3CDTF">2017-11-27T12:51:33Z</dcterms:modified>
</cp:coreProperties>
</file>